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AVTMUE744\AppData\Local\Box\Box Edit\Documents\5lTAc8RSCUOm6kxsCsqjHA==\"/>
    </mc:Choice>
  </mc:AlternateContent>
  <xr:revisionPtr revIDLastSave="0" documentId="13_ncr:1_{B6223AA3-B4CA-4801-95A4-FBC4C431D0BA}" xr6:coauthVersionLast="47" xr6:coauthVersionMax="47" xr10:uidLastSave="{00000000-0000-0000-0000-000000000000}"/>
  <bookViews>
    <workbookView xWindow="-110" yWindow="-110" windowWidth="19420" windowHeight="10300" tabRatio="705" xr2:uid="{00000000-000D-0000-FFFF-FFFF00000000}"/>
  </bookViews>
  <sheets>
    <sheet name="Geo &amp; CIC Deployment Plan" sheetId="1" r:id="rId1"/>
    <sheet name="Induction Modality Approaches" sheetId="14" r:id="rId2"/>
    <sheet name="Growth Survey+Stay Ahead Plan" sheetId="5" r:id="rId3"/>
    <sheet name="Summary - Associates" sheetId="2" r:id="rId4"/>
    <sheet name="Intern Deploy-Planning TKR DV" sheetId="10" state="hidden" r:id="rId5"/>
    <sheet name="Intern Category Matrix" sheetId="6" r:id="rId6"/>
    <sheet name="Intern Deploy-Plan Tracker_Arch" sheetId="11" state="hidden" r:id="rId7"/>
    <sheet name="Intern Deploy-Plan Tracker" sheetId="13" r:id="rId8"/>
    <sheet name="Sheet1" sheetId="15" state="hidden" r:id="rId9"/>
    <sheet name="Summary - Intern" sheetId="12" r:id="rId10"/>
    <sheet name="1h 2h data" sheetId="4" state="hidden" r:id="rId11"/>
    <sheet name="Status of Curriculum Completion" sheetId="3" r:id="rId12"/>
    <sheet name="OLD _ Intern Onboarding Plan" sheetId="8" r:id="rId13"/>
  </sheets>
  <definedNames>
    <definedName name="_xlnm._FilterDatabase" localSheetId="0" hidden="1">'Geo &amp; CIC Deployment Plan'!$AZ$2:$BE$475</definedName>
    <definedName name="_xlnm._FilterDatabase" localSheetId="2" hidden="1">'Growth Survey+Stay Ahead Plan'!$A$1:$I$169</definedName>
    <definedName name="_xlnm._FilterDatabase" localSheetId="5" hidden="1">'Intern Category Matrix'!$A$1:$M$1</definedName>
    <definedName name="_xlnm._FilterDatabase" localSheetId="7" hidden="1">'Intern Deploy-Plan Tracker'!$A$3:$AD$108</definedName>
    <definedName name="_xlnm._FilterDatabase" localSheetId="6" hidden="1">'Intern Deploy-Plan Tracker_Arch'!$A$3:$S$3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77" i="1" l="1"/>
  <c r="S370" i="1"/>
  <c r="BD370" i="1"/>
  <c r="BC370" i="1"/>
  <c r="BB370" i="1" s="1"/>
  <c r="AZ370" i="1"/>
  <c r="AS370" i="1"/>
  <c r="AR370" i="1"/>
  <c r="S419" i="1"/>
  <c r="BD418" i="1"/>
  <c r="BC418" i="1"/>
  <c r="AZ418" i="1"/>
  <c r="AS418" i="1"/>
  <c r="AR418" i="1"/>
  <c r="S418" i="1"/>
  <c r="S476" i="1"/>
  <c r="S475" i="1"/>
  <c r="BD475" i="1"/>
  <c r="BC475" i="1"/>
  <c r="AZ475" i="1"/>
  <c r="AS475" i="1"/>
  <c r="AW475" i="1" s="1"/>
  <c r="AR475" i="1"/>
  <c r="BD474" i="1"/>
  <c r="BC474" i="1"/>
  <c r="AZ474" i="1"/>
  <c r="AS474" i="1"/>
  <c r="AW474" i="1" s="1"/>
  <c r="AR474" i="1"/>
  <c r="BD473" i="1"/>
  <c r="BC473" i="1"/>
  <c r="AZ473" i="1"/>
  <c r="AS473" i="1"/>
  <c r="AR473" i="1"/>
  <c r="BD472" i="1"/>
  <c r="BC472" i="1"/>
  <c r="AZ472" i="1"/>
  <c r="AS472" i="1"/>
  <c r="AR472" i="1"/>
  <c r="BD471" i="1"/>
  <c r="BC471" i="1"/>
  <c r="AZ471" i="1"/>
  <c r="AS471" i="1"/>
  <c r="AW471" i="1" s="1"/>
  <c r="AR471" i="1"/>
  <c r="BD470" i="1"/>
  <c r="BC470" i="1"/>
  <c r="AZ470" i="1"/>
  <c r="AS470" i="1"/>
  <c r="AW470" i="1" s="1"/>
  <c r="AR470" i="1"/>
  <c r="BD469" i="1"/>
  <c r="BC469" i="1"/>
  <c r="AZ469" i="1"/>
  <c r="AS469" i="1"/>
  <c r="AV469" i="1" s="1"/>
  <c r="AR469" i="1"/>
  <c r="BD468" i="1"/>
  <c r="BC468" i="1"/>
  <c r="AZ468" i="1"/>
  <c r="AS468" i="1"/>
  <c r="AW468" i="1" s="1"/>
  <c r="AR468" i="1"/>
  <c r="BD467" i="1"/>
  <c r="BC467" i="1"/>
  <c r="AZ467" i="1"/>
  <c r="AS467" i="1"/>
  <c r="AW467" i="1" s="1"/>
  <c r="AR467" i="1"/>
  <c r="BD466" i="1"/>
  <c r="BC466" i="1"/>
  <c r="AZ466" i="1"/>
  <c r="AS466" i="1"/>
  <c r="AV466" i="1" s="1"/>
  <c r="AR466" i="1"/>
  <c r="BD465" i="1"/>
  <c r="BC465" i="1"/>
  <c r="AZ465" i="1"/>
  <c r="AS465" i="1"/>
  <c r="AR465" i="1"/>
  <c r="BD464" i="1"/>
  <c r="BC464" i="1"/>
  <c r="AZ464" i="1"/>
  <c r="AS464" i="1"/>
  <c r="AW464" i="1" s="1"/>
  <c r="AR464" i="1"/>
  <c r="BD463" i="1"/>
  <c r="BC463" i="1"/>
  <c r="AZ463" i="1"/>
  <c r="AS463" i="1"/>
  <c r="AV463" i="1" s="1"/>
  <c r="AR463" i="1"/>
  <c r="BD462" i="1"/>
  <c r="BC462" i="1"/>
  <c r="AZ462" i="1"/>
  <c r="AS462" i="1"/>
  <c r="AW462" i="1" s="1"/>
  <c r="AR462" i="1"/>
  <c r="BD461" i="1"/>
  <c r="BC461" i="1"/>
  <c r="AZ461" i="1"/>
  <c r="AS461" i="1"/>
  <c r="AU461" i="1" s="1"/>
  <c r="AR461" i="1"/>
  <c r="BD460" i="1"/>
  <c r="BC460" i="1"/>
  <c r="AZ460" i="1"/>
  <c r="AS460" i="1"/>
  <c r="AW460" i="1" s="1"/>
  <c r="AR460" i="1"/>
  <c r="BD459" i="1"/>
  <c r="BC459" i="1"/>
  <c r="AZ459" i="1"/>
  <c r="AS459" i="1"/>
  <c r="AW459" i="1" s="1"/>
  <c r="AR459" i="1"/>
  <c r="BD458" i="1"/>
  <c r="BC458" i="1"/>
  <c r="AZ458" i="1"/>
  <c r="AS458" i="1"/>
  <c r="AW458" i="1" s="1"/>
  <c r="AR458" i="1"/>
  <c r="BD457" i="1"/>
  <c r="BC457" i="1"/>
  <c r="AZ457" i="1"/>
  <c r="AS457" i="1"/>
  <c r="AR457" i="1"/>
  <c r="BD456" i="1"/>
  <c r="BC456" i="1"/>
  <c r="AZ456" i="1"/>
  <c r="AS456" i="1"/>
  <c r="AW456" i="1" s="1"/>
  <c r="AR456" i="1"/>
  <c r="BD455" i="1"/>
  <c r="BC455" i="1"/>
  <c r="AZ455" i="1"/>
  <c r="AS455" i="1"/>
  <c r="AU455" i="1" s="1"/>
  <c r="AR455" i="1"/>
  <c r="BD454" i="1"/>
  <c r="BC454" i="1"/>
  <c r="AZ454" i="1"/>
  <c r="AS454" i="1"/>
  <c r="AR454" i="1"/>
  <c r="BD453" i="1"/>
  <c r="BC453" i="1"/>
  <c r="AZ453" i="1"/>
  <c r="AS453" i="1"/>
  <c r="AW453" i="1" s="1"/>
  <c r="AR453" i="1"/>
  <c r="BD452" i="1"/>
  <c r="BC452" i="1"/>
  <c r="AZ452" i="1"/>
  <c r="AS452" i="1"/>
  <c r="AW452" i="1" s="1"/>
  <c r="AR452" i="1"/>
  <c r="BD451" i="1"/>
  <c r="BC451" i="1"/>
  <c r="AZ451" i="1"/>
  <c r="AS451" i="1"/>
  <c r="AR451" i="1"/>
  <c r="BD450" i="1"/>
  <c r="BC450" i="1"/>
  <c r="AZ450" i="1"/>
  <c r="AS450" i="1"/>
  <c r="AW450" i="1" s="1"/>
  <c r="AR450" i="1"/>
  <c r="BD449" i="1"/>
  <c r="BC449" i="1"/>
  <c r="AZ449" i="1"/>
  <c r="AS449" i="1"/>
  <c r="AR449" i="1"/>
  <c r="BC448" i="1"/>
  <c r="AZ448" i="1"/>
  <c r="AS448" i="1"/>
  <c r="AU448" i="1" s="1"/>
  <c r="AR448" i="1"/>
  <c r="BC447" i="1"/>
  <c r="AZ447" i="1"/>
  <c r="AS447" i="1"/>
  <c r="AW447" i="1" s="1"/>
  <c r="AR447" i="1"/>
  <c r="BC446" i="1"/>
  <c r="AZ446" i="1"/>
  <c r="AS446" i="1"/>
  <c r="AW446" i="1" s="1"/>
  <c r="AR446" i="1"/>
  <c r="BC445" i="1"/>
  <c r="AZ445" i="1"/>
  <c r="AS445" i="1"/>
  <c r="AR445" i="1"/>
  <c r="BC444" i="1"/>
  <c r="AZ444" i="1"/>
  <c r="AS444" i="1"/>
  <c r="AR444" i="1"/>
  <c r="BD443" i="1"/>
  <c r="BC443" i="1"/>
  <c r="AZ443" i="1"/>
  <c r="AS443" i="1"/>
  <c r="AR443" i="1"/>
  <c r="BD442" i="1"/>
  <c r="BC442" i="1"/>
  <c r="AZ442" i="1"/>
  <c r="AS442" i="1"/>
  <c r="AV442" i="1" s="1"/>
  <c r="AR442" i="1"/>
  <c r="BD441" i="1"/>
  <c r="BC441" i="1"/>
  <c r="AZ441" i="1"/>
  <c r="AS441" i="1"/>
  <c r="AU441" i="1" s="1"/>
  <c r="AR441" i="1"/>
  <c r="BD440" i="1"/>
  <c r="BC440" i="1"/>
  <c r="AZ440" i="1"/>
  <c r="AS440" i="1"/>
  <c r="AW440" i="1" s="1"/>
  <c r="AR440" i="1"/>
  <c r="BD439" i="1"/>
  <c r="BC439" i="1"/>
  <c r="AZ439" i="1"/>
  <c r="AS439" i="1"/>
  <c r="AV439" i="1" s="1"/>
  <c r="AR439" i="1"/>
  <c r="BC438" i="1"/>
  <c r="AZ438" i="1"/>
  <c r="AS438" i="1"/>
  <c r="AV438" i="1" s="1"/>
  <c r="AR438" i="1"/>
  <c r="BC437" i="1"/>
  <c r="AZ437" i="1"/>
  <c r="AS437" i="1"/>
  <c r="AW437" i="1" s="1"/>
  <c r="AR437" i="1"/>
  <c r="BC436" i="1"/>
  <c r="AZ436" i="1"/>
  <c r="AS436" i="1"/>
  <c r="AR436" i="1"/>
  <c r="BC435" i="1"/>
  <c r="AZ435" i="1"/>
  <c r="AS435" i="1"/>
  <c r="AU435" i="1" s="1"/>
  <c r="AR435" i="1"/>
  <c r="BC434" i="1"/>
  <c r="AZ434" i="1"/>
  <c r="AS434" i="1"/>
  <c r="AR434" i="1"/>
  <c r="BD433" i="1"/>
  <c r="BC433" i="1"/>
  <c r="AZ433" i="1"/>
  <c r="AS433" i="1"/>
  <c r="AU433" i="1" s="1"/>
  <c r="AR433" i="1"/>
  <c r="BD432" i="1"/>
  <c r="BC432" i="1"/>
  <c r="AZ432" i="1"/>
  <c r="AS432" i="1"/>
  <c r="AR432" i="1"/>
  <c r="BD431" i="1"/>
  <c r="BC431" i="1"/>
  <c r="AZ431" i="1"/>
  <c r="AS431" i="1"/>
  <c r="AR431" i="1"/>
  <c r="BD430" i="1"/>
  <c r="BC430" i="1"/>
  <c r="AZ430" i="1"/>
  <c r="AS430" i="1"/>
  <c r="AW430" i="1" s="1"/>
  <c r="AR430" i="1"/>
  <c r="BD429" i="1"/>
  <c r="BC429" i="1"/>
  <c r="AZ429" i="1"/>
  <c r="AS429" i="1"/>
  <c r="AW429" i="1" s="1"/>
  <c r="AR429" i="1"/>
  <c r="BD428" i="1"/>
  <c r="BC428" i="1"/>
  <c r="AZ428" i="1"/>
  <c r="AS428" i="1"/>
  <c r="AR428" i="1"/>
  <c r="BD427" i="1"/>
  <c r="BC427" i="1"/>
  <c r="AZ427" i="1"/>
  <c r="AS427" i="1"/>
  <c r="AR427" i="1"/>
  <c r="BD426" i="1"/>
  <c r="BC426" i="1"/>
  <c r="AZ426" i="1"/>
  <c r="AS426" i="1"/>
  <c r="AR426" i="1"/>
  <c r="BD425" i="1"/>
  <c r="BC425" i="1"/>
  <c r="AZ425" i="1"/>
  <c r="AS425" i="1"/>
  <c r="AV425" i="1" s="1"/>
  <c r="AR425" i="1"/>
  <c r="BD424" i="1"/>
  <c r="BC424" i="1"/>
  <c r="AZ424" i="1"/>
  <c r="AS424" i="1"/>
  <c r="AV424" i="1" s="1"/>
  <c r="AR424" i="1"/>
  <c r="BC423" i="1"/>
  <c r="AZ423" i="1"/>
  <c r="AS423" i="1"/>
  <c r="AU423" i="1" s="1"/>
  <c r="AR423" i="1"/>
  <c r="BC422" i="1"/>
  <c r="AZ422" i="1"/>
  <c r="AS422" i="1"/>
  <c r="AV422" i="1" s="1"/>
  <c r="AR422" i="1"/>
  <c r="BC421" i="1"/>
  <c r="AZ421" i="1"/>
  <c r="AS421" i="1"/>
  <c r="AW421" i="1" s="1"/>
  <c r="AR421" i="1"/>
  <c r="BC420" i="1"/>
  <c r="AZ420" i="1"/>
  <c r="AS420" i="1"/>
  <c r="AV420" i="1" s="1"/>
  <c r="AR420" i="1"/>
  <c r="BD419" i="1"/>
  <c r="BC419" i="1"/>
  <c r="AZ419" i="1"/>
  <c r="AS419" i="1"/>
  <c r="AU419" i="1" s="1"/>
  <c r="AR419" i="1"/>
  <c r="BD417" i="1"/>
  <c r="BC417" i="1"/>
  <c r="AZ417" i="1"/>
  <c r="AS417" i="1"/>
  <c r="AW417" i="1" s="1"/>
  <c r="AR417" i="1"/>
  <c r="BD416" i="1"/>
  <c r="BC416" i="1"/>
  <c r="AZ416" i="1"/>
  <c r="AS416" i="1"/>
  <c r="AV416" i="1" s="1"/>
  <c r="AR416" i="1"/>
  <c r="BD415" i="1"/>
  <c r="BC415" i="1"/>
  <c r="BB415" i="1" s="1"/>
  <c r="AZ415" i="1"/>
  <c r="AS415" i="1"/>
  <c r="AV415" i="1" s="1"/>
  <c r="AR415" i="1"/>
  <c r="BD414" i="1"/>
  <c r="BC414" i="1"/>
  <c r="BB414" i="1" s="1"/>
  <c r="AZ414" i="1"/>
  <c r="AS414" i="1"/>
  <c r="AV414" i="1" s="1"/>
  <c r="AR414" i="1"/>
  <c r="BD413" i="1"/>
  <c r="BC413" i="1"/>
  <c r="AZ413" i="1"/>
  <c r="AS413" i="1"/>
  <c r="AR413" i="1"/>
  <c r="BD412" i="1"/>
  <c r="BC412" i="1"/>
  <c r="AZ412" i="1"/>
  <c r="AS412" i="1"/>
  <c r="AW412" i="1" s="1"/>
  <c r="AR412" i="1"/>
  <c r="BD411" i="1"/>
  <c r="BC411" i="1"/>
  <c r="BB411" i="1" s="1"/>
  <c r="AZ411" i="1"/>
  <c r="AS411" i="1"/>
  <c r="AR411" i="1"/>
  <c r="BD410" i="1"/>
  <c r="BC410" i="1"/>
  <c r="AZ410" i="1"/>
  <c r="AS410" i="1"/>
  <c r="AU410" i="1" s="1"/>
  <c r="AR410" i="1"/>
  <c r="BD409" i="1"/>
  <c r="BC409" i="1"/>
  <c r="BB409" i="1" s="1"/>
  <c r="AZ409" i="1"/>
  <c r="AS409" i="1"/>
  <c r="AR409" i="1"/>
  <c r="BD408" i="1"/>
  <c r="BC408" i="1"/>
  <c r="AZ408" i="1"/>
  <c r="AS408" i="1"/>
  <c r="AR408" i="1"/>
  <c r="BD407" i="1"/>
  <c r="BC407" i="1"/>
  <c r="AZ407" i="1"/>
  <c r="AS407" i="1"/>
  <c r="AU407" i="1" s="1"/>
  <c r="AR407" i="1"/>
  <c r="BD406" i="1"/>
  <c r="BC406" i="1"/>
  <c r="AZ406" i="1"/>
  <c r="AS406" i="1"/>
  <c r="AW406" i="1" s="1"/>
  <c r="AR406" i="1"/>
  <c r="BD405" i="1"/>
  <c r="BC405" i="1"/>
  <c r="BB405" i="1" s="1"/>
  <c r="AZ405" i="1"/>
  <c r="AS405" i="1"/>
  <c r="AV405" i="1" s="1"/>
  <c r="AR405" i="1"/>
  <c r="BD404" i="1"/>
  <c r="BC404" i="1"/>
  <c r="AZ404" i="1"/>
  <c r="AS404" i="1"/>
  <c r="AW404" i="1" s="1"/>
  <c r="AR404" i="1"/>
  <c r="BD403" i="1"/>
  <c r="BC403" i="1"/>
  <c r="AZ403" i="1"/>
  <c r="AS403" i="1"/>
  <c r="AV403" i="1" s="1"/>
  <c r="AR403" i="1"/>
  <c r="BD402" i="1"/>
  <c r="BC402" i="1"/>
  <c r="AZ402" i="1"/>
  <c r="AS402" i="1"/>
  <c r="AU402" i="1" s="1"/>
  <c r="AR402" i="1"/>
  <c r="BD401" i="1"/>
  <c r="BC401" i="1"/>
  <c r="AZ401" i="1"/>
  <c r="AS401" i="1"/>
  <c r="AW401" i="1" s="1"/>
  <c r="AR401" i="1"/>
  <c r="BD400" i="1"/>
  <c r="BC400" i="1"/>
  <c r="AZ400" i="1"/>
  <c r="AS400" i="1"/>
  <c r="AV400" i="1" s="1"/>
  <c r="AR400" i="1"/>
  <c r="BD399" i="1"/>
  <c r="BC399" i="1"/>
  <c r="BB399" i="1" s="1"/>
  <c r="AZ399" i="1"/>
  <c r="AS399" i="1"/>
  <c r="AR399" i="1"/>
  <c r="BD398" i="1"/>
  <c r="BC398" i="1"/>
  <c r="AZ398" i="1"/>
  <c r="AS398" i="1"/>
  <c r="AW398" i="1" s="1"/>
  <c r="AR398" i="1"/>
  <c r="BD397" i="1"/>
  <c r="BC397" i="1"/>
  <c r="BB397" i="1" s="1"/>
  <c r="AZ397" i="1"/>
  <c r="AS397" i="1"/>
  <c r="AV397" i="1" s="1"/>
  <c r="AR397" i="1"/>
  <c r="BD396" i="1"/>
  <c r="BC396" i="1"/>
  <c r="AZ396" i="1"/>
  <c r="AS396" i="1"/>
  <c r="AR396" i="1"/>
  <c r="BD395" i="1"/>
  <c r="BC395" i="1"/>
  <c r="BB395" i="1" s="1"/>
  <c r="AZ395" i="1"/>
  <c r="AS395" i="1"/>
  <c r="AR395" i="1"/>
  <c r="BD394" i="1"/>
  <c r="BC394" i="1"/>
  <c r="AZ394" i="1"/>
  <c r="AS394" i="1"/>
  <c r="AR394" i="1"/>
  <c r="BD393" i="1"/>
  <c r="BC393" i="1"/>
  <c r="AZ393" i="1"/>
  <c r="AS393" i="1"/>
  <c r="AR393" i="1"/>
  <c r="BD392" i="1"/>
  <c r="BC392" i="1"/>
  <c r="AZ392" i="1"/>
  <c r="AS392" i="1"/>
  <c r="AR392" i="1"/>
  <c r="BD391" i="1"/>
  <c r="BC391" i="1"/>
  <c r="AZ391" i="1"/>
  <c r="AS391" i="1"/>
  <c r="AV391" i="1" s="1"/>
  <c r="AR391" i="1"/>
  <c r="BD390" i="1"/>
  <c r="BC390" i="1"/>
  <c r="AZ390" i="1"/>
  <c r="AS390" i="1"/>
  <c r="AV390" i="1" s="1"/>
  <c r="AR390" i="1"/>
  <c r="BD389" i="1"/>
  <c r="BC389" i="1"/>
  <c r="AZ389" i="1"/>
  <c r="AS389" i="1"/>
  <c r="AW389" i="1" s="1"/>
  <c r="AR389" i="1"/>
  <c r="BD388" i="1"/>
  <c r="BC388" i="1"/>
  <c r="AZ388" i="1"/>
  <c r="AS388" i="1"/>
  <c r="AR388" i="1"/>
  <c r="BD387" i="1"/>
  <c r="BC387" i="1"/>
  <c r="BB387" i="1" s="1"/>
  <c r="AZ387" i="1"/>
  <c r="AS387" i="1"/>
  <c r="AV387" i="1" s="1"/>
  <c r="AR387" i="1"/>
  <c r="BD386" i="1"/>
  <c r="BC386" i="1"/>
  <c r="AZ386" i="1"/>
  <c r="AS386" i="1"/>
  <c r="AU386" i="1" s="1"/>
  <c r="AR386" i="1"/>
  <c r="BD385" i="1"/>
  <c r="BC385" i="1"/>
  <c r="AZ385" i="1"/>
  <c r="AS385" i="1"/>
  <c r="AW385" i="1" s="1"/>
  <c r="AR385" i="1"/>
  <c r="BD384" i="1"/>
  <c r="BC384" i="1"/>
  <c r="AZ384" i="1"/>
  <c r="AS384" i="1"/>
  <c r="AR384" i="1"/>
  <c r="BD383" i="1"/>
  <c r="BC383" i="1"/>
  <c r="AZ383" i="1"/>
  <c r="AS383" i="1"/>
  <c r="AV383" i="1" s="1"/>
  <c r="AR383" i="1"/>
  <c r="BD382" i="1"/>
  <c r="BC382" i="1"/>
  <c r="AZ382" i="1"/>
  <c r="AS382" i="1"/>
  <c r="AU382" i="1" s="1"/>
  <c r="AR382" i="1"/>
  <c r="BD381" i="1"/>
  <c r="BC381" i="1"/>
  <c r="AZ381" i="1"/>
  <c r="AS381" i="1"/>
  <c r="AV381" i="1" s="1"/>
  <c r="AR381" i="1"/>
  <c r="BD380" i="1"/>
  <c r="BC380" i="1"/>
  <c r="AZ380" i="1"/>
  <c r="AS380" i="1"/>
  <c r="AW380" i="1" s="1"/>
  <c r="AR380" i="1"/>
  <c r="BD379" i="1"/>
  <c r="BC379" i="1"/>
  <c r="AZ379" i="1"/>
  <c r="AS379" i="1"/>
  <c r="AR379" i="1"/>
  <c r="BD378" i="1"/>
  <c r="BC378" i="1"/>
  <c r="AZ378" i="1"/>
  <c r="AS378" i="1"/>
  <c r="AU378" i="1" s="1"/>
  <c r="AR378" i="1"/>
  <c r="BD377" i="1"/>
  <c r="BC377" i="1"/>
  <c r="AZ377" i="1"/>
  <c r="AS377" i="1"/>
  <c r="AR377" i="1"/>
  <c r="BD376" i="1"/>
  <c r="BC376" i="1"/>
  <c r="AZ376" i="1"/>
  <c r="AS376" i="1"/>
  <c r="AR376" i="1"/>
  <c r="BD375" i="1"/>
  <c r="BC375" i="1"/>
  <c r="AZ375" i="1"/>
  <c r="AS375" i="1"/>
  <c r="AR375" i="1"/>
  <c r="BD374" i="1"/>
  <c r="BC374" i="1"/>
  <c r="AZ374" i="1"/>
  <c r="AS374" i="1"/>
  <c r="AR374" i="1"/>
  <c r="BD373" i="1"/>
  <c r="BC373" i="1"/>
  <c r="AZ373" i="1"/>
  <c r="AS373" i="1"/>
  <c r="AR373" i="1"/>
  <c r="BD372" i="1"/>
  <c r="BC372" i="1"/>
  <c r="AZ372" i="1"/>
  <c r="AS372" i="1"/>
  <c r="AW372" i="1" s="1"/>
  <c r="AR372" i="1"/>
  <c r="BD371" i="1"/>
  <c r="BC371" i="1"/>
  <c r="AZ371" i="1"/>
  <c r="AS371" i="1"/>
  <c r="AR371" i="1"/>
  <c r="BD369" i="1"/>
  <c r="BC369" i="1"/>
  <c r="BB369" i="1" s="1"/>
  <c r="AZ369" i="1"/>
  <c r="AS369" i="1"/>
  <c r="AU369" i="1" s="1"/>
  <c r="AR369" i="1"/>
  <c r="BD368" i="1"/>
  <c r="BC368" i="1"/>
  <c r="BB368" i="1" s="1"/>
  <c r="AZ368" i="1"/>
  <c r="AS368" i="1"/>
  <c r="AW368" i="1" s="1"/>
  <c r="AR368" i="1"/>
  <c r="BD367" i="1"/>
  <c r="BC367" i="1"/>
  <c r="BB367" i="1" s="1"/>
  <c r="AZ367" i="1"/>
  <c r="AS367" i="1"/>
  <c r="AW367" i="1" s="1"/>
  <c r="AR367" i="1"/>
  <c r="BD366" i="1"/>
  <c r="BC366" i="1"/>
  <c r="AZ366" i="1"/>
  <c r="AS366" i="1"/>
  <c r="AU366" i="1" s="1"/>
  <c r="AR366" i="1"/>
  <c r="BD365" i="1"/>
  <c r="BC365" i="1"/>
  <c r="AZ365" i="1"/>
  <c r="AS365" i="1"/>
  <c r="AR365" i="1"/>
  <c r="BD364" i="1"/>
  <c r="BC364" i="1"/>
  <c r="AZ364" i="1"/>
  <c r="AS364" i="1"/>
  <c r="AU364" i="1" s="1"/>
  <c r="AR364" i="1"/>
  <c r="BD363" i="1"/>
  <c r="BC363" i="1"/>
  <c r="AZ363" i="1"/>
  <c r="AS363" i="1"/>
  <c r="AW363" i="1" s="1"/>
  <c r="AR363" i="1"/>
  <c r="BD362" i="1"/>
  <c r="BC362" i="1"/>
  <c r="AZ362" i="1"/>
  <c r="AS362" i="1"/>
  <c r="AR362" i="1"/>
  <c r="BD361" i="1"/>
  <c r="BC361" i="1"/>
  <c r="AZ361" i="1"/>
  <c r="AS361" i="1"/>
  <c r="AV361" i="1" s="1"/>
  <c r="AR361" i="1"/>
  <c r="BD360" i="1"/>
  <c r="BC360" i="1"/>
  <c r="AZ360" i="1"/>
  <c r="AS360" i="1"/>
  <c r="AR360" i="1"/>
  <c r="BD359" i="1"/>
  <c r="BC359" i="1"/>
  <c r="BB359" i="1" s="1"/>
  <c r="AZ359" i="1"/>
  <c r="AS359" i="1"/>
  <c r="AR359" i="1"/>
  <c r="BD358" i="1"/>
  <c r="BC358" i="1"/>
  <c r="AZ358" i="1"/>
  <c r="AS358" i="1"/>
  <c r="AV358" i="1" s="1"/>
  <c r="AR358" i="1"/>
  <c r="BD357" i="1"/>
  <c r="BC357" i="1"/>
  <c r="AZ357" i="1"/>
  <c r="AS357" i="1"/>
  <c r="AU357" i="1" s="1"/>
  <c r="AR357" i="1"/>
  <c r="BD356" i="1"/>
  <c r="BC356" i="1"/>
  <c r="BB356" i="1" s="1"/>
  <c r="AZ356" i="1"/>
  <c r="AS356" i="1"/>
  <c r="AW356" i="1" s="1"/>
  <c r="AR356" i="1"/>
  <c r="BD355" i="1"/>
  <c r="BC355" i="1"/>
  <c r="AZ355" i="1"/>
  <c r="AS355" i="1"/>
  <c r="AW355" i="1" s="1"/>
  <c r="AR355" i="1"/>
  <c r="BD354" i="1"/>
  <c r="BC354" i="1"/>
  <c r="AZ354" i="1"/>
  <c r="AS354" i="1"/>
  <c r="AR354" i="1"/>
  <c r="BD353" i="1"/>
  <c r="BC353" i="1"/>
  <c r="AZ353" i="1"/>
  <c r="AS353" i="1"/>
  <c r="AR353" i="1"/>
  <c r="BD352" i="1"/>
  <c r="BC352" i="1"/>
  <c r="AZ352" i="1"/>
  <c r="AS352" i="1"/>
  <c r="AW352" i="1" s="1"/>
  <c r="AR352" i="1"/>
  <c r="BD351" i="1"/>
  <c r="BC351" i="1"/>
  <c r="AZ351" i="1"/>
  <c r="AS351" i="1"/>
  <c r="AV351" i="1" s="1"/>
  <c r="AR351" i="1"/>
  <c r="BD350" i="1"/>
  <c r="BC350" i="1"/>
  <c r="BB350" i="1" s="1"/>
  <c r="AZ350" i="1"/>
  <c r="AS350" i="1"/>
  <c r="AU350" i="1" s="1"/>
  <c r="AR350" i="1"/>
  <c r="BD349" i="1"/>
  <c r="BC349" i="1"/>
  <c r="AZ349" i="1"/>
  <c r="AS349" i="1"/>
  <c r="AW349" i="1" s="1"/>
  <c r="AR349" i="1"/>
  <c r="BD348" i="1"/>
  <c r="BC348" i="1"/>
  <c r="AZ348" i="1"/>
  <c r="AS348" i="1"/>
  <c r="AU348" i="1" s="1"/>
  <c r="AR348" i="1"/>
  <c r="BD347" i="1"/>
  <c r="BC347" i="1"/>
  <c r="BB347" i="1" s="1"/>
  <c r="AZ347" i="1"/>
  <c r="AS347" i="1"/>
  <c r="AV347" i="1" s="1"/>
  <c r="AR347" i="1"/>
  <c r="BD346" i="1"/>
  <c r="BC346" i="1"/>
  <c r="AZ346" i="1"/>
  <c r="AS346" i="1"/>
  <c r="AU346" i="1" s="1"/>
  <c r="AR346" i="1"/>
  <c r="BD345" i="1"/>
  <c r="BC345" i="1"/>
  <c r="AZ345" i="1"/>
  <c r="AS345" i="1"/>
  <c r="AU345" i="1" s="1"/>
  <c r="AR345" i="1"/>
  <c r="BD344" i="1"/>
  <c r="BC344" i="1"/>
  <c r="BB344" i="1" s="1"/>
  <c r="AZ344" i="1"/>
  <c r="AS344" i="1"/>
  <c r="AW344" i="1" s="1"/>
  <c r="AR344" i="1"/>
  <c r="BD343" i="1"/>
  <c r="BC343" i="1"/>
  <c r="BB343" i="1" s="1"/>
  <c r="AZ343" i="1"/>
  <c r="AS343" i="1"/>
  <c r="AV343" i="1" s="1"/>
  <c r="AR343" i="1"/>
  <c r="BD342" i="1"/>
  <c r="BC342" i="1"/>
  <c r="AZ342" i="1"/>
  <c r="AS342" i="1"/>
  <c r="AR342" i="1"/>
  <c r="BD341" i="1"/>
  <c r="BC341" i="1"/>
  <c r="BB341" i="1" s="1"/>
  <c r="AZ341" i="1"/>
  <c r="AS341" i="1"/>
  <c r="AR341" i="1"/>
  <c r="BD340" i="1"/>
  <c r="BC340" i="1"/>
  <c r="AZ340" i="1"/>
  <c r="AS340" i="1"/>
  <c r="AR340" i="1"/>
  <c r="BD339" i="1"/>
  <c r="BC339" i="1"/>
  <c r="AZ339" i="1"/>
  <c r="AS339" i="1"/>
  <c r="AW339" i="1" s="1"/>
  <c r="AR339" i="1"/>
  <c r="BD338" i="1"/>
  <c r="BC338" i="1"/>
  <c r="AZ338" i="1"/>
  <c r="AS338" i="1"/>
  <c r="AR338" i="1"/>
  <c r="BD337" i="1"/>
  <c r="BC337" i="1"/>
  <c r="AZ337" i="1"/>
  <c r="AS337" i="1"/>
  <c r="AR337" i="1"/>
  <c r="BD336" i="1"/>
  <c r="BC336" i="1"/>
  <c r="AZ336" i="1"/>
  <c r="AS336" i="1"/>
  <c r="AW336" i="1" s="1"/>
  <c r="AR336" i="1"/>
  <c r="BD335" i="1"/>
  <c r="BC335" i="1"/>
  <c r="AZ335" i="1"/>
  <c r="AS335" i="1"/>
  <c r="AU335" i="1" s="1"/>
  <c r="AR335" i="1"/>
  <c r="BD334" i="1"/>
  <c r="BC334" i="1"/>
  <c r="AZ334" i="1"/>
  <c r="AS334" i="1"/>
  <c r="AR334" i="1"/>
  <c r="BD333" i="1"/>
  <c r="BC333" i="1"/>
  <c r="AZ333" i="1"/>
  <c r="AS333" i="1"/>
  <c r="AR333" i="1"/>
  <c r="BD332" i="1"/>
  <c r="BC332" i="1"/>
  <c r="BB332" i="1" s="1"/>
  <c r="AZ332" i="1"/>
  <c r="AS332" i="1"/>
  <c r="AW332" i="1" s="1"/>
  <c r="AR332" i="1"/>
  <c r="BD331" i="1"/>
  <c r="BC331" i="1"/>
  <c r="AZ331" i="1"/>
  <c r="AS331" i="1"/>
  <c r="AR331" i="1"/>
  <c r="BD330" i="1"/>
  <c r="BC330" i="1"/>
  <c r="BB330" i="1" s="1"/>
  <c r="AZ330" i="1"/>
  <c r="AS330" i="1"/>
  <c r="AR330" i="1"/>
  <c r="BD329" i="1"/>
  <c r="BC329" i="1"/>
  <c r="AZ329" i="1"/>
  <c r="AS329" i="1"/>
  <c r="AW329" i="1" s="1"/>
  <c r="AR329" i="1"/>
  <c r="BD328" i="1"/>
  <c r="BC328" i="1"/>
  <c r="BB328" i="1" s="1"/>
  <c r="AZ328" i="1"/>
  <c r="AS328" i="1"/>
  <c r="AV328" i="1" s="1"/>
  <c r="AR328" i="1"/>
  <c r="BD327" i="1"/>
  <c r="BC327" i="1"/>
  <c r="BB327" i="1" s="1"/>
  <c r="AZ327" i="1"/>
  <c r="AS327" i="1"/>
  <c r="AR327" i="1"/>
  <c r="BD326" i="1"/>
  <c r="BC326" i="1"/>
  <c r="BB326" i="1" s="1"/>
  <c r="AZ326" i="1"/>
  <c r="AS326" i="1"/>
  <c r="AW326" i="1" s="1"/>
  <c r="AR326" i="1"/>
  <c r="BD325" i="1"/>
  <c r="BC325" i="1"/>
  <c r="AZ325" i="1"/>
  <c r="AS325" i="1"/>
  <c r="AW325" i="1" s="1"/>
  <c r="AR325" i="1"/>
  <c r="BD324" i="1"/>
  <c r="BC324" i="1"/>
  <c r="BB324" i="1" s="1"/>
  <c r="AZ324" i="1"/>
  <c r="AS324" i="1"/>
  <c r="AW324" i="1" s="1"/>
  <c r="AR324" i="1"/>
  <c r="BD323" i="1"/>
  <c r="BC323" i="1"/>
  <c r="BB323" i="1" s="1"/>
  <c r="AZ323" i="1"/>
  <c r="AS323" i="1"/>
  <c r="AR323" i="1"/>
  <c r="BD322" i="1"/>
  <c r="BC322" i="1"/>
  <c r="BB322" i="1" s="1"/>
  <c r="AZ322" i="1"/>
  <c r="AS322" i="1"/>
  <c r="AW322" i="1" s="1"/>
  <c r="AR322" i="1"/>
  <c r="BD321" i="1"/>
  <c r="BC321" i="1"/>
  <c r="BB321" i="1" s="1"/>
  <c r="AZ321" i="1"/>
  <c r="AS321" i="1"/>
  <c r="AR321" i="1"/>
  <c r="BD320" i="1"/>
  <c r="BC320" i="1"/>
  <c r="AZ320" i="1"/>
  <c r="AS320" i="1"/>
  <c r="AR320" i="1"/>
  <c r="BC319" i="1"/>
  <c r="AZ319" i="1"/>
  <c r="AS319" i="1"/>
  <c r="AV319" i="1" s="1"/>
  <c r="AR319" i="1"/>
  <c r="BC318" i="1"/>
  <c r="AZ318" i="1"/>
  <c r="AS318" i="1"/>
  <c r="AU318" i="1" s="1"/>
  <c r="AR318" i="1"/>
  <c r="BC317" i="1"/>
  <c r="AZ317" i="1"/>
  <c r="AS317" i="1"/>
  <c r="AR317" i="1"/>
  <c r="BC316" i="1"/>
  <c r="AZ316" i="1"/>
  <c r="AS316" i="1"/>
  <c r="AV316" i="1" s="1"/>
  <c r="AR316" i="1"/>
  <c r="BC315" i="1"/>
  <c r="AZ315" i="1"/>
  <c r="AS315" i="1"/>
  <c r="AR315" i="1"/>
  <c r="BD314" i="1"/>
  <c r="BC314" i="1"/>
  <c r="AZ314" i="1"/>
  <c r="AS314" i="1"/>
  <c r="AU314" i="1" s="1"/>
  <c r="AR314" i="1"/>
  <c r="BD313" i="1"/>
  <c r="BC313" i="1"/>
  <c r="AZ313" i="1"/>
  <c r="AS313" i="1"/>
  <c r="AW313" i="1" s="1"/>
  <c r="AR313" i="1"/>
  <c r="BD312" i="1"/>
  <c r="BC312" i="1"/>
  <c r="AZ312" i="1"/>
  <c r="AS312" i="1"/>
  <c r="AR312" i="1"/>
  <c r="BD311" i="1"/>
  <c r="BC311" i="1"/>
  <c r="AZ311" i="1"/>
  <c r="AS311" i="1"/>
  <c r="AU311" i="1" s="1"/>
  <c r="AR311" i="1"/>
  <c r="BD310" i="1"/>
  <c r="BC310" i="1"/>
  <c r="AZ310" i="1"/>
  <c r="AS310" i="1"/>
  <c r="AW310" i="1" s="1"/>
  <c r="AR310" i="1"/>
  <c r="BD309" i="1"/>
  <c r="BC309" i="1"/>
  <c r="AZ309" i="1"/>
  <c r="AS309" i="1"/>
  <c r="AW309" i="1" s="1"/>
  <c r="AR309" i="1"/>
  <c r="BD308" i="1"/>
  <c r="BC308" i="1"/>
  <c r="AZ308" i="1"/>
  <c r="AS308" i="1"/>
  <c r="AV308" i="1" s="1"/>
  <c r="AR308" i="1"/>
  <c r="BD307" i="1"/>
  <c r="BC307" i="1"/>
  <c r="AZ307" i="1"/>
  <c r="AS307" i="1"/>
  <c r="AV307" i="1" s="1"/>
  <c r="AR307" i="1"/>
  <c r="BD306" i="1"/>
  <c r="BC306" i="1"/>
  <c r="AZ306" i="1"/>
  <c r="AS306" i="1"/>
  <c r="AU306" i="1" s="1"/>
  <c r="AR306" i="1"/>
  <c r="BD305" i="1"/>
  <c r="BC305" i="1"/>
  <c r="AZ305" i="1"/>
  <c r="AS305" i="1"/>
  <c r="AR305" i="1"/>
  <c r="BD304" i="1"/>
  <c r="BC304" i="1"/>
  <c r="AZ304" i="1"/>
  <c r="AS304" i="1"/>
  <c r="AR304" i="1"/>
  <c r="BD303" i="1"/>
  <c r="BC303" i="1"/>
  <c r="AZ303" i="1"/>
  <c r="AS303" i="1"/>
  <c r="AR303" i="1"/>
  <c r="BD302" i="1"/>
  <c r="BC302" i="1"/>
  <c r="AZ302" i="1"/>
  <c r="AS302" i="1"/>
  <c r="AU302" i="1" s="1"/>
  <c r="AR302" i="1"/>
  <c r="BD301" i="1"/>
  <c r="BC301" i="1"/>
  <c r="AZ301" i="1"/>
  <c r="AS301" i="1"/>
  <c r="AW301" i="1" s="1"/>
  <c r="AR301" i="1"/>
  <c r="BD300" i="1"/>
  <c r="BC300" i="1"/>
  <c r="AZ300" i="1"/>
  <c r="AS300" i="1"/>
  <c r="AV300" i="1" s="1"/>
  <c r="AR300" i="1"/>
  <c r="BD299" i="1"/>
  <c r="BC299" i="1"/>
  <c r="AZ299" i="1"/>
  <c r="AS299" i="1"/>
  <c r="AR299" i="1"/>
  <c r="BD298" i="1"/>
  <c r="BC298" i="1"/>
  <c r="AZ298" i="1"/>
  <c r="AS298" i="1"/>
  <c r="AW298" i="1" s="1"/>
  <c r="AR298" i="1"/>
  <c r="BD297" i="1"/>
  <c r="BC297" i="1"/>
  <c r="AZ297" i="1"/>
  <c r="AS297" i="1"/>
  <c r="AW297" i="1" s="1"/>
  <c r="AR297" i="1"/>
  <c r="BD296" i="1"/>
  <c r="BC296" i="1"/>
  <c r="AZ296" i="1"/>
  <c r="AS296" i="1"/>
  <c r="AW296" i="1" s="1"/>
  <c r="AR296" i="1"/>
  <c r="BD295" i="1"/>
  <c r="BC295" i="1"/>
  <c r="AZ295" i="1"/>
  <c r="AS295" i="1"/>
  <c r="AU295" i="1" s="1"/>
  <c r="AR295" i="1"/>
  <c r="BD294" i="1"/>
  <c r="BC294" i="1"/>
  <c r="AZ294" i="1"/>
  <c r="AS294" i="1"/>
  <c r="AR294" i="1"/>
  <c r="BD293" i="1"/>
  <c r="BC293" i="1"/>
  <c r="AZ293" i="1"/>
  <c r="AS293" i="1"/>
  <c r="AR293" i="1"/>
  <c r="BD292" i="1"/>
  <c r="BC292" i="1"/>
  <c r="AZ292" i="1"/>
  <c r="AS292" i="1"/>
  <c r="AV292" i="1" s="1"/>
  <c r="AR292" i="1"/>
  <c r="BD291" i="1"/>
  <c r="BC291" i="1"/>
  <c r="AZ291" i="1"/>
  <c r="AS291" i="1"/>
  <c r="AR291" i="1"/>
  <c r="BD290" i="1"/>
  <c r="BC290" i="1"/>
  <c r="AZ290" i="1"/>
  <c r="AS290" i="1"/>
  <c r="AR290" i="1"/>
  <c r="BD289" i="1"/>
  <c r="BC289" i="1"/>
  <c r="AZ289" i="1"/>
  <c r="AS289" i="1"/>
  <c r="AW289" i="1" s="1"/>
  <c r="AR289" i="1"/>
  <c r="BD288" i="1"/>
  <c r="BC288" i="1"/>
  <c r="AZ288" i="1"/>
  <c r="AS288" i="1"/>
  <c r="AR288" i="1"/>
  <c r="BD287" i="1"/>
  <c r="BC287" i="1"/>
  <c r="AZ287" i="1"/>
  <c r="AS287" i="1"/>
  <c r="AU287" i="1" s="1"/>
  <c r="AR287" i="1"/>
  <c r="BD286" i="1"/>
  <c r="BC286" i="1"/>
  <c r="AZ286" i="1"/>
  <c r="AS286" i="1"/>
  <c r="AU286" i="1" s="1"/>
  <c r="AR286" i="1"/>
  <c r="BD285" i="1"/>
  <c r="BC285" i="1"/>
  <c r="AZ285" i="1"/>
  <c r="AS285" i="1"/>
  <c r="AR285" i="1"/>
  <c r="BD284" i="1"/>
  <c r="BC284" i="1"/>
  <c r="AZ284" i="1"/>
  <c r="AS284" i="1"/>
  <c r="AV284" i="1" s="1"/>
  <c r="AR284" i="1"/>
  <c r="BD283" i="1"/>
  <c r="BC283" i="1"/>
  <c r="AZ283" i="1"/>
  <c r="AS283" i="1"/>
  <c r="AR283" i="1"/>
  <c r="BD282" i="1"/>
  <c r="BC282" i="1"/>
  <c r="AZ282" i="1"/>
  <c r="AS282" i="1"/>
  <c r="AR282" i="1"/>
  <c r="BD281" i="1"/>
  <c r="BC281" i="1"/>
  <c r="AZ281" i="1"/>
  <c r="AS281" i="1"/>
  <c r="AW281" i="1" s="1"/>
  <c r="AR281" i="1"/>
  <c r="BD280" i="1"/>
  <c r="BC280" i="1"/>
  <c r="AZ280" i="1"/>
  <c r="AS280" i="1"/>
  <c r="AW280" i="1" s="1"/>
  <c r="AR280" i="1"/>
  <c r="BD279" i="1"/>
  <c r="BC279" i="1"/>
  <c r="AZ279" i="1"/>
  <c r="AS279" i="1"/>
  <c r="AU279" i="1" s="1"/>
  <c r="AR279" i="1"/>
  <c r="BD278" i="1"/>
  <c r="BC278" i="1"/>
  <c r="AZ278" i="1"/>
  <c r="AS278" i="1"/>
  <c r="AW278" i="1" s="1"/>
  <c r="AR278" i="1"/>
  <c r="BD277" i="1"/>
  <c r="BC277" i="1"/>
  <c r="AZ277" i="1"/>
  <c r="AS277" i="1"/>
  <c r="AR277" i="1"/>
  <c r="BD276" i="1"/>
  <c r="BC276" i="1"/>
  <c r="AZ276" i="1"/>
  <c r="AS276" i="1"/>
  <c r="AV276" i="1" s="1"/>
  <c r="AR276" i="1"/>
  <c r="BD275" i="1"/>
  <c r="BC275" i="1"/>
  <c r="AZ275" i="1"/>
  <c r="AS275" i="1"/>
  <c r="AU275" i="1" s="1"/>
  <c r="AR275" i="1"/>
  <c r="BD274" i="1"/>
  <c r="BC274" i="1"/>
  <c r="AZ274" i="1"/>
  <c r="AS274" i="1"/>
  <c r="AV274" i="1" s="1"/>
  <c r="AR274" i="1"/>
  <c r="BD273" i="1"/>
  <c r="BC273" i="1"/>
  <c r="AZ273" i="1"/>
  <c r="AS273" i="1"/>
  <c r="AR273" i="1"/>
  <c r="BD272" i="1"/>
  <c r="BC272" i="1"/>
  <c r="AZ272" i="1"/>
  <c r="AS272" i="1"/>
  <c r="AV272" i="1" s="1"/>
  <c r="AR272" i="1"/>
  <c r="BD271" i="1"/>
  <c r="BC271" i="1"/>
  <c r="AZ271" i="1"/>
  <c r="AS271" i="1"/>
  <c r="AU271" i="1" s="1"/>
  <c r="AR271" i="1"/>
  <c r="BD270" i="1"/>
  <c r="BC270" i="1"/>
  <c r="AZ270" i="1"/>
  <c r="AS270" i="1"/>
  <c r="AR270" i="1"/>
  <c r="BD269" i="1"/>
  <c r="BC269" i="1"/>
  <c r="AZ269" i="1"/>
  <c r="AS269" i="1"/>
  <c r="AW269" i="1" s="1"/>
  <c r="AR269" i="1"/>
  <c r="BD268" i="1"/>
  <c r="BC268" i="1"/>
  <c r="AZ268" i="1"/>
  <c r="AS268" i="1"/>
  <c r="AW268" i="1" s="1"/>
  <c r="AR268" i="1"/>
  <c r="BD267" i="1"/>
  <c r="BC267" i="1"/>
  <c r="AZ267" i="1"/>
  <c r="AS267" i="1"/>
  <c r="AW267" i="1" s="1"/>
  <c r="AR267" i="1"/>
  <c r="BD266" i="1"/>
  <c r="BC266" i="1"/>
  <c r="AZ266" i="1"/>
  <c r="AS266" i="1"/>
  <c r="AW266" i="1" s="1"/>
  <c r="AR266" i="1"/>
  <c r="BD265" i="1"/>
  <c r="BC265" i="1"/>
  <c r="AZ265" i="1"/>
  <c r="AS265" i="1"/>
  <c r="AR265" i="1"/>
  <c r="BD264" i="1"/>
  <c r="BC264" i="1"/>
  <c r="AZ264" i="1"/>
  <c r="AS264" i="1"/>
  <c r="AR264" i="1"/>
  <c r="BD263" i="1"/>
  <c r="BC263" i="1"/>
  <c r="AZ263" i="1"/>
  <c r="AS263" i="1"/>
  <c r="AW263" i="1" s="1"/>
  <c r="AR263" i="1"/>
  <c r="BD262" i="1"/>
  <c r="BC262" i="1"/>
  <c r="AZ262" i="1"/>
  <c r="AS262" i="1"/>
  <c r="AR262" i="1"/>
  <c r="BD261" i="1"/>
  <c r="BC261" i="1"/>
  <c r="AZ261" i="1"/>
  <c r="AS261" i="1"/>
  <c r="AU261" i="1" s="1"/>
  <c r="AR261" i="1"/>
  <c r="BD260" i="1"/>
  <c r="BC260" i="1"/>
  <c r="AZ260" i="1"/>
  <c r="AS260" i="1"/>
  <c r="AW260" i="1" s="1"/>
  <c r="AR260" i="1"/>
  <c r="BD259" i="1"/>
  <c r="BC259" i="1"/>
  <c r="AZ259" i="1"/>
  <c r="AS259" i="1"/>
  <c r="AR259" i="1"/>
  <c r="BD258" i="1"/>
  <c r="BC258" i="1"/>
  <c r="AZ258" i="1"/>
  <c r="AS258" i="1"/>
  <c r="AW258" i="1" s="1"/>
  <c r="AR258" i="1"/>
  <c r="BD257" i="1"/>
  <c r="BC257" i="1"/>
  <c r="AZ257" i="1"/>
  <c r="AS257" i="1"/>
  <c r="AW257" i="1" s="1"/>
  <c r="AR257" i="1"/>
  <c r="BD256" i="1"/>
  <c r="BC256" i="1"/>
  <c r="AZ256" i="1"/>
  <c r="AS256" i="1"/>
  <c r="AW256" i="1" s="1"/>
  <c r="AR256" i="1"/>
  <c r="BD255" i="1"/>
  <c r="BC255" i="1"/>
  <c r="AZ255" i="1"/>
  <c r="AS255" i="1"/>
  <c r="AR255" i="1"/>
  <c r="BD254" i="1"/>
  <c r="BC254" i="1"/>
  <c r="AZ254" i="1"/>
  <c r="AS254" i="1"/>
  <c r="AR254" i="1"/>
  <c r="BD253" i="1"/>
  <c r="BC253" i="1"/>
  <c r="AZ253" i="1"/>
  <c r="AS253" i="1"/>
  <c r="AU253" i="1" s="1"/>
  <c r="AR253" i="1"/>
  <c r="BD252" i="1"/>
  <c r="BC252" i="1"/>
  <c r="AZ252" i="1"/>
  <c r="AS252" i="1"/>
  <c r="AW252" i="1" s="1"/>
  <c r="AR252" i="1"/>
  <c r="BD251" i="1"/>
  <c r="BC251" i="1"/>
  <c r="AZ251" i="1"/>
  <c r="AS251" i="1"/>
  <c r="AW251" i="1" s="1"/>
  <c r="AR251" i="1"/>
  <c r="BD250" i="1"/>
  <c r="BC250" i="1"/>
  <c r="AZ250" i="1"/>
  <c r="AS250" i="1"/>
  <c r="AR250" i="1"/>
  <c r="BD249" i="1"/>
  <c r="BC249" i="1"/>
  <c r="AZ249" i="1"/>
  <c r="AS249" i="1"/>
  <c r="AW249" i="1" s="1"/>
  <c r="AR249" i="1"/>
  <c r="BD248" i="1"/>
  <c r="BC248" i="1"/>
  <c r="AZ248" i="1"/>
  <c r="AS248" i="1"/>
  <c r="AW248" i="1" s="1"/>
  <c r="AR248" i="1"/>
  <c r="BD247" i="1"/>
  <c r="BC247" i="1"/>
  <c r="AZ247" i="1"/>
  <c r="AS247" i="1"/>
  <c r="AW247" i="1" s="1"/>
  <c r="AR247" i="1"/>
  <c r="BD246" i="1"/>
  <c r="BC246" i="1"/>
  <c r="AZ246" i="1"/>
  <c r="AS246" i="1"/>
  <c r="AR246" i="1"/>
  <c r="BD245" i="1"/>
  <c r="BC245" i="1"/>
  <c r="AZ245" i="1"/>
  <c r="AS245" i="1"/>
  <c r="AR245" i="1"/>
  <c r="BD244" i="1"/>
  <c r="BC244" i="1"/>
  <c r="AZ244" i="1"/>
  <c r="AS244" i="1"/>
  <c r="AW244" i="1" s="1"/>
  <c r="AR244" i="1"/>
  <c r="BD243" i="1"/>
  <c r="BC243" i="1"/>
  <c r="AZ243" i="1"/>
  <c r="AS243" i="1"/>
  <c r="AR243" i="1"/>
  <c r="BD242" i="1"/>
  <c r="BC242" i="1"/>
  <c r="AZ242" i="1"/>
  <c r="AS242" i="1"/>
  <c r="AR242" i="1"/>
  <c r="BD241" i="1"/>
  <c r="BC241" i="1"/>
  <c r="AZ241" i="1"/>
  <c r="AS241" i="1"/>
  <c r="AR241" i="1"/>
  <c r="BD240" i="1"/>
  <c r="BC240" i="1"/>
  <c r="AZ240" i="1"/>
  <c r="AS240" i="1"/>
  <c r="AR240" i="1"/>
  <c r="BD239" i="1"/>
  <c r="BC239" i="1"/>
  <c r="AZ239" i="1"/>
  <c r="AS239" i="1"/>
  <c r="AR239" i="1"/>
  <c r="BD238" i="1"/>
  <c r="BC238" i="1"/>
  <c r="AZ238" i="1"/>
  <c r="AS238" i="1"/>
  <c r="AR238" i="1"/>
  <c r="BD237" i="1"/>
  <c r="BC237" i="1"/>
  <c r="AZ237" i="1"/>
  <c r="AS237" i="1"/>
  <c r="AU237" i="1" s="1"/>
  <c r="AR237" i="1"/>
  <c r="BD236" i="1"/>
  <c r="BC236" i="1"/>
  <c r="AZ236" i="1"/>
  <c r="AS236" i="1"/>
  <c r="AW236" i="1" s="1"/>
  <c r="AR236" i="1"/>
  <c r="BD235" i="1"/>
  <c r="BC235" i="1"/>
  <c r="AZ235" i="1"/>
  <c r="AS235" i="1"/>
  <c r="AW235" i="1" s="1"/>
  <c r="AR235" i="1"/>
  <c r="BD234" i="1"/>
  <c r="BC234" i="1"/>
  <c r="AZ234" i="1"/>
  <c r="AS234" i="1"/>
  <c r="AR234" i="1"/>
  <c r="BD233" i="1"/>
  <c r="BC233" i="1"/>
  <c r="AZ233" i="1"/>
  <c r="AS233" i="1"/>
  <c r="AR233" i="1"/>
  <c r="BD232" i="1"/>
  <c r="BC232" i="1"/>
  <c r="AZ232" i="1"/>
  <c r="AS232" i="1"/>
  <c r="AR232" i="1"/>
  <c r="BD231" i="1"/>
  <c r="BC231" i="1"/>
  <c r="AZ231" i="1"/>
  <c r="AS231" i="1"/>
  <c r="AW231" i="1" s="1"/>
  <c r="AR231" i="1"/>
  <c r="BD230" i="1"/>
  <c r="BC230" i="1"/>
  <c r="AZ230" i="1"/>
  <c r="AS230" i="1"/>
  <c r="AV230" i="1" s="1"/>
  <c r="AR230" i="1"/>
  <c r="BD229" i="1"/>
  <c r="BC229" i="1"/>
  <c r="AZ229" i="1"/>
  <c r="AS229" i="1"/>
  <c r="AR229" i="1"/>
  <c r="BD228" i="1"/>
  <c r="BC228" i="1"/>
  <c r="AZ228" i="1"/>
  <c r="AS228" i="1"/>
  <c r="AR228" i="1"/>
  <c r="BD227" i="1"/>
  <c r="BC227" i="1"/>
  <c r="AZ227" i="1"/>
  <c r="AS227" i="1"/>
  <c r="AV227" i="1" s="1"/>
  <c r="AR227" i="1"/>
  <c r="BD226" i="1"/>
  <c r="BC226" i="1"/>
  <c r="AZ226" i="1"/>
  <c r="AS226" i="1"/>
  <c r="AV226" i="1" s="1"/>
  <c r="AR226" i="1"/>
  <c r="BD225" i="1"/>
  <c r="BC225" i="1"/>
  <c r="AZ225" i="1"/>
  <c r="AS225" i="1"/>
  <c r="AW225" i="1" s="1"/>
  <c r="AR225" i="1"/>
  <c r="BD224" i="1"/>
  <c r="BC224" i="1"/>
  <c r="AZ224" i="1"/>
  <c r="AS224" i="1"/>
  <c r="AW224" i="1" s="1"/>
  <c r="AR224" i="1"/>
  <c r="BD223" i="1"/>
  <c r="BC223" i="1"/>
  <c r="AZ223" i="1"/>
  <c r="AS223" i="1"/>
  <c r="AW223" i="1" s="1"/>
  <c r="AR223" i="1"/>
  <c r="BD222" i="1"/>
  <c r="BC222" i="1"/>
  <c r="AZ222" i="1"/>
  <c r="AS222" i="1"/>
  <c r="AV222" i="1" s="1"/>
  <c r="AR222" i="1"/>
  <c r="BD221" i="1"/>
  <c r="BC221" i="1"/>
  <c r="AZ221" i="1"/>
  <c r="AS221" i="1"/>
  <c r="AR221" i="1"/>
  <c r="BD220" i="1"/>
  <c r="BC220" i="1"/>
  <c r="AZ220" i="1"/>
  <c r="AS220" i="1"/>
  <c r="AW220" i="1" s="1"/>
  <c r="AR220" i="1"/>
  <c r="BD219" i="1"/>
  <c r="BC219" i="1"/>
  <c r="AZ219" i="1"/>
  <c r="AS219" i="1"/>
  <c r="AV219" i="1" s="1"/>
  <c r="AR219" i="1"/>
  <c r="BC218" i="1"/>
  <c r="AZ218" i="1"/>
  <c r="AS218" i="1"/>
  <c r="AR218" i="1"/>
  <c r="BC217" i="1"/>
  <c r="AZ217" i="1"/>
  <c r="AS217" i="1"/>
  <c r="AR217" i="1"/>
  <c r="BC216" i="1"/>
  <c r="AZ216" i="1"/>
  <c r="AS216" i="1"/>
  <c r="AU216" i="1" s="1"/>
  <c r="AR216" i="1"/>
  <c r="BC215" i="1"/>
  <c r="AZ215" i="1"/>
  <c r="AS215" i="1"/>
  <c r="AR215" i="1"/>
  <c r="BD214" i="1"/>
  <c r="BC214" i="1"/>
  <c r="AZ214" i="1"/>
  <c r="AS214" i="1"/>
  <c r="AU214" i="1" s="1"/>
  <c r="AR214" i="1"/>
  <c r="BD213" i="1"/>
  <c r="BC213" i="1"/>
  <c r="AZ213" i="1"/>
  <c r="AS213" i="1"/>
  <c r="AU213" i="1" s="1"/>
  <c r="AR213" i="1"/>
  <c r="BD212" i="1"/>
  <c r="BC212" i="1"/>
  <c r="AZ212" i="1"/>
  <c r="AS212" i="1"/>
  <c r="AV212" i="1" s="1"/>
  <c r="AR212" i="1"/>
  <c r="BD211" i="1"/>
  <c r="BC211" i="1"/>
  <c r="AZ211" i="1"/>
  <c r="AS211" i="1"/>
  <c r="AW211" i="1" s="1"/>
  <c r="AR211" i="1"/>
  <c r="BD210" i="1"/>
  <c r="BC210" i="1"/>
  <c r="AZ210" i="1"/>
  <c r="AS210" i="1"/>
  <c r="AV210" i="1" s="1"/>
  <c r="AR210" i="1"/>
  <c r="BD209" i="1"/>
  <c r="BC209" i="1"/>
  <c r="AZ209" i="1"/>
  <c r="AS209" i="1"/>
  <c r="AW209" i="1" s="1"/>
  <c r="AR209" i="1"/>
  <c r="BD208" i="1"/>
  <c r="BC208" i="1"/>
  <c r="AZ208" i="1"/>
  <c r="AS208" i="1"/>
  <c r="AR208" i="1"/>
  <c r="BD207" i="1"/>
  <c r="BC207" i="1"/>
  <c r="AZ207" i="1"/>
  <c r="AS207" i="1"/>
  <c r="AW207" i="1" s="1"/>
  <c r="AR207" i="1"/>
  <c r="BD206" i="1"/>
  <c r="BC206" i="1"/>
  <c r="AZ206" i="1"/>
  <c r="AS206" i="1"/>
  <c r="AR206" i="1"/>
  <c r="BD205" i="1"/>
  <c r="BC205" i="1"/>
  <c r="AZ205" i="1"/>
  <c r="AS205" i="1"/>
  <c r="AU205" i="1" s="1"/>
  <c r="AR205" i="1"/>
  <c r="BD204" i="1"/>
  <c r="BC204" i="1"/>
  <c r="AZ204" i="1"/>
  <c r="AS204" i="1"/>
  <c r="AR204" i="1"/>
  <c r="BD203" i="1"/>
  <c r="BC203" i="1"/>
  <c r="AZ203" i="1"/>
  <c r="AS203" i="1"/>
  <c r="AV203" i="1" s="1"/>
  <c r="AR203" i="1"/>
  <c r="BD202" i="1"/>
  <c r="BC202" i="1"/>
  <c r="AZ202" i="1"/>
  <c r="AS202" i="1"/>
  <c r="AR202" i="1"/>
  <c r="BD201" i="1"/>
  <c r="BC201" i="1"/>
  <c r="AZ201" i="1"/>
  <c r="AS201" i="1"/>
  <c r="AR201" i="1"/>
  <c r="BD200" i="1"/>
  <c r="BC200" i="1"/>
  <c r="AZ200" i="1"/>
  <c r="AS200" i="1"/>
  <c r="AV200" i="1" s="1"/>
  <c r="AR200" i="1"/>
  <c r="BC199" i="1"/>
  <c r="AZ199" i="1"/>
  <c r="AS199" i="1"/>
  <c r="AV199" i="1" s="1"/>
  <c r="AR199" i="1"/>
  <c r="BC198" i="1"/>
  <c r="AZ198" i="1"/>
  <c r="AS198" i="1"/>
  <c r="AR198" i="1"/>
  <c r="BC197" i="1"/>
  <c r="AZ197" i="1"/>
  <c r="AS197" i="1"/>
  <c r="AU197" i="1" s="1"/>
  <c r="AR197" i="1"/>
  <c r="BC196" i="1"/>
  <c r="AZ196" i="1"/>
  <c r="AS196" i="1"/>
  <c r="AR196" i="1"/>
  <c r="BD195" i="1"/>
  <c r="BC195" i="1"/>
  <c r="AZ195" i="1"/>
  <c r="AS195" i="1"/>
  <c r="AR195" i="1"/>
  <c r="BD194" i="1"/>
  <c r="BC194" i="1"/>
  <c r="AZ194" i="1"/>
  <c r="AS194" i="1"/>
  <c r="AU194" i="1" s="1"/>
  <c r="AR194" i="1"/>
  <c r="BD193" i="1"/>
  <c r="BC193" i="1"/>
  <c r="AZ193" i="1"/>
  <c r="AS193" i="1"/>
  <c r="AR193" i="1"/>
  <c r="BD192" i="1"/>
  <c r="BC192" i="1"/>
  <c r="AZ192" i="1"/>
  <c r="AS192" i="1"/>
  <c r="AU192" i="1" s="1"/>
  <c r="AR192" i="1"/>
  <c r="BD191" i="1"/>
  <c r="BC191" i="1"/>
  <c r="AZ191" i="1"/>
  <c r="AS191" i="1"/>
  <c r="AW191" i="1" s="1"/>
  <c r="AR191" i="1"/>
  <c r="BD190" i="1"/>
  <c r="BC190" i="1"/>
  <c r="AZ190" i="1"/>
  <c r="AS190" i="1"/>
  <c r="AR190" i="1"/>
  <c r="BD189" i="1"/>
  <c r="BC189" i="1"/>
  <c r="AZ189" i="1"/>
  <c r="AS189" i="1"/>
  <c r="AR189" i="1"/>
  <c r="BD188" i="1"/>
  <c r="BC188" i="1"/>
  <c r="AZ188" i="1"/>
  <c r="AS188" i="1"/>
  <c r="AU188" i="1" s="1"/>
  <c r="AR188" i="1"/>
  <c r="BD187" i="1"/>
  <c r="BC187" i="1"/>
  <c r="AZ187" i="1"/>
  <c r="AS187" i="1"/>
  <c r="AW187" i="1" s="1"/>
  <c r="AR187" i="1"/>
  <c r="BD186" i="1"/>
  <c r="BC186" i="1"/>
  <c r="AZ186" i="1"/>
  <c r="AS186" i="1"/>
  <c r="AU186" i="1" s="1"/>
  <c r="AR186" i="1"/>
  <c r="BD185" i="1"/>
  <c r="BC185" i="1"/>
  <c r="AZ185" i="1"/>
  <c r="AS185" i="1"/>
  <c r="AR185" i="1"/>
  <c r="BD184" i="1"/>
  <c r="BC184" i="1"/>
  <c r="AZ184" i="1"/>
  <c r="AS184" i="1"/>
  <c r="AU184" i="1" s="1"/>
  <c r="AR184" i="1"/>
  <c r="BD183" i="1"/>
  <c r="BC183" i="1"/>
  <c r="AZ183" i="1"/>
  <c r="AS183" i="1"/>
  <c r="AR183" i="1"/>
  <c r="BD182" i="1"/>
  <c r="BC182" i="1"/>
  <c r="AZ182" i="1"/>
  <c r="AS182" i="1"/>
  <c r="AR182" i="1"/>
  <c r="BD181" i="1"/>
  <c r="BC181" i="1"/>
  <c r="AZ181" i="1"/>
  <c r="AS181" i="1"/>
  <c r="AW181" i="1" s="1"/>
  <c r="AR181" i="1"/>
  <c r="BD180" i="1"/>
  <c r="BC180" i="1"/>
  <c r="AZ180" i="1"/>
  <c r="AS180" i="1"/>
  <c r="AU180" i="1" s="1"/>
  <c r="AR180" i="1"/>
  <c r="BD179" i="1"/>
  <c r="BC179" i="1"/>
  <c r="AZ179" i="1"/>
  <c r="AS179" i="1"/>
  <c r="AW179" i="1" s="1"/>
  <c r="AR179" i="1"/>
  <c r="BD178" i="1"/>
  <c r="BC178" i="1"/>
  <c r="AZ178" i="1"/>
  <c r="AS178" i="1"/>
  <c r="AU178" i="1" s="1"/>
  <c r="AR178" i="1"/>
  <c r="BD177" i="1"/>
  <c r="BC177" i="1"/>
  <c r="AZ177" i="1"/>
  <c r="AS177" i="1"/>
  <c r="AR177" i="1"/>
  <c r="BD176" i="1"/>
  <c r="BC176" i="1"/>
  <c r="AZ176" i="1"/>
  <c r="AS176" i="1"/>
  <c r="AU176" i="1" s="1"/>
  <c r="AR176" i="1"/>
  <c r="BD175" i="1"/>
  <c r="BC175" i="1"/>
  <c r="AZ175" i="1"/>
  <c r="AS175" i="1"/>
  <c r="AR175" i="1"/>
  <c r="BD174" i="1"/>
  <c r="BC174" i="1"/>
  <c r="AZ174" i="1"/>
  <c r="AS174" i="1"/>
  <c r="AR174" i="1"/>
  <c r="BD173" i="1"/>
  <c r="BC173" i="1"/>
  <c r="AZ173" i="1"/>
  <c r="AS173" i="1"/>
  <c r="AV173" i="1" s="1"/>
  <c r="AR173" i="1"/>
  <c r="BD172" i="1"/>
  <c r="BC172" i="1"/>
  <c r="AZ172" i="1"/>
  <c r="AS172" i="1"/>
  <c r="AU172" i="1" s="1"/>
  <c r="AR172" i="1"/>
  <c r="BD171" i="1"/>
  <c r="BC171" i="1"/>
  <c r="AZ171" i="1"/>
  <c r="AS171" i="1"/>
  <c r="AW171" i="1" s="1"/>
  <c r="AR171" i="1"/>
  <c r="BD170" i="1"/>
  <c r="BC170" i="1"/>
  <c r="AZ170" i="1"/>
  <c r="AS170" i="1"/>
  <c r="AU170" i="1" s="1"/>
  <c r="AR170" i="1"/>
  <c r="BD169" i="1"/>
  <c r="BC169" i="1"/>
  <c r="AZ169" i="1"/>
  <c r="AS169" i="1"/>
  <c r="AR169" i="1"/>
  <c r="BD168" i="1"/>
  <c r="BC168" i="1"/>
  <c r="AZ168" i="1"/>
  <c r="AS168" i="1"/>
  <c r="AW168" i="1" s="1"/>
  <c r="AR168" i="1"/>
  <c r="BD167" i="1"/>
  <c r="BC167" i="1"/>
  <c r="AZ167" i="1"/>
  <c r="AS167" i="1"/>
  <c r="AW167" i="1" s="1"/>
  <c r="AR167" i="1"/>
  <c r="BD166" i="1"/>
  <c r="BC166" i="1"/>
  <c r="AZ166" i="1"/>
  <c r="AS166" i="1"/>
  <c r="AU166" i="1" s="1"/>
  <c r="AR166" i="1"/>
  <c r="BD165" i="1"/>
  <c r="BC165" i="1"/>
  <c r="AZ165" i="1"/>
  <c r="AS165" i="1"/>
  <c r="AR165" i="1"/>
  <c r="BD164" i="1"/>
  <c r="BC164" i="1"/>
  <c r="AZ164" i="1"/>
  <c r="AS164" i="1"/>
  <c r="AU164" i="1" s="1"/>
  <c r="AR164" i="1"/>
  <c r="BD163" i="1"/>
  <c r="BC163" i="1"/>
  <c r="AZ163" i="1"/>
  <c r="AS163" i="1"/>
  <c r="AW163" i="1" s="1"/>
  <c r="AR163" i="1"/>
  <c r="BD162" i="1"/>
  <c r="BC162" i="1"/>
  <c r="AZ162" i="1"/>
  <c r="AS162" i="1"/>
  <c r="AU162" i="1" s="1"/>
  <c r="AR162" i="1"/>
  <c r="BD161" i="1"/>
  <c r="BC161" i="1"/>
  <c r="AZ161" i="1"/>
  <c r="AS161" i="1"/>
  <c r="AR161" i="1"/>
  <c r="BD160" i="1"/>
  <c r="BC160" i="1"/>
  <c r="AZ160" i="1"/>
  <c r="AS160" i="1"/>
  <c r="AW160" i="1" s="1"/>
  <c r="AR160" i="1"/>
  <c r="BD159" i="1"/>
  <c r="BC159" i="1"/>
  <c r="AZ159" i="1"/>
  <c r="AS159" i="1"/>
  <c r="AV159" i="1" s="1"/>
  <c r="AR159" i="1"/>
  <c r="BD158" i="1"/>
  <c r="BC158" i="1"/>
  <c r="AZ158" i="1"/>
  <c r="AS158" i="1"/>
  <c r="AU158" i="1" s="1"/>
  <c r="AR158" i="1"/>
  <c r="BD157" i="1"/>
  <c r="BC157" i="1"/>
  <c r="AZ157" i="1"/>
  <c r="AS157" i="1"/>
  <c r="AW157" i="1" s="1"/>
  <c r="AR157" i="1"/>
  <c r="BD156" i="1"/>
  <c r="BC156" i="1"/>
  <c r="AZ156" i="1"/>
  <c r="AS156" i="1"/>
  <c r="AR156" i="1"/>
  <c r="BD155" i="1"/>
  <c r="BC155" i="1"/>
  <c r="AZ155" i="1"/>
  <c r="AS155" i="1"/>
  <c r="AW155" i="1" s="1"/>
  <c r="AR155" i="1"/>
  <c r="BD154" i="1"/>
  <c r="BC154" i="1"/>
  <c r="AZ154" i="1"/>
  <c r="AS154" i="1"/>
  <c r="AU154" i="1" s="1"/>
  <c r="AR154" i="1"/>
  <c r="BD153" i="1"/>
  <c r="BC153" i="1"/>
  <c r="AZ153" i="1"/>
  <c r="AS153" i="1"/>
  <c r="AW153" i="1" s="1"/>
  <c r="AR153" i="1"/>
  <c r="BD152" i="1"/>
  <c r="BC152" i="1"/>
  <c r="AZ152" i="1"/>
  <c r="AS152" i="1"/>
  <c r="AW152" i="1" s="1"/>
  <c r="AR152" i="1"/>
  <c r="BD151" i="1"/>
  <c r="BC151" i="1"/>
  <c r="AZ151" i="1"/>
  <c r="AS151" i="1"/>
  <c r="AR151" i="1"/>
  <c r="BD150" i="1"/>
  <c r="BC150" i="1"/>
  <c r="AZ150" i="1"/>
  <c r="AS150" i="1"/>
  <c r="AR150" i="1"/>
  <c r="BD149" i="1"/>
  <c r="BC149" i="1"/>
  <c r="AZ149" i="1"/>
  <c r="AS149" i="1"/>
  <c r="AR149" i="1"/>
  <c r="BD148" i="1"/>
  <c r="BC148" i="1"/>
  <c r="AZ148" i="1"/>
  <c r="AS148" i="1"/>
  <c r="AU148" i="1" s="1"/>
  <c r="AR148" i="1"/>
  <c r="BD147" i="1"/>
  <c r="BC147" i="1"/>
  <c r="AZ147" i="1"/>
  <c r="AS147" i="1"/>
  <c r="AW147" i="1" s="1"/>
  <c r="AR147" i="1"/>
  <c r="BD146" i="1"/>
  <c r="BC146" i="1"/>
  <c r="AZ146" i="1"/>
  <c r="AS146" i="1"/>
  <c r="AU146" i="1" s="1"/>
  <c r="AR146" i="1"/>
  <c r="BD145" i="1"/>
  <c r="BC145" i="1"/>
  <c r="AZ145" i="1"/>
  <c r="AS145" i="1"/>
  <c r="AR145" i="1"/>
  <c r="BD144" i="1"/>
  <c r="BC144" i="1"/>
  <c r="AZ144" i="1"/>
  <c r="AS144" i="1"/>
  <c r="AV144" i="1" s="1"/>
  <c r="AR144" i="1"/>
  <c r="BD143" i="1"/>
  <c r="BC143" i="1"/>
  <c r="AZ143" i="1"/>
  <c r="AS143" i="1"/>
  <c r="AU143" i="1" s="1"/>
  <c r="AR143" i="1"/>
  <c r="BD142" i="1"/>
  <c r="BC142" i="1"/>
  <c r="AZ142" i="1"/>
  <c r="AS142" i="1"/>
  <c r="AU142" i="1" s="1"/>
  <c r="AR142" i="1"/>
  <c r="BD141" i="1"/>
  <c r="BC141" i="1"/>
  <c r="AZ141" i="1"/>
  <c r="AS141" i="1"/>
  <c r="AW141" i="1" s="1"/>
  <c r="AR141" i="1"/>
  <c r="BD140" i="1"/>
  <c r="BC140" i="1"/>
  <c r="AZ140" i="1"/>
  <c r="AS140" i="1"/>
  <c r="AU140" i="1" s="1"/>
  <c r="AR140" i="1"/>
  <c r="BD139" i="1"/>
  <c r="BC139" i="1"/>
  <c r="AZ139" i="1"/>
  <c r="AS139" i="1"/>
  <c r="AW139" i="1" s="1"/>
  <c r="AR139" i="1"/>
  <c r="BD138" i="1"/>
  <c r="BC138" i="1"/>
  <c r="AZ138" i="1"/>
  <c r="AS138" i="1"/>
  <c r="AU138" i="1" s="1"/>
  <c r="AR138" i="1"/>
  <c r="BD137" i="1"/>
  <c r="BC137" i="1"/>
  <c r="AZ137" i="1"/>
  <c r="AS137" i="1"/>
  <c r="AW137" i="1" s="1"/>
  <c r="AR137" i="1"/>
  <c r="BD136" i="1"/>
  <c r="BC136" i="1"/>
  <c r="AZ136" i="1"/>
  <c r="AS136" i="1"/>
  <c r="AU136" i="1" s="1"/>
  <c r="AR136" i="1"/>
  <c r="BD135" i="1"/>
  <c r="BC135" i="1"/>
  <c r="AZ135" i="1"/>
  <c r="AS135" i="1"/>
  <c r="AR135" i="1"/>
  <c r="BD134" i="1"/>
  <c r="BC134" i="1"/>
  <c r="AZ134" i="1"/>
  <c r="AS134" i="1"/>
  <c r="AW134" i="1" s="1"/>
  <c r="AR134" i="1"/>
  <c r="BD133" i="1"/>
  <c r="BC133" i="1"/>
  <c r="AZ133" i="1"/>
  <c r="AS133" i="1"/>
  <c r="AR133" i="1"/>
  <c r="BD132" i="1"/>
  <c r="BC132" i="1"/>
  <c r="AZ132" i="1"/>
  <c r="AS132" i="1"/>
  <c r="AV132" i="1" s="1"/>
  <c r="AR132" i="1"/>
  <c r="BD131" i="1"/>
  <c r="BC131" i="1"/>
  <c r="AZ131" i="1"/>
  <c r="AS131" i="1"/>
  <c r="AU131" i="1" s="1"/>
  <c r="AR131" i="1"/>
  <c r="BD130" i="1"/>
  <c r="BC130" i="1"/>
  <c r="AZ130" i="1"/>
  <c r="AS130" i="1"/>
  <c r="AU130" i="1" s="1"/>
  <c r="AR130" i="1"/>
  <c r="BD129" i="1"/>
  <c r="BC129" i="1"/>
  <c r="AZ129" i="1"/>
  <c r="AS129" i="1"/>
  <c r="AV129" i="1" s="1"/>
  <c r="AR129" i="1"/>
  <c r="BD128" i="1"/>
  <c r="BC128" i="1"/>
  <c r="AZ128" i="1"/>
  <c r="AS128" i="1"/>
  <c r="AW128" i="1" s="1"/>
  <c r="AR128" i="1"/>
  <c r="BC127" i="1"/>
  <c r="AZ127" i="1"/>
  <c r="AS127" i="1"/>
  <c r="AU127" i="1" s="1"/>
  <c r="AR127" i="1"/>
  <c r="BC126" i="1"/>
  <c r="AZ126" i="1"/>
  <c r="AS126" i="1"/>
  <c r="AW126" i="1" s="1"/>
  <c r="AR126" i="1"/>
  <c r="BC125" i="1"/>
  <c r="AZ125" i="1"/>
  <c r="AS125" i="1"/>
  <c r="AU125" i="1" s="1"/>
  <c r="AR125" i="1"/>
  <c r="BC124" i="1"/>
  <c r="AZ124" i="1"/>
  <c r="AS124" i="1"/>
  <c r="AR124" i="1"/>
  <c r="BC123" i="1"/>
  <c r="AZ123" i="1"/>
  <c r="AS123" i="1"/>
  <c r="AV123" i="1" s="1"/>
  <c r="AR123" i="1"/>
  <c r="BD122" i="1"/>
  <c r="BC122" i="1"/>
  <c r="AZ122" i="1"/>
  <c r="AS122" i="1"/>
  <c r="AU122" i="1" s="1"/>
  <c r="AR122" i="1"/>
  <c r="BD121" i="1"/>
  <c r="BC121" i="1"/>
  <c r="AZ121" i="1"/>
  <c r="AS121" i="1"/>
  <c r="AV121" i="1" s="1"/>
  <c r="AR121" i="1"/>
  <c r="BD120" i="1"/>
  <c r="BC120" i="1"/>
  <c r="AZ120" i="1"/>
  <c r="AS120" i="1"/>
  <c r="AV120" i="1" s="1"/>
  <c r="AR120" i="1"/>
  <c r="BD119" i="1"/>
  <c r="BC119" i="1"/>
  <c r="AZ119" i="1"/>
  <c r="AS119" i="1"/>
  <c r="AU119" i="1" s="1"/>
  <c r="AR119" i="1"/>
  <c r="BD118" i="1"/>
  <c r="BC118" i="1"/>
  <c r="AZ118" i="1"/>
  <c r="AS118" i="1"/>
  <c r="AW118" i="1" s="1"/>
  <c r="AR118" i="1"/>
  <c r="BD117" i="1"/>
  <c r="BC117" i="1"/>
  <c r="AZ117" i="1"/>
  <c r="AS117" i="1"/>
  <c r="AU117" i="1" s="1"/>
  <c r="AR117" i="1"/>
  <c r="BD116" i="1"/>
  <c r="BC116" i="1"/>
  <c r="AZ116" i="1"/>
  <c r="AS116" i="1"/>
  <c r="AV116" i="1" s="1"/>
  <c r="AR116" i="1"/>
  <c r="BD115" i="1"/>
  <c r="BC115" i="1"/>
  <c r="AZ115" i="1"/>
  <c r="AS115" i="1"/>
  <c r="AR115" i="1"/>
  <c r="BD114" i="1"/>
  <c r="BC114" i="1"/>
  <c r="AZ114" i="1"/>
  <c r="AS114" i="1"/>
  <c r="AU114" i="1" s="1"/>
  <c r="AR114" i="1"/>
  <c r="BD113" i="1"/>
  <c r="BC113" i="1"/>
  <c r="AZ113" i="1"/>
  <c r="AS113" i="1"/>
  <c r="AW113" i="1" s="1"/>
  <c r="AR113" i="1"/>
  <c r="BD112" i="1"/>
  <c r="BC112" i="1"/>
  <c r="AZ112" i="1"/>
  <c r="AS112" i="1"/>
  <c r="AW112" i="1" s="1"/>
  <c r="AR112" i="1"/>
  <c r="BD111" i="1"/>
  <c r="BC111" i="1"/>
  <c r="AZ111" i="1"/>
  <c r="AS111" i="1"/>
  <c r="AV111" i="1" s="1"/>
  <c r="AR111" i="1"/>
  <c r="BD110" i="1"/>
  <c r="BC110" i="1"/>
  <c r="AZ110" i="1"/>
  <c r="AS110" i="1"/>
  <c r="AW110" i="1" s="1"/>
  <c r="AR110" i="1"/>
  <c r="BD109" i="1"/>
  <c r="BC109" i="1"/>
  <c r="AZ109" i="1"/>
  <c r="AS109" i="1"/>
  <c r="AV109" i="1" s="1"/>
  <c r="AR109" i="1"/>
  <c r="BD108" i="1"/>
  <c r="BC108" i="1"/>
  <c r="AZ108" i="1"/>
  <c r="AS108" i="1"/>
  <c r="AV108" i="1" s="1"/>
  <c r="AR108" i="1"/>
  <c r="BD107" i="1"/>
  <c r="BC107" i="1"/>
  <c r="AZ107" i="1"/>
  <c r="AS107" i="1"/>
  <c r="AW107" i="1" s="1"/>
  <c r="AR107" i="1"/>
  <c r="BD106" i="1"/>
  <c r="BC106" i="1"/>
  <c r="AZ106" i="1"/>
  <c r="AS106" i="1"/>
  <c r="AW106" i="1" s="1"/>
  <c r="AR106" i="1"/>
  <c r="BD105" i="1"/>
  <c r="BC105" i="1"/>
  <c r="AZ105" i="1"/>
  <c r="AS105" i="1"/>
  <c r="AV105" i="1" s="1"/>
  <c r="AR105" i="1"/>
  <c r="BD104" i="1"/>
  <c r="BC104" i="1"/>
  <c r="AZ104" i="1"/>
  <c r="AS104" i="1"/>
  <c r="AV104" i="1" s="1"/>
  <c r="AR104" i="1"/>
  <c r="BD103" i="1"/>
  <c r="BC103" i="1"/>
  <c r="AZ103" i="1"/>
  <c r="AS103" i="1"/>
  <c r="AV103" i="1" s="1"/>
  <c r="AR103" i="1"/>
  <c r="BD102" i="1"/>
  <c r="BC102" i="1"/>
  <c r="AZ102" i="1"/>
  <c r="AS102" i="1"/>
  <c r="AV102" i="1" s="1"/>
  <c r="AR102" i="1"/>
  <c r="BC101" i="1"/>
  <c r="AZ101" i="1"/>
  <c r="AS101" i="1"/>
  <c r="AW101" i="1" s="1"/>
  <c r="AR101" i="1"/>
  <c r="BC100" i="1"/>
  <c r="AZ100" i="1"/>
  <c r="AS100" i="1"/>
  <c r="AR100" i="1"/>
  <c r="BC99" i="1"/>
  <c r="AZ99" i="1"/>
  <c r="AS99" i="1"/>
  <c r="AW99" i="1" s="1"/>
  <c r="AR99" i="1"/>
  <c r="BC98" i="1"/>
  <c r="AZ98" i="1"/>
  <c r="AS98" i="1"/>
  <c r="AU98" i="1" s="1"/>
  <c r="AR98" i="1"/>
  <c r="BC97" i="1"/>
  <c r="AZ97" i="1"/>
  <c r="AS97" i="1"/>
  <c r="AV97" i="1" s="1"/>
  <c r="AR97" i="1"/>
  <c r="BD96" i="1"/>
  <c r="BC96" i="1"/>
  <c r="AZ96" i="1"/>
  <c r="AS96" i="1"/>
  <c r="AV96" i="1" s="1"/>
  <c r="AR96" i="1"/>
  <c r="BD95" i="1"/>
  <c r="BC95" i="1"/>
  <c r="AZ95" i="1"/>
  <c r="BB95" i="1" s="1"/>
  <c r="AS95" i="1"/>
  <c r="AU95" i="1" s="1"/>
  <c r="AR95" i="1"/>
  <c r="BD94" i="1"/>
  <c r="BC94" i="1"/>
  <c r="AZ94" i="1"/>
  <c r="AS94" i="1"/>
  <c r="AV94" i="1" s="1"/>
  <c r="AR94" i="1"/>
  <c r="BD93" i="1"/>
  <c r="BC93" i="1"/>
  <c r="AZ93" i="1"/>
  <c r="AS93" i="1"/>
  <c r="AV93" i="1" s="1"/>
  <c r="AR93" i="1"/>
  <c r="BD92" i="1"/>
  <c r="BC92" i="1"/>
  <c r="AZ92" i="1"/>
  <c r="AS92" i="1"/>
  <c r="AR92" i="1"/>
  <c r="BD91" i="1"/>
  <c r="BC91" i="1"/>
  <c r="AZ91" i="1"/>
  <c r="AS91" i="1"/>
  <c r="AW91" i="1" s="1"/>
  <c r="AR91" i="1"/>
  <c r="BD90" i="1"/>
  <c r="BC90" i="1"/>
  <c r="AZ90" i="1"/>
  <c r="AS90" i="1"/>
  <c r="AU90" i="1" s="1"/>
  <c r="AR90" i="1"/>
  <c r="BD89" i="1"/>
  <c r="BC89" i="1"/>
  <c r="AZ89" i="1"/>
  <c r="AS89" i="1"/>
  <c r="AV89" i="1" s="1"/>
  <c r="AR89" i="1"/>
  <c r="BD88" i="1"/>
  <c r="BC88" i="1"/>
  <c r="AZ88" i="1"/>
  <c r="AS88" i="1"/>
  <c r="AV88" i="1" s="1"/>
  <c r="AR88" i="1"/>
  <c r="BD87" i="1"/>
  <c r="BC87" i="1"/>
  <c r="AZ87" i="1"/>
  <c r="AS87" i="1"/>
  <c r="AV87" i="1" s="1"/>
  <c r="AR87" i="1"/>
  <c r="BD86" i="1"/>
  <c r="BC86" i="1"/>
  <c r="AZ86" i="1"/>
  <c r="AS86" i="1"/>
  <c r="AU86" i="1" s="1"/>
  <c r="AR86" i="1"/>
  <c r="BD85" i="1"/>
  <c r="BC85" i="1"/>
  <c r="AZ85" i="1"/>
  <c r="AS85" i="1"/>
  <c r="AW85" i="1" s="1"/>
  <c r="AR85" i="1"/>
  <c r="BD84" i="1"/>
  <c r="BC84" i="1"/>
  <c r="AZ84" i="1"/>
  <c r="AS84" i="1"/>
  <c r="AW84" i="1" s="1"/>
  <c r="AR84" i="1"/>
  <c r="BD83" i="1"/>
  <c r="BC83" i="1"/>
  <c r="AZ83" i="1"/>
  <c r="AS83" i="1"/>
  <c r="AW83" i="1" s="1"/>
  <c r="AR83" i="1"/>
  <c r="BD82" i="1"/>
  <c r="BC82" i="1"/>
  <c r="AZ82" i="1"/>
  <c r="AS82" i="1"/>
  <c r="AR82" i="1"/>
  <c r="BD81" i="1"/>
  <c r="BC81" i="1"/>
  <c r="AZ81" i="1"/>
  <c r="AS81" i="1"/>
  <c r="AV81" i="1" s="1"/>
  <c r="AR81" i="1"/>
  <c r="BD80" i="1"/>
  <c r="BC80" i="1"/>
  <c r="AZ80" i="1"/>
  <c r="AS80" i="1"/>
  <c r="AV80" i="1" s="1"/>
  <c r="AR80" i="1"/>
  <c r="BD79" i="1"/>
  <c r="BC79" i="1"/>
  <c r="AZ79" i="1"/>
  <c r="AS79" i="1"/>
  <c r="AV79" i="1" s="1"/>
  <c r="AR79" i="1"/>
  <c r="BD78" i="1"/>
  <c r="BC78" i="1"/>
  <c r="AZ78" i="1"/>
  <c r="AS78" i="1"/>
  <c r="AW78" i="1" s="1"/>
  <c r="AR78" i="1"/>
  <c r="BD77" i="1"/>
  <c r="BC77" i="1"/>
  <c r="AZ77" i="1"/>
  <c r="AS77" i="1"/>
  <c r="AW77" i="1" s="1"/>
  <c r="AR77" i="1"/>
  <c r="BD76" i="1"/>
  <c r="BC76" i="1"/>
  <c r="AZ76" i="1"/>
  <c r="AS76" i="1"/>
  <c r="AR76" i="1"/>
  <c r="BD75" i="1"/>
  <c r="BC75" i="1"/>
  <c r="AZ75" i="1"/>
  <c r="AS75" i="1"/>
  <c r="AV75" i="1" s="1"/>
  <c r="AR75" i="1"/>
  <c r="BD74" i="1"/>
  <c r="BC74" i="1"/>
  <c r="AZ74" i="1"/>
  <c r="AS74" i="1"/>
  <c r="AU74" i="1" s="1"/>
  <c r="AR74" i="1"/>
  <c r="BD73" i="1"/>
  <c r="BC73" i="1"/>
  <c r="AZ73" i="1"/>
  <c r="AS73" i="1"/>
  <c r="AV73" i="1" s="1"/>
  <c r="AR73" i="1"/>
  <c r="BD72" i="1"/>
  <c r="BC72" i="1"/>
  <c r="AZ72" i="1"/>
  <c r="AS72" i="1"/>
  <c r="AW72" i="1" s="1"/>
  <c r="AR72" i="1"/>
  <c r="BD71" i="1"/>
  <c r="BC71" i="1"/>
  <c r="AZ71" i="1"/>
  <c r="AS71" i="1"/>
  <c r="AV71" i="1" s="1"/>
  <c r="AR71" i="1"/>
  <c r="BD70" i="1"/>
  <c r="BC70" i="1"/>
  <c r="AZ70" i="1"/>
  <c r="AS70" i="1"/>
  <c r="AW70" i="1" s="1"/>
  <c r="AR70" i="1"/>
  <c r="BD69" i="1"/>
  <c r="BC69" i="1"/>
  <c r="AZ69" i="1"/>
  <c r="AS69" i="1"/>
  <c r="AW69" i="1" s="1"/>
  <c r="AR69" i="1"/>
  <c r="BD68" i="1"/>
  <c r="BC68" i="1"/>
  <c r="AZ68" i="1"/>
  <c r="AS68" i="1"/>
  <c r="AR68" i="1"/>
  <c r="BD67" i="1"/>
  <c r="BC67" i="1"/>
  <c r="AZ67" i="1"/>
  <c r="AS67" i="1"/>
  <c r="AW67" i="1" s="1"/>
  <c r="AR67" i="1"/>
  <c r="BD66" i="1"/>
  <c r="BC66" i="1"/>
  <c r="AZ66" i="1"/>
  <c r="AS66" i="1"/>
  <c r="AU66" i="1" s="1"/>
  <c r="AR66" i="1"/>
  <c r="BD65" i="1"/>
  <c r="BC65" i="1"/>
  <c r="AZ65" i="1"/>
  <c r="AS65" i="1"/>
  <c r="AV65" i="1" s="1"/>
  <c r="AR65" i="1"/>
  <c r="BD64" i="1"/>
  <c r="BC64" i="1"/>
  <c r="AZ64" i="1"/>
  <c r="AS64" i="1"/>
  <c r="AV64" i="1" s="1"/>
  <c r="AR64" i="1"/>
  <c r="BD63" i="1"/>
  <c r="BC63" i="1"/>
  <c r="AZ63" i="1"/>
  <c r="AS63" i="1"/>
  <c r="AW63" i="1" s="1"/>
  <c r="AR63" i="1"/>
  <c r="BD62" i="1"/>
  <c r="BC62" i="1"/>
  <c r="AZ62" i="1"/>
  <c r="AS62" i="1"/>
  <c r="AW62" i="1" s="1"/>
  <c r="AR62" i="1"/>
  <c r="BD61" i="1"/>
  <c r="BC61" i="1"/>
  <c r="AZ61" i="1"/>
  <c r="AS61" i="1"/>
  <c r="AW61" i="1" s="1"/>
  <c r="AR61" i="1"/>
  <c r="BD60" i="1"/>
  <c r="BC60" i="1"/>
  <c r="AZ60" i="1"/>
  <c r="AS60" i="1"/>
  <c r="AV60" i="1" s="1"/>
  <c r="AR60" i="1"/>
  <c r="BD59" i="1"/>
  <c r="BC59" i="1"/>
  <c r="AZ59" i="1"/>
  <c r="AS59" i="1"/>
  <c r="AW59" i="1" s="1"/>
  <c r="AR59" i="1"/>
  <c r="BD58" i="1"/>
  <c r="BC58" i="1"/>
  <c r="AZ58" i="1"/>
  <c r="AS58" i="1"/>
  <c r="AU58" i="1" s="1"/>
  <c r="AR58" i="1"/>
  <c r="BD57" i="1"/>
  <c r="BC57" i="1"/>
  <c r="AZ57" i="1"/>
  <c r="AS57" i="1"/>
  <c r="AV57" i="1" s="1"/>
  <c r="AR57" i="1"/>
  <c r="BD56" i="1"/>
  <c r="BC56" i="1"/>
  <c r="AZ56" i="1"/>
  <c r="AS56" i="1"/>
  <c r="AW56" i="1" s="1"/>
  <c r="AR56" i="1"/>
  <c r="BD55" i="1"/>
  <c r="BC55" i="1"/>
  <c r="AZ55" i="1"/>
  <c r="AS55" i="1"/>
  <c r="AU55" i="1" s="1"/>
  <c r="AR55" i="1"/>
  <c r="BD54" i="1"/>
  <c r="BC54" i="1"/>
  <c r="AZ54" i="1"/>
  <c r="AS54" i="1"/>
  <c r="AW54" i="1" s="1"/>
  <c r="AR54" i="1"/>
  <c r="BD53" i="1"/>
  <c r="BC53" i="1"/>
  <c r="AZ53" i="1"/>
  <c r="AS53" i="1"/>
  <c r="AW53" i="1" s="1"/>
  <c r="AR53" i="1"/>
  <c r="BD52" i="1"/>
  <c r="BC52" i="1"/>
  <c r="AZ52" i="1"/>
  <c r="AS52" i="1"/>
  <c r="AR52" i="1"/>
  <c r="BD51" i="1"/>
  <c r="BC51" i="1"/>
  <c r="AZ51" i="1"/>
  <c r="AS51" i="1"/>
  <c r="AU51" i="1" s="1"/>
  <c r="AR51" i="1"/>
  <c r="BD50" i="1"/>
  <c r="BC50" i="1"/>
  <c r="AZ50" i="1"/>
  <c r="AS50" i="1"/>
  <c r="AU50" i="1" s="1"/>
  <c r="AR50" i="1"/>
  <c r="BD49" i="1"/>
  <c r="BC49" i="1"/>
  <c r="AZ49" i="1"/>
  <c r="AS49" i="1"/>
  <c r="AV49" i="1" s="1"/>
  <c r="AR49" i="1"/>
  <c r="BD48" i="1"/>
  <c r="BC48" i="1"/>
  <c r="AZ48" i="1"/>
  <c r="AS48" i="1"/>
  <c r="AV48" i="1" s="1"/>
  <c r="AR48" i="1"/>
  <c r="BD47" i="1"/>
  <c r="BC47" i="1"/>
  <c r="AZ47" i="1"/>
  <c r="AS47" i="1"/>
  <c r="AV47" i="1" s="1"/>
  <c r="AR47" i="1"/>
  <c r="BD46" i="1"/>
  <c r="BC46" i="1"/>
  <c r="AZ46" i="1"/>
  <c r="AS46" i="1"/>
  <c r="AW46" i="1" s="1"/>
  <c r="AR46" i="1"/>
  <c r="BD45" i="1"/>
  <c r="BC45" i="1"/>
  <c r="AZ45" i="1"/>
  <c r="AS45" i="1"/>
  <c r="AV45" i="1" s="1"/>
  <c r="AR45" i="1"/>
  <c r="BD44" i="1"/>
  <c r="BC44" i="1"/>
  <c r="AZ44" i="1"/>
  <c r="AS44" i="1"/>
  <c r="AV44" i="1" s="1"/>
  <c r="AR44" i="1"/>
  <c r="BD43" i="1"/>
  <c r="BC43" i="1"/>
  <c r="AZ43" i="1"/>
  <c r="AS43" i="1"/>
  <c r="AV43" i="1" s="1"/>
  <c r="AR43" i="1"/>
  <c r="BD42" i="1"/>
  <c r="BC42" i="1"/>
  <c r="AZ42" i="1"/>
  <c r="AS42" i="1"/>
  <c r="AU42" i="1" s="1"/>
  <c r="AR42" i="1"/>
  <c r="BD41" i="1"/>
  <c r="BC41" i="1"/>
  <c r="AZ41" i="1"/>
  <c r="AS41" i="1"/>
  <c r="AV41" i="1" s="1"/>
  <c r="AR41" i="1"/>
  <c r="BD40" i="1"/>
  <c r="BC40" i="1"/>
  <c r="AZ40" i="1"/>
  <c r="AS40" i="1"/>
  <c r="AU40" i="1" s="1"/>
  <c r="AR40" i="1"/>
  <c r="BD39" i="1"/>
  <c r="BC39" i="1"/>
  <c r="AZ39" i="1"/>
  <c r="AS39" i="1"/>
  <c r="AW39" i="1" s="1"/>
  <c r="AR39" i="1"/>
  <c r="BD38" i="1"/>
  <c r="BC38" i="1"/>
  <c r="AZ38" i="1"/>
  <c r="AS38" i="1"/>
  <c r="AW38" i="1" s="1"/>
  <c r="AR38" i="1"/>
  <c r="BD37" i="1"/>
  <c r="BC37" i="1"/>
  <c r="AZ37" i="1"/>
  <c r="AS37" i="1"/>
  <c r="AU37" i="1" s="1"/>
  <c r="AR37" i="1"/>
  <c r="BD36" i="1"/>
  <c r="BC36" i="1"/>
  <c r="AZ36" i="1"/>
  <c r="AS36" i="1"/>
  <c r="AR36" i="1"/>
  <c r="BD35" i="1"/>
  <c r="BC35" i="1"/>
  <c r="AZ35" i="1"/>
  <c r="AS35" i="1"/>
  <c r="AV35" i="1" s="1"/>
  <c r="AR35" i="1"/>
  <c r="BD34" i="1"/>
  <c r="BC34" i="1"/>
  <c r="AZ34" i="1"/>
  <c r="AS34" i="1"/>
  <c r="AU34" i="1" s="1"/>
  <c r="AR34" i="1"/>
  <c r="BD33" i="1"/>
  <c r="BC33" i="1"/>
  <c r="AZ33" i="1"/>
  <c r="AS33" i="1"/>
  <c r="AV33" i="1" s="1"/>
  <c r="AR33" i="1"/>
  <c r="BD32" i="1"/>
  <c r="BC32" i="1"/>
  <c r="AZ32" i="1"/>
  <c r="AS32" i="1"/>
  <c r="AW32" i="1" s="1"/>
  <c r="AR32" i="1"/>
  <c r="BD31" i="1"/>
  <c r="BC31" i="1"/>
  <c r="AZ31" i="1"/>
  <c r="AS31" i="1"/>
  <c r="AR31" i="1"/>
  <c r="BD30" i="1"/>
  <c r="BC30" i="1"/>
  <c r="AZ30" i="1"/>
  <c r="AS30" i="1"/>
  <c r="AW30" i="1" s="1"/>
  <c r="AR30" i="1"/>
  <c r="BD29" i="1"/>
  <c r="BC29" i="1"/>
  <c r="AZ29" i="1"/>
  <c r="AS29" i="1"/>
  <c r="AU29" i="1" s="1"/>
  <c r="AR29" i="1"/>
  <c r="BD28" i="1"/>
  <c r="BC28" i="1"/>
  <c r="AZ28" i="1"/>
  <c r="AS28" i="1"/>
  <c r="AR28" i="1"/>
  <c r="BD27" i="1"/>
  <c r="BC27" i="1"/>
  <c r="AZ27" i="1"/>
  <c r="AS27" i="1"/>
  <c r="AW27" i="1" s="1"/>
  <c r="AR27" i="1"/>
  <c r="BD26" i="1"/>
  <c r="BC26" i="1"/>
  <c r="AZ26" i="1"/>
  <c r="AS26" i="1"/>
  <c r="AU26" i="1" s="1"/>
  <c r="AR26" i="1"/>
  <c r="BD25" i="1"/>
  <c r="BC25" i="1"/>
  <c r="AZ25" i="1"/>
  <c r="AS25" i="1"/>
  <c r="AV25" i="1" s="1"/>
  <c r="AR25" i="1"/>
  <c r="BD24" i="1"/>
  <c r="BC24" i="1"/>
  <c r="AZ24" i="1"/>
  <c r="AS24" i="1"/>
  <c r="AU24" i="1" s="1"/>
  <c r="AR24" i="1"/>
  <c r="BD23" i="1"/>
  <c r="BC23" i="1"/>
  <c r="AZ23" i="1"/>
  <c r="AS23" i="1"/>
  <c r="AV23" i="1" s="1"/>
  <c r="AR23" i="1"/>
  <c r="BD22" i="1"/>
  <c r="BC22" i="1"/>
  <c r="AZ22" i="1"/>
  <c r="AS22" i="1"/>
  <c r="AV22" i="1" s="1"/>
  <c r="AR22" i="1"/>
  <c r="BD21" i="1"/>
  <c r="BC21" i="1"/>
  <c r="AZ21" i="1"/>
  <c r="AS21" i="1"/>
  <c r="AV21" i="1" s="1"/>
  <c r="AR21" i="1"/>
  <c r="BD20" i="1"/>
  <c r="BC20" i="1"/>
  <c r="AZ20" i="1"/>
  <c r="AS20" i="1"/>
  <c r="AW20" i="1" s="1"/>
  <c r="AR20" i="1"/>
  <c r="BD19" i="1"/>
  <c r="BC19" i="1"/>
  <c r="AZ19" i="1"/>
  <c r="AS19" i="1"/>
  <c r="AW19" i="1" s="1"/>
  <c r="AR19" i="1"/>
  <c r="BD18" i="1"/>
  <c r="BC18" i="1"/>
  <c r="AZ18" i="1"/>
  <c r="AS18" i="1"/>
  <c r="AV18" i="1" s="1"/>
  <c r="AR18" i="1"/>
  <c r="BD17" i="1"/>
  <c r="BC17" i="1"/>
  <c r="AZ17" i="1"/>
  <c r="AS17" i="1"/>
  <c r="AU17" i="1" s="1"/>
  <c r="AR17" i="1"/>
  <c r="BD16" i="1"/>
  <c r="BC16" i="1"/>
  <c r="AZ16" i="1"/>
  <c r="AS16" i="1"/>
  <c r="AV16" i="1" s="1"/>
  <c r="AR16" i="1"/>
  <c r="BD15" i="1"/>
  <c r="BC15" i="1"/>
  <c r="AZ15" i="1"/>
  <c r="AS15" i="1"/>
  <c r="AV15" i="1" s="1"/>
  <c r="AR15" i="1"/>
  <c r="BD14" i="1"/>
  <c r="BC14" i="1"/>
  <c r="AZ14" i="1"/>
  <c r="AS14" i="1"/>
  <c r="AV14" i="1" s="1"/>
  <c r="AR14" i="1"/>
  <c r="BD13" i="1"/>
  <c r="BC13" i="1"/>
  <c r="AZ13" i="1"/>
  <c r="AS13" i="1"/>
  <c r="AV13" i="1" s="1"/>
  <c r="AR13" i="1"/>
  <c r="BD12" i="1"/>
  <c r="BC12" i="1"/>
  <c r="AZ12" i="1"/>
  <c r="AS12" i="1"/>
  <c r="AU12" i="1" s="1"/>
  <c r="AR12" i="1"/>
  <c r="BD11" i="1"/>
  <c r="BC11" i="1"/>
  <c r="AZ11" i="1"/>
  <c r="AS11" i="1"/>
  <c r="AW11" i="1" s="1"/>
  <c r="AR11" i="1"/>
  <c r="BD10" i="1"/>
  <c r="BC10" i="1"/>
  <c r="AZ10" i="1"/>
  <c r="AS10" i="1"/>
  <c r="AW10" i="1" s="1"/>
  <c r="AR10" i="1"/>
  <c r="BD9" i="1"/>
  <c r="BC9" i="1"/>
  <c r="AZ9" i="1"/>
  <c r="AS9" i="1"/>
  <c r="AU9" i="1" s="1"/>
  <c r="AR9" i="1"/>
  <c r="BD8" i="1"/>
  <c r="BC8" i="1"/>
  <c r="AZ8" i="1"/>
  <c r="AS8" i="1"/>
  <c r="AU8" i="1" s="1"/>
  <c r="AR8" i="1"/>
  <c r="BD7" i="1"/>
  <c r="BC7" i="1"/>
  <c r="AZ7" i="1"/>
  <c r="AS7" i="1"/>
  <c r="AV7" i="1" s="1"/>
  <c r="AR7" i="1"/>
  <c r="BD6" i="1"/>
  <c r="BC6" i="1"/>
  <c r="AZ6" i="1"/>
  <c r="AS6" i="1"/>
  <c r="AV6" i="1" s="1"/>
  <c r="AR6" i="1"/>
  <c r="BD5" i="1"/>
  <c r="BC5" i="1"/>
  <c r="AZ5" i="1"/>
  <c r="AS5" i="1"/>
  <c r="AV5" i="1" s="1"/>
  <c r="AR5" i="1"/>
  <c r="BD4" i="1"/>
  <c r="BC4" i="1"/>
  <c r="AZ4" i="1"/>
  <c r="AS4" i="1"/>
  <c r="AW4" i="1" s="1"/>
  <c r="AR4" i="1"/>
  <c r="S64" i="1"/>
  <c r="S94" i="1"/>
  <c r="S121" i="1"/>
  <c r="S122" i="1"/>
  <c r="S417" i="1"/>
  <c r="S416" i="1"/>
  <c r="S371" i="1"/>
  <c r="V123" i="1"/>
  <c r="S386" i="1"/>
  <c r="S63" i="1"/>
  <c r="S430" i="1"/>
  <c r="S369" i="1"/>
  <c r="S62" i="1"/>
  <c r="S415" i="1"/>
  <c r="S385" i="1"/>
  <c r="S384" i="1"/>
  <c r="S195" i="1"/>
  <c r="S194" i="1"/>
  <c r="S193" i="1"/>
  <c r="S192" i="1"/>
  <c r="S191" i="1"/>
  <c r="S190" i="1"/>
  <c r="S189" i="1"/>
  <c r="S188" i="1"/>
  <c r="S187" i="1"/>
  <c r="S186" i="1"/>
  <c r="S442" i="1"/>
  <c r="S184" i="1"/>
  <c r="BB472" i="1" l="1"/>
  <c r="AW370" i="1"/>
  <c r="AV370" i="1"/>
  <c r="AU370" i="1"/>
  <c r="BB413" i="1"/>
  <c r="BB468" i="1"/>
  <c r="BB421" i="1"/>
  <c r="BB418" i="1"/>
  <c r="BB257" i="1"/>
  <c r="BB474" i="1"/>
  <c r="AU31" i="1"/>
  <c r="AV31" i="1"/>
  <c r="AU82" i="1"/>
  <c r="AV82" i="1"/>
  <c r="AV340" i="1"/>
  <c r="AW340" i="1"/>
  <c r="BB364" i="1"/>
  <c r="AW365" i="1"/>
  <c r="AV365" i="1"/>
  <c r="BB375" i="1"/>
  <c r="BB383" i="1"/>
  <c r="BB431" i="1"/>
  <c r="BB448" i="1"/>
  <c r="AW418" i="1"/>
  <c r="AV418" i="1"/>
  <c r="AU418" i="1"/>
  <c r="BB49" i="1"/>
  <c r="BB208" i="1"/>
  <c r="BB240" i="1"/>
  <c r="BB256" i="1"/>
  <c r="BB280" i="1"/>
  <c r="BB430" i="1"/>
  <c r="BB447" i="1"/>
  <c r="BB114" i="1"/>
  <c r="BB226" i="1"/>
  <c r="AW397" i="1"/>
  <c r="BB21" i="1"/>
  <c r="BB165" i="1"/>
  <c r="BB459" i="1"/>
  <c r="BB475" i="1"/>
  <c r="BB118" i="1"/>
  <c r="AU123" i="1"/>
  <c r="BB135" i="1"/>
  <c r="BB167" i="1"/>
  <c r="AU97" i="1"/>
  <c r="BB279" i="1"/>
  <c r="BB311" i="1"/>
  <c r="BB320" i="1"/>
  <c r="BB339" i="1"/>
  <c r="BB342" i="1"/>
  <c r="BB454" i="1"/>
  <c r="AU462" i="1"/>
  <c r="BB62" i="1"/>
  <c r="BB355" i="1"/>
  <c r="AV462" i="1"/>
  <c r="BB30" i="1"/>
  <c r="AW123" i="1"/>
  <c r="BB54" i="1"/>
  <c r="AW97" i="1"/>
  <c r="BB53" i="1"/>
  <c r="BB61" i="1"/>
  <c r="BB150" i="1"/>
  <c r="BB153" i="1"/>
  <c r="BB172" i="1"/>
  <c r="BB139" i="1"/>
  <c r="AV46" i="1"/>
  <c r="BB250" i="1"/>
  <c r="BB212" i="1"/>
  <c r="BB253" i="1"/>
  <c r="BB304" i="1"/>
  <c r="AW351" i="1"/>
  <c r="BB401" i="1"/>
  <c r="AU430" i="1"/>
  <c r="BB463" i="1"/>
  <c r="BB79" i="1"/>
  <c r="BB201" i="1"/>
  <c r="BB223" i="1"/>
  <c r="BB29" i="1"/>
  <c r="AV51" i="1"/>
  <c r="BB73" i="1"/>
  <c r="AU128" i="1"/>
  <c r="BB129" i="1"/>
  <c r="AV157" i="1"/>
  <c r="AU211" i="1"/>
  <c r="BB255" i="1"/>
  <c r="BB258" i="1"/>
  <c r="BB314" i="1"/>
  <c r="BB329" i="1"/>
  <c r="BB360" i="1"/>
  <c r="BB366" i="1"/>
  <c r="BB406" i="1"/>
  <c r="AW424" i="1"/>
  <c r="AW455" i="1"/>
  <c r="AV461" i="1"/>
  <c r="BB462" i="1"/>
  <c r="AW129" i="1"/>
  <c r="BB149" i="1"/>
  <c r="AU157" i="1"/>
  <c r="BB189" i="1"/>
  <c r="BB67" i="1"/>
  <c r="AV128" i="1"/>
  <c r="BB171" i="1"/>
  <c r="BB444" i="1"/>
  <c r="BB455" i="1"/>
  <c r="AW25" i="1"/>
  <c r="AW170" i="1"/>
  <c r="AW173" i="1"/>
  <c r="AU179" i="1"/>
  <c r="BB193" i="1"/>
  <c r="AU235" i="1"/>
  <c r="BB273" i="1"/>
  <c r="BB308" i="1"/>
  <c r="AV364" i="1"/>
  <c r="BB394" i="1"/>
  <c r="BB460" i="1"/>
  <c r="BB9" i="1"/>
  <c r="AW14" i="1"/>
  <c r="BB241" i="1"/>
  <c r="AW8" i="1"/>
  <c r="BB44" i="1"/>
  <c r="BB47" i="1"/>
  <c r="BB77" i="1"/>
  <c r="AU103" i="1"/>
  <c r="AV141" i="1"/>
  <c r="BB286" i="1"/>
  <c r="AW364" i="1"/>
  <c r="AV77" i="1"/>
  <c r="AV147" i="1"/>
  <c r="BB5" i="1"/>
  <c r="BB127" i="1"/>
  <c r="BB133" i="1"/>
  <c r="BB141" i="1"/>
  <c r="AW178" i="1"/>
  <c r="BB179" i="1"/>
  <c r="BB218" i="1"/>
  <c r="BB283" i="1"/>
  <c r="BB299" i="1"/>
  <c r="BB374" i="1"/>
  <c r="AW390" i="1"/>
  <c r="BB407" i="1"/>
  <c r="BB423" i="1"/>
  <c r="BB436" i="1"/>
  <c r="BB451" i="1"/>
  <c r="AW463" i="1"/>
  <c r="AW65" i="1"/>
  <c r="AU71" i="1"/>
  <c r="BB85" i="1"/>
  <c r="AW90" i="1"/>
  <c r="AU93" i="1"/>
  <c r="AV99" i="1"/>
  <c r="BB107" i="1"/>
  <c r="BB187" i="1"/>
  <c r="BB205" i="1"/>
  <c r="AU210" i="1"/>
  <c r="BB214" i="1"/>
  <c r="BB234" i="1"/>
  <c r="BB237" i="1"/>
  <c r="BB276" i="1"/>
  <c r="AU281" i="1"/>
  <c r="BB306" i="1"/>
  <c r="BB317" i="1"/>
  <c r="BB319" i="1"/>
  <c r="AU324" i="1"/>
  <c r="BB337" i="1"/>
  <c r="AW343" i="1"/>
  <c r="BB348" i="1"/>
  <c r="BB358" i="1"/>
  <c r="BB372" i="1"/>
  <c r="AV380" i="1"/>
  <c r="BB398" i="1"/>
  <c r="BB443" i="1"/>
  <c r="BB446" i="1"/>
  <c r="BB471" i="1"/>
  <c r="BB163" i="1"/>
  <c r="BB178" i="1"/>
  <c r="BB195" i="1"/>
  <c r="AU199" i="1"/>
  <c r="BB13" i="1"/>
  <c r="BB16" i="1"/>
  <c r="BB33" i="1"/>
  <c r="AV59" i="1"/>
  <c r="AW71" i="1"/>
  <c r="BB82" i="1"/>
  <c r="AW93" i="1"/>
  <c r="AV112" i="1"/>
  <c r="BB113" i="1"/>
  <c r="AW122" i="1"/>
  <c r="BB125" i="1"/>
  <c r="BB140" i="1"/>
  <c r="AV143" i="1"/>
  <c r="BB144" i="1"/>
  <c r="AU159" i="1"/>
  <c r="AV186" i="1"/>
  <c r="AW199" i="1"/>
  <c r="BB202" i="1"/>
  <c r="AW210" i="1"/>
  <c r="BB222" i="1"/>
  <c r="BB242" i="1"/>
  <c r="AV247" i="1"/>
  <c r="AV253" i="1"/>
  <c r="BB254" i="1"/>
  <c r="BB260" i="1"/>
  <c r="AV263" i="1"/>
  <c r="AW275" i="1"/>
  <c r="BB287" i="1"/>
  <c r="AW292" i="1"/>
  <c r="AW295" i="1"/>
  <c r="AV301" i="1"/>
  <c r="AU308" i="1"/>
  <c r="AV324" i="1"/>
  <c r="BB331" i="1"/>
  <c r="BB340" i="1"/>
  <c r="AV346" i="1"/>
  <c r="BB351" i="1"/>
  <c r="BB354" i="1"/>
  <c r="BB365" i="1"/>
  <c r="BB377" i="1"/>
  <c r="AU383" i="1"/>
  <c r="BB384" i="1"/>
  <c r="BB390" i="1"/>
  <c r="AV412" i="1"/>
  <c r="BB424" i="1"/>
  <c r="AV429" i="1"/>
  <c r="BB433" i="1"/>
  <c r="AW435" i="1"/>
  <c r="BB440" i="1"/>
  <c r="AW143" i="1"/>
  <c r="AW159" i="1"/>
  <c r="AW253" i="1"/>
  <c r="BB281" i="1"/>
  <c r="AW286" i="1"/>
  <c r="AW308" i="1"/>
  <c r="AV311" i="1"/>
  <c r="AW346" i="1"/>
  <c r="AW383" i="1"/>
  <c r="AV29" i="1"/>
  <c r="BB38" i="1"/>
  <c r="AW55" i="1"/>
  <c r="AW58" i="1"/>
  <c r="AU80" i="1"/>
  <c r="BB93" i="1"/>
  <c r="BB103" i="1"/>
  <c r="AW111" i="1"/>
  <c r="AU118" i="1"/>
  <c r="BB122" i="1"/>
  <c r="BB131" i="1"/>
  <c r="BB134" i="1"/>
  <c r="AV139" i="1"/>
  <c r="BB143" i="1"/>
  <c r="AV170" i="1"/>
  <c r="AX170" i="1" s="1"/>
  <c r="BA170" i="1" s="1"/>
  <c r="BB233" i="1"/>
  <c r="BB244" i="1"/>
  <c r="BB269" i="1"/>
  <c r="AW274" i="1"/>
  <c r="BB275" i="1"/>
  <c r="AU300" i="1"/>
  <c r="BB336" i="1"/>
  <c r="AW402" i="1"/>
  <c r="BB426" i="1"/>
  <c r="BB435" i="1"/>
  <c r="AU453" i="1"/>
  <c r="BB470" i="1"/>
  <c r="AU463" i="1"/>
  <c r="AW469" i="1"/>
  <c r="BB18" i="1"/>
  <c r="BB70" i="1"/>
  <c r="AW73" i="1"/>
  <c r="AW80" i="1"/>
  <c r="BB6" i="1"/>
  <c r="BB37" i="1"/>
  <c r="AW51" i="1"/>
  <c r="AX51" i="1" s="1"/>
  <c r="BA51" i="1" s="1"/>
  <c r="BB111" i="1"/>
  <c r="AV114" i="1"/>
  <c r="AV117" i="1"/>
  <c r="BB121" i="1"/>
  <c r="AU126" i="1"/>
  <c r="BB136" i="1"/>
  <c r="BB142" i="1"/>
  <c r="AV148" i="1"/>
  <c r="BB151" i="1"/>
  <c r="BB196" i="1"/>
  <c r="AV223" i="1"/>
  <c r="AW226" i="1"/>
  <c r="BB249" i="1"/>
  <c r="AV261" i="1"/>
  <c r="BB262" i="1"/>
  <c r="BB271" i="1"/>
  <c r="BB291" i="1"/>
  <c r="AV306" i="1"/>
  <c r="BB307" i="1"/>
  <c r="AU322" i="1"/>
  <c r="AU332" i="1"/>
  <c r="AV355" i="1"/>
  <c r="AV378" i="1"/>
  <c r="AU391" i="1"/>
  <c r="BB392" i="1"/>
  <c r="AU397" i="1"/>
  <c r="AU398" i="1"/>
  <c r="AV410" i="1"/>
  <c r="BB417" i="1"/>
  <c r="BB110" i="1"/>
  <c r="BB157" i="1"/>
  <c r="BB235" i="1"/>
  <c r="BB243" i="1"/>
  <c r="AW261" i="1"/>
  <c r="AU267" i="1"/>
  <c r="BB303" i="1"/>
  <c r="AW306" i="1"/>
  <c r="AU340" i="1"/>
  <c r="AU344" i="1"/>
  <c r="AU351" i="1"/>
  <c r="AX351" i="1" s="1"/>
  <c r="BA351" i="1" s="1"/>
  <c r="AU365" i="1"/>
  <c r="AU381" i="1"/>
  <c r="AW391" i="1"/>
  <c r="AV398" i="1"/>
  <c r="BB404" i="1"/>
  <c r="AW410" i="1"/>
  <c r="AU416" i="1"/>
  <c r="AW422" i="1"/>
  <c r="AW438" i="1"/>
  <c r="AV455" i="1"/>
  <c r="BB216" i="1"/>
  <c r="AW237" i="1"/>
  <c r="AV256" i="1"/>
  <c r="AV257" i="1"/>
  <c r="AV258" i="1"/>
  <c r="AU274" i="1"/>
  <c r="AV275" i="1"/>
  <c r="AU276" i="1"/>
  <c r="AV286" i="1"/>
  <c r="AV287" i="1"/>
  <c r="AV296" i="1"/>
  <c r="BB315" i="1"/>
  <c r="AV335" i="1"/>
  <c r="AV356" i="1"/>
  <c r="AW369" i="1"/>
  <c r="AV406" i="1"/>
  <c r="BB439" i="1"/>
  <c r="AU456" i="1"/>
  <c r="BB4" i="1"/>
  <c r="BB22" i="1"/>
  <c r="AW29" i="1"/>
  <c r="AW33" i="1"/>
  <c r="BB55" i="1"/>
  <c r="AU88" i="1"/>
  <c r="BB92" i="1"/>
  <c r="AU104" i="1"/>
  <c r="BB105" i="1"/>
  <c r="BB108" i="1"/>
  <c r="BB115" i="1"/>
  <c r="AU139" i="1"/>
  <c r="BB159" i="1"/>
  <c r="AV171" i="1"/>
  <c r="BB188" i="1"/>
  <c r="AW335" i="1"/>
  <c r="BB380" i="1"/>
  <c r="AW405" i="1"/>
  <c r="AU424" i="1"/>
  <c r="AU450" i="1"/>
  <c r="AV456" i="1"/>
  <c r="BB51" i="1"/>
  <c r="AU64" i="1"/>
  <c r="AU75" i="1"/>
  <c r="BB76" i="1"/>
  <c r="AW87" i="1"/>
  <c r="AW103" i="1"/>
  <c r="BB117" i="1"/>
  <c r="AW121" i="1"/>
  <c r="BB123" i="1"/>
  <c r="AV127" i="1"/>
  <c r="AW138" i="1"/>
  <c r="BB164" i="1"/>
  <c r="BB181" i="1"/>
  <c r="BB190" i="1"/>
  <c r="BB204" i="1"/>
  <c r="BB215" i="1"/>
  <c r="BB227" i="1"/>
  <c r="BB230" i="1"/>
  <c r="BB245" i="1"/>
  <c r="AU251" i="1"/>
  <c r="BB261" i="1"/>
  <c r="BB264" i="1"/>
  <c r="BB274" i="1"/>
  <c r="AV278" i="1"/>
  <c r="AU298" i="1"/>
  <c r="AU316" i="1"/>
  <c r="AV322" i="1"/>
  <c r="BB334" i="1"/>
  <c r="BB335" i="1"/>
  <c r="BB338" i="1"/>
  <c r="AV372" i="1"/>
  <c r="BB373" i="1"/>
  <c r="AU389" i="1"/>
  <c r="BB391" i="1"/>
  <c r="AV404" i="1"/>
  <c r="AV423" i="1"/>
  <c r="BB438" i="1"/>
  <c r="AW442" i="1"/>
  <c r="AW461" i="1"/>
  <c r="AU464" i="1"/>
  <c r="AW9" i="1"/>
  <c r="AV12" i="1"/>
  <c r="AW316" i="1"/>
  <c r="AV389" i="1"/>
  <c r="AW423" i="1"/>
  <c r="AV448" i="1"/>
  <c r="AU458" i="1"/>
  <c r="AU459" i="1"/>
  <c r="AV467" i="1"/>
  <c r="AV475" i="1"/>
  <c r="BB10" i="1"/>
  <c r="AV24" i="1"/>
  <c r="BB28" i="1"/>
  <c r="AW24" i="1"/>
  <c r="BB25" i="1"/>
  <c r="AW64" i="1"/>
  <c r="BB68" i="1"/>
  <c r="AW75" i="1"/>
  <c r="AU79" i="1"/>
  <c r="AU83" i="1"/>
  <c r="AW127" i="1"/>
  <c r="BB177" i="1"/>
  <c r="AV8" i="1"/>
  <c r="AX8" i="1" s="1"/>
  <c r="BA8" i="1" s="1"/>
  <c r="BB12" i="1"/>
  <c r="BB71" i="1"/>
  <c r="AW74" i="1"/>
  <c r="BB75" i="1"/>
  <c r="AV83" i="1"/>
  <c r="AV90" i="1"/>
  <c r="BB91" i="1"/>
  <c r="BB102" i="1"/>
  <c r="BB116" i="1"/>
  <c r="AU120" i="1"/>
  <c r="BB132" i="1"/>
  <c r="AU141" i="1"/>
  <c r="BB170" i="1"/>
  <c r="AU173" i="1"/>
  <c r="BB174" i="1"/>
  <c r="AV180" i="1"/>
  <c r="AU209" i="1"/>
  <c r="AV211" i="1"/>
  <c r="BB217" i="1"/>
  <c r="BB232" i="1"/>
  <c r="BB251" i="1"/>
  <c r="BB278" i="1"/>
  <c r="AU284" i="1"/>
  <c r="AU309" i="1"/>
  <c r="AV318" i="1"/>
  <c r="BB345" i="1"/>
  <c r="AU349" i="1"/>
  <c r="AU358" i="1"/>
  <c r="AW378" i="1"/>
  <c r="BB382" i="1"/>
  <c r="BB389" i="1"/>
  <c r="AU415" i="1"/>
  <c r="AW416" i="1"/>
  <c r="AV437" i="1"/>
  <c r="AU440" i="1"/>
  <c r="AW448" i="1"/>
  <c r="BB449" i="1"/>
  <c r="AV458" i="1"/>
  <c r="AV459" i="1"/>
  <c r="BB464" i="1"/>
  <c r="AU470" i="1"/>
  <c r="AU471" i="1"/>
  <c r="AV209" i="1"/>
  <c r="AW318" i="1"/>
  <c r="AW358" i="1"/>
  <c r="AW415" i="1"/>
  <c r="AV440" i="1"/>
  <c r="AV447" i="1"/>
  <c r="BB452" i="1"/>
  <c r="AW466" i="1"/>
  <c r="BB467" i="1"/>
  <c r="AV470" i="1"/>
  <c r="AV474" i="1"/>
  <c r="BB8" i="1"/>
  <c r="BB20" i="1"/>
  <c r="AV30" i="1"/>
  <c r="BB31" i="1"/>
  <c r="AV37" i="1"/>
  <c r="BB43" i="1"/>
  <c r="BB46" i="1"/>
  <c r="AV55" i="1"/>
  <c r="BB56" i="1"/>
  <c r="BB63" i="1"/>
  <c r="AU77" i="1"/>
  <c r="AX77" i="1" s="1"/>
  <c r="BA77" i="1" s="1"/>
  <c r="BB86" i="1"/>
  <c r="AW89" i="1"/>
  <c r="BB94" i="1"/>
  <c r="AU105" i="1"/>
  <c r="AU111" i="1"/>
  <c r="AV119" i="1"/>
  <c r="BB124" i="1"/>
  <c r="BB126" i="1"/>
  <c r="BB145" i="1"/>
  <c r="BB155" i="1"/>
  <c r="BB166" i="1"/>
  <c r="BB173" i="1"/>
  <c r="BB176" i="1"/>
  <c r="BB180" i="1"/>
  <c r="BB191" i="1"/>
  <c r="BB194" i="1"/>
  <c r="BB209" i="1"/>
  <c r="BB210" i="1"/>
  <c r="AV237" i="1"/>
  <c r="BB238" i="1"/>
  <c r="AU249" i="1"/>
  <c r="AU256" i="1"/>
  <c r="AU257" i="1"/>
  <c r="AU258" i="1"/>
  <c r="AW271" i="1"/>
  <c r="BB277" i="1"/>
  <c r="BB284" i="1"/>
  <c r="BB288" i="1"/>
  <c r="BB297" i="1"/>
  <c r="AU328" i="1"/>
  <c r="AU336" i="1"/>
  <c r="AV348" i="1"/>
  <c r="BB349" i="1"/>
  <c r="AU356" i="1"/>
  <c r="AV357" i="1"/>
  <c r="AV369" i="1"/>
  <c r="BB371" i="1"/>
  <c r="BB381" i="1"/>
  <c r="BB388" i="1"/>
  <c r="BB400" i="1"/>
  <c r="BB403" i="1"/>
  <c r="AU406" i="1"/>
  <c r="AX406" i="1" s="1"/>
  <c r="BA406" i="1" s="1"/>
  <c r="AW414" i="1"/>
  <c r="BB420" i="1"/>
  <c r="AW439" i="1"/>
  <c r="AW151" i="1"/>
  <c r="AV151" i="1"/>
  <c r="AU373" i="1"/>
  <c r="AW373" i="1"/>
  <c r="AV373" i="1"/>
  <c r="AU6" i="1"/>
  <c r="BB7" i="1"/>
  <c r="AW12" i="1"/>
  <c r="AU16" i="1"/>
  <c r="AV17" i="1"/>
  <c r="AU22" i="1"/>
  <c r="BB23" i="1"/>
  <c r="AW31" i="1"/>
  <c r="BB32" i="1"/>
  <c r="AW37" i="1"/>
  <c r="AU45" i="1"/>
  <c r="AU47" i="1"/>
  <c r="AU48" i="1"/>
  <c r="AU49" i="1"/>
  <c r="BB59" i="1"/>
  <c r="BB64" i="1"/>
  <c r="AW79" i="1"/>
  <c r="AU81" i="1"/>
  <c r="AW88" i="1"/>
  <c r="BB89" i="1"/>
  <c r="BB90" i="1"/>
  <c r="AU96" i="1"/>
  <c r="AU101" i="1"/>
  <c r="AW104" i="1"/>
  <c r="AU109" i="1"/>
  <c r="AU110" i="1"/>
  <c r="AW117" i="1"/>
  <c r="AW119" i="1"/>
  <c r="AW120" i="1"/>
  <c r="AV125" i="1"/>
  <c r="AU151" i="1"/>
  <c r="BB160" i="1"/>
  <c r="BB185" i="1"/>
  <c r="AU191" i="1"/>
  <c r="AW197" i="1"/>
  <c r="AV197" i="1"/>
  <c r="BB211" i="1"/>
  <c r="AV234" i="1"/>
  <c r="AW234" i="1"/>
  <c r="AU234" i="1"/>
  <c r="AW250" i="1"/>
  <c r="AV250" i="1"/>
  <c r="AU250" i="1"/>
  <c r="AW125" i="1"/>
  <c r="AV191" i="1"/>
  <c r="AW259" i="1"/>
  <c r="AU259" i="1"/>
  <c r="AW294" i="1"/>
  <c r="AU294" i="1"/>
  <c r="AW165" i="1"/>
  <c r="AV165" i="1"/>
  <c r="AU165" i="1"/>
  <c r="AV101" i="1"/>
  <c r="BB11" i="1"/>
  <c r="BB36" i="1"/>
  <c r="BB104" i="1"/>
  <c r="AU107" i="1"/>
  <c r="AW109" i="1"/>
  <c r="AW146" i="1"/>
  <c r="AW341" i="1"/>
  <c r="AV341" i="1"/>
  <c r="AU341" i="1"/>
  <c r="AV375" i="1"/>
  <c r="AW375" i="1"/>
  <c r="AU375" i="1"/>
  <c r="AU4" i="1"/>
  <c r="AW16" i="1"/>
  <c r="AU20" i="1"/>
  <c r="AU35" i="1"/>
  <c r="AW45" i="1"/>
  <c r="AW47" i="1"/>
  <c r="AW48" i="1"/>
  <c r="AU53" i="1"/>
  <c r="BB57" i="1"/>
  <c r="AU196" i="1"/>
  <c r="AV196" i="1"/>
  <c r="AW206" i="1"/>
  <c r="AV206" i="1"/>
  <c r="AU206" i="1"/>
  <c r="AW240" i="1"/>
  <c r="AV240" i="1"/>
  <c r="AU240" i="1"/>
  <c r="AW265" i="1"/>
  <c r="AV265" i="1"/>
  <c r="AU265" i="1"/>
  <c r="AW277" i="1"/>
  <c r="AV277" i="1"/>
  <c r="AU277" i="1"/>
  <c r="AW288" i="1"/>
  <c r="AV288" i="1"/>
  <c r="AU288" i="1"/>
  <c r="BB17" i="1"/>
  <c r="AW35" i="1"/>
  <c r="AU39" i="1"/>
  <c r="AV40" i="1"/>
  <c r="BB41" i="1"/>
  <c r="AV53" i="1"/>
  <c r="AV54" i="1"/>
  <c r="BB58" i="1"/>
  <c r="AU61" i="1"/>
  <c r="AV63" i="1"/>
  <c r="AU69" i="1"/>
  <c r="AU70" i="1"/>
  <c r="BB78" i="1"/>
  <c r="BB81" i="1"/>
  <c r="AV85" i="1"/>
  <c r="AV86" i="1"/>
  <c r="BB87" i="1"/>
  <c r="AW94" i="1"/>
  <c r="AV107" i="1"/>
  <c r="BB119" i="1"/>
  <c r="AW133" i="1"/>
  <c r="AV133" i="1"/>
  <c r="AU133" i="1"/>
  <c r="AW149" i="1"/>
  <c r="AV149" i="1"/>
  <c r="AU149" i="1"/>
  <c r="AU156" i="1"/>
  <c r="AV156" i="1"/>
  <c r="AW183" i="1"/>
  <c r="AV183" i="1"/>
  <c r="AW218" i="1"/>
  <c r="AV218" i="1"/>
  <c r="AU218" i="1"/>
  <c r="BB225" i="1"/>
  <c r="AW233" i="1"/>
  <c r="AV233" i="1"/>
  <c r="AU233" i="1"/>
  <c r="AW283" i="1"/>
  <c r="AV283" i="1"/>
  <c r="AU283" i="1"/>
  <c r="AW388" i="1"/>
  <c r="AV388" i="1"/>
  <c r="AW285" i="1"/>
  <c r="AV285" i="1"/>
  <c r="AW6" i="1"/>
  <c r="AU54" i="1"/>
  <c r="AU63" i="1"/>
  <c r="BB72" i="1"/>
  <c r="AU85" i="1"/>
  <c r="AU94" i="1"/>
  <c r="AV4" i="1"/>
  <c r="AV20" i="1"/>
  <c r="AV26" i="1"/>
  <c r="BB27" i="1"/>
  <c r="AV9" i="1"/>
  <c r="AU14" i="1"/>
  <c r="BB15" i="1"/>
  <c r="AU25" i="1"/>
  <c r="AW26" i="1"/>
  <c r="AU33" i="1"/>
  <c r="AW34" i="1"/>
  <c r="BB35" i="1"/>
  <c r="AV39" i="1"/>
  <c r="AW40" i="1"/>
  <c r="BB45" i="1"/>
  <c r="BB48" i="1"/>
  <c r="AV61" i="1"/>
  <c r="AU65" i="1"/>
  <c r="BB66" i="1"/>
  <c r="AV69" i="1"/>
  <c r="BB80" i="1"/>
  <c r="AU99" i="1"/>
  <c r="BB100" i="1"/>
  <c r="BB101" i="1"/>
  <c r="AV140" i="1"/>
  <c r="AW175" i="1"/>
  <c r="AV175" i="1"/>
  <c r="AU175" i="1"/>
  <c r="AU183" i="1"/>
  <c r="AW189" i="1"/>
  <c r="AV189" i="1"/>
  <c r="AU189" i="1"/>
  <c r="BB200" i="1"/>
  <c r="AW202" i="1"/>
  <c r="AV202" i="1"/>
  <c r="AU202" i="1"/>
  <c r="BB203" i="1"/>
  <c r="AW205" i="1"/>
  <c r="AV205" i="1"/>
  <c r="AW242" i="1"/>
  <c r="AV242" i="1"/>
  <c r="AU242" i="1"/>
  <c r="BB265" i="1"/>
  <c r="AW290" i="1"/>
  <c r="AV290" i="1"/>
  <c r="AU290" i="1"/>
  <c r="AU303" i="1"/>
  <c r="AW303" i="1"/>
  <c r="AV303" i="1"/>
  <c r="AV312" i="1"/>
  <c r="AW312" i="1"/>
  <c r="AU312" i="1"/>
  <c r="AW374" i="1"/>
  <c r="AV374" i="1"/>
  <c r="AU374" i="1"/>
  <c r="AW195" i="1"/>
  <c r="AV195" i="1"/>
  <c r="AU195" i="1"/>
  <c r="AW217" i="1"/>
  <c r="AV217" i="1"/>
  <c r="AW239" i="1"/>
  <c r="AV239" i="1"/>
  <c r="AU245" i="1"/>
  <c r="AW245" i="1"/>
  <c r="AV245" i="1"/>
  <c r="AW255" i="1"/>
  <c r="AV255" i="1"/>
  <c r="AW264" i="1"/>
  <c r="AV264" i="1"/>
  <c r="AU264" i="1"/>
  <c r="AV384" i="1"/>
  <c r="AW384" i="1"/>
  <c r="AU384" i="1"/>
  <c r="AW216" i="1"/>
  <c r="AV216" i="1"/>
  <c r="AW241" i="1"/>
  <c r="AV241" i="1"/>
  <c r="AU241" i="1"/>
  <c r="AV266" i="1"/>
  <c r="AU266" i="1"/>
  <c r="AW17" i="1"/>
  <c r="AW22" i="1"/>
  <c r="AW81" i="1"/>
  <c r="AW96" i="1"/>
  <c r="BB14" i="1"/>
  <c r="BB19" i="1"/>
  <c r="BB26" i="1"/>
  <c r="BB39" i="1"/>
  <c r="BB40" i="1"/>
  <c r="AW50" i="1"/>
  <c r="BB52" i="1"/>
  <c r="AV58" i="1"/>
  <c r="BB60" i="1"/>
  <c r="BB65" i="1"/>
  <c r="BB69" i="1"/>
  <c r="AU73" i="1"/>
  <c r="AV74" i="1"/>
  <c r="BB84" i="1"/>
  <c r="AU89" i="1"/>
  <c r="AU121" i="1"/>
  <c r="AV122" i="1"/>
  <c r="AW135" i="1"/>
  <c r="AV135" i="1"/>
  <c r="AU135" i="1"/>
  <c r="AV138" i="1"/>
  <c r="BB186" i="1"/>
  <c r="AU217" i="1"/>
  <c r="BB224" i="1"/>
  <c r="AU229" i="1"/>
  <c r="AW229" i="1"/>
  <c r="AV229" i="1"/>
  <c r="AW232" i="1"/>
  <c r="AV232" i="1"/>
  <c r="AU232" i="1"/>
  <c r="AW273" i="1"/>
  <c r="AU273" i="1"/>
  <c r="AW282" i="1"/>
  <c r="AV282" i="1"/>
  <c r="AU282" i="1"/>
  <c r="BB128" i="1"/>
  <c r="BB146" i="1"/>
  <c r="BB152" i="1"/>
  <c r="BB162" i="1"/>
  <c r="BB169" i="1"/>
  <c r="BB192" i="1"/>
  <c r="BB198" i="1"/>
  <c r="BB239" i="1"/>
  <c r="BB246" i="1"/>
  <c r="BB252" i="1"/>
  <c r="BB263" i="1"/>
  <c r="BB267" i="1"/>
  <c r="AU269" i="1"/>
  <c r="AV269" i="1"/>
  <c r="BB295" i="1"/>
  <c r="AV298" i="1"/>
  <c r="BB302" i="1"/>
  <c r="AW305" i="1"/>
  <c r="AV305" i="1"/>
  <c r="AW328" i="1"/>
  <c r="AV332" i="1"/>
  <c r="BB333" i="1"/>
  <c r="AW348" i="1"/>
  <c r="AV349" i="1"/>
  <c r="BB352" i="1"/>
  <c r="AW357" i="1"/>
  <c r="AV366" i="1"/>
  <c r="AW366" i="1"/>
  <c r="AV367" i="1"/>
  <c r="AU367" i="1"/>
  <c r="AW413" i="1"/>
  <c r="AV413" i="1"/>
  <c r="AU413" i="1"/>
  <c r="AU445" i="1"/>
  <c r="AW445" i="1"/>
  <c r="AV445" i="1"/>
  <c r="AV131" i="1"/>
  <c r="AU134" i="1"/>
  <c r="AV136" i="1"/>
  <c r="BB137" i="1"/>
  <c r="AU155" i="1"/>
  <c r="BB156" i="1"/>
  <c r="BB158" i="1"/>
  <c r="AV164" i="1"/>
  <c r="AU167" i="1"/>
  <c r="AU168" i="1"/>
  <c r="AU181" i="1"/>
  <c r="BB184" i="1"/>
  <c r="AU187" i="1"/>
  <c r="AV188" i="1"/>
  <c r="AV194" i="1"/>
  <c r="BB207" i="1"/>
  <c r="BB213" i="1"/>
  <c r="AW432" i="1"/>
  <c r="AV432" i="1"/>
  <c r="AU432" i="1"/>
  <c r="AW472" i="1"/>
  <c r="AV472" i="1"/>
  <c r="AU472" i="1"/>
  <c r="AW131" i="1"/>
  <c r="AV134" i="1"/>
  <c r="AW136" i="1"/>
  <c r="AV167" i="1"/>
  <c r="AV181" i="1"/>
  <c r="BB183" i="1"/>
  <c r="AV187" i="1"/>
  <c r="AW194" i="1"/>
  <c r="AU203" i="1"/>
  <c r="AU219" i="1"/>
  <c r="AU224" i="1"/>
  <c r="AU225" i="1"/>
  <c r="AU226" i="1"/>
  <c r="AV231" i="1"/>
  <c r="AU248" i="1"/>
  <c r="AV249" i="1"/>
  <c r="BB266" i="1"/>
  <c r="AW272" i="1"/>
  <c r="AU280" i="1"/>
  <c r="AV281" i="1"/>
  <c r="AW284" i="1"/>
  <c r="AV289" i="1"/>
  <c r="AV293" i="1"/>
  <c r="AW293" i="1"/>
  <c r="BB294" i="1"/>
  <c r="AV310" i="1"/>
  <c r="AU310" i="1"/>
  <c r="AV314" i="1"/>
  <c r="AU321" i="1"/>
  <c r="AW321" i="1"/>
  <c r="AV321" i="1"/>
  <c r="AV336" i="1"/>
  <c r="AV345" i="1"/>
  <c r="BB357" i="1"/>
  <c r="AV363" i="1"/>
  <c r="AV382" i="1"/>
  <c r="BB422" i="1"/>
  <c r="BB456" i="1"/>
  <c r="BB109" i="1"/>
  <c r="BB112" i="1"/>
  <c r="BB120" i="1"/>
  <c r="AV130" i="1"/>
  <c r="AW144" i="1"/>
  <c r="BB148" i="1"/>
  <c r="AV154" i="1"/>
  <c r="BB161" i="1"/>
  <c r="BB168" i="1"/>
  <c r="AU171" i="1"/>
  <c r="AV172" i="1"/>
  <c r="BB175" i="1"/>
  <c r="AV178" i="1"/>
  <c r="AV179" i="1"/>
  <c r="BB182" i="1"/>
  <c r="AW186" i="1"/>
  <c r="BB197" i="1"/>
  <c r="AW203" i="1"/>
  <c r="AW219" i="1"/>
  <c r="AV224" i="1"/>
  <c r="AV225" i="1"/>
  <c r="BB231" i="1"/>
  <c r="AV248" i="1"/>
  <c r="BB272" i="1"/>
  <c r="BB282" i="1"/>
  <c r="AW314" i="1"/>
  <c r="AW345" i="1"/>
  <c r="AU353" i="1"/>
  <c r="AW353" i="1"/>
  <c r="AW382" i="1"/>
  <c r="AU394" i="1"/>
  <c r="AW394" i="1"/>
  <c r="AV399" i="1"/>
  <c r="AW399" i="1"/>
  <c r="AU399" i="1"/>
  <c r="AW431" i="1"/>
  <c r="AV431" i="1"/>
  <c r="AU431" i="1"/>
  <c r="AU343" i="1"/>
  <c r="AV344" i="1"/>
  <c r="BB346" i="1"/>
  <c r="AV353" i="1"/>
  <c r="AW381" i="1"/>
  <c r="AW386" i="1"/>
  <c r="AV394" i="1"/>
  <c r="BB412" i="1"/>
  <c r="BB425" i="1"/>
  <c r="AU427" i="1"/>
  <c r="AW427" i="1"/>
  <c r="AV427" i="1"/>
  <c r="BB432" i="1"/>
  <c r="AV434" i="1"/>
  <c r="AW434" i="1"/>
  <c r="BB219" i="1"/>
  <c r="AW243" i="1"/>
  <c r="AU243" i="1"/>
  <c r="BB248" i="1"/>
  <c r="BB268" i="1"/>
  <c r="BB296" i="1"/>
  <c r="BB300" i="1"/>
  <c r="BB310" i="1"/>
  <c r="AV407" i="1"/>
  <c r="AW407" i="1"/>
  <c r="AW451" i="1"/>
  <c r="AV451" i="1"/>
  <c r="AU451" i="1"/>
  <c r="BB292" i="1"/>
  <c r="AW302" i="1"/>
  <c r="AV302" i="1"/>
  <c r="AU307" i="1"/>
  <c r="AW307" i="1"/>
  <c r="AV325" i="1"/>
  <c r="AU325" i="1"/>
  <c r="AU329" i="1"/>
  <c r="AV329" i="1"/>
  <c r="AV333" i="1"/>
  <c r="AW333" i="1"/>
  <c r="AU333" i="1"/>
  <c r="AV350" i="1"/>
  <c r="AW350" i="1"/>
  <c r="AU361" i="1"/>
  <c r="AW361" i="1"/>
  <c r="AW396" i="1"/>
  <c r="AV396" i="1"/>
  <c r="AU443" i="1"/>
  <c r="AW443" i="1"/>
  <c r="AV443" i="1"/>
  <c r="AV446" i="1"/>
  <c r="AU446" i="1"/>
  <c r="AW454" i="1"/>
  <c r="AV454" i="1"/>
  <c r="AU454" i="1"/>
  <c r="BB309" i="1"/>
  <c r="BB316" i="1"/>
  <c r="BB325" i="1"/>
  <c r="BB363" i="1"/>
  <c r="BB378" i="1"/>
  <c r="BB408" i="1"/>
  <c r="BB416" i="1"/>
  <c r="BB428" i="1"/>
  <c r="BB437" i="1"/>
  <c r="BB441" i="1"/>
  <c r="AU466" i="1"/>
  <c r="AU469" i="1"/>
  <c r="AV435" i="1"/>
  <c r="AU447" i="1"/>
  <c r="BB457" i="1"/>
  <c r="BB461" i="1"/>
  <c r="AU467" i="1"/>
  <c r="AU474" i="1"/>
  <c r="AU475" i="1"/>
  <c r="BB385" i="1"/>
  <c r="BB427" i="1"/>
  <c r="AV430" i="1"/>
  <c r="AV450" i="1"/>
  <c r="AV453" i="1"/>
  <c r="AV464" i="1"/>
  <c r="AV471" i="1"/>
  <c r="BB236" i="1"/>
  <c r="BB247" i="1"/>
  <c r="BB259" i="1"/>
  <c r="BB270" i="1"/>
  <c r="BB289" i="1"/>
  <c r="BB290" i="1"/>
  <c r="BB313" i="1"/>
  <c r="BB318" i="1"/>
  <c r="BB376" i="1"/>
  <c r="AU390" i="1"/>
  <c r="BB396" i="1"/>
  <c r="AU400" i="1"/>
  <c r="AU405" i="1"/>
  <c r="BB410" i="1"/>
  <c r="AU414" i="1"/>
  <c r="AU422" i="1"/>
  <c r="AU438" i="1"/>
  <c r="AU439" i="1"/>
  <c r="AU442" i="1"/>
  <c r="BB465" i="1"/>
  <c r="BB469" i="1"/>
  <c r="BB298" i="1"/>
  <c r="AW400" i="1"/>
  <c r="AV421" i="1"/>
  <c r="BB429" i="1"/>
  <c r="BB473" i="1"/>
  <c r="BB453" i="1"/>
  <c r="AW52" i="1"/>
  <c r="AU52" i="1"/>
  <c r="AW28" i="1"/>
  <c r="AU28" i="1"/>
  <c r="AV52" i="1"/>
  <c r="BB34" i="1"/>
  <c r="AU38" i="1"/>
  <c r="AU78" i="1"/>
  <c r="AW18" i="1"/>
  <c r="AW5" i="1"/>
  <c r="AU11" i="1"/>
  <c r="AW13" i="1"/>
  <c r="AU19" i="1"/>
  <c r="AW21" i="1"/>
  <c r="AU30" i="1"/>
  <c r="AV34" i="1"/>
  <c r="AW43" i="1"/>
  <c r="AU59" i="1"/>
  <c r="AW60" i="1"/>
  <c r="AU60" i="1"/>
  <c r="AU106" i="1"/>
  <c r="AV106" i="1"/>
  <c r="AU108" i="1"/>
  <c r="AW108" i="1"/>
  <c r="AW150" i="1"/>
  <c r="AV150" i="1"/>
  <c r="AU150" i="1"/>
  <c r="AU62" i="1"/>
  <c r="BB24" i="1"/>
  <c r="AV27" i="1"/>
  <c r="AV28" i="1"/>
  <c r="AU32" i="1"/>
  <c r="AU72" i="1"/>
  <c r="AV11" i="1"/>
  <c r="AW36" i="1"/>
  <c r="AU36" i="1"/>
  <c r="AW76" i="1"/>
  <c r="AU76" i="1"/>
  <c r="BB96" i="1"/>
  <c r="AW41" i="1"/>
  <c r="AV42" i="1"/>
  <c r="AV62" i="1"/>
  <c r="AW66" i="1"/>
  <c r="AU67" i="1"/>
  <c r="AW68" i="1"/>
  <c r="AU68" i="1"/>
  <c r="BB74" i="1"/>
  <c r="AV19" i="1"/>
  <c r="AV36" i="1"/>
  <c r="BB42" i="1"/>
  <c r="AU46" i="1"/>
  <c r="AW49" i="1"/>
  <c r="AV50" i="1"/>
  <c r="AV70" i="1"/>
  <c r="AV76" i="1"/>
  <c r="BB83" i="1"/>
  <c r="AW86" i="1"/>
  <c r="AU87" i="1"/>
  <c r="AV95" i="1"/>
  <c r="AW95" i="1"/>
  <c r="BB97" i="1"/>
  <c r="BB99" i="1"/>
  <c r="AW115" i="1"/>
  <c r="AU115" i="1"/>
  <c r="AW262" i="1"/>
  <c r="AV262" i="1"/>
  <c r="AU262" i="1"/>
  <c r="AW92" i="1"/>
  <c r="AV92" i="1"/>
  <c r="BB106" i="1"/>
  <c r="AU112" i="1"/>
  <c r="AV113" i="1"/>
  <c r="AU113" i="1"/>
  <c r="AV115" i="1"/>
  <c r="AU7" i="1"/>
  <c r="AU15" i="1"/>
  <c r="AU23" i="1"/>
  <c r="AU27" i="1"/>
  <c r="AU41" i="1"/>
  <c r="AU56" i="1"/>
  <c r="AU18" i="1"/>
  <c r="AV56" i="1"/>
  <c r="AU91" i="1"/>
  <c r="AU92" i="1"/>
  <c r="AU100" i="1"/>
  <c r="AW100" i="1"/>
  <c r="AU5" i="1"/>
  <c r="AW7" i="1"/>
  <c r="AV10" i="1"/>
  <c r="AU13" i="1"/>
  <c r="AW15" i="1"/>
  <c r="AU21" i="1"/>
  <c r="AW23" i="1"/>
  <c r="AV32" i="1"/>
  <c r="AV38" i="1"/>
  <c r="AW42" i="1"/>
  <c r="AU43" i="1"/>
  <c r="AW44" i="1"/>
  <c r="AU44" i="1"/>
  <c r="AU57" i="1"/>
  <c r="AV67" i="1"/>
  <c r="AV68" i="1"/>
  <c r="AV72" i="1"/>
  <c r="AV78" i="1"/>
  <c r="AU84" i="1"/>
  <c r="AV91" i="1"/>
  <c r="AV98" i="1"/>
  <c r="AV100" i="1"/>
  <c r="AW102" i="1"/>
  <c r="AU102" i="1"/>
  <c r="AV118" i="1"/>
  <c r="AU124" i="1"/>
  <c r="AW124" i="1"/>
  <c r="AV124" i="1"/>
  <c r="BB147" i="1"/>
  <c r="AV66" i="1"/>
  <c r="AU10" i="1"/>
  <c r="BB50" i="1"/>
  <c r="AW57" i="1"/>
  <c r="AV84" i="1"/>
  <c r="BB88" i="1"/>
  <c r="AW98" i="1"/>
  <c r="AW142" i="1"/>
  <c r="AV142" i="1"/>
  <c r="BB154" i="1"/>
  <c r="AV169" i="1"/>
  <c r="AU169" i="1"/>
  <c r="AW169" i="1"/>
  <c r="AW198" i="1"/>
  <c r="AV198" i="1"/>
  <c r="AU198" i="1"/>
  <c r="BB206" i="1"/>
  <c r="AW254" i="1"/>
  <c r="AV254" i="1"/>
  <c r="AU254" i="1"/>
  <c r="BB130" i="1"/>
  <c r="AV177" i="1"/>
  <c r="AU177" i="1"/>
  <c r="AW177" i="1"/>
  <c r="AV185" i="1"/>
  <c r="AU185" i="1"/>
  <c r="AW185" i="1"/>
  <c r="AV193" i="1"/>
  <c r="AU193" i="1"/>
  <c r="AW193" i="1"/>
  <c r="AW208" i="1"/>
  <c r="AV208" i="1"/>
  <c r="AU208" i="1"/>
  <c r="AW246" i="1"/>
  <c r="AV246" i="1"/>
  <c r="AU246" i="1"/>
  <c r="BB138" i="1"/>
  <c r="AU160" i="1"/>
  <c r="AV161" i="1"/>
  <c r="AU161" i="1"/>
  <c r="AV168" i="1"/>
  <c r="AW174" i="1"/>
  <c r="AV174" i="1"/>
  <c r="AW182" i="1"/>
  <c r="AV182" i="1"/>
  <c r="AW190" i="1"/>
  <c r="AV190" i="1"/>
  <c r="AW238" i="1"/>
  <c r="AV238" i="1"/>
  <c r="AU238" i="1"/>
  <c r="AV110" i="1"/>
  <c r="AW114" i="1"/>
  <c r="AU116" i="1"/>
  <c r="AW116" i="1"/>
  <c r="AU129" i="1"/>
  <c r="AU152" i="1"/>
  <c r="AV153" i="1"/>
  <c r="AU153" i="1"/>
  <c r="AV160" i="1"/>
  <c r="AW161" i="1"/>
  <c r="AV162" i="1"/>
  <c r="AU163" i="1"/>
  <c r="AU174" i="1"/>
  <c r="AV176" i="1"/>
  <c r="AU182" i="1"/>
  <c r="AV184" i="1"/>
  <c r="AU190" i="1"/>
  <c r="AV192" i="1"/>
  <c r="BB199" i="1"/>
  <c r="AU207" i="1"/>
  <c r="AV207" i="1"/>
  <c r="AU144" i="1"/>
  <c r="AV145" i="1"/>
  <c r="AU145" i="1"/>
  <c r="AV152" i="1"/>
  <c r="AW162" i="1"/>
  <c r="AV163" i="1"/>
  <c r="AW176" i="1"/>
  <c r="AW184" i="1"/>
  <c r="AW192" i="1"/>
  <c r="AW201" i="1"/>
  <c r="AV201" i="1"/>
  <c r="AU201" i="1"/>
  <c r="AV204" i="1"/>
  <c r="AW204" i="1"/>
  <c r="AU204" i="1"/>
  <c r="AU221" i="1"/>
  <c r="AW221" i="1"/>
  <c r="AV221" i="1"/>
  <c r="AW82" i="1"/>
  <c r="BB98" i="1"/>
  <c r="AW105" i="1"/>
  <c r="AV126" i="1"/>
  <c r="AW130" i="1"/>
  <c r="AU132" i="1"/>
  <c r="AW132" i="1"/>
  <c r="AV137" i="1"/>
  <c r="AU137" i="1"/>
  <c r="AW145" i="1"/>
  <c r="AV146" i="1"/>
  <c r="AU147" i="1"/>
  <c r="AW154" i="1"/>
  <c r="AV155" i="1"/>
  <c r="AW166" i="1"/>
  <c r="AV166" i="1"/>
  <c r="AW158" i="1"/>
  <c r="AV158" i="1"/>
  <c r="AW200" i="1"/>
  <c r="AU200" i="1"/>
  <c r="AW270" i="1"/>
  <c r="AV270" i="1"/>
  <c r="AU270" i="1"/>
  <c r="AV304" i="1"/>
  <c r="AW304" i="1"/>
  <c r="AU304" i="1"/>
  <c r="AW140" i="1"/>
  <c r="AW148" i="1"/>
  <c r="AW156" i="1"/>
  <c r="AW164" i="1"/>
  <c r="AW172" i="1"/>
  <c r="AW180" i="1"/>
  <c r="AW188" i="1"/>
  <c r="AW196" i="1"/>
  <c r="AW222" i="1"/>
  <c r="AU222" i="1"/>
  <c r="AW230" i="1"/>
  <c r="AU230" i="1"/>
  <c r="AV220" i="1"/>
  <c r="AU220" i="1"/>
  <c r="AW317" i="1"/>
  <c r="AU317" i="1"/>
  <c r="AV317" i="1"/>
  <c r="AW228" i="1"/>
  <c r="AV228" i="1"/>
  <c r="AU228" i="1"/>
  <c r="AW291" i="1"/>
  <c r="AV291" i="1"/>
  <c r="AU291" i="1"/>
  <c r="AW215" i="1"/>
  <c r="AU215" i="1"/>
  <c r="AV360" i="1"/>
  <c r="AU360" i="1"/>
  <c r="AW360" i="1"/>
  <c r="AU212" i="1"/>
  <c r="AV213" i="1"/>
  <c r="AV214" i="1"/>
  <c r="AV215" i="1"/>
  <c r="BB221" i="1"/>
  <c r="AU227" i="1"/>
  <c r="BB229" i="1"/>
  <c r="BB312" i="1"/>
  <c r="AW330" i="1"/>
  <c r="AU330" i="1"/>
  <c r="AV330" i="1"/>
  <c r="AW212" i="1"/>
  <c r="AW213" i="1"/>
  <c r="AW214" i="1"/>
  <c r="BB220" i="1"/>
  <c r="AW227" i="1"/>
  <c r="BB228" i="1"/>
  <c r="AU299" i="1"/>
  <c r="AW299" i="1"/>
  <c r="AV299" i="1"/>
  <c r="AU315" i="1"/>
  <c r="AW315" i="1"/>
  <c r="AV315" i="1"/>
  <c r="AV235" i="1"/>
  <c r="AV243" i="1"/>
  <c r="AV251" i="1"/>
  <c r="AV259" i="1"/>
  <c r="AV267" i="1"/>
  <c r="AV273" i="1"/>
  <c r="AW276" i="1"/>
  <c r="AV280" i="1"/>
  <c r="AW287" i="1"/>
  <c r="AV294" i="1"/>
  <c r="BB301" i="1"/>
  <c r="AV309" i="1"/>
  <c r="BB379" i="1"/>
  <c r="AV392" i="1"/>
  <c r="AW392" i="1"/>
  <c r="AU392" i="1"/>
  <c r="AV409" i="1"/>
  <c r="AU409" i="1"/>
  <c r="AW409" i="1"/>
  <c r="BB285" i="1"/>
  <c r="AV295" i="1"/>
  <c r="AU305" i="1"/>
  <c r="AW327" i="1"/>
  <c r="AV327" i="1"/>
  <c r="AU327" i="1"/>
  <c r="AV342" i="1"/>
  <c r="AW342" i="1"/>
  <c r="AU342" i="1"/>
  <c r="AW395" i="1"/>
  <c r="AU395" i="1"/>
  <c r="AV395" i="1"/>
  <c r="AU236" i="1"/>
  <c r="AU244" i="1"/>
  <c r="AU252" i="1"/>
  <c r="AU260" i="1"/>
  <c r="AU268" i="1"/>
  <c r="AW323" i="1"/>
  <c r="AU323" i="1"/>
  <c r="AU338" i="1"/>
  <c r="AW338" i="1"/>
  <c r="AV338" i="1"/>
  <c r="AV359" i="1"/>
  <c r="AW359" i="1"/>
  <c r="AU359" i="1"/>
  <c r="AV377" i="1"/>
  <c r="AU377" i="1"/>
  <c r="AW377" i="1"/>
  <c r="AU223" i="1"/>
  <c r="AU231" i="1"/>
  <c r="AV236" i="1"/>
  <c r="AU239" i="1"/>
  <c r="AV244" i="1"/>
  <c r="AU247" i="1"/>
  <c r="AV252" i="1"/>
  <c r="AU255" i="1"/>
  <c r="AV260" i="1"/>
  <c r="AU263" i="1"/>
  <c r="AV268" i="1"/>
  <c r="AV271" i="1"/>
  <c r="AU278" i="1"/>
  <c r="AU285" i="1"/>
  <c r="AU289" i="1"/>
  <c r="AU292" i="1"/>
  <c r="BB293" i="1"/>
  <c r="AU296" i="1"/>
  <c r="AW300" i="1"/>
  <c r="AU301" i="1"/>
  <c r="AW311" i="1"/>
  <c r="AW320" i="1"/>
  <c r="AV320" i="1"/>
  <c r="AU320" i="1"/>
  <c r="AV323" i="1"/>
  <c r="AV326" i="1"/>
  <c r="AU326" i="1"/>
  <c r="AW362" i="1"/>
  <c r="AU362" i="1"/>
  <c r="AV362" i="1"/>
  <c r="AV408" i="1"/>
  <c r="AW408" i="1"/>
  <c r="AU408" i="1"/>
  <c r="AU337" i="1"/>
  <c r="AV337" i="1"/>
  <c r="AW411" i="1"/>
  <c r="AU411" i="1"/>
  <c r="AV411" i="1"/>
  <c r="AW428" i="1"/>
  <c r="AU428" i="1"/>
  <c r="AV428" i="1"/>
  <c r="AU272" i="1"/>
  <c r="AV279" i="1"/>
  <c r="AU293" i="1"/>
  <c r="AU297" i="1"/>
  <c r="AU313" i="1"/>
  <c r="AW319" i="1"/>
  <c r="AU319" i="1"/>
  <c r="AW331" i="1"/>
  <c r="AV331" i="1"/>
  <c r="AU331" i="1"/>
  <c r="AV334" i="1"/>
  <c r="AW334" i="1"/>
  <c r="AU334" i="1"/>
  <c r="AW337" i="1"/>
  <c r="BB362" i="1"/>
  <c r="AV376" i="1"/>
  <c r="AW376" i="1"/>
  <c r="AU376" i="1"/>
  <c r="AV393" i="1"/>
  <c r="AU393" i="1"/>
  <c r="AW393" i="1"/>
  <c r="AW436" i="1"/>
  <c r="AV436" i="1"/>
  <c r="AU436" i="1"/>
  <c r="AW279" i="1"/>
  <c r="AV297" i="1"/>
  <c r="BB305" i="1"/>
  <c r="AV313" i="1"/>
  <c r="AW379" i="1"/>
  <c r="AU379" i="1"/>
  <c r="AV379" i="1"/>
  <c r="AW347" i="1"/>
  <c r="AU347" i="1"/>
  <c r="AV352" i="1"/>
  <c r="AU352" i="1"/>
  <c r="AV368" i="1"/>
  <c r="AU368" i="1"/>
  <c r="AV385" i="1"/>
  <c r="AU385" i="1"/>
  <c r="AV386" i="1"/>
  <c r="BB393" i="1"/>
  <c r="AV401" i="1"/>
  <c r="AU401" i="1"/>
  <c r="AV402" i="1"/>
  <c r="AV417" i="1"/>
  <c r="AU417" i="1"/>
  <c r="AV419" i="1"/>
  <c r="BB434" i="1"/>
  <c r="AW444" i="1"/>
  <c r="AV444" i="1"/>
  <c r="AU444" i="1"/>
  <c r="BB458" i="1"/>
  <c r="AW419" i="1"/>
  <c r="AW465" i="1"/>
  <c r="AV465" i="1"/>
  <c r="AU465" i="1"/>
  <c r="BB353" i="1"/>
  <c r="BB386" i="1"/>
  <c r="BB402" i="1"/>
  <c r="BB419" i="1"/>
  <c r="AW441" i="1"/>
  <c r="AV441" i="1"/>
  <c r="BB445" i="1"/>
  <c r="AW449" i="1"/>
  <c r="AV449" i="1"/>
  <c r="AU449" i="1"/>
  <c r="BB466" i="1"/>
  <c r="AW473" i="1"/>
  <c r="AV473" i="1"/>
  <c r="AU473" i="1"/>
  <c r="AV426" i="1"/>
  <c r="AU426" i="1"/>
  <c r="AU425" i="1"/>
  <c r="AW426" i="1"/>
  <c r="AW433" i="1"/>
  <c r="AV433" i="1"/>
  <c r="BB450" i="1"/>
  <c r="AU339" i="1"/>
  <c r="AW354" i="1"/>
  <c r="AU354" i="1"/>
  <c r="AW371" i="1"/>
  <c r="AU371" i="1"/>
  <c r="AW387" i="1"/>
  <c r="AU387" i="1"/>
  <c r="AW403" i="1"/>
  <c r="AU403" i="1"/>
  <c r="AW420" i="1"/>
  <c r="AU420" i="1"/>
  <c r="AW425" i="1"/>
  <c r="BB442" i="1"/>
  <c r="AW457" i="1"/>
  <c r="AV457" i="1"/>
  <c r="AU457" i="1"/>
  <c r="AV339" i="1"/>
  <c r="AV354" i="1"/>
  <c r="BB361" i="1"/>
  <c r="AV371" i="1"/>
  <c r="AU452" i="1"/>
  <c r="AU460" i="1"/>
  <c r="AU468" i="1"/>
  <c r="AV452" i="1"/>
  <c r="AV460" i="1"/>
  <c r="AV468" i="1"/>
  <c r="AU434" i="1"/>
  <c r="AU355" i="1"/>
  <c r="AU363" i="1"/>
  <c r="AU372" i="1"/>
  <c r="AU380" i="1"/>
  <c r="AU388" i="1"/>
  <c r="AU396" i="1"/>
  <c r="AU404" i="1"/>
  <c r="AU412" i="1"/>
  <c r="AU421" i="1"/>
  <c r="AU429" i="1"/>
  <c r="AU437" i="1"/>
  <c r="S414" i="1"/>
  <c r="S61" i="1"/>
  <c r="S368" i="1"/>
  <c r="S214" i="1"/>
  <c r="S213" i="1"/>
  <c r="S146" i="1"/>
  <c r="S60" i="1"/>
  <c r="AX412" i="1" l="1"/>
  <c r="BA412" i="1" s="1"/>
  <c r="AX292" i="1"/>
  <c r="BA292" i="1" s="1"/>
  <c r="AX82" i="1"/>
  <c r="BA82" i="1" s="1"/>
  <c r="AX422" i="1"/>
  <c r="BA422" i="1" s="1"/>
  <c r="AX429" i="1"/>
  <c r="BA429" i="1" s="1"/>
  <c r="AX99" i="1"/>
  <c r="BA99" i="1" s="1"/>
  <c r="AX355" i="1"/>
  <c r="BA355" i="1" s="1"/>
  <c r="AX235" i="1"/>
  <c r="BA235" i="1" s="1"/>
  <c r="AX111" i="1"/>
  <c r="BA111" i="1" s="1"/>
  <c r="AX461" i="1"/>
  <c r="BA461" i="1" s="1"/>
  <c r="AX370" i="1"/>
  <c r="BA370" i="1" s="1"/>
  <c r="AX258" i="1"/>
  <c r="BA258" i="1" s="1"/>
  <c r="AX284" i="1"/>
  <c r="BA284" i="1" s="1"/>
  <c r="AX14" i="1"/>
  <c r="BA14" i="1" s="1"/>
  <c r="AX178" i="1"/>
  <c r="BA178" i="1" s="1"/>
  <c r="AX453" i="1"/>
  <c r="BA453" i="1" s="1"/>
  <c r="AX59" i="1"/>
  <c r="BA59" i="1" s="1"/>
  <c r="AX346" i="1"/>
  <c r="BA346" i="1" s="1"/>
  <c r="AX325" i="1"/>
  <c r="BA325" i="1" s="1"/>
  <c r="AX186" i="1"/>
  <c r="BA186" i="1" s="1"/>
  <c r="AX97" i="1"/>
  <c r="BA97" i="1" s="1"/>
  <c r="AX386" i="1"/>
  <c r="BA386" i="1" s="1"/>
  <c r="AX203" i="1"/>
  <c r="BA203" i="1" s="1"/>
  <c r="AX385" i="1"/>
  <c r="BA385" i="1" s="1"/>
  <c r="AX103" i="1"/>
  <c r="BA103" i="1" s="1"/>
  <c r="AX475" i="1"/>
  <c r="BA475" i="1" s="1"/>
  <c r="AX365" i="1"/>
  <c r="BA365" i="1" s="1"/>
  <c r="AX85" i="1"/>
  <c r="BA85" i="1" s="1"/>
  <c r="AX179" i="1"/>
  <c r="BA179" i="1" s="1"/>
  <c r="AX278" i="1"/>
  <c r="BA278" i="1" s="1"/>
  <c r="AX129" i="1"/>
  <c r="BA129" i="1" s="1"/>
  <c r="AX126" i="1"/>
  <c r="BA126" i="1" s="1"/>
  <c r="AX130" i="1"/>
  <c r="BA130" i="1" s="1"/>
  <c r="AX146" i="1"/>
  <c r="BA146" i="1" s="1"/>
  <c r="AX105" i="1"/>
  <c r="BA105" i="1" s="1"/>
  <c r="AX390" i="1"/>
  <c r="BA390" i="1" s="1"/>
  <c r="AX31" i="1"/>
  <c r="BA31" i="1" s="1"/>
  <c r="AX397" i="1"/>
  <c r="BA397" i="1" s="1"/>
  <c r="AX142" i="1"/>
  <c r="BA142" i="1" s="1"/>
  <c r="AX464" i="1"/>
  <c r="BA464" i="1" s="1"/>
  <c r="AX348" i="1"/>
  <c r="BA348" i="1" s="1"/>
  <c r="AX259" i="1"/>
  <c r="BA259" i="1" s="1"/>
  <c r="AX125" i="1"/>
  <c r="BA125" i="1" s="1"/>
  <c r="AX340" i="1"/>
  <c r="BA340" i="1" s="1"/>
  <c r="AX396" i="1"/>
  <c r="BA396" i="1" s="1"/>
  <c r="AX87" i="1"/>
  <c r="BA87" i="1" s="1"/>
  <c r="AX405" i="1"/>
  <c r="BA405" i="1" s="1"/>
  <c r="AX388" i="1"/>
  <c r="BA388" i="1" s="1"/>
  <c r="AX199" i="1"/>
  <c r="BA199" i="1" s="1"/>
  <c r="AX418" i="1"/>
  <c r="BA418" i="1" s="1"/>
  <c r="AX233" i="1"/>
  <c r="BA233" i="1" s="1"/>
  <c r="AX455" i="1"/>
  <c r="BA455" i="1" s="1"/>
  <c r="AX261" i="1"/>
  <c r="BA261" i="1" s="1"/>
  <c r="AX343" i="1"/>
  <c r="BA343" i="1" s="1"/>
  <c r="AX94" i="1"/>
  <c r="BA94" i="1" s="1"/>
  <c r="AX239" i="1"/>
  <c r="BA239" i="1" s="1"/>
  <c r="AX98" i="1"/>
  <c r="BA98" i="1" s="1"/>
  <c r="AX107" i="1"/>
  <c r="BA107" i="1" s="1"/>
  <c r="AX459" i="1"/>
  <c r="BA459" i="1" s="1"/>
  <c r="AX364" i="1"/>
  <c r="BA364" i="1" s="1"/>
  <c r="AX462" i="1"/>
  <c r="BA462" i="1" s="1"/>
  <c r="AX123" i="1"/>
  <c r="BA123" i="1" s="1"/>
  <c r="AX276" i="1"/>
  <c r="BA276" i="1" s="1"/>
  <c r="AX46" i="1"/>
  <c r="BA46" i="1" s="1"/>
  <c r="AX414" i="1"/>
  <c r="BA414" i="1" s="1"/>
  <c r="AX74" i="1"/>
  <c r="BA74" i="1" s="1"/>
  <c r="AX380" i="1"/>
  <c r="BA380" i="1" s="1"/>
  <c r="AX402" i="1"/>
  <c r="BA402" i="1" s="1"/>
  <c r="AX147" i="1"/>
  <c r="BA147" i="1" s="1"/>
  <c r="AX13" i="1"/>
  <c r="BA13" i="1" s="1"/>
  <c r="AX349" i="1"/>
  <c r="BA349" i="1" s="1"/>
  <c r="AX415" i="1"/>
  <c r="BA415" i="1" s="1"/>
  <c r="AX458" i="1"/>
  <c r="BA458" i="1" s="1"/>
  <c r="AX463" i="1"/>
  <c r="BA463" i="1" s="1"/>
  <c r="AX245" i="1"/>
  <c r="BA245" i="1" s="1"/>
  <c r="AX267" i="1"/>
  <c r="BA267" i="1" s="1"/>
  <c r="AX114" i="1"/>
  <c r="BA114" i="1" s="1"/>
  <c r="AX257" i="1"/>
  <c r="BA257" i="1" s="1"/>
  <c r="AX223" i="1"/>
  <c r="BA223" i="1" s="1"/>
  <c r="AX201" i="1"/>
  <c r="BA201" i="1" s="1"/>
  <c r="AX430" i="1"/>
  <c r="BA430" i="1" s="1"/>
  <c r="AX367" i="1"/>
  <c r="BA367" i="1" s="1"/>
  <c r="AX197" i="1"/>
  <c r="BA197" i="1" s="1"/>
  <c r="AX435" i="1"/>
  <c r="BA435" i="1" s="1"/>
  <c r="AX381" i="1"/>
  <c r="BA381" i="1" s="1"/>
  <c r="AX121" i="1"/>
  <c r="BA121" i="1" s="1"/>
  <c r="AX117" i="1"/>
  <c r="BA117" i="1" s="1"/>
  <c r="AX88" i="1"/>
  <c r="BA88" i="1" s="1"/>
  <c r="AX249" i="1"/>
  <c r="BA249" i="1" s="1"/>
  <c r="AX306" i="1"/>
  <c r="BA306" i="1" s="1"/>
  <c r="AX210" i="1"/>
  <c r="BA210" i="1" s="1"/>
  <c r="AX424" i="1"/>
  <c r="BA424" i="1" s="1"/>
  <c r="AX293" i="1"/>
  <c r="BA293" i="1" s="1"/>
  <c r="AX311" i="1"/>
  <c r="BA311" i="1" s="1"/>
  <c r="AX112" i="1"/>
  <c r="BA112" i="1" s="1"/>
  <c r="AX300" i="1"/>
  <c r="BA300" i="1" s="1"/>
  <c r="AX361" i="1"/>
  <c r="BA361" i="1" s="1"/>
  <c r="AX451" i="1"/>
  <c r="BA451" i="1" s="1"/>
  <c r="AX171" i="1"/>
  <c r="BA171" i="1" s="1"/>
  <c r="AX191" i="1"/>
  <c r="BA191" i="1" s="1"/>
  <c r="AX75" i="1"/>
  <c r="BA75" i="1" s="1"/>
  <c r="AX104" i="1"/>
  <c r="BA104" i="1" s="1"/>
  <c r="AX237" i="1"/>
  <c r="BA237" i="1" s="1"/>
  <c r="AX398" i="1"/>
  <c r="BA398" i="1" s="1"/>
  <c r="AX410" i="1"/>
  <c r="BA410" i="1" s="1"/>
  <c r="AX143" i="1"/>
  <c r="BA143" i="1" s="1"/>
  <c r="AX324" i="1"/>
  <c r="BA324" i="1" s="1"/>
  <c r="AX157" i="1"/>
  <c r="BA157" i="1" s="1"/>
  <c r="AX263" i="1"/>
  <c r="BA263" i="1" s="1"/>
  <c r="AX110" i="1"/>
  <c r="BA110" i="1" s="1"/>
  <c r="AX310" i="1"/>
  <c r="BA310" i="1" s="1"/>
  <c r="AX332" i="1"/>
  <c r="BA332" i="1" s="1"/>
  <c r="AX241" i="1"/>
  <c r="BA241" i="1" s="1"/>
  <c r="AX40" i="1"/>
  <c r="BA40" i="1" s="1"/>
  <c r="AX383" i="1"/>
  <c r="BA383" i="1" s="1"/>
  <c r="AX287" i="1"/>
  <c r="BA287" i="1" s="1"/>
  <c r="AX474" i="1"/>
  <c r="BA474" i="1" s="1"/>
  <c r="AX345" i="1"/>
  <c r="BA345" i="1" s="1"/>
  <c r="AX211" i="1"/>
  <c r="BA211" i="1" s="1"/>
  <c r="AX298" i="1"/>
  <c r="BA298" i="1" s="1"/>
  <c r="AX128" i="1"/>
  <c r="BA128" i="1" s="1"/>
  <c r="AX280" i="1"/>
  <c r="BA280" i="1" s="1"/>
  <c r="AX118" i="1"/>
  <c r="BA118" i="1" s="1"/>
  <c r="AX369" i="1"/>
  <c r="BA369" i="1" s="1"/>
  <c r="AX275" i="1"/>
  <c r="BA275" i="1" s="1"/>
  <c r="AX139" i="1"/>
  <c r="BA139" i="1" s="1"/>
  <c r="AX80" i="1"/>
  <c r="BA80" i="1" s="1"/>
  <c r="AX308" i="1"/>
  <c r="BA308" i="1" s="1"/>
  <c r="AX253" i="1"/>
  <c r="BA253" i="1" s="1"/>
  <c r="AX159" i="1"/>
  <c r="BA159" i="1" s="1"/>
  <c r="AX391" i="1"/>
  <c r="BA391" i="1" s="1"/>
  <c r="AX439" i="1"/>
  <c r="BA439" i="1" s="1"/>
  <c r="AX187" i="1"/>
  <c r="BA187" i="1" s="1"/>
  <c r="AX155" i="1"/>
  <c r="BA155" i="1" s="1"/>
  <c r="AX138" i="1"/>
  <c r="BA138" i="1" s="1"/>
  <c r="AX47" i="1"/>
  <c r="BA47" i="1" s="1"/>
  <c r="AX16" i="1"/>
  <c r="BA16" i="1" s="1"/>
  <c r="AX336" i="1"/>
  <c r="BA336" i="1" s="1"/>
  <c r="AX29" i="1"/>
  <c r="BA29" i="1" s="1"/>
  <c r="AX141" i="1"/>
  <c r="BA141" i="1" s="1"/>
  <c r="AX404" i="1"/>
  <c r="BA404" i="1" s="1"/>
  <c r="AX226" i="1"/>
  <c r="BA226" i="1" s="1"/>
  <c r="AX73" i="1"/>
  <c r="BA73" i="1" s="1"/>
  <c r="AX240" i="1"/>
  <c r="BA240" i="1" s="1"/>
  <c r="AX375" i="1"/>
  <c r="BA375" i="1" s="1"/>
  <c r="AX173" i="1"/>
  <c r="BA173" i="1" s="1"/>
  <c r="AX90" i="1"/>
  <c r="BA90" i="1" s="1"/>
  <c r="AX423" i="1"/>
  <c r="BA423" i="1" s="1"/>
  <c r="AX26" i="1"/>
  <c r="BA26" i="1" s="1"/>
  <c r="AX301" i="1"/>
  <c r="BA301" i="1" s="1"/>
  <c r="AX271" i="1"/>
  <c r="BA271" i="1" s="1"/>
  <c r="AX309" i="1"/>
  <c r="BA309" i="1" s="1"/>
  <c r="AX86" i="1"/>
  <c r="BA86" i="1" s="1"/>
  <c r="AX135" i="1"/>
  <c r="BA135" i="1" s="1"/>
  <c r="AX242" i="1"/>
  <c r="BA242" i="1" s="1"/>
  <c r="AX65" i="1"/>
  <c r="BA65" i="1" s="1"/>
  <c r="AX470" i="1"/>
  <c r="BA470" i="1" s="1"/>
  <c r="AX318" i="1"/>
  <c r="BA318" i="1" s="1"/>
  <c r="AX372" i="1"/>
  <c r="BA372" i="1" s="1"/>
  <c r="AX140" i="1"/>
  <c r="BA140" i="1" s="1"/>
  <c r="AX438" i="1"/>
  <c r="BA438" i="1" s="1"/>
  <c r="AX469" i="1"/>
  <c r="BA469" i="1" s="1"/>
  <c r="AX269" i="1"/>
  <c r="BA269" i="1" s="1"/>
  <c r="AX25" i="1"/>
  <c r="BA25" i="1" s="1"/>
  <c r="AX328" i="1"/>
  <c r="BA328" i="1" s="1"/>
  <c r="AX286" i="1"/>
  <c r="BA286" i="1" s="1"/>
  <c r="AX219" i="1"/>
  <c r="BA219" i="1" s="1"/>
  <c r="AX416" i="1"/>
  <c r="BA416" i="1" s="1"/>
  <c r="AX55" i="1"/>
  <c r="BA55" i="1" s="1"/>
  <c r="AX24" i="1"/>
  <c r="BA24" i="1" s="1"/>
  <c r="AX196" i="1"/>
  <c r="BA196" i="1" s="1"/>
  <c r="AX289" i="1"/>
  <c r="BA289" i="1" s="1"/>
  <c r="AX180" i="1"/>
  <c r="BA180" i="1" s="1"/>
  <c r="AX137" i="1"/>
  <c r="BA137" i="1" s="1"/>
  <c r="AX49" i="1"/>
  <c r="BA49" i="1" s="1"/>
  <c r="AX443" i="1"/>
  <c r="BA443" i="1" s="1"/>
  <c r="AX333" i="1"/>
  <c r="BA333" i="1" s="1"/>
  <c r="AX307" i="1"/>
  <c r="BA307" i="1" s="1"/>
  <c r="AX194" i="1"/>
  <c r="BA194" i="1" s="1"/>
  <c r="AX264" i="1"/>
  <c r="BA264" i="1" s="1"/>
  <c r="AX35" i="1"/>
  <c r="BA35" i="1" s="1"/>
  <c r="AX448" i="1"/>
  <c r="BA448" i="1" s="1"/>
  <c r="AX256" i="1"/>
  <c r="BA256" i="1" s="1"/>
  <c r="AX285" i="1"/>
  <c r="BA285" i="1" s="1"/>
  <c r="AX356" i="1"/>
  <c r="BA356" i="1" s="1"/>
  <c r="AX316" i="1"/>
  <c r="BA316" i="1" s="1"/>
  <c r="AX127" i="1"/>
  <c r="BA127" i="1" s="1"/>
  <c r="AX64" i="1"/>
  <c r="BA64" i="1" s="1"/>
  <c r="AX456" i="1"/>
  <c r="BA456" i="1" s="1"/>
  <c r="AX447" i="1"/>
  <c r="BA447" i="1" s="1"/>
  <c r="AX434" i="1"/>
  <c r="BA434" i="1" s="1"/>
  <c r="AX247" i="1"/>
  <c r="BA247" i="1" s="1"/>
  <c r="AX344" i="1"/>
  <c r="BA344" i="1" s="1"/>
  <c r="AX394" i="1"/>
  <c r="BA394" i="1" s="1"/>
  <c r="AX168" i="1"/>
  <c r="BA168" i="1" s="1"/>
  <c r="AX433" i="1"/>
  <c r="BA433" i="1" s="1"/>
  <c r="AX205" i="1"/>
  <c r="BA205" i="1" s="1"/>
  <c r="AX12" i="1"/>
  <c r="BA12" i="1" s="1"/>
  <c r="AX34" i="1"/>
  <c r="BA34" i="1" s="1"/>
  <c r="AX248" i="1"/>
  <c r="BA248" i="1" s="1"/>
  <c r="AX122" i="1"/>
  <c r="BA122" i="1" s="1"/>
  <c r="AX195" i="1"/>
  <c r="BA195" i="1" s="1"/>
  <c r="AX9" i="1"/>
  <c r="BA9" i="1" s="1"/>
  <c r="AX63" i="1"/>
  <c r="BA63" i="1" s="1"/>
  <c r="AX358" i="1"/>
  <c r="BA358" i="1" s="1"/>
  <c r="AX93" i="1"/>
  <c r="BA93" i="1" s="1"/>
  <c r="AX30" i="1"/>
  <c r="BA30" i="1" s="1"/>
  <c r="AX217" i="1"/>
  <c r="BA217" i="1" s="1"/>
  <c r="AX58" i="1"/>
  <c r="BA58" i="1" s="1"/>
  <c r="AX382" i="1"/>
  <c r="BA382" i="1" s="1"/>
  <c r="AX366" i="1"/>
  <c r="BA366" i="1" s="1"/>
  <c r="AX209" i="1"/>
  <c r="BA209" i="1" s="1"/>
  <c r="AX378" i="1"/>
  <c r="BA378" i="1" s="1"/>
  <c r="AX83" i="1"/>
  <c r="BA83" i="1" s="1"/>
  <c r="AX274" i="1"/>
  <c r="BA274" i="1" s="1"/>
  <c r="AX295" i="1"/>
  <c r="BA295" i="1" s="1"/>
  <c r="AX296" i="1"/>
  <c r="BA296" i="1" s="1"/>
  <c r="AX231" i="1"/>
  <c r="BA231" i="1" s="1"/>
  <c r="AX467" i="1"/>
  <c r="BA467" i="1" s="1"/>
  <c r="AX353" i="1"/>
  <c r="BA353" i="1" s="1"/>
  <c r="AX314" i="1"/>
  <c r="BA314" i="1" s="1"/>
  <c r="AX281" i="1"/>
  <c r="BA281" i="1" s="1"/>
  <c r="AX357" i="1"/>
  <c r="BA357" i="1" s="1"/>
  <c r="AX303" i="1"/>
  <c r="BA303" i="1" s="1"/>
  <c r="AX149" i="1"/>
  <c r="BA149" i="1" s="1"/>
  <c r="AX120" i="1"/>
  <c r="BA120" i="1" s="1"/>
  <c r="AX335" i="1"/>
  <c r="BA335" i="1" s="1"/>
  <c r="AX71" i="1"/>
  <c r="BA71" i="1" s="1"/>
  <c r="AX471" i="1"/>
  <c r="BA471" i="1" s="1"/>
  <c r="AX148" i="1"/>
  <c r="BA148" i="1" s="1"/>
  <c r="AX437" i="1"/>
  <c r="BA437" i="1" s="1"/>
  <c r="AX350" i="1"/>
  <c r="BA350" i="1" s="1"/>
  <c r="AX427" i="1"/>
  <c r="BA427" i="1" s="1"/>
  <c r="AX413" i="1"/>
  <c r="BA413" i="1" s="1"/>
  <c r="AX119" i="1"/>
  <c r="BA119" i="1" s="1"/>
  <c r="AX440" i="1"/>
  <c r="BA440" i="1" s="1"/>
  <c r="AX322" i="1"/>
  <c r="BA322" i="1" s="1"/>
  <c r="AX101" i="1"/>
  <c r="BA101" i="1" s="1"/>
  <c r="AX454" i="1"/>
  <c r="BA454" i="1" s="1"/>
  <c r="AX302" i="1"/>
  <c r="BA302" i="1" s="1"/>
  <c r="AX432" i="1"/>
  <c r="BA432" i="1" s="1"/>
  <c r="AX445" i="1"/>
  <c r="BA445" i="1" s="1"/>
  <c r="AX89" i="1"/>
  <c r="BA89" i="1" s="1"/>
  <c r="AX193" i="1"/>
  <c r="BA193" i="1" s="1"/>
  <c r="AX22" i="1"/>
  <c r="BA22" i="1" s="1"/>
  <c r="AX175" i="1"/>
  <c r="BA175" i="1" s="1"/>
  <c r="AX54" i="1"/>
  <c r="BA54" i="1" s="1"/>
  <c r="AX288" i="1"/>
  <c r="BA288" i="1" s="1"/>
  <c r="AX53" i="1"/>
  <c r="BA53" i="1" s="1"/>
  <c r="AX232" i="1"/>
  <c r="BA232" i="1" s="1"/>
  <c r="AX56" i="1"/>
  <c r="BA56" i="1" s="1"/>
  <c r="AX466" i="1"/>
  <c r="BA466" i="1" s="1"/>
  <c r="AX329" i="1"/>
  <c r="BA329" i="1" s="1"/>
  <c r="AX136" i="1"/>
  <c r="BA136" i="1" s="1"/>
  <c r="AX17" i="1"/>
  <c r="BA17" i="1" s="1"/>
  <c r="AX33" i="1"/>
  <c r="BA33" i="1" s="1"/>
  <c r="AX95" i="1"/>
  <c r="BA95" i="1" s="1"/>
  <c r="AX273" i="1"/>
  <c r="BA273" i="1" s="1"/>
  <c r="AX172" i="1"/>
  <c r="BA172" i="1" s="1"/>
  <c r="AX363" i="1"/>
  <c r="BA363" i="1" s="1"/>
  <c r="AX452" i="1"/>
  <c r="BA452" i="1" s="1"/>
  <c r="AX339" i="1"/>
  <c r="BA339" i="1" s="1"/>
  <c r="AX252" i="1"/>
  <c r="BA252" i="1" s="1"/>
  <c r="AX164" i="1"/>
  <c r="BA164" i="1" s="1"/>
  <c r="AX182" i="1"/>
  <c r="BA182" i="1" s="1"/>
  <c r="AX421" i="1"/>
  <c r="BA421" i="1" s="1"/>
  <c r="AX320" i="1"/>
  <c r="BA320" i="1" s="1"/>
  <c r="AX255" i="1"/>
  <c r="BA255" i="1" s="1"/>
  <c r="AX327" i="1"/>
  <c r="BA327" i="1" s="1"/>
  <c r="AX251" i="1"/>
  <c r="BA251" i="1" s="1"/>
  <c r="AX156" i="1"/>
  <c r="BA156" i="1" s="1"/>
  <c r="AX144" i="1"/>
  <c r="BA144" i="1" s="1"/>
  <c r="AX176" i="1"/>
  <c r="BA176" i="1" s="1"/>
  <c r="AX152" i="1"/>
  <c r="BA152" i="1" s="1"/>
  <c r="AX10" i="1"/>
  <c r="BA10" i="1" s="1"/>
  <c r="AX70" i="1"/>
  <c r="BA70" i="1" s="1"/>
  <c r="AX400" i="1"/>
  <c r="BA400" i="1" s="1"/>
  <c r="AX450" i="1"/>
  <c r="BA450" i="1" s="1"/>
  <c r="AX167" i="1"/>
  <c r="BA167" i="1" s="1"/>
  <c r="AX131" i="1"/>
  <c r="BA131" i="1" s="1"/>
  <c r="AX6" i="1"/>
  <c r="BA6" i="1" s="1"/>
  <c r="AX37" i="1"/>
  <c r="BA37" i="1" s="1"/>
  <c r="AX305" i="1"/>
  <c r="BA305" i="1" s="1"/>
  <c r="AX188" i="1"/>
  <c r="BA188" i="1" s="1"/>
  <c r="AX236" i="1"/>
  <c r="BA236" i="1" s="1"/>
  <c r="AX243" i="1"/>
  <c r="BA243" i="1" s="1"/>
  <c r="AX222" i="1"/>
  <c r="BA222" i="1" s="1"/>
  <c r="AX200" i="1"/>
  <c r="BA200" i="1" s="1"/>
  <c r="AX204" i="1"/>
  <c r="BA204" i="1" s="1"/>
  <c r="AX52" i="1"/>
  <c r="BA52" i="1" s="1"/>
  <c r="AX442" i="1"/>
  <c r="BA442" i="1" s="1"/>
  <c r="AX384" i="1"/>
  <c r="BA384" i="1" s="1"/>
  <c r="AX265" i="1"/>
  <c r="BA265" i="1" s="1"/>
  <c r="AX206" i="1"/>
  <c r="BA206" i="1" s="1"/>
  <c r="AX79" i="1"/>
  <c r="BA79" i="1" s="1"/>
  <c r="AX389" i="1"/>
  <c r="BA389" i="1" s="1"/>
  <c r="AX213" i="1"/>
  <c r="BA213" i="1" s="1"/>
  <c r="AX192" i="1"/>
  <c r="BA192" i="1" s="1"/>
  <c r="AX272" i="1"/>
  <c r="BA272" i="1" s="1"/>
  <c r="AX20" i="1"/>
  <c r="BA20" i="1" s="1"/>
  <c r="AX81" i="1"/>
  <c r="BA81" i="1" s="1"/>
  <c r="AX45" i="1"/>
  <c r="BA45" i="1" s="1"/>
  <c r="AX315" i="1"/>
  <c r="BA315" i="1" s="1"/>
  <c r="AX184" i="1"/>
  <c r="BA184" i="1" s="1"/>
  <c r="AX254" i="1"/>
  <c r="BA254" i="1" s="1"/>
  <c r="AX43" i="1"/>
  <c r="BA43" i="1" s="1"/>
  <c r="AX18" i="1"/>
  <c r="BA18" i="1" s="1"/>
  <c r="AX108" i="1"/>
  <c r="BA108" i="1" s="1"/>
  <c r="AX282" i="1"/>
  <c r="BA282" i="1" s="1"/>
  <c r="AX216" i="1"/>
  <c r="BA216" i="1" s="1"/>
  <c r="AX374" i="1"/>
  <c r="BA374" i="1" s="1"/>
  <c r="AX189" i="1"/>
  <c r="BA189" i="1" s="1"/>
  <c r="AX133" i="1"/>
  <c r="BA133" i="1" s="1"/>
  <c r="AX234" i="1"/>
  <c r="BA234" i="1" s="1"/>
  <c r="AX109" i="1"/>
  <c r="BA109" i="1" s="1"/>
  <c r="AX229" i="1"/>
  <c r="BA229" i="1" s="1"/>
  <c r="AX266" i="1"/>
  <c r="BA266" i="1" s="1"/>
  <c r="AX61" i="1"/>
  <c r="BA61" i="1" s="1"/>
  <c r="AX183" i="1"/>
  <c r="BA183" i="1" s="1"/>
  <c r="AX4" i="1"/>
  <c r="BA4" i="1" s="1"/>
  <c r="AX165" i="1"/>
  <c r="BA165" i="1" s="1"/>
  <c r="AX151" i="1"/>
  <c r="BA151" i="1" s="1"/>
  <c r="AX5" i="1"/>
  <c r="BA5" i="1" s="1"/>
  <c r="AX154" i="1"/>
  <c r="BA154" i="1" s="1"/>
  <c r="AX174" i="1"/>
  <c r="BA174" i="1" s="1"/>
  <c r="AX27" i="1"/>
  <c r="BA27" i="1" s="1"/>
  <c r="AX106" i="1"/>
  <c r="BA106" i="1" s="1"/>
  <c r="AX407" i="1"/>
  <c r="BA407" i="1" s="1"/>
  <c r="AX431" i="1"/>
  <c r="BA431" i="1" s="1"/>
  <c r="AX321" i="1"/>
  <c r="BA321" i="1" s="1"/>
  <c r="AX290" i="1"/>
  <c r="BA290" i="1" s="1"/>
  <c r="AX96" i="1"/>
  <c r="BA96" i="1" s="1"/>
  <c r="AX42" i="1"/>
  <c r="BA42" i="1" s="1"/>
  <c r="AX227" i="1"/>
  <c r="BA227" i="1" s="1"/>
  <c r="AX221" i="1"/>
  <c r="BA221" i="1" s="1"/>
  <c r="AX387" i="1"/>
  <c r="BA387" i="1" s="1"/>
  <c r="AX294" i="1"/>
  <c r="BA294" i="1" s="1"/>
  <c r="AX317" i="1"/>
  <c r="BA317" i="1" s="1"/>
  <c r="AX304" i="1"/>
  <c r="BA304" i="1" s="1"/>
  <c r="AX66" i="1"/>
  <c r="BA66" i="1" s="1"/>
  <c r="AX399" i="1"/>
  <c r="BA399" i="1" s="1"/>
  <c r="AX225" i="1"/>
  <c r="BA225" i="1" s="1"/>
  <c r="AX472" i="1"/>
  <c r="BA472" i="1" s="1"/>
  <c r="AX181" i="1"/>
  <c r="BA181" i="1" s="1"/>
  <c r="AX312" i="1"/>
  <c r="BA312" i="1" s="1"/>
  <c r="AX202" i="1"/>
  <c r="BA202" i="1" s="1"/>
  <c r="AX283" i="1"/>
  <c r="BA283" i="1" s="1"/>
  <c r="AX218" i="1"/>
  <c r="BA218" i="1" s="1"/>
  <c r="AX69" i="1"/>
  <c r="BA69" i="1" s="1"/>
  <c r="AX39" i="1"/>
  <c r="BA39" i="1" s="1"/>
  <c r="AX373" i="1"/>
  <c r="BA373" i="1" s="1"/>
  <c r="AX409" i="1"/>
  <c r="BA409" i="1" s="1"/>
  <c r="AX132" i="1"/>
  <c r="BA132" i="1" s="1"/>
  <c r="AX441" i="1"/>
  <c r="BA441" i="1" s="1"/>
  <c r="AX419" i="1"/>
  <c r="BA419" i="1" s="1"/>
  <c r="AX368" i="1"/>
  <c r="BA368" i="1" s="1"/>
  <c r="AX376" i="1"/>
  <c r="BA376" i="1" s="1"/>
  <c r="AX362" i="1"/>
  <c r="BA362" i="1" s="1"/>
  <c r="AX359" i="1"/>
  <c r="BA359" i="1" s="1"/>
  <c r="AX395" i="1"/>
  <c r="BA395" i="1" s="1"/>
  <c r="AX214" i="1"/>
  <c r="BA214" i="1" s="1"/>
  <c r="AX291" i="1"/>
  <c r="BA291" i="1" s="1"/>
  <c r="AX220" i="1"/>
  <c r="BA220" i="1" s="1"/>
  <c r="AX158" i="1"/>
  <c r="BA158" i="1" s="1"/>
  <c r="AX162" i="1"/>
  <c r="BA162" i="1" s="1"/>
  <c r="AX57" i="1"/>
  <c r="BA57" i="1" s="1"/>
  <c r="AX21" i="1"/>
  <c r="BA21" i="1" s="1"/>
  <c r="AX92" i="1"/>
  <c r="BA92" i="1" s="1"/>
  <c r="AX15" i="1"/>
  <c r="BA15" i="1" s="1"/>
  <c r="AX50" i="1"/>
  <c r="BA50" i="1" s="1"/>
  <c r="AX32" i="1"/>
  <c r="BA32" i="1" s="1"/>
  <c r="AX446" i="1"/>
  <c r="BA446" i="1" s="1"/>
  <c r="AX224" i="1"/>
  <c r="BA224" i="1" s="1"/>
  <c r="AX134" i="1"/>
  <c r="BA134" i="1" s="1"/>
  <c r="AX277" i="1"/>
  <c r="BA277" i="1" s="1"/>
  <c r="AX341" i="1"/>
  <c r="BA341" i="1" s="1"/>
  <c r="AX250" i="1"/>
  <c r="BA250" i="1" s="1"/>
  <c r="AX48" i="1"/>
  <c r="BA48" i="1" s="1"/>
  <c r="AX444" i="1"/>
  <c r="BA444" i="1" s="1"/>
  <c r="AX331" i="1"/>
  <c r="BA331" i="1" s="1"/>
  <c r="AX279" i="1"/>
  <c r="BA279" i="1" s="1"/>
  <c r="AX270" i="1"/>
  <c r="BA270" i="1" s="1"/>
  <c r="AX190" i="1"/>
  <c r="BA190" i="1" s="1"/>
  <c r="AX177" i="1"/>
  <c r="BA177" i="1" s="1"/>
  <c r="AX198" i="1"/>
  <c r="BA198" i="1" s="1"/>
  <c r="AX169" i="1"/>
  <c r="BA169" i="1" s="1"/>
  <c r="AX102" i="1"/>
  <c r="BA102" i="1" s="1"/>
  <c r="AX113" i="1"/>
  <c r="BA113" i="1" s="1"/>
  <c r="AX62" i="1"/>
  <c r="BA62" i="1" s="1"/>
  <c r="AX420" i="1"/>
  <c r="BA420" i="1" s="1"/>
  <c r="AX354" i="1"/>
  <c r="BA354" i="1" s="1"/>
  <c r="AX425" i="1"/>
  <c r="BA425" i="1" s="1"/>
  <c r="AX401" i="1"/>
  <c r="BA401" i="1" s="1"/>
  <c r="AX352" i="1"/>
  <c r="BA352" i="1" s="1"/>
  <c r="AX379" i="1"/>
  <c r="BA379" i="1" s="1"/>
  <c r="AX436" i="1"/>
  <c r="BA436" i="1" s="1"/>
  <c r="AX337" i="1"/>
  <c r="BA337" i="1" s="1"/>
  <c r="AX326" i="1"/>
  <c r="BA326" i="1" s="1"/>
  <c r="AX268" i="1"/>
  <c r="BA268" i="1" s="1"/>
  <c r="AX342" i="1"/>
  <c r="BA342" i="1" s="1"/>
  <c r="AX330" i="1"/>
  <c r="BA330" i="1" s="1"/>
  <c r="AX166" i="1"/>
  <c r="BA166" i="1" s="1"/>
  <c r="AX145" i="1"/>
  <c r="BA145" i="1" s="1"/>
  <c r="AX153" i="1"/>
  <c r="BA153" i="1" s="1"/>
  <c r="AX238" i="1"/>
  <c r="BA238" i="1" s="1"/>
  <c r="AX160" i="1"/>
  <c r="BA160" i="1" s="1"/>
  <c r="AX41" i="1"/>
  <c r="BA41" i="1" s="1"/>
  <c r="AX68" i="1"/>
  <c r="BA68" i="1" s="1"/>
  <c r="AX78" i="1"/>
  <c r="BA78" i="1" s="1"/>
  <c r="AX371" i="1"/>
  <c r="BA371" i="1" s="1"/>
  <c r="AX449" i="1"/>
  <c r="BA449" i="1" s="1"/>
  <c r="AX465" i="1"/>
  <c r="BA465" i="1" s="1"/>
  <c r="AX260" i="1"/>
  <c r="BA260" i="1" s="1"/>
  <c r="AX230" i="1"/>
  <c r="BA230" i="1" s="1"/>
  <c r="AX100" i="1"/>
  <c r="BA100" i="1" s="1"/>
  <c r="AX115" i="1"/>
  <c r="BA115" i="1" s="1"/>
  <c r="AX38" i="1"/>
  <c r="BA38" i="1" s="1"/>
  <c r="AX460" i="1"/>
  <c r="BA460" i="1" s="1"/>
  <c r="AX457" i="1"/>
  <c r="BA457" i="1" s="1"/>
  <c r="AX403" i="1"/>
  <c r="BA403" i="1" s="1"/>
  <c r="AX426" i="1"/>
  <c r="BA426" i="1" s="1"/>
  <c r="AX347" i="1"/>
  <c r="BA347" i="1" s="1"/>
  <c r="AX319" i="1"/>
  <c r="BA319" i="1" s="1"/>
  <c r="AX428" i="1"/>
  <c r="BA428" i="1" s="1"/>
  <c r="AX408" i="1"/>
  <c r="BA408" i="1" s="1"/>
  <c r="AX215" i="1"/>
  <c r="BA215" i="1" s="1"/>
  <c r="AX228" i="1"/>
  <c r="BA228" i="1" s="1"/>
  <c r="AX246" i="1"/>
  <c r="BA246" i="1" s="1"/>
  <c r="AX44" i="1"/>
  <c r="BA44" i="1" s="1"/>
  <c r="AX23" i="1"/>
  <c r="BA23" i="1" s="1"/>
  <c r="AX67" i="1"/>
  <c r="BA67" i="1" s="1"/>
  <c r="AX76" i="1"/>
  <c r="BA76" i="1" s="1"/>
  <c r="AX72" i="1"/>
  <c r="BA72" i="1" s="1"/>
  <c r="AX150" i="1"/>
  <c r="BA150" i="1" s="1"/>
  <c r="AX19" i="1"/>
  <c r="BA19" i="1" s="1"/>
  <c r="AX393" i="1"/>
  <c r="BA393" i="1" s="1"/>
  <c r="AX334" i="1"/>
  <c r="BA334" i="1" s="1"/>
  <c r="AX313" i="1"/>
  <c r="BA313" i="1" s="1"/>
  <c r="AX377" i="1"/>
  <c r="BA377" i="1" s="1"/>
  <c r="AX338" i="1"/>
  <c r="BA338" i="1" s="1"/>
  <c r="AX299" i="1"/>
  <c r="BA299" i="1" s="1"/>
  <c r="AX207" i="1"/>
  <c r="BA207" i="1" s="1"/>
  <c r="AX163" i="1"/>
  <c r="BA163" i="1" s="1"/>
  <c r="AX185" i="1"/>
  <c r="BA185" i="1" s="1"/>
  <c r="AX84" i="1"/>
  <c r="BA84" i="1" s="1"/>
  <c r="AX91" i="1"/>
  <c r="BA91" i="1" s="1"/>
  <c r="AX7" i="1"/>
  <c r="BA7" i="1" s="1"/>
  <c r="AX60" i="1"/>
  <c r="BA60" i="1" s="1"/>
  <c r="AX28" i="1"/>
  <c r="BA28" i="1" s="1"/>
  <c r="AX244" i="1"/>
  <c r="BA244" i="1" s="1"/>
  <c r="AX212" i="1"/>
  <c r="BA212" i="1" s="1"/>
  <c r="AX473" i="1"/>
  <c r="BA473" i="1" s="1"/>
  <c r="AX468" i="1"/>
  <c r="BA468" i="1" s="1"/>
  <c r="AX417" i="1"/>
  <c r="BA417" i="1" s="1"/>
  <c r="AX297" i="1"/>
  <c r="BA297" i="1" s="1"/>
  <c r="AX411" i="1"/>
  <c r="BA411" i="1" s="1"/>
  <c r="AX323" i="1"/>
  <c r="BA323" i="1" s="1"/>
  <c r="AX392" i="1"/>
  <c r="BA392" i="1" s="1"/>
  <c r="AX360" i="1"/>
  <c r="BA360" i="1" s="1"/>
  <c r="AX116" i="1"/>
  <c r="BA116" i="1" s="1"/>
  <c r="AX208" i="1"/>
  <c r="BA208" i="1" s="1"/>
  <c r="AX124" i="1"/>
  <c r="BA124" i="1" s="1"/>
  <c r="AX262" i="1"/>
  <c r="BA262" i="1" s="1"/>
  <c r="AX36" i="1"/>
  <c r="BA36" i="1" s="1"/>
  <c r="AX11" i="1"/>
  <c r="BA11" i="1" s="1"/>
  <c r="AX161" i="1"/>
  <c r="BA161" i="1" s="1"/>
  <c r="S473" i="1"/>
  <c r="S471" i="1"/>
  <c r="S59" i="1"/>
  <c r="S125" i="1"/>
  <c r="S367" i="1"/>
  <c r="S366" i="1"/>
  <c r="S365" i="1"/>
  <c r="S364" i="1"/>
  <c r="S363" i="1"/>
  <c r="S183" i="1"/>
  <c r="T527" i="13"/>
  <c r="M527" i="13"/>
  <c r="E527" i="13"/>
  <c r="S93" i="1"/>
  <c r="BD3" i="1"/>
  <c r="BC3" i="1"/>
  <c r="AZ3" i="1"/>
  <c r="AS3" i="1"/>
  <c r="AV3" i="1" s="1"/>
  <c r="AR3" i="1"/>
  <c r="S75" i="1"/>
  <c r="AA125" i="1"/>
  <c r="V125" i="1"/>
  <c r="U125" i="1"/>
  <c r="U124" i="1"/>
  <c r="S124" i="1"/>
  <c r="AH123" i="1"/>
  <c r="AG123" i="1"/>
  <c r="AA123" i="1"/>
  <c r="S383" i="1"/>
  <c r="S382" i="1"/>
  <c r="S120" i="1"/>
  <c r="S58" i="1"/>
  <c r="S413" i="1"/>
  <c r="S412" i="1"/>
  <c r="S92" i="1"/>
  <c r="BD125" i="1" l="1"/>
  <c r="BB3" i="1"/>
  <c r="AW3" i="1"/>
  <c r="AU3" i="1"/>
  <c r="S57" i="1"/>
  <c r="S470" i="1"/>
  <c r="S411" i="1"/>
  <c r="S362" i="1"/>
  <c r="S469" i="1"/>
  <c r="AX3" i="1" l="1"/>
  <c r="BA3" i="1" s="1"/>
  <c r="S114" i="1"/>
  <c r="S113" i="1"/>
  <c r="S108" i="1"/>
  <c r="S107" i="1"/>
  <c r="S182" i="1"/>
  <c r="S145" i="1"/>
  <c r="S56" i="1"/>
  <c r="S431" i="1" l="1"/>
  <c r="S361" i="1"/>
  <c r="U196" i="1"/>
  <c r="V196" i="1"/>
  <c r="AA196" i="1"/>
  <c r="AG196" i="1"/>
  <c r="AH196" i="1"/>
  <c r="S119" i="1"/>
  <c r="U126" i="1"/>
  <c r="AH125" i="1"/>
  <c r="AG125" i="1"/>
  <c r="U123" i="1"/>
  <c r="BD123" i="1" s="1"/>
  <c r="S55" i="1"/>
  <c r="S126" i="1"/>
  <c r="AA124" i="1"/>
  <c r="S74" i="1"/>
  <c r="S54" i="1"/>
  <c r="S91" i="1"/>
  <c r="S90" i="1"/>
  <c r="S468" i="1"/>
  <c r="S53" i="1"/>
  <c r="S358" i="1"/>
  <c r="S52" i="1"/>
  <c r="S141" i="1"/>
  <c r="S467" i="1"/>
  <c r="S143"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429" i="1"/>
  <c r="S118" i="1"/>
  <c r="V126" i="1"/>
  <c r="V124" i="1"/>
  <c r="BD124" i="1" s="1"/>
  <c r="S466" i="1"/>
  <c r="S359" i="1"/>
  <c r="S410" i="1"/>
  <c r="S409" i="1"/>
  <c r="S408" i="1"/>
  <c r="S407" i="1"/>
  <c r="S406" i="1"/>
  <c r="S405" i="1"/>
  <c r="S404" i="1"/>
  <c r="S403" i="1"/>
  <c r="S402" i="1"/>
  <c r="S401" i="1"/>
  <c r="S400" i="1"/>
  <c r="S399" i="1"/>
  <c r="S398" i="1"/>
  <c r="S397" i="1"/>
  <c r="S396" i="1"/>
  <c r="S395" i="1"/>
  <c r="S394" i="1"/>
  <c r="S393" i="1"/>
  <c r="S392" i="1"/>
  <c r="S391" i="1"/>
  <c r="S390" i="1"/>
  <c r="S389" i="1"/>
  <c r="S388" i="1"/>
  <c r="S387" i="1"/>
  <c r="S381" i="1"/>
  <c r="S380" i="1"/>
  <c r="S379" i="1"/>
  <c r="S378" i="1"/>
  <c r="S377" i="1"/>
  <c r="S376" i="1"/>
  <c r="S375" i="1"/>
  <c r="S374" i="1"/>
  <c r="S373" i="1"/>
  <c r="S372" i="1"/>
  <c r="S360"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144" i="1"/>
  <c r="S142" i="1"/>
  <c r="S89" i="1"/>
  <c r="S51" i="1"/>
  <c r="S521" i="11"/>
  <c r="L521" i="11"/>
  <c r="D521" i="11"/>
  <c r="S235" i="1"/>
  <c r="J235" i="1"/>
  <c r="S117" i="1"/>
  <c r="BD126" i="1" l="1"/>
  <c r="BD196" i="1"/>
  <c r="U127" i="1"/>
  <c r="S173" i="1"/>
  <c r="S88" i="1"/>
  <c r="S87" i="1"/>
  <c r="S49" i="1"/>
  <c r="S465" i="1"/>
  <c r="S212" i="1"/>
  <c r="S47" i="1"/>
  <c r="S464" i="1" l="1"/>
  <c r="S116" i="1"/>
  <c r="S115" i="1"/>
  <c r="AB6" i="2"/>
  <c r="S72" i="1"/>
  <c r="S4" i="8"/>
  <c r="N4" i="8"/>
  <c r="AQ4" i="8" s="1"/>
  <c r="S46" i="1"/>
  <c r="S45" i="1"/>
  <c r="S443" i="1"/>
  <c r="S441" i="1"/>
  <c r="S440" i="1"/>
  <c r="S171" i="1"/>
  <c r="S211" i="1"/>
  <c r="I6" i="2"/>
  <c r="S463" i="1"/>
  <c r="S462" i="1"/>
  <c r="S425" i="1"/>
  <c r="S428" i="1"/>
  <c r="AO46" i="8"/>
  <c r="AN46" i="8"/>
  <c r="AM46" i="8"/>
  <c r="AL46" i="8"/>
  <c r="AP46" i="8"/>
  <c r="AQ5" i="8"/>
  <c r="AQ6" i="8"/>
  <c r="AQ7" i="8"/>
  <c r="AQ8" i="8"/>
  <c r="AQ9" i="8"/>
  <c r="AR10" i="8"/>
  <c r="AR13" i="8"/>
  <c r="AR16" i="8"/>
  <c r="AR19" i="8"/>
  <c r="AR22" i="8"/>
  <c r="AR25" i="8"/>
  <c r="AR28" i="8"/>
  <c r="AR31" i="8"/>
  <c r="AR34" i="8"/>
  <c r="AR37" i="8"/>
  <c r="AR40" i="8"/>
  <c r="AR43" i="8"/>
  <c r="AD46" i="8"/>
  <c r="AC46" i="8"/>
  <c r="AB46" i="8"/>
  <c r="AF46" i="8"/>
  <c r="AE46" i="8"/>
  <c r="T46" i="8"/>
  <c r="S46" i="8"/>
  <c r="R46" i="8"/>
  <c r="V46" i="8"/>
  <c r="U46" i="8"/>
  <c r="H46" i="8"/>
  <c r="I46" i="8"/>
  <c r="J46" i="8"/>
  <c r="K46" i="8"/>
  <c r="L46" i="8"/>
  <c r="S103" i="1"/>
  <c r="S71" i="1"/>
  <c r="S70" i="1"/>
  <c r="S170" i="1"/>
  <c r="S50" i="1"/>
  <c r="S48" i="1"/>
  <c r="S44" i="1"/>
  <c r="S43" i="1"/>
  <c r="S42" i="1"/>
  <c r="S41" i="1"/>
  <c r="S210" i="1"/>
  <c r="S209" i="1"/>
  <c r="S208" i="1"/>
  <c r="S207" i="1"/>
  <c r="S86" i="1"/>
  <c r="AR7" i="8"/>
  <c r="S279" i="1"/>
  <c r="J279" i="1"/>
  <c r="S278" i="1"/>
  <c r="J278" i="1"/>
  <c r="S277" i="1"/>
  <c r="J277" i="1"/>
  <c r="S276" i="1"/>
  <c r="J276" i="1"/>
  <c r="S275" i="1"/>
  <c r="J275" i="1"/>
  <c r="S274" i="1"/>
  <c r="J274" i="1"/>
  <c r="S273" i="1"/>
  <c r="J273" i="1"/>
  <c r="S272" i="1"/>
  <c r="J272" i="1"/>
  <c r="S271" i="1"/>
  <c r="J271" i="1"/>
  <c r="S270" i="1"/>
  <c r="J270" i="1"/>
  <c r="S269" i="1"/>
  <c r="J269" i="1"/>
  <c r="S268" i="1"/>
  <c r="J268" i="1"/>
  <c r="S267" i="1"/>
  <c r="J267" i="1"/>
  <c r="S266" i="1"/>
  <c r="J266" i="1"/>
  <c r="S265" i="1"/>
  <c r="J265" i="1"/>
  <c r="S264" i="1"/>
  <c r="J264" i="1"/>
  <c r="S263" i="1"/>
  <c r="J263" i="1"/>
  <c r="S262" i="1"/>
  <c r="J262" i="1"/>
  <c r="S261" i="1"/>
  <c r="J261" i="1"/>
  <c r="S260" i="1"/>
  <c r="J260" i="1"/>
  <c r="S259" i="1"/>
  <c r="J259" i="1"/>
  <c r="S258" i="1"/>
  <c r="J258" i="1"/>
  <c r="S257" i="1"/>
  <c r="J257" i="1"/>
  <c r="S256" i="1"/>
  <c r="J256" i="1"/>
  <c r="S255" i="1"/>
  <c r="J255" i="1"/>
  <c r="S254" i="1"/>
  <c r="J254" i="1"/>
  <c r="S253" i="1"/>
  <c r="J253" i="1"/>
  <c r="S252" i="1"/>
  <c r="J252" i="1"/>
  <c r="S251" i="1"/>
  <c r="J251" i="1"/>
  <c r="S250" i="1"/>
  <c r="J250" i="1"/>
  <c r="S249" i="1"/>
  <c r="J249" i="1"/>
  <c r="S248" i="1"/>
  <c r="J248" i="1"/>
  <c r="S247" i="1"/>
  <c r="J247" i="1"/>
  <c r="S246" i="1"/>
  <c r="J246" i="1"/>
  <c r="S40" i="1"/>
  <c r="S39" i="1"/>
  <c r="S85" i="1"/>
  <c r="S38" i="1"/>
  <c r="S37" i="1"/>
  <c r="S35" i="1"/>
  <c r="S181" i="1"/>
  <c r="S180" i="1"/>
  <c r="S179" i="1"/>
  <c r="S178" i="1"/>
  <c r="S177" i="1"/>
  <c r="S176" i="1"/>
  <c r="S175" i="1"/>
  <c r="S174" i="1"/>
  <c r="S172" i="1"/>
  <c r="S169" i="1"/>
  <c r="S112" i="1"/>
  <c r="S111" i="1"/>
  <c r="S82" i="1"/>
  <c r="S140" i="1"/>
  <c r="S168" i="1"/>
  <c r="S84" i="1"/>
  <c r="S167" i="1"/>
  <c r="S166" i="1"/>
  <c r="S36" i="1"/>
  <c r="S110" i="1"/>
  <c r="S109" i="1"/>
  <c r="S461" i="1"/>
  <c r="J461" i="1"/>
  <c r="S139" i="1"/>
  <c r="AK4" i="8"/>
  <c r="AK46" i="8"/>
  <c r="AJ4" i="8"/>
  <c r="AJ46" i="8" s="1"/>
  <c r="AA4" i="8"/>
  <c r="AA46" i="8"/>
  <c r="Z4" i="8"/>
  <c r="Q4" i="8"/>
  <c r="Q46" i="8"/>
  <c r="S427" i="1"/>
  <c r="AI46" i="8"/>
  <c r="AH46" i="8"/>
  <c r="AG46" i="8"/>
  <c r="Y46" i="8"/>
  <c r="X46" i="8"/>
  <c r="W46" i="8"/>
  <c r="O46" i="8"/>
  <c r="N46" i="8"/>
  <c r="M46" i="8"/>
  <c r="E46" i="8"/>
  <c r="D46" i="8"/>
  <c r="C46" i="8"/>
  <c r="Z46" i="8"/>
  <c r="G46" i="8"/>
  <c r="F46" i="8"/>
  <c r="S426" i="1"/>
  <c r="S34" i="1"/>
  <c r="S164" i="1"/>
  <c r="S138" i="1"/>
  <c r="S137" i="1"/>
  <c r="S136" i="1"/>
  <c r="S33" i="1"/>
  <c r="S424" i="1"/>
  <c r="S165" i="1"/>
  <c r="S163" i="1"/>
  <c r="S162" i="1"/>
  <c r="S106" i="1"/>
  <c r="S105" i="1"/>
  <c r="S73" i="1"/>
  <c r="S69" i="1"/>
  <c r="S83" i="1"/>
  <c r="S460" i="1"/>
  <c r="S459" i="1"/>
  <c r="S161" i="1"/>
  <c r="S23" i="1"/>
  <c r="S245" i="1"/>
  <c r="S244" i="1"/>
  <c r="S242" i="1"/>
  <c r="S241" i="1"/>
  <c r="S240" i="1"/>
  <c r="S239" i="1"/>
  <c r="S238" i="1"/>
  <c r="S237" i="1"/>
  <c r="S236" i="1"/>
  <c r="S234" i="1"/>
  <c r="S233" i="1"/>
  <c r="S232" i="1"/>
  <c r="S231" i="1"/>
  <c r="S230" i="1"/>
  <c r="S229" i="1"/>
  <c r="S228" i="1"/>
  <c r="S227" i="1"/>
  <c r="S226" i="1"/>
  <c r="S225" i="1"/>
  <c r="S224" i="1"/>
  <c r="S223" i="1"/>
  <c r="S222" i="1"/>
  <c r="S221" i="1"/>
  <c r="S220" i="1"/>
  <c r="S219" i="1"/>
  <c r="S318" i="1"/>
  <c r="S243" i="1"/>
  <c r="J243" i="1"/>
  <c r="J242" i="1"/>
  <c r="J245" i="1"/>
  <c r="J244" i="1"/>
  <c r="S433" i="1"/>
  <c r="S458" i="1"/>
  <c r="S31" i="1"/>
  <c r="S160" i="1"/>
  <c r="S159" i="1"/>
  <c r="S135" i="1"/>
  <c r="S28" i="1"/>
  <c r="S29" i="1"/>
  <c r="S30" i="1"/>
  <c r="S104" i="1"/>
  <c r="S102" i="1"/>
  <c r="S134" i="1"/>
  <c r="S158" i="1"/>
  <c r="S157" i="1"/>
  <c r="S156" i="1"/>
  <c r="S206" i="1"/>
  <c r="S205" i="1"/>
  <c r="S457" i="1"/>
  <c r="S27" i="1"/>
  <c r="S26" i="1"/>
  <c r="S133" i="1"/>
  <c r="S456" i="1"/>
  <c r="S81" i="1"/>
  <c r="S155" i="1"/>
  <c r="S455" i="1"/>
  <c r="S154" i="1"/>
  <c r="S79" i="1"/>
  <c r="S78" i="1"/>
  <c r="S132" i="1"/>
  <c r="S131" i="1"/>
  <c r="J455" i="1"/>
  <c r="I4" i="2"/>
  <c r="AD4" i="2"/>
  <c r="Z4" i="2"/>
  <c r="AC4" i="2"/>
  <c r="S439" i="1"/>
  <c r="S449" i="1"/>
  <c r="S450" i="1"/>
  <c r="S451" i="1"/>
  <c r="S452" i="1"/>
  <c r="S453" i="1"/>
  <c r="S454" i="1"/>
  <c r="S437" i="1"/>
  <c r="S204" i="1"/>
  <c r="S203" i="1"/>
  <c r="S202" i="1"/>
  <c r="S201" i="1"/>
  <c r="S200" i="1"/>
  <c r="S218" i="1"/>
  <c r="S153" i="1"/>
  <c r="S152" i="1"/>
  <c r="S129" i="1"/>
  <c r="S151" i="1"/>
  <c r="S130" i="1"/>
  <c r="S149" i="1"/>
  <c r="S128" i="1"/>
  <c r="S150" i="1"/>
  <c r="S80" i="1"/>
  <c r="S68" i="1"/>
  <c r="S67" i="1"/>
  <c r="S66" i="1"/>
  <c r="S77" i="1"/>
  <c r="S76" i="1"/>
  <c r="S65" i="1"/>
  <c r="S32" i="1"/>
  <c r="S25" i="1"/>
  <c r="S24" i="1"/>
  <c r="S21" i="1"/>
  <c r="S19" i="1"/>
  <c r="S17" i="1"/>
  <c r="S16" i="1"/>
  <c r="S14" i="1"/>
  <c r="S13" i="1"/>
  <c r="S11" i="1"/>
  <c r="S10" i="1"/>
  <c r="S9" i="1"/>
  <c r="S8" i="1"/>
  <c r="S7" i="1"/>
  <c r="S6" i="1"/>
  <c r="S5" i="1"/>
  <c r="S4" i="1"/>
  <c r="S22" i="1"/>
  <c r="S20" i="1"/>
  <c r="S18" i="1"/>
  <c r="S15" i="1"/>
  <c r="S12" i="1"/>
  <c r="S3" i="1"/>
  <c r="J232" i="1"/>
  <c r="J228" i="1"/>
  <c r="J452" i="1"/>
  <c r="J454" i="1"/>
  <c r="L453" i="1"/>
  <c r="J453" i="1"/>
  <c r="J4" i="2"/>
  <c r="J241" i="1"/>
  <c r="J240" i="1"/>
  <c r="J239" i="1"/>
  <c r="J238" i="1"/>
  <c r="J237" i="1"/>
  <c r="J236" i="1"/>
  <c r="J234" i="1"/>
  <c r="J233" i="1"/>
  <c r="J231" i="1"/>
  <c r="J230" i="1"/>
  <c r="J229" i="1"/>
  <c r="J227" i="1"/>
  <c r="J226" i="1"/>
  <c r="J225" i="1"/>
  <c r="J224" i="1"/>
  <c r="J223" i="1"/>
  <c r="J222" i="1"/>
  <c r="J221" i="1"/>
  <c r="L4" i="2"/>
  <c r="N4" i="2"/>
  <c r="M4" i="2"/>
  <c r="X4" i="2" s="1"/>
  <c r="K4" i="2"/>
  <c r="S100" i="1"/>
  <c r="U101" i="1"/>
  <c r="V101" i="1"/>
  <c r="M5" i="2" s="1"/>
  <c r="W5" i="2" s="1"/>
  <c r="W18" i="2"/>
  <c r="W17" i="2"/>
  <c r="N6" i="2"/>
  <c r="Y6" i="2" s="1"/>
  <c r="N5" i="2"/>
  <c r="H5" i="2"/>
  <c r="D13" i="2"/>
  <c r="U447" i="1"/>
  <c r="U446" i="1"/>
  <c r="U445" i="1"/>
  <c r="U444" i="1"/>
  <c r="V437" i="1"/>
  <c r="L11" i="2" s="1"/>
  <c r="V436" i="1"/>
  <c r="K11" i="2" s="1"/>
  <c r="V435" i="1"/>
  <c r="J11" i="2" s="1"/>
  <c r="V434" i="1"/>
  <c r="I11" i="2" s="1"/>
  <c r="U437" i="1"/>
  <c r="U436" i="1"/>
  <c r="U435" i="1"/>
  <c r="U434" i="1"/>
  <c r="U422" i="1"/>
  <c r="U421" i="1"/>
  <c r="U420" i="1"/>
  <c r="V422" i="1"/>
  <c r="L10" i="2" s="1"/>
  <c r="V421" i="1"/>
  <c r="K10" i="2" s="1"/>
  <c r="V420" i="1"/>
  <c r="J10" i="2" s="1"/>
  <c r="I10" i="2"/>
  <c r="V317" i="1"/>
  <c r="K9" i="2" s="1"/>
  <c r="V217" i="1"/>
  <c r="L8" i="2" s="1"/>
  <c r="V216" i="1"/>
  <c r="K8" i="2" s="1"/>
  <c r="V215" i="1"/>
  <c r="I8" i="2"/>
  <c r="U199" i="1"/>
  <c r="U198" i="1"/>
  <c r="U197" i="1"/>
  <c r="V199" i="1"/>
  <c r="L7" i="2" s="1"/>
  <c r="V198" i="1"/>
  <c r="K7" i="2" s="1"/>
  <c r="V197" i="1"/>
  <c r="J7" i="2" s="1"/>
  <c r="I7" i="2"/>
  <c r="L6" i="2"/>
  <c r="K6" i="2"/>
  <c r="J6" i="2"/>
  <c r="V100" i="1"/>
  <c r="L5" i="2" s="1"/>
  <c r="V99" i="1"/>
  <c r="K5" i="2" s="1"/>
  <c r="V98" i="1"/>
  <c r="J5" i="2" s="1"/>
  <c r="V97" i="1"/>
  <c r="I5" i="2" s="1"/>
  <c r="U100" i="1"/>
  <c r="U99" i="1"/>
  <c r="U98" i="1"/>
  <c r="U97" i="1"/>
  <c r="N8" i="2"/>
  <c r="Y8" i="2" s="1"/>
  <c r="CH7" i="3"/>
  <c r="AZ18" i="3"/>
  <c r="AZ83" i="3" s="1"/>
  <c r="FY83" i="3" s="1"/>
  <c r="AY18" i="3"/>
  <c r="AX18" i="3"/>
  <c r="AV18" i="3"/>
  <c r="S113" i="3" s="1"/>
  <c r="AU18" i="3"/>
  <c r="R113" i="3" s="1"/>
  <c r="AT18" i="3"/>
  <c r="M19" i="4" s="1"/>
  <c r="AS18" i="3"/>
  <c r="AR18" i="3"/>
  <c r="CG20" i="3"/>
  <c r="AN7" i="3"/>
  <c r="AN9" i="3"/>
  <c r="CR33" i="3"/>
  <c r="CS33" i="3"/>
  <c r="CT33" i="3"/>
  <c r="CU33" i="3"/>
  <c r="CV33" i="3"/>
  <c r="CX33" i="3"/>
  <c r="CY33" i="3"/>
  <c r="CZ33" i="3"/>
  <c r="CR35" i="3"/>
  <c r="CS35" i="3"/>
  <c r="CT35" i="3"/>
  <c r="CU35" i="3"/>
  <c r="CV35" i="3"/>
  <c r="CX35" i="3"/>
  <c r="CY35" i="3"/>
  <c r="CZ35" i="3"/>
  <c r="CM16" i="3"/>
  <c r="CL16" i="3"/>
  <c r="CK16" i="3"/>
  <c r="CI16" i="3"/>
  <c r="CH16" i="3"/>
  <c r="CG16" i="3"/>
  <c r="CF16" i="3"/>
  <c r="CE16" i="3"/>
  <c r="CM14" i="3"/>
  <c r="CM82" i="3" s="1"/>
  <c r="CL14" i="3"/>
  <c r="CK14" i="3"/>
  <c r="CI14" i="3"/>
  <c r="CH14" i="3"/>
  <c r="CG14" i="3"/>
  <c r="CF14" i="3"/>
  <c r="CE14" i="3"/>
  <c r="CM24" i="3"/>
  <c r="CL24" i="3"/>
  <c r="CK24" i="3"/>
  <c r="CI24" i="3"/>
  <c r="CH24" i="3"/>
  <c r="CG24" i="3"/>
  <c r="CF24" i="3"/>
  <c r="CE24" i="3"/>
  <c r="CM18" i="3"/>
  <c r="CL18" i="3"/>
  <c r="CK18" i="3"/>
  <c r="CI18" i="3"/>
  <c r="CH18" i="3"/>
  <c r="CG18" i="3"/>
  <c r="CF18" i="3"/>
  <c r="CE18" i="3"/>
  <c r="CL12" i="3"/>
  <c r="CK12" i="3"/>
  <c r="CI12" i="3"/>
  <c r="CH12" i="3"/>
  <c r="CG12" i="3"/>
  <c r="CF12" i="3"/>
  <c r="CE12" i="3"/>
  <c r="CL8" i="3"/>
  <c r="CK8" i="3"/>
  <c r="CI8" i="3"/>
  <c r="CH8" i="3"/>
  <c r="CG8" i="3"/>
  <c r="CF8" i="3"/>
  <c r="CE8" i="3"/>
  <c r="CM22" i="3"/>
  <c r="CM70" i="3" s="1"/>
  <c r="CN10" i="3"/>
  <c r="CM10" i="3"/>
  <c r="CL10" i="3"/>
  <c r="CK10" i="3"/>
  <c r="CI10" i="3"/>
  <c r="CH10" i="3"/>
  <c r="CG10" i="3"/>
  <c r="CF10" i="3"/>
  <c r="CE10" i="3"/>
  <c r="CE20" i="3"/>
  <c r="CF20" i="3"/>
  <c r="CH20" i="3"/>
  <c r="CI20" i="3"/>
  <c r="CK20" i="3"/>
  <c r="CL20" i="3"/>
  <c r="CE22" i="3"/>
  <c r="CF22" i="3"/>
  <c r="CG22" i="3"/>
  <c r="Y6" i="4" s="1"/>
  <c r="CH22" i="3"/>
  <c r="AF100" i="3" s="1"/>
  <c r="CI22" i="3"/>
  <c r="AJ100" i="3" s="1"/>
  <c r="CK22" i="3"/>
  <c r="CL22" i="3"/>
  <c r="CM73" i="3"/>
  <c r="AV110" i="3"/>
  <c r="AU110" i="3"/>
  <c r="AT110" i="3"/>
  <c r="AS110" i="3"/>
  <c r="AR110" i="3"/>
  <c r="AQ110" i="3"/>
  <c r="AP110" i="3"/>
  <c r="AO110" i="3"/>
  <c r="AN110" i="3"/>
  <c r="AM110" i="3"/>
  <c r="AL110" i="3"/>
  <c r="AK110" i="3"/>
  <c r="AJ109" i="3"/>
  <c r="AI109" i="3"/>
  <c r="AH109" i="3"/>
  <c r="AG109" i="3"/>
  <c r="AF109" i="3"/>
  <c r="AE109" i="3"/>
  <c r="AD109" i="3"/>
  <c r="AC109" i="3"/>
  <c r="AB109" i="3"/>
  <c r="AA109" i="3"/>
  <c r="Z109" i="3"/>
  <c r="Y109" i="3"/>
  <c r="AV108" i="3"/>
  <c r="AU108" i="3"/>
  <c r="AT108" i="3"/>
  <c r="AS108" i="3"/>
  <c r="AR108" i="3"/>
  <c r="AQ108" i="3"/>
  <c r="AP108" i="3"/>
  <c r="AO108" i="3"/>
  <c r="AN108" i="3"/>
  <c r="AM108" i="3"/>
  <c r="AL108" i="3"/>
  <c r="AK108" i="3"/>
  <c r="AV104" i="3"/>
  <c r="AU104" i="3"/>
  <c r="AT104" i="3"/>
  <c r="AS104" i="3"/>
  <c r="AR104" i="3"/>
  <c r="AQ104" i="3"/>
  <c r="AP104" i="3"/>
  <c r="AO104" i="3"/>
  <c r="AN104" i="3"/>
  <c r="AM104" i="3"/>
  <c r="AL104" i="3"/>
  <c r="AK104" i="3"/>
  <c r="D110" i="3"/>
  <c r="D109" i="3"/>
  <c r="D108" i="3"/>
  <c r="D105" i="3"/>
  <c r="D103" i="3"/>
  <c r="D102" i="3"/>
  <c r="D100" i="3"/>
  <c r="U110" i="3"/>
  <c r="T110" i="3"/>
  <c r="S110" i="3"/>
  <c r="R110" i="3"/>
  <c r="Q110" i="3"/>
  <c r="P110" i="3"/>
  <c r="O110" i="3"/>
  <c r="N110" i="3"/>
  <c r="M110" i="3"/>
  <c r="L110" i="3"/>
  <c r="K110" i="3"/>
  <c r="J110" i="3"/>
  <c r="I110" i="3"/>
  <c r="H110" i="3"/>
  <c r="G110" i="3"/>
  <c r="F110" i="3"/>
  <c r="E110" i="3"/>
  <c r="L109" i="3"/>
  <c r="K109" i="3"/>
  <c r="J109" i="3"/>
  <c r="I109" i="3"/>
  <c r="H109" i="3"/>
  <c r="G109" i="3"/>
  <c r="F109" i="3"/>
  <c r="E109" i="3"/>
  <c r="L108" i="3"/>
  <c r="K108" i="3"/>
  <c r="J108" i="3"/>
  <c r="I108" i="3"/>
  <c r="H108" i="3"/>
  <c r="G108" i="3"/>
  <c r="F108" i="3"/>
  <c r="E108" i="3"/>
  <c r="U107" i="3"/>
  <c r="T107" i="3"/>
  <c r="S107" i="3"/>
  <c r="R107" i="3"/>
  <c r="Q107" i="3"/>
  <c r="P107" i="3"/>
  <c r="O107" i="3"/>
  <c r="N107" i="3"/>
  <c r="M107" i="3"/>
  <c r="U105" i="3"/>
  <c r="T105" i="3"/>
  <c r="S105" i="3"/>
  <c r="R105" i="3"/>
  <c r="Q105" i="3"/>
  <c r="P105" i="3"/>
  <c r="O105" i="3"/>
  <c r="N105" i="3"/>
  <c r="M105" i="3"/>
  <c r="L105" i="3"/>
  <c r="K105" i="3"/>
  <c r="J105" i="3"/>
  <c r="I105" i="3"/>
  <c r="H105" i="3"/>
  <c r="G105" i="3"/>
  <c r="F105" i="3"/>
  <c r="E105" i="3"/>
  <c r="U103" i="3"/>
  <c r="T103" i="3"/>
  <c r="S103" i="3"/>
  <c r="R103" i="3"/>
  <c r="Q103" i="3"/>
  <c r="P103" i="3"/>
  <c r="O103" i="3"/>
  <c r="N103" i="3"/>
  <c r="M103" i="3"/>
  <c r="L103" i="3"/>
  <c r="K103" i="3"/>
  <c r="J103" i="3"/>
  <c r="I103" i="3"/>
  <c r="H103" i="3"/>
  <c r="G103" i="3"/>
  <c r="F103" i="3"/>
  <c r="E103" i="3"/>
  <c r="L102" i="3"/>
  <c r="K102" i="3"/>
  <c r="J102" i="3"/>
  <c r="I102" i="3"/>
  <c r="H102" i="3"/>
  <c r="G102" i="3"/>
  <c r="F102" i="3"/>
  <c r="E102" i="3"/>
  <c r="L100" i="3"/>
  <c r="K100" i="3"/>
  <c r="J100" i="3"/>
  <c r="I100" i="3"/>
  <c r="H100" i="3"/>
  <c r="G100" i="3"/>
  <c r="F100" i="3"/>
  <c r="E100" i="3"/>
  <c r="AS16" i="4"/>
  <c r="AR16" i="4"/>
  <c r="AQ16" i="4"/>
  <c r="AP16" i="4"/>
  <c r="AO16" i="4"/>
  <c r="AN16" i="4"/>
  <c r="AM16" i="4"/>
  <c r="AL16" i="4"/>
  <c r="AK16" i="4"/>
  <c r="AJ16" i="4"/>
  <c r="AI16" i="4"/>
  <c r="AH16" i="4"/>
  <c r="AG15" i="4"/>
  <c r="AF15" i="4"/>
  <c r="AE15" i="4"/>
  <c r="AD15" i="4"/>
  <c r="AC15" i="4"/>
  <c r="AB15" i="4"/>
  <c r="AA15" i="4"/>
  <c r="Z15" i="4"/>
  <c r="Y15" i="4"/>
  <c r="X15" i="4"/>
  <c r="W15" i="4"/>
  <c r="V15" i="4"/>
  <c r="AS14" i="4"/>
  <c r="AR14" i="4"/>
  <c r="AQ14" i="4"/>
  <c r="AP14" i="4"/>
  <c r="AO14" i="4"/>
  <c r="AN14" i="4"/>
  <c r="AM14" i="4"/>
  <c r="AL14" i="4"/>
  <c r="AK14" i="4"/>
  <c r="AJ14" i="4"/>
  <c r="AI14" i="4"/>
  <c r="AH14" i="4"/>
  <c r="AS10" i="4"/>
  <c r="AR10" i="4"/>
  <c r="AQ10" i="4"/>
  <c r="AP10" i="4"/>
  <c r="AO10" i="4"/>
  <c r="AN10" i="4"/>
  <c r="AM10" i="4"/>
  <c r="AL10" i="4"/>
  <c r="AK10" i="4"/>
  <c r="AJ10" i="4"/>
  <c r="AI10" i="4"/>
  <c r="AH10" i="4"/>
  <c r="S16" i="4"/>
  <c r="R16" i="4"/>
  <c r="Q16" i="4"/>
  <c r="P16" i="4"/>
  <c r="O16" i="4"/>
  <c r="N16" i="4"/>
  <c r="M16" i="4"/>
  <c r="L16" i="4"/>
  <c r="K16" i="4"/>
  <c r="J16" i="4"/>
  <c r="I16" i="4"/>
  <c r="H16" i="4"/>
  <c r="G16" i="4"/>
  <c r="F16" i="4"/>
  <c r="E16" i="4"/>
  <c r="D16" i="4"/>
  <c r="C16" i="4"/>
  <c r="B16" i="4"/>
  <c r="J15" i="4"/>
  <c r="I15" i="4"/>
  <c r="H15" i="4"/>
  <c r="G15" i="4"/>
  <c r="F15" i="4"/>
  <c r="E15" i="4"/>
  <c r="D15" i="4"/>
  <c r="C15" i="4"/>
  <c r="B15" i="4"/>
  <c r="J14" i="4"/>
  <c r="I14" i="4"/>
  <c r="H14" i="4"/>
  <c r="G14" i="4"/>
  <c r="F14" i="4"/>
  <c r="E14" i="4"/>
  <c r="D14" i="4"/>
  <c r="C14" i="4"/>
  <c r="B14" i="4"/>
  <c r="S13" i="4"/>
  <c r="R13" i="4"/>
  <c r="Q13" i="4"/>
  <c r="P13" i="4"/>
  <c r="O13" i="4"/>
  <c r="N13" i="4"/>
  <c r="M13" i="4"/>
  <c r="L13" i="4"/>
  <c r="K13" i="4"/>
  <c r="S11" i="4"/>
  <c r="R11" i="4"/>
  <c r="Q11" i="4"/>
  <c r="P11" i="4"/>
  <c r="O11" i="4"/>
  <c r="N11" i="4"/>
  <c r="M11" i="4"/>
  <c r="L11" i="4"/>
  <c r="K11" i="4"/>
  <c r="J11" i="4"/>
  <c r="I11" i="4"/>
  <c r="H11" i="4"/>
  <c r="G11" i="4"/>
  <c r="F11" i="4"/>
  <c r="E11" i="4"/>
  <c r="D11" i="4"/>
  <c r="C11" i="4"/>
  <c r="B11" i="4"/>
  <c r="S9" i="4"/>
  <c r="R9" i="4"/>
  <c r="Q9" i="4"/>
  <c r="P9" i="4"/>
  <c r="O9" i="4"/>
  <c r="N9" i="4"/>
  <c r="M9" i="4"/>
  <c r="L9" i="4"/>
  <c r="K9" i="4"/>
  <c r="J9" i="4"/>
  <c r="I9" i="4"/>
  <c r="H9" i="4"/>
  <c r="G9" i="4"/>
  <c r="F9" i="4"/>
  <c r="E9" i="4"/>
  <c r="D9" i="4"/>
  <c r="C9" i="4"/>
  <c r="B9" i="4"/>
  <c r="J8" i="4"/>
  <c r="I8" i="4"/>
  <c r="H8" i="4"/>
  <c r="G8" i="4"/>
  <c r="F8" i="4"/>
  <c r="E8" i="4"/>
  <c r="D8" i="4"/>
  <c r="C8" i="4"/>
  <c r="B8" i="4"/>
  <c r="J6" i="4"/>
  <c r="I6" i="4"/>
  <c r="H6" i="4"/>
  <c r="G6" i="4"/>
  <c r="F6" i="4"/>
  <c r="E6" i="4"/>
  <c r="D6" i="4"/>
  <c r="C6" i="4"/>
  <c r="B6" i="4"/>
  <c r="EZ83" i="3"/>
  <c r="CM83" i="3"/>
  <c r="BZ83" i="3"/>
  <c r="BM83" i="3"/>
  <c r="AM83" i="3"/>
  <c r="M83" i="3"/>
  <c r="EZ82" i="3"/>
  <c r="BZ82" i="3"/>
  <c r="BM82" i="3"/>
  <c r="Z82" i="3"/>
  <c r="M82" i="3"/>
  <c r="EZ81" i="3"/>
  <c r="EM81" i="3"/>
  <c r="DM81" i="3"/>
  <c r="BZ81" i="3"/>
  <c r="BM81" i="3"/>
  <c r="M81" i="3"/>
  <c r="EZ80" i="3"/>
  <c r="EM80" i="3"/>
  <c r="DZ80" i="3"/>
  <c r="DM80" i="3"/>
  <c r="CM80" i="3"/>
  <c r="BZ80" i="3"/>
  <c r="BM80" i="3"/>
  <c r="AZ80" i="3"/>
  <c r="AM80" i="3"/>
  <c r="Z80" i="3"/>
  <c r="M80" i="3"/>
  <c r="EZ79" i="3"/>
  <c r="EM79" i="3"/>
  <c r="DM79" i="3"/>
  <c r="CZ79" i="3"/>
  <c r="CM79" i="3"/>
  <c r="BZ79" i="3"/>
  <c r="BM79" i="3"/>
  <c r="AM79" i="3"/>
  <c r="Z79" i="3"/>
  <c r="M79" i="3"/>
  <c r="EZ78" i="3"/>
  <c r="DZ78" i="3"/>
  <c r="EM78" i="3"/>
  <c r="DM78" i="3"/>
  <c r="BZ78" i="3"/>
  <c r="AZ78" i="3"/>
  <c r="AM78" i="3"/>
  <c r="Z78" i="3"/>
  <c r="M78" i="3"/>
  <c r="EZ77" i="3"/>
  <c r="EM77" i="3"/>
  <c r="BZ77" i="3"/>
  <c r="BM77" i="3"/>
  <c r="AZ77" i="3"/>
  <c r="AM77" i="3"/>
  <c r="EZ76" i="3"/>
  <c r="EM76" i="3"/>
  <c r="CM76" i="3"/>
  <c r="BM76" i="3"/>
  <c r="AZ76" i="3"/>
  <c r="AM76" i="3"/>
  <c r="M76" i="3"/>
  <c r="EZ75" i="3"/>
  <c r="EM75" i="3"/>
  <c r="DM75" i="3"/>
  <c r="CM75" i="3"/>
  <c r="BZ75" i="3"/>
  <c r="BM75" i="3"/>
  <c r="AZ75" i="3"/>
  <c r="AM75" i="3"/>
  <c r="Z75" i="3"/>
  <c r="M75" i="3"/>
  <c r="EZ74" i="3"/>
  <c r="EM74" i="3"/>
  <c r="DZ74" i="3"/>
  <c r="CZ74" i="3"/>
  <c r="BZ74" i="3"/>
  <c r="BM74" i="3"/>
  <c r="AM74" i="3"/>
  <c r="DZ73" i="3"/>
  <c r="CZ73" i="3"/>
  <c r="BZ73" i="3"/>
  <c r="BM73" i="3"/>
  <c r="AZ73" i="3"/>
  <c r="AM73" i="3"/>
  <c r="Z73" i="3"/>
  <c r="M73" i="3"/>
  <c r="AZ72" i="3"/>
  <c r="AM72" i="3"/>
  <c r="Z72" i="3"/>
  <c r="M72" i="3"/>
  <c r="EZ71" i="3"/>
  <c r="CM71" i="3"/>
  <c r="BZ71" i="3"/>
  <c r="BM71" i="3"/>
  <c r="EZ70" i="3"/>
  <c r="EM70" i="3"/>
  <c r="DM70" i="3"/>
  <c r="CZ70" i="3"/>
  <c r="BZ70" i="3"/>
  <c r="AZ70" i="3"/>
  <c r="AM70" i="3"/>
  <c r="Z70" i="3"/>
  <c r="M70" i="3"/>
  <c r="DM69" i="3"/>
  <c r="BZ69" i="3"/>
  <c r="AZ69" i="3"/>
  <c r="EZ61" i="3"/>
  <c r="EM61" i="3"/>
  <c r="DZ61" i="3"/>
  <c r="DM61" i="3"/>
  <c r="CZ61" i="3"/>
  <c r="CM61" i="3"/>
  <c r="BZ61" i="3"/>
  <c r="BM61" i="3"/>
  <c r="AZ61" i="3"/>
  <c r="AM61" i="3"/>
  <c r="Z61" i="3"/>
  <c r="M61" i="3"/>
  <c r="EZ60" i="3"/>
  <c r="EM60" i="3"/>
  <c r="DZ60" i="3"/>
  <c r="DM60" i="3"/>
  <c r="CZ60" i="3"/>
  <c r="CM60" i="3"/>
  <c r="BZ60" i="3"/>
  <c r="BM60" i="3"/>
  <c r="AZ60" i="3"/>
  <c r="AM60" i="3"/>
  <c r="Z60" i="3"/>
  <c r="M60" i="3"/>
  <c r="EZ59" i="3"/>
  <c r="EM59" i="3"/>
  <c r="DZ59" i="3"/>
  <c r="DM59" i="3"/>
  <c r="CZ59" i="3"/>
  <c r="CM59" i="3"/>
  <c r="BZ59" i="3"/>
  <c r="BM59" i="3"/>
  <c r="AZ59" i="3"/>
  <c r="AM59" i="3"/>
  <c r="Z59" i="3"/>
  <c r="M59" i="3"/>
  <c r="EZ58" i="3"/>
  <c r="EM58" i="3"/>
  <c r="DZ58" i="3"/>
  <c r="DM58" i="3"/>
  <c r="CZ58" i="3"/>
  <c r="CM58" i="3"/>
  <c r="BZ58" i="3"/>
  <c r="BM58" i="3"/>
  <c r="AZ58" i="3"/>
  <c r="AM58" i="3"/>
  <c r="Z58" i="3"/>
  <c r="M58" i="3"/>
  <c r="EZ57" i="3"/>
  <c r="EM57" i="3"/>
  <c r="DZ57" i="3"/>
  <c r="DM57" i="3"/>
  <c r="CZ57" i="3"/>
  <c r="CM57" i="3"/>
  <c r="BZ57" i="3"/>
  <c r="BM57" i="3"/>
  <c r="AZ57" i="3"/>
  <c r="AM57" i="3"/>
  <c r="Z57" i="3"/>
  <c r="M57" i="3"/>
  <c r="EZ56" i="3"/>
  <c r="EM56" i="3"/>
  <c r="DZ56" i="3"/>
  <c r="DM56" i="3"/>
  <c r="CZ56" i="3"/>
  <c r="CM56" i="3"/>
  <c r="BZ56" i="3"/>
  <c r="BM56" i="3"/>
  <c r="AZ56" i="3"/>
  <c r="AM56" i="3"/>
  <c r="Z56" i="3"/>
  <c r="M56" i="3"/>
  <c r="EZ55" i="3"/>
  <c r="EM55" i="3"/>
  <c r="DZ55" i="3"/>
  <c r="DM55" i="3"/>
  <c r="CZ55" i="3"/>
  <c r="CM55" i="3"/>
  <c r="BZ55" i="3"/>
  <c r="BM55" i="3"/>
  <c r="AZ55" i="3"/>
  <c r="AM55" i="3"/>
  <c r="Z55" i="3"/>
  <c r="M55" i="3"/>
  <c r="EZ54" i="3"/>
  <c r="EM54" i="3"/>
  <c r="DZ54" i="3"/>
  <c r="DM54" i="3"/>
  <c r="CZ54" i="3"/>
  <c r="CM54" i="3"/>
  <c r="BZ54" i="3"/>
  <c r="BM54" i="3"/>
  <c r="AZ54" i="3"/>
  <c r="AM54" i="3"/>
  <c r="Z54" i="3"/>
  <c r="M54" i="3"/>
  <c r="EZ53" i="3"/>
  <c r="EM53" i="3"/>
  <c r="DZ53" i="3"/>
  <c r="DM53" i="3"/>
  <c r="CZ53" i="3"/>
  <c r="CM53" i="3"/>
  <c r="BZ53" i="3"/>
  <c r="BM53" i="3"/>
  <c r="AZ53" i="3"/>
  <c r="AM53" i="3"/>
  <c r="Z53" i="3"/>
  <c r="M53" i="3"/>
  <c r="EZ52" i="3"/>
  <c r="EM52" i="3"/>
  <c r="DZ52" i="3"/>
  <c r="DM52" i="3"/>
  <c r="CZ52" i="3"/>
  <c r="CM52" i="3"/>
  <c r="BZ52" i="3"/>
  <c r="BM52" i="3"/>
  <c r="AZ52" i="3"/>
  <c r="AM52" i="3"/>
  <c r="Z52" i="3"/>
  <c r="M52" i="3"/>
  <c r="EZ51" i="3"/>
  <c r="EM51" i="3"/>
  <c r="DZ51" i="3"/>
  <c r="DM51" i="3"/>
  <c r="CZ51" i="3"/>
  <c r="CM51" i="3"/>
  <c r="BZ51" i="3"/>
  <c r="BM51" i="3"/>
  <c r="AZ51" i="3"/>
  <c r="AM51" i="3"/>
  <c r="Z51" i="3"/>
  <c r="M51" i="3"/>
  <c r="EZ50" i="3"/>
  <c r="EM50" i="3"/>
  <c r="DZ50" i="3"/>
  <c r="DM50" i="3"/>
  <c r="CZ50" i="3"/>
  <c r="CM50" i="3"/>
  <c r="BZ50" i="3"/>
  <c r="BM50" i="3"/>
  <c r="AZ50" i="3"/>
  <c r="AM50" i="3"/>
  <c r="Z50" i="3"/>
  <c r="M50" i="3"/>
  <c r="EZ49" i="3"/>
  <c r="EM49" i="3"/>
  <c r="DZ49" i="3"/>
  <c r="DM49" i="3"/>
  <c r="CZ49" i="3"/>
  <c r="CM49" i="3"/>
  <c r="BZ49" i="3"/>
  <c r="BM49" i="3"/>
  <c r="AZ49" i="3"/>
  <c r="AM49" i="3"/>
  <c r="Z49" i="3"/>
  <c r="M49" i="3"/>
  <c r="EZ48" i="3"/>
  <c r="EM48" i="3"/>
  <c r="DZ48" i="3"/>
  <c r="DM48" i="3"/>
  <c r="CZ48" i="3"/>
  <c r="CM48" i="3"/>
  <c r="BZ48" i="3"/>
  <c r="BM48" i="3"/>
  <c r="AZ48" i="3"/>
  <c r="AM48" i="3"/>
  <c r="Z48" i="3"/>
  <c r="M48" i="3"/>
  <c r="EZ47" i="3"/>
  <c r="EM47" i="3"/>
  <c r="DZ47" i="3"/>
  <c r="DM47" i="3"/>
  <c r="CZ47" i="3"/>
  <c r="CM47" i="3"/>
  <c r="BZ47" i="3"/>
  <c r="BM47" i="3"/>
  <c r="AZ47" i="3"/>
  <c r="AM47" i="3"/>
  <c r="Z47" i="3"/>
  <c r="M47" i="3"/>
  <c r="DY31" i="3"/>
  <c r="DX31" i="3"/>
  <c r="DV31" i="3"/>
  <c r="AT106" i="3" s="1"/>
  <c r="DU31" i="3"/>
  <c r="AN12" i="4" s="1"/>
  <c r="DT31" i="3"/>
  <c r="AL106" i="3" s="1"/>
  <c r="DS31" i="3"/>
  <c r="DR31" i="3"/>
  <c r="DY29" i="3"/>
  <c r="DX29" i="3"/>
  <c r="DV29" i="3"/>
  <c r="AV111" i="3" s="1"/>
  <c r="DU29" i="3"/>
  <c r="AO17" i="4" s="1"/>
  <c r="DT29" i="3"/>
  <c r="AK17" i="4" s="1"/>
  <c r="DS29" i="3"/>
  <c r="DR29" i="3"/>
  <c r="DY27" i="3"/>
  <c r="DX27" i="3"/>
  <c r="DV27" i="3"/>
  <c r="DU27" i="3"/>
  <c r="DT27" i="3"/>
  <c r="DS27" i="3"/>
  <c r="DR27" i="3"/>
  <c r="DY25" i="3"/>
  <c r="DX25" i="3"/>
  <c r="DV25" i="3"/>
  <c r="AS6" i="4" s="1"/>
  <c r="DU25" i="3"/>
  <c r="AN6" i="4" s="1"/>
  <c r="DT25" i="3"/>
  <c r="DS25" i="3"/>
  <c r="DR25" i="3"/>
  <c r="DY23" i="3"/>
  <c r="DX23" i="3"/>
  <c r="DV23" i="3"/>
  <c r="DU23" i="3"/>
  <c r="DT23" i="3"/>
  <c r="DS23" i="3"/>
  <c r="DR23" i="3"/>
  <c r="DY21" i="3"/>
  <c r="DX21" i="3"/>
  <c r="DV21" i="3"/>
  <c r="AV105" i="3" s="1"/>
  <c r="DU21" i="3"/>
  <c r="AP105" i="3" s="1"/>
  <c r="DT21" i="3"/>
  <c r="AK11" i="4" s="1"/>
  <c r="DS21" i="3"/>
  <c r="DR21" i="3"/>
  <c r="DY19" i="3"/>
  <c r="DX19" i="3"/>
  <c r="DV19" i="3"/>
  <c r="DU19" i="3"/>
  <c r="DT19" i="3"/>
  <c r="DS19" i="3"/>
  <c r="DR19" i="3"/>
  <c r="EL18" i="3"/>
  <c r="EK18" i="3"/>
  <c r="EI18" i="3"/>
  <c r="EH18" i="3"/>
  <c r="EG18" i="3"/>
  <c r="EF18" i="3"/>
  <c r="EE18" i="3"/>
  <c r="DY18" i="3"/>
  <c r="DX18" i="3"/>
  <c r="DV18" i="3"/>
  <c r="DU18" i="3"/>
  <c r="DT18" i="3"/>
  <c r="DS18" i="3"/>
  <c r="DR18" i="3"/>
  <c r="EL17" i="3"/>
  <c r="EK17" i="3"/>
  <c r="EI17" i="3"/>
  <c r="EH17" i="3"/>
  <c r="EG17" i="3"/>
  <c r="EF17" i="3"/>
  <c r="EE17" i="3"/>
  <c r="DY16" i="3"/>
  <c r="DX16" i="3"/>
  <c r="DV16" i="3"/>
  <c r="DU16" i="3"/>
  <c r="DT16" i="3"/>
  <c r="DS16" i="3"/>
  <c r="DR16" i="3"/>
  <c r="EL15" i="3"/>
  <c r="EK15" i="3"/>
  <c r="EI15" i="3"/>
  <c r="EH15" i="3"/>
  <c r="EG15" i="3"/>
  <c r="EF15" i="3"/>
  <c r="EE15" i="3"/>
  <c r="DY14" i="3"/>
  <c r="DX14" i="3"/>
  <c r="DV14" i="3"/>
  <c r="DU14" i="3"/>
  <c r="DT14" i="3"/>
  <c r="DS14" i="3"/>
  <c r="DR14" i="3"/>
  <c r="EL13" i="3"/>
  <c r="EK13" i="3"/>
  <c r="EI13" i="3"/>
  <c r="EH13" i="3"/>
  <c r="EG13" i="3"/>
  <c r="EF13" i="3"/>
  <c r="EE13" i="3"/>
  <c r="DY13" i="3"/>
  <c r="DX13" i="3"/>
  <c r="DV13" i="3"/>
  <c r="DU13" i="3"/>
  <c r="DT13" i="3"/>
  <c r="DS13" i="3"/>
  <c r="DR13" i="3"/>
  <c r="EL11" i="3"/>
  <c r="EK11" i="3"/>
  <c r="EI11" i="3"/>
  <c r="EH11" i="3"/>
  <c r="EG11" i="3"/>
  <c r="EF11" i="3"/>
  <c r="EE11" i="3"/>
  <c r="DY11" i="3"/>
  <c r="DX11" i="3"/>
  <c r="DV11" i="3"/>
  <c r="EI7" i="3"/>
  <c r="EV7" i="3"/>
  <c r="DU11" i="3"/>
  <c r="DT11" i="3"/>
  <c r="DS11" i="3"/>
  <c r="DR11" i="3"/>
  <c r="EY10" i="3"/>
  <c r="EX10" i="3"/>
  <c r="EV10" i="3"/>
  <c r="EU10" i="3"/>
  <c r="ET10" i="3"/>
  <c r="ES10" i="3"/>
  <c r="ER10" i="3"/>
  <c r="EY9" i="3"/>
  <c r="EY5" i="3"/>
  <c r="EY7" i="3"/>
  <c r="EX9" i="3"/>
  <c r="EV9" i="3"/>
  <c r="EU9" i="3"/>
  <c r="ET9" i="3"/>
  <c r="ES9" i="3"/>
  <c r="ER9" i="3"/>
  <c r="EL9" i="3"/>
  <c r="EK9" i="3"/>
  <c r="EI9" i="3"/>
  <c r="EV5" i="3"/>
  <c r="EH9" i="3"/>
  <c r="EG9" i="3"/>
  <c r="EF9" i="3"/>
  <c r="EE9" i="3"/>
  <c r="DY9" i="3"/>
  <c r="DX9" i="3"/>
  <c r="DV9" i="3"/>
  <c r="AS15" i="4" s="1"/>
  <c r="DU9" i="3"/>
  <c r="AN15" i="4" s="1"/>
  <c r="DT9" i="3"/>
  <c r="AL109" i="3" s="1"/>
  <c r="DS9" i="3"/>
  <c r="DR9" i="3"/>
  <c r="EX7" i="3"/>
  <c r="EU7" i="3"/>
  <c r="ET7" i="3"/>
  <c r="ES7" i="3"/>
  <c r="ER7" i="3"/>
  <c r="EL7" i="3"/>
  <c r="EK7" i="3"/>
  <c r="EH7" i="3"/>
  <c r="EG7" i="3"/>
  <c r="EF7" i="3"/>
  <c r="EE7" i="3"/>
  <c r="EX5" i="3"/>
  <c r="EU5" i="3"/>
  <c r="ET5" i="3"/>
  <c r="ES5" i="3"/>
  <c r="ER5" i="3"/>
  <c r="EL5" i="3"/>
  <c r="EK5" i="3"/>
  <c r="EI5" i="3"/>
  <c r="EH5" i="3"/>
  <c r="EG5" i="3"/>
  <c r="EF5" i="3"/>
  <c r="EE5" i="3"/>
  <c r="DY5" i="3"/>
  <c r="DX5" i="3"/>
  <c r="DV5" i="3"/>
  <c r="DU5" i="3"/>
  <c r="DT5" i="3"/>
  <c r="DS5" i="3"/>
  <c r="DR5" i="3"/>
  <c r="CR17" i="3"/>
  <c r="CS17" i="3"/>
  <c r="CT17" i="3"/>
  <c r="CU17" i="3"/>
  <c r="CV17" i="3"/>
  <c r="CX17" i="3"/>
  <c r="CY17" i="3"/>
  <c r="CZ17" i="3"/>
  <c r="CZ83" i="3" s="1"/>
  <c r="CR19" i="3"/>
  <c r="CS19" i="3"/>
  <c r="CT19" i="3"/>
  <c r="AA110" i="3" s="1"/>
  <c r="CU19" i="3"/>
  <c r="AF110" i="3" s="1"/>
  <c r="CV19" i="3"/>
  <c r="AF16" i="4" s="1"/>
  <c r="CX19" i="3"/>
  <c r="CY19" i="3"/>
  <c r="CZ19" i="3"/>
  <c r="CZ80" i="3" s="1"/>
  <c r="CR21" i="3"/>
  <c r="CS21" i="3"/>
  <c r="CT21" i="3"/>
  <c r="CU21" i="3"/>
  <c r="CV21" i="3"/>
  <c r="CX21" i="3"/>
  <c r="CY21" i="3"/>
  <c r="CZ21" i="3"/>
  <c r="CR22" i="3"/>
  <c r="CS22" i="3"/>
  <c r="CT22" i="3"/>
  <c r="CU22" i="3"/>
  <c r="CV22" i="3"/>
  <c r="CX22" i="3"/>
  <c r="CY22" i="3"/>
  <c r="CZ22" i="3"/>
  <c r="CR24" i="3"/>
  <c r="CS24" i="3"/>
  <c r="CT24" i="3"/>
  <c r="CU24" i="3"/>
  <c r="CV24" i="3"/>
  <c r="CX24" i="3"/>
  <c r="CY24" i="3"/>
  <c r="CZ24" i="3"/>
  <c r="CR26" i="3"/>
  <c r="CS26" i="3"/>
  <c r="CT26" i="3"/>
  <c r="CU26" i="3"/>
  <c r="CV26" i="3"/>
  <c r="CX26" i="3"/>
  <c r="CY26" i="3"/>
  <c r="CR27" i="3"/>
  <c r="CS27" i="3"/>
  <c r="CT27" i="3"/>
  <c r="CU27" i="3"/>
  <c r="CV27" i="3"/>
  <c r="CX27" i="3"/>
  <c r="CY27" i="3"/>
  <c r="CR5" i="3"/>
  <c r="CS5" i="3"/>
  <c r="CT5" i="3"/>
  <c r="CU5" i="3"/>
  <c r="CV5" i="3"/>
  <c r="CX5" i="3"/>
  <c r="CY5" i="3"/>
  <c r="CZ5" i="3"/>
  <c r="CZ77" i="3" s="1"/>
  <c r="CR29" i="3"/>
  <c r="CS29" i="3"/>
  <c r="CT29" i="3"/>
  <c r="CU29" i="3"/>
  <c r="CV29" i="3"/>
  <c r="CX29" i="3"/>
  <c r="CY29" i="3"/>
  <c r="CZ29" i="3"/>
  <c r="CR31" i="3"/>
  <c r="CS31" i="3"/>
  <c r="CT31" i="3"/>
  <c r="CU31" i="3"/>
  <c r="CV31" i="3"/>
  <c r="CX31" i="3"/>
  <c r="CY31" i="3"/>
  <c r="CZ31" i="3"/>
  <c r="CZ81" i="3" s="1"/>
  <c r="CZ76" i="3"/>
  <c r="CZ15" i="3"/>
  <c r="CZ78" i="3" s="1"/>
  <c r="CY15" i="3"/>
  <c r="CX15" i="3"/>
  <c r="CV15" i="3"/>
  <c r="CU15" i="3"/>
  <c r="CT15" i="3"/>
  <c r="CS15" i="3"/>
  <c r="CR15" i="3"/>
  <c r="AR15" i="3"/>
  <c r="AS15" i="3"/>
  <c r="AT15" i="3"/>
  <c r="AU15" i="3"/>
  <c r="O18" i="4" s="1"/>
  <c r="AV15" i="3"/>
  <c r="AX15" i="3"/>
  <c r="AY15" i="3"/>
  <c r="AZ16" i="3"/>
  <c r="AY16" i="3"/>
  <c r="AX16" i="3"/>
  <c r="AV16" i="3"/>
  <c r="AU16" i="3"/>
  <c r="AT16" i="3"/>
  <c r="AS16" i="3"/>
  <c r="AR16" i="3"/>
  <c r="AZ15" i="3"/>
  <c r="GC68" i="3"/>
  <c r="GC67" i="3"/>
  <c r="GC66" i="3"/>
  <c r="FB66" i="3"/>
  <c r="GC65" i="3"/>
  <c r="FB65" i="3"/>
  <c r="FB44" i="3"/>
  <c r="FB43" i="3"/>
  <c r="CU7" i="3"/>
  <c r="BH12" i="3"/>
  <c r="BH5" i="3"/>
  <c r="N5" i="4" s="1"/>
  <c r="BH14" i="3"/>
  <c r="P14" i="4" s="1"/>
  <c r="BH10" i="3"/>
  <c r="Q100" i="3" s="1"/>
  <c r="AU11" i="3"/>
  <c r="AU12" i="3"/>
  <c r="AU13" i="3"/>
  <c r="AU10" i="3"/>
  <c r="AU9" i="3"/>
  <c r="AH11" i="3"/>
  <c r="AH9" i="3"/>
  <c r="AH7" i="3"/>
  <c r="F18" i="4" s="1"/>
  <c r="AH5" i="3"/>
  <c r="U28" i="3"/>
  <c r="U26" i="3"/>
  <c r="U24" i="3"/>
  <c r="U23" i="3"/>
  <c r="U21" i="3"/>
  <c r="U19" i="3"/>
  <c r="U18" i="3"/>
  <c r="U16" i="3"/>
  <c r="I113" i="3" s="1"/>
  <c r="U14" i="3"/>
  <c r="U12" i="3"/>
  <c r="H7" i="3"/>
  <c r="U10" i="3"/>
  <c r="U8" i="3"/>
  <c r="U7" i="3"/>
  <c r="U5" i="3"/>
  <c r="H5" i="3"/>
  <c r="H16" i="3"/>
  <c r="H14" i="3"/>
  <c r="H13" i="3"/>
  <c r="H12" i="3"/>
  <c r="H10" i="3"/>
  <c r="H9" i="3"/>
  <c r="M5" i="3"/>
  <c r="M69" i="3" s="1"/>
  <c r="FX69" i="3" s="1"/>
  <c r="GC69" i="3" s="1"/>
  <c r="Z62" i="3"/>
  <c r="Z63" i="3"/>
  <c r="M63" i="3"/>
  <c r="M62" i="3"/>
  <c r="FZ48" i="3"/>
  <c r="Z64" i="3"/>
  <c r="CM62" i="3"/>
  <c r="EZ85" i="3"/>
  <c r="EZ63" i="3"/>
  <c r="EZ62" i="3"/>
  <c r="EM63" i="3"/>
  <c r="EM62" i="3"/>
  <c r="DM63" i="3"/>
  <c r="DM62" i="3"/>
  <c r="CM63" i="3"/>
  <c r="BZ85" i="3"/>
  <c r="BZ63" i="3"/>
  <c r="BZ62" i="3"/>
  <c r="BM63" i="3"/>
  <c r="BM62" i="3"/>
  <c r="AZ62" i="3"/>
  <c r="AM63" i="3"/>
  <c r="FX63" i="3"/>
  <c r="AM62" i="3"/>
  <c r="CZ63" i="3"/>
  <c r="CZ62" i="3"/>
  <c r="AZ63" i="3"/>
  <c r="CZ64" i="3"/>
  <c r="FY63" i="3"/>
  <c r="FY62" i="3"/>
  <c r="DZ14" i="3"/>
  <c r="DZ13" i="3"/>
  <c r="DE18" i="3"/>
  <c r="DF18" i="3"/>
  <c r="DG18" i="3"/>
  <c r="DH18" i="3"/>
  <c r="DI18" i="3"/>
  <c r="DK18" i="3"/>
  <c r="DL18" i="3"/>
  <c r="DM18" i="3"/>
  <c r="DM17" i="3"/>
  <c r="AR12" i="3"/>
  <c r="AS12" i="3"/>
  <c r="AT12" i="3"/>
  <c r="AV12" i="3"/>
  <c r="AX12" i="3"/>
  <c r="AY12" i="3"/>
  <c r="AZ12" i="3"/>
  <c r="AR13" i="3"/>
  <c r="AS13" i="3"/>
  <c r="AT13" i="3"/>
  <c r="AV13" i="3"/>
  <c r="AX13" i="3"/>
  <c r="AY13" i="3"/>
  <c r="AZ13" i="3"/>
  <c r="AZ11" i="3"/>
  <c r="FX48" i="3"/>
  <c r="FY48" i="3"/>
  <c r="GA48" i="3"/>
  <c r="FX49" i="3"/>
  <c r="FY49" i="3"/>
  <c r="FZ49" i="3"/>
  <c r="FX50" i="3"/>
  <c r="FY50" i="3"/>
  <c r="FZ50" i="3"/>
  <c r="FX51" i="3"/>
  <c r="FY51" i="3"/>
  <c r="FZ51" i="3"/>
  <c r="FX52" i="3"/>
  <c r="FY52" i="3"/>
  <c r="FZ52" i="3"/>
  <c r="GA52" i="3"/>
  <c r="FX53" i="3"/>
  <c r="FY53" i="3"/>
  <c r="FZ53" i="3"/>
  <c r="GA53" i="3"/>
  <c r="FX54" i="3"/>
  <c r="FY54" i="3"/>
  <c r="FZ54" i="3"/>
  <c r="GA54" i="3"/>
  <c r="FX55" i="3"/>
  <c r="FY55" i="3"/>
  <c r="FZ55" i="3"/>
  <c r="GA55" i="3"/>
  <c r="FX56" i="3"/>
  <c r="FY56" i="3"/>
  <c r="FZ56" i="3"/>
  <c r="GA56" i="3"/>
  <c r="FX57" i="3"/>
  <c r="FY57" i="3"/>
  <c r="FZ57" i="3"/>
  <c r="GA57" i="3"/>
  <c r="FX58" i="3"/>
  <c r="FY58" i="3"/>
  <c r="FZ58" i="3"/>
  <c r="GA58" i="3"/>
  <c r="FX59" i="3"/>
  <c r="FY59" i="3"/>
  <c r="FZ59" i="3"/>
  <c r="GA59" i="3"/>
  <c r="FX60" i="3"/>
  <c r="FY60" i="3"/>
  <c r="FZ60" i="3"/>
  <c r="FX61" i="3"/>
  <c r="FY61" i="3"/>
  <c r="FZ61" i="3"/>
  <c r="FZ47" i="3"/>
  <c r="FY47" i="3"/>
  <c r="FX47" i="3"/>
  <c r="GC59" i="3"/>
  <c r="GC58" i="3"/>
  <c r="GC57" i="3"/>
  <c r="GC56" i="3"/>
  <c r="GC55" i="3"/>
  <c r="GC54" i="3"/>
  <c r="GC53" i="3"/>
  <c r="GC52" i="3"/>
  <c r="GC48" i="3"/>
  <c r="DY7" i="3"/>
  <c r="DX7" i="3"/>
  <c r="DV7" i="3"/>
  <c r="AV107" i="3" s="1"/>
  <c r="DU7" i="3"/>
  <c r="AP107" i="3" s="1"/>
  <c r="DT7" i="3"/>
  <c r="AK13" i="4" s="1"/>
  <c r="DS7" i="3"/>
  <c r="DR7" i="3"/>
  <c r="DL29" i="3"/>
  <c r="DK29" i="3"/>
  <c r="DI29" i="3"/>
  <c r="DH29" i="3"/>
  <c r="DG29" i="3"/>
  <c r="DF29" i="3"/>
  <c r="DE29" i="3"/>
  <c r="DL27" i="3"/>
  <c r="DK27" i="3"/>
  <c r="DI27" i="3"/>
  <c r="DH27" i="3"/>
  <c r="DG27" i="3"/>
  <c r="DF27" i="3"/>
  <c r="DE27" i="3"/>
  <c r="DL25" i="3"/>
  <c r="DK25" i="3"/>
  <c r="DI25" i="3"/>
  <c r="DH25" i="3"/>
  <c r="DG25" i="3"/>
  <c r="DF25" i="3"/>
  <c r="DE25" i="3"/>
  <c r="DL23" i="3"/>
  <c r="DK23" i="3"/>
  <c r="DI23" i="3"/>
  <c r="DH23" i="3"/>
  <c r="DG23" i="3"/>
  <c r="DF23" i="3"/>
  <c r="DE23" i="3"/>
  <c r="DE21" i="3"/>
  <c r="DF21" i="3"/>
  <c r="DG21" i="3"/>
  <c r="DH21" i="3"/>
  <c r="DI21" i="3"/>
  <c r="DK21" i="3"/>
  <c r="DL21" i="3"/>
  <c r="DL20" i="3"/>
  <c r="DK20" i="3"/>
  <c r="DI20" i="3"/>
  <c r="DH20" i="3"/>
  <c r="DG20" i="3"/>
  <c r="DF20" i="3"/>
  <c r="DE20" i="3"/>
  <c r="DL17" i="3"/>
  <c r="DK17" i="3"/>
  <c r="DI17" i="3"/>
  <c r="DH17" i="3"/>
  <c r="DG17" i="3"/>
  <c r="DF17" i="3"/>
  <c r="DE17" i="3"/>
  <c r="DL15" i="3"/>
  <c r="DK15" i="3"/>
  <c r="DI15" i="3"/>
  <c r="DH15" i="3"/>
  <c r="DG15" i="3"/>
  <c r="DF15" i="3"/>
  <c r="DE15" i="3"/>
  <c r="DL13" i="3"/>
  <c r="DK13" i="3"/>
  <c r="DI13" i="3"/>
  <c r="AG12" i="4" s="1"/>
  <c r="DH13" i="3"/>
  <c r="DG13" i="3"/>
  <c r="AA106" i="3" s="1"/>
  <c r="DF13" i="3"/>
  <c r="DE13" i="3"/>
  <c r="DL11" i="3"/>
  <c r="DK11" i="3"/>
  <c r="DI11" i="3"/>
  <c r="DH11" i="3"/>
  <c r="DG11" i="3"/>
  <c r="DF11" i="3"/>
  <c r="DE11" i="3"/>
  <c r="DE10" i="3"/>
  <c r="DF10" i="3"/>
  <c r="DG10" i="3"/>
  <c r="DH10" i="3"/>
  <c r="DI10" i="3"/>
  <c r="DI9" i="3"/>
  <c r="DK10" i="3"/>
  <c r="DL10" i="3"/>
  <c r="DL9" i="3"/>
  <c r="DK9" i="3"/>
  <c r="DH9" i="3"/>
  <c r="DG9" i="3"/>
  <c r="DF9" i="3"/>
  <c r="DE9" i="3"/>
  <c r="DL7" i="3"/>
  <c r="DK7" i="3"/>
  <c r="DI7" i="3"/>
  <c r="DH7" i="3"/>
  <c r="DG7" i="3"/>
  <c r="DF7" i="3"/>
  <c r="DE7" i="3"/>
  <c r="DL5" i="3"/>
  <c r="DK5" i="3"/>
  <c r="DI5" i="3"/>
  <c r="DH5" i="3"/>
  <c r="DG5" i="3"/>
  <c r="DF5" i="3"/>
  <c r="DE5" i="3"/>
  <c r="CY13" i="3"/>
  <c r="CX13" i="3"/>
  <c r="CV13" i="3"/>
  <c r="CU13" i="3"/>
  <c r="CT13" i="3"/>
  <c r="CS13" i="3"/>
  <c r="CR13" i="3"/>
  <c r="CY11" i="3"/>
  <c r="CX11" i="3"/>
  <c r="CV11" i="3"/>
  <c r="CU11" i="3"/>
  <c r="CT11" i="3"/>
  <c r="CS11" i="3"/>
  <c r="CR11" i="3"/>
  <c r="CY9" i="3"/>
  <c r="CX9" i="3"/>
  <c r="CV9" i="3"/>
  <c r="CU9" i="3"/>
  <c r="CT9" i="3"/>
  <c r="CS9" i="3"/>
  <c r="CR9" i="3"/>
  <c r="CR7" i="3"/>
  <c r="CY7" i="3"/>
  <c r="CX7" i="3"/>
  <c r="CV7" i="3"/>
  <c r="CT7" i="3"/>
  <c r="CS7" i="3"/>
  <c r="CL7" i="3"/>
  <c r="CK7" i="3"/>
  <c r="CI7" i="3"/>
  <c r="CG7" i="3"/>
  <c r="CF7" i="3"/>
  <c r="CE7" i="3"/>
  <c r="CL5" i="3"/>
  <c r="CK5" i="3"/>
  <c r="CI5" i="3"/>
  <c r="CH5" i="3"/>
  <c r="CG5" i="3"/>
  <c r="CF5" i="3"/>
  <c r="CE5" i="3"/>
  <c r="CM5" i="3"/>
  <c r="BR7" i="3"/>
  <c r="BS7" i="3"/>
  <c r="BT7" i="3"/>
  <c r="BU7" i="3"/>
  <c r="BV7" i="3"/>
  <c r="BX7" i="3"/>
  <c r="BY7" i="3"/>
  <c r="BY8" i="3"/>
  <c r="BX8" i="3"/>
  <c r="BV8" i="3"/>
  <c r="BU8" i="3"/>
  <c r="BT8" i="3"/>
  <c r="BS8" i="3"/>
  <c r="BR8" i="3"/>
  <c r="BY5" i="3"/>
  <c r="BX5" i="3"/>
  <c r="BV5" i="3"/>
  <c r="BU5" i="3"/>
  <c r="R106" i="3" s="1"/>
  <c r="AU5" i="3"/>
  <c r="P7" i="4" s="1"/>
  <c r="BH7" i="3"/>
  <c r="BH8" i="3"/>
  <c r="AU7" i="3"/>
  <c r="O10" i="4" s="1"/>
  <c r="BT5" i="3"/>
  <c r="M12" i="4" s="1"/>
  <c r="BS5" i="3"/>
  <c r="BR5" i="3"/>
  <c r="BL14" i="3"/>
  <c r="BK14" i="3"/>
  <c r="BI14" i="3"/>
  <c r="T108" i="3" s="1"/>
  <c r="BG14" i="3"/>
  <c r="N108" i="3" s="1"/>
  <c r="BF14" i="3"/>
  <c r="BE14" i="3"/>
  <c r="BL12" i="3"/>
  <c r="BK12" i="3"/>
  <c r="BI12" i="3"/>
  <c r="BG12" i="3"/>
  <c r="BF12" i="3"/>
  <c r="BE12" i="3"/>
  <c r="BL10" i="3"/>
  <c r="BK10" i="3"/>
  <c r="BI10" i="3"/>
  <c r="BG10" i="3"/>
  <c r="N100" i="3" s="1"/>
  <c r="BM10" i="3"/>
  <c r="BM70" i="3" s="1"/>
  <c r="BF10" i="3"/>
  <c r="BE10" i="3"/>
  <c r="BE8" i="3"/>
  <c r="BF8" i="3"/>
  <c r="BG8" i="3"/>
  <c r="BI8" i="3"/>
  <c r="BK8" i="3"/>
  <c r="BL8" i="3"/>
  <c r="BL7" i="3"/>
  <c r="BK7" i="3"/>
  <c r="BK5" i="3"/>
  <c r="BI7" i="3"/>
  <c r="BI5" i="3"/>
  <c r="S99" i="3" s="1"/>
  <c r="BG7" i="3"/>
  <c r="BF7" i="3"/>
  <c r="BF5" i="3"/>
  <c r="BE7" i="3"/>
  <c r="BL5" i="3"/>
  <c r="BG5" i="3"/>
  <c r="N99" i="3" s="1"/>
  <c r="BE5" i="3"/>
  <c r="BM5" i="3"/>
  <c r="BM86" i="3" s="1"/>
  <c r="AR11" i="3"/>
  <c r="AR5" i="3"/>
  <c r="AR7" i="3"/>
  <c r="AR9" i="3"/>
  <c r="AR10" i="3"/>
  <c r="AS11" i="3"/>
  <c r="AT11" i="3"/>
  <c r="AV11" i="3"/>
  <c r="AX11" i="3"/>
  <c r="AY11" i="3"/>
  <c r="AX10" i="3"/>
  <c r="AV10" i="3"/>
  <c r="AT10" i="3"/>
  <c r="AS10" i="3"/>
  <c r="AY10" i="3"/>
  <c r="AY9" i="3"/>
  <c r="AX9" i="3"/>
  <c r="AV9" i="3"/>
  <c r="AT9" i="3"/>
  <c r="AS9" i="3"/>
  <c r="AY7" i="3"/>
  <c r="AX7" i="3"/>
  <c r="AV7" i="3"/>
  <c r="AT7" i="3"/>
  <c r="M10" i="4" s="1"/>
  <c r="AS7" i="3"/>
  <c r="AY5" i="3"/>
  <c r="AX5" i="3"/>
  <c r="AV5" i="3"/>
  <c r="R7" i="4" s="1"/>
  <c r="AT5" i="3"/>
  <c r="M7" i="4" s="1"/>
  <c r="AS5" i="3"/>
  <c r="AE5" i="3"/>
  <c r="AK11" i="3"/>
  <c r="AL11" i="3"/>
  <c r="AI11" i="3"/>
  <c r="AG11" i="3"/>
  <c r="AF11" i="3"/>
  <c r="AE11" i="3"/>
  <c r="AK9" i="3"/>
  <c r="AL9" i="3"/>
  <c r="AI9" i="3"/>
  <c r="J17" i="4" s="1"/>
  <c r="AG9" i="3"/>
  <c r="AF9" i="3"/>
  <c r="AE9" i="3"/>
  <c r="AL7" i="3"/>
  <c r="AK7" i="3"/>
  <c r="AI7" i="3"/>
  <c r="L112" i="3" s="1"/>
  <c r="AG7" i="3"/>
  <c r="C18" i="4" s="1"/>
  <c r="AF7" i="3"/>
  <c r="AF5" i="3"/>
  <c r="F5" i="3"/>
  <c r="F12" i="3"/>
  <c r="F13" i="3"/>
  <c r="F14" i="3"/>
  <c r="F7" i="3"/>
  <c r="F9" i="3"/>
  <c r="F10" i="3"/>
  <c r="F16" i="3"/>
  <c r="S23" i="3"/>
  <c r="S24" i="3"/>
  <c r="S28" i="3"/>
  <c r="S5" i="3"/>
  <c r="S7" i="3"/>
  <c r="S8" i="3"/>
  <c r="S10" i="3"/>
  <c r="S12" i="3"/>
  <c r="S14" i="3"/>
  <c r="S16" i="3"/>
  <c r="S18" i="3"/>
  <c r="S19" i="3"/>
  <c r="S21" i="3"/>
  <c r="S26" i="3"/>
  <c r="AE7" i="3"/>
  <c r="AK5" i="3"/>
  <c r="AL5" i="3"/>
  <c r="AI5" i="3"/>
  <c r="AG5" i="3"/>
  <c r="Y28" i="3"/>
  <c r="X28" i="3"/>
  <c r="V28" i="3"/>
  <c r="T28" i="3"/>
  <c r="R28" i="3"/>
  <c r="Y26" i="3"/>
  <c r="X26" i="3"/>
  <c r="V26" i="3"/>
  <c r="T26" i="3"/>
  <c r="R26" i="3"/>
  <c r="R24" i="3"/>
  <c r="R23" i="3"/>
  <c r="R21" i="3"/>
  <c r="T24" i="3"/>
  <c r="V24" i="3"/>
  <c r="X24" i="3"/>
  <c r="Y24" i="3"/>
  <c r="Y23" i="3"/>
  <c r="X23" i="3"/>
  <c r="V23" i="3"/>
  <c r="T23" i="3"/>
  <c r="Y21" i="3"/>
  <c r="X21" i="3"/>
  <c r="V21" i="3"/>
  <c r="T21" i="3"/>
  <c r="Y19" i="3"/>
  <c r="X19" i="3"/>
  <c r="V19" i="3"/>
  <c r="T19" i="3"/>
  <c r="R19" i="3"/>
  <c r="X18" i="3"/>
  <c r="Y18" i="3"/>
  <c r="V18" i="3"/>
  <c r="R18" i="3"/>
  <c r="T18" i="3"/>
  <c r="X16" i="3"/>
  <c r="Y16" i="3"/>
  <c r="V16" i="3"/>
  <c r="L113" i="3" s="1"/>
  <c r="R16" i="3"/>
  <c r="T16" i="3"/>
  <c r="X14" i="3"/>
  <c r="Y14" i="3"/>
  <c r="V14" i="3"/>
  <c r="R14" i="3"/>
  <c r="T14" i="3"/>
  <c r="X12" i="3"/>
  <c r="Y12" i="3"/>
  <c r="V12" i="3"/>
  <c r="R12" i="3"/>
  <c r="T12" i="3"/>
  <c r="G7" i="3"/>
  <c r="X10" i="3"/>
  <c r="Y10" i="3"/>
  <c r="V10" i="3"/>
  <c r="R10" i="3"/>
  <c r="T10" i="3"/>
  <c r="X8" i="3"/>
  <c r="Y8" i="3"/>
  <c r="V8" i="3"/>
  <c r="T8" i="3"/>
  <c r="R8" i="3"/>
  <c r="R7" i="3"/>
  <c r="R5" i="3"/>
  <c r="E16" i="3"/>
  <c r="E13" i="3"/>
  <c r="E14" i="3"/>
  <c r="E12" i="3"/>
  <c r="E10" i="3"/>
  <c r="E9" i="3"/>
  <c r="E7" i="3"/>
  <c r="E5" i="3"/>
  <c r="Y7" i="3"/>
  <c r="X7" i="3"/>
  <c r="V7" i="3"/>
  <c r="T7" i="3"/>
  <c r="X5" i="3"/>
  <c r="Y5" i="3"/>
  <c r="V5" i="3"/>
  <c r="T5" i="3"/>
  <c r="K16" i="3"/>
  <c r="L16" i="3"/>
  <c r="I16" i="3"/>
  <c r="G16" i="3"/>
  <c r="G14" i="3"/>
  <c r="I14" i="3"/>
  <c r="K14" i="3"/>
  <c r="L14" i="3"/>
  <c r="G13" i="3"/>
  <c r="I13" i="3"/>
  <c r="K13" i="3"/>
  <c r="L13" i="3"/>
  <c r="L12" i="3"/>
  <c r="K12" i="3"/>
  <c r="I12" i="3"/>
  <c r="G12" i="3"/>
  <c r="G10" i="3"/>
  <c r="I10" i="3"/>
  <c r="K10" i="3"/>
  <c r="L10" i="3"/>
  <c r="K9" i="3"/>
  <c r="L9" i="3"/>
  <c r="I9" i="3"/>
  <c r="G9" i="3"/>
  <c r="K7" i="3"/>
  <c r="L7" i="3"/>
  <c r="I7" i="3"/>
  <c r="K5" i="3"/>
  <c r="L5" i="3"/>
  <c r="I5" i="3"/>
  <c r="G5" i="3"/>
  <c r="DZ63" i="3"/>
  <c r="GA63" i="3"/>
  <c r="DZ62" i="3"/>
  <c r="GA62" i="3"/>
  <c r="FZ63" i="3"/>
  <c r="FZ62" i="3"/>
  <c r="DM64" i="3"/>
  <c r="DZ64" i="3"/>
  <c r="CM64" i="3"/>
  <c r="BM64" i="3"/>
  <c r="EZ64" i="3"/>
  <c r="EM64" i="3"/>
  <c r="BZ64" i="3"/>
  <c r="AZ64" i="3"/>
  <c r="AM64" i="3"/>
  <c r="FX62" i="3"/>
  <c r="GA64" i="3"/>
  <c r="FZ64" i="3"/>
  <c r="FY64" i="3"/>
  <c r="GC63" i="3"/>
  <c r="GC62" i="3"/>
  <c r="M64" i="3"/>
  <c r="FX64" i="3"/>
  <c r="GC64" i="3"/>
  <c r="GC44" i="3"/>
  <c r="GC46" i="3"/>
  <c r="GC43" i="3"/>
  <c r="GC45" i="3"/>
  <c r="DZ31" i="3"/>
  <c r="DZ29" i="3"/>
  <c r="DZ27" i="3"/>
  <c r="DZ25" i="3"/>
  <c r="DZ70" i="3" s="1"/>
  <c r="DZ23" i="3"/>
  <c r="DZ21" i="3"/>
  <c r="DZ75" i="3" s="1"/>
  <c r="GA75" i="3" s="1"/>
  <c r="EM15" i="3"/>
  <c r="DZ16" i="3"/>
  <c r="DZ83" i="3" s="1"/>
  <c r="EM13" i="3"/>
  <c r="EM82" i="3" s="1"/>
  <c r="EM11" i="3"/>
  <c r="EM71" i="3" s="1"/>
  <c r="DZ11" i="3"/>
  <c r="DZ69" i="3" s="1"/>
  <c r="GA69" i="3" s="1"/>
  <c r="EM9" i="3"/>
  <c r="EM73" i="3" s="1"/>
  <c r="DZ9" i="3"/>
  <c r="EZ7" i="3"/>
  <c r="EZ69" i="3" s="1"/>
  <c r="EM7" i="3"/>
  <c r="EM69" i="3" s="1"/>
  <c r="DZ7" i="3"/>
  <c r="EZ5" i="3"/>
  <c r="EZ73" i="3" s="1"/>
  <c r="DM29" i="3"/>
  <c r="DM27" i="3"/>
  <c r="DM74" i="3" s="1"/>
  <c r="DM25" i="3"/>
  <c r="DM23" i="3"/>
  <c r="DM82" i="3" s="1"/>
  <c r="DM15" i="3"/>
  <c r="DM13" i="3"/>
  <c r="DM76" i="3" s="1"/>
  <c r="DM11" i="3"/>
  <c r="DM10" i="3"/>
  <c r="DM9" i="3"/>
  <c r="DM73" i="3" s="1"/>
  <c r="CZ11" i="3"/>
  <c r="CZ9" i="3"/>
  <c r="CM7" i="3"/>
  <c r="CM84" i="3" s="1"/>
  <c r="FZ84" i="3" s="1"/>
  <c r="DM5" i="3"/>
  <c r="CZ7" i="3"/>
  <c r="CZ84" i="3" s="1"/>
  <c r="BM14" i="3"/>
  <c r="BM85" i="3" s="1"/>
  <c r="AZ10" i="3"/>
  <c r="AZ9" i="3"/>
  <c r="AZ7" i="3"/>
  <c r="AZ74" i="3" s="1"/>
  <c r="BZ5" i="3"/>
  <c r="BZ76" i="3" s="1"/>
  <c r="AZ5" i="3"/>
  <c r="AZ71" i="3" s="1"/>
  <c r="Z28" i="3"/>
  <c r="Z26" i="3"/>
  <c r="Z24" i="3"/>
  <c r="Z23" i="3"/>
  <c r="Z21" i="3"/>
  <c r="Z19" i="3"/>
  <c r="Z18" i="3"/>
  <c r="Z16" i="3"/>
  <c r="M16" i="3"/>
  <c r="Z14" i="3"/>
  <c r="M14" i="3"/>
  <c r="M13" i="3"/>
  <c r="Z12" i="3"/>
  <c r="M12" i="3"/>
  <c r="AM11" i="3"/>
  <c r="AM71" i="3" s="1"/>
  <c r="Z10" i="3"/>
  <c r="Z81" i="3" s="1"/>
  <c r="M10" i="3"/>
  <c r="AM9" i="3"/>
  <c r="AM81" i="3" s="1"/>
  <c r="M9" i="3"/>
  <c r="Z8" i="3"/>
  <c r="AM7" i="3"/>
  <c r="AM82" i="3" s="1"/>
  <c r="Z7" i="3"/>
  <c r="M7" i="3"/>
  <c r="M77" i="3" s="1"/>
  <c r="FX77" i="3" s="1"/>
  <c r="GC77" i="3" s="1"/>
  <c r="AM5" i="3"/>
  <c r="AM86" i="3" s="1"/>
  <c r="Z5" i="3"/>
  <c r="Z69" i="3" s="1"/>
  <c r="GA51" i="3"/>
  <c r="GC51" i="3"/>
  <c r="GA49" i="3"/>
  <c r="GC49" i="3"/>
  <c r="GA47" i="3"/>
  <c r="GC47" i="3"/>
  <c r="GA60" i="3"/>
  <c r="GC60" i="3"/>
  <c r="GA61" i="3"/>
  <c r="GC61" i="3"/>
  <c r="AH198" i="1"/>
  <c r="AB7" i="2" s="1"/>
  <c r="AC7" i="2"/>
  <c r="AG198" i="1"/>
  <c r="AA7" i="2" s="1"/>
  <c r="Z7" i="2"/>
  <c r="AA199" i="1"/>
  <c r="AG7" i="2" s="1"/>
  <c r="AA198" i="1"/>
  <c r="AF7" i="2" s="1"/>
  <c r="AA197" i="1"/>
  <c r="AE7" i="2" s="1"/>
  <c r="AD7" i="2"/>
  <c r="M7" i="2"/>
  <c r="W7" i="2" s="1"/>
  <c r="G7" i="2"/>
  <c r="V7" i="2" s="1"/>
  <c r="S199" i="1"/>
  <c r="AA215" i="1"/>
  <c r="AE8" i="2" s="1"/>
  <c r="AE13" i="2"/>
  <c r="AA445" i="1"/>
  <c r="AE12" i="2" s="1"/>
  <c r="V445" i="1"/>
  <c r="AA435" i="1"/>
  <c r="AE11" i="2" s="1"/>
  <c r="U215" i="1"/>
  <c r="BD215" i="1" s="1"/>
  <c r="U316" i="1"/>
  <c r="AA420" i="1"/>
  <c r="AE10" i="2" s="1"/>
  <c r="AA316" i="1"/>
  <c r="AE9" i="2" s="1"/>
  <c r="AE6" i="2"/>
  <c r="AA98" i="1"/>
  <c r="AE5" i="2" s="1"/>
  <c r="AE4" i="2"/>
  <c r="AF4" i="2"/>
  <c r="AA4" i="2"/>
  <c r="AB4" i="2"/>
  <c r="N7" i="2"/>
  <c r="H7" i="2"/>
  <c r="AG4" i="2"/>
  <c r="AA100" i="1"/>
  <c r="AG5" i="2" s="1"/>
  <c r="AF6" i="2"/>
  <c r="AA217" i="1"/>
  <c r="AG8" i="2" s="1"/>
  <c r="AA216" i="1"/>
  <c r="AF8" i="2" s="1"/>
  <c r="AA201" i="1"/>
  <c r="AD8" i="2" s="1"/>
  <c r="AA318" i="1"/>
  <c r="AG9" i="2" s="1"/>
  <c r="AA317" i="1"/>
  <c r="AF9" i="2" s="1"/>
  <c r="AA315" i="1"/>
  <c r="AD9" i="2" s="1"/>
  <c r="AG13" i="2"/>
  <c r="AA447" i="1"/>
  <c r="AG12" i="2" s="1"/>
  <c r="AA422" i="1"/>
  <c r="AG10" i="2" s="1"/>
  <c r="AA437" i="1"/>
  <c r="AG11" i="2" s="1"/>
  <c r="AA421" i="1"/>
  <c r="AF10" i="2" s="1"/>
  <c r="AD10" i="2"/>
  <c r="AA436" i="1"/>
  <c r="AF11" i="2" s="1"/>
  <c r="AA434" i="1"/>
  <c r="AD11" i="2" s="1"/>
  <c r="AA446" i="1"/>
  <c r="AF12" i="2" s="1"/>
  <c r="AA444" i="1"/>
  <c r="AD12" i="2" s="1"/>
  <c r="AF13" i="2"/>
  <c r="AD13" i="2"/>
  <c r="AA99" i="1"/>
  <c r="AF5" i="2" s="1"/>
  <c r="AA97" i="1"/>
  <c r="AD5" i="2" s="1"/>
  <c r="AB13" i="2"/>
  <c r="AC13" i="2"/>
  <c r="AA13" i="2"/>
  <c r="Z13" i="2"/>
  <c r="AH446" i="1"/>
  <c r="AB12" i="2" s="1"/>
  <c r="AH444" i="1"/>
  <c r="AC12" i="2" s="1"/>
  <c r="AG446" i="1"/>
  <c r="AA12" i="2" s="1"/>
  <c r="AG444" i="1"/>
  <c r="Z12" i="2" s="1"/>
  <c r="AH436" i="1"/>
  <c r="AB11" i="2" s="1"/>
  <c r="AH434" i="1"/>
  <c r="AC11" i="2" s="1"/>
  <c r="AG436" i="1"/>
  <c r="AA11" i="2" s="1"/>
  <c r="AG434" i="1"/>
  <c r="Z11" i="2" s="1"/>
  <c r="AH421" i="1"/>
  <c r="AB10" i="2" s="1"/>
  <c r="AC10" i="2"/>
  <c r="AG421" i="1"/>
  <c r="AA10" i="2" s="1"/>
  <c r="Z10" i="2"/>
  <c r="AH317" i="1"/>
  <c r="AB9" i="2" s="1"/>
  <c r="AH315" i="1"/>
  <c r="AC9" i="2" s="1"/>
  <c r="AG317" i="1"/>
  <c r="AA9" i="2" s="1"/>
  <c r="AG99" i="1"/>
  <c r="AA5" i="2" s="1"/>
  <c r="AG216" i="1"/>
  <c r="AA8" i="2" s="1"/>
  <c r="AG315" i="1"/>
  <c r="Z9" i="2" s="1"/>
  <c r="AH216" i="1"/>
  <c r="AB8" i="2" s="1"/>
  <c r="AC8" i="2"/>
  <c r="Z8" i="2"/>
  <c r="AH99" i="1"/>
  <c r="AB5" i="2" s="1"/>
  <c r="AH97" i="1"/>
  <c r="AC5" i="2" s="1"/>
  <c r="AG97" i="1"/>
  <c r="Z5" i="2" s="1"/>
  <c r="H12" i="2"/>
  <c r="Y12" i="2" s="1"/>
  <c r="F13" i="2"/>
  <c r="V447" i="1"/>
  <c r="S447" i="1"/>
  <c r="S422" i="1"/>
  <c r="U423" i="1"/>
  <c r="V423" i="1"/>
  <c r="M10" i="2" s="1"/>
  <c r="W10" i="2" s="1"/>
  <c r="U318" i="1"/>
  <c r="U217" i="1"/>
  <c r="BD217" i="1" s="1"/>
  <c r="S217" i="1"/>
  <c r="U319" i="1"/>
  <c r="V448" i="1"/>
  <c r="V446" i="1"/>
  <c r="V444" i="1"/>
  <c r="U448" i="1"/>
  <c r="BD448" i="1" s="1"/>
  <c r="S444" i="1"/>
  <c r="S446" i="1"/>
  <c r="H11" i="2"/>
  <c r="EZ9" i="3"/>
  <c r="EZ72" i="3" s="1"/>
  <c r="EZ10" i="3"/>
  <c r="EM5" i="3"/>
  <c r="EM17" i="3"/>
  <c r="DZ18" i="3"/>
  <c r="DZ19" i="3"/>
  <c r="EM18" i="3"/>
  <c r="CZ27" i="3"/>
  <c r="BZ7" i="3"/>
  <c r="BZ8" i="3"/>
  <c r="DM21" i="3"/>
  <c r="CM8" i="3"/>
  <c r="GA50" i="3"/>
  <c r="GC50" i="3"/>
  <c r="N9" i="2"/>
  <c r="Y9" i="2" s="1"/>
  <c r="U317" i="1"/>
  <c r="U315" i="1"/>
  <c r="S315" i="1"/>
  <c r="S317" i="1"/>
  <c r="N11" i="2"/>
  <c r="N10" i="2"/>
  <c r="H13" i="2"/>
  <c r="Y13" i="2" s="1"/>
  <c r="H10" i="2"/>
  <c r="E13" i="2"/>
  <c r="C13" i="2"/>
  <c r="U216" i="1"/>
  <c r="BD216" i="1" s="1"/>
  <c r="V218" i="1"/>
  <c r="M8" i="2" s="1"/>
  <c r="U218" i="1"/>
  <c r="BD218" i="1" s="1"/>
  <c r="S421" i="1"/>
  <c r="V438" i="1"/>
  <c r="M11" i="2" s="1"/>
  <c r="W11" i="2" s="1"/>
  <c r="U438" i="1"/>
  <c r="S436" i="1"/>
  <c r="U14" i="2"/>
  <c r="S216" i="1"/>
  <c r="O14" i="2"/>
  <c r="R14" i="2"/>
  <c r="S14" i="2"/>
  <c r="P14" i="2"/>
  <c r="Q14" i="2"/>
  <c r="T14" i="2"/>
  <c r="V316" i="1"/>
  <c r="J9" i="2" s="1"/>
  <c r="V318" i="1"/>
  <c r="L9" i="2" s="1"/>
  <c r="G13" i="2"/>
  <c r="X13" i="2" s="1"/>
  <c r="DM7" i="3"/>
  <c r="BM7" i="3"/>
  <c r="BM12" i="3"/>
  <c r="BM8" i="3"/>
  <c r="CM12" i="3"/>
  <c r="CM20" i="3"/>
  <c r="CZ13" i="3"/>
  <c r="CZ26" i="3"/>
  <c r="DM20" i="3"/>
  <c r="V319" i="1"/>
  <c r="M9" i="2" s="1"/>
  <c r="W9" i="2" s="1"/>
  <c r="V315" i="1"/>
  <c r="I9" i="2" s="1"/>
  <c r="DZ5" i="3"/>
  <c r="BD100" i="1" l="1"/>
  <c r="BD317" i="1"/>
  <c r="BD420" i="1"/>
  <c r="BD421" i="1"/>
  <c r="BD444" i="1"/>
  <c r="BD445" i="1"/>
  <c r="BD446" i="1"/>
  <c r="BD447" i="1"/>
  <c r="BD422" i="1"/>
  <c r="BD199" i="1"/>
  <c r="BD434" i="1"/>
  <c r="BD315" i="1"/>
  <c r="BD101" i="1"/>
  <c r="BD197" i="1"/>
  <c r="BD435" i="1"/>
  <c r="BD97" i="1"/>
  <c r="BD198" i="1"/>
  <c r="BD436" i="1"/>
  <c r="BD98" i="1"/>
  <c r="BD437" i="1"/>
  <c r="BD423" i="1"/>
  <c r="BD319" i="1"/>
  <c r="BD99" i="1"/>
  <c r="BD316" i="1"/>
  <c r="BD438" i="1"/>
  <c r="BD318" i="1"/>
  <c r="S123" i="1"/>
  <c r="S127" i="1" s="1"/>
  <c r="S196" i="1"/>
  <c r="AQ46" i="8"/>
  <c r="AR46" i="8" s="1"/>
  <c r="AR4" i="8"/>
  <c r="P4" i="8"/>
  <c r="P46" i="8" s="1"/>
  <c r="K5" i="4"/>
  <c r="K19" i="4"/>
  <c r="AL9" i="4"/>
  <c r="AV103" i="3"/>
  <c r="M84" i="3"/>
  <c r="FX84" i="3" s="1"/>
  <c r="GC84" i="3" s="1"/>
  <c r="AC5" i="4"/>
  <c r="AQ105" i="3"/>
  <c r="AR105" i="3"/>
  <c r="AS9" i="4"/>
  <c r="CZ75" i="3"/>
  <c r="FZ75" i="3" s="1"/>
  <c r="AM9" i="4"/>
  <c r="E7" i="2"/>
  <c r="F7" i="2"/>
  <c r="V13" i="2"/>
  <c r="O5" i="4"/>
  <c r="EZ86" i="3"/>
  <c r="CZ69" i="3"/>
  <c r="T113" i="3"/>
  <c r="AB11" i="4"/>
  <c r="AP99" i="3"/>
  <c r="AO105" i="3"/>
  <c r="R19" i="4"/>
  <c r="AM103" i="3"/>
  <c r="AO11" i="4"/>
  <c r="AN9" i="4"/>
  <c r="Q19" i="4"/>
  <c r="EZ84" i="3"/>
  <c r="AU105" i="3"/>
  <c r="AR9" i="4"/>
  <c r="AI5" i="4"/>
  <c r="M86" i="3"/>
  <c r="FX86" i="3" s="1"/>
  <c r="GC86" i="3" s="1"/>
  <c r="AJ11" i="4"/>
  <c r="AT105" i="3"/>
  <c r="U113" i="3"/>
  <c r="AJ99" i="3"/>
  <c r="R99" i="3"/>
  <c r="AP103" i="3"/>
  <c r="AN5" i="4"/>
  <c r="AC99" i="3"/>
  <c r="AM84" i="3"/>
  <c r="U99" i="3"/>
  <c r="T99" i="3"/>
  <c r="R5" i="4"/>
  <c r="M99" i="3"/>
  <c r="M5" i="4"/>
  <c r="Q5" i="4"/>
  <c r="L67" i="3"/>
  <c r="BM69" i="3"/>
  <c r="FY69" i="3" s="1"/>
  <c r="W5" i="4"/>
  <c r="DM71" i="3"/>
  <c r="L5" i="4"/>
  <c r="K67" i="3"/>
  <c r="S5" i="4"/>
  <c r="AF99" i="3"/>
  <c r="AQ9" i="4"/>
  <c r="AF5" i="4"/>
  <c r="AK103" i="3"/>
  <c r="AH11" i="4"/>
  <c r="O99" i="3"/>
  <c r="AM5" i="4"/>
  <c r="AI99" i="3"/>
  <c r="AQ99" i="3"/>
  <c r="AM11" i="4"/>
  <c r="S19" i="4"/>
  <c r="AP9" i="4"/>
  <c r="CM69" i="3"/>
  <c r="FZ69" i="3" s="1"/>
  <c r="M85" i="3"/>
  <c r="FX85" i="3" s="1"/>
  <c r="GC85" i="3" s="1"/>
  <c r="M113" i="3"/>
  <c r="AL103" i="3"/>
  <c r="AM69" i="3"/>
  <c r="O113" i="3"/>
  <c r="L19" i="4"/>
  <c r="X7" i="2"/>
  <c r="N113" i="3"/>
  <c r="K107" i="3"/>
  <c r="X5" i="4"/>
  <c r="AE103" i="3"/>
  <c r="AH5" i="4"/>
  <c r="AH9" i="4"/>
  <c r="AQ103" i="3"/>
  <c r="ES42" i="3"/>
  <c r="EX67" i="3"/>
  <c r="AK99" i="3"/>
  <c r="AO99" i="3"/>
  <c r="AP5" i="4"/>
  <c r="AJ111" i="3"/>
  <c r="AE99" i="3"/>
  <c r="AK9" i="4"/>
  <c r="AQ5" i="4"/>
  <c r="AS105" i="3"/>
  <c r="AK105" i="3"/>
  <c r="AO5" i="4"/>
  <c r="AR11" i="4"/>
  <c r="AF9" i="4"/>
  <c r="Y17" i="4"/>
  <c r="V5" i="4"/>
  <c r="Z86" i="3"/>
  <c r="AN99" i="3"/>
  <c r="AV99" i="3"/>
  <c r="AR5" i="4"/>
  <c r="Q113" i="3"/>
  <c r="EY67" i="3"/>
  <c r="AU103" i="3"/>
  <c r="AG5" i="4"/>
  <c r="Z84" i="3"/>
  <c r="AM99" i="3"/>
  <c r="AK5" i="4"/>
  <c r="AL11" i="4"/>
  <c r="AR99" i="3"/>
  <c r="AO9" i="4"/>
  <c r="AP11" i="4"/>
  <c r="AS99" i="3"/>
  <c r="AD99" i="3"/>
  <c r="AT103" i="3"/>
  <c r="AL5" i="4"/>
  <c r="AS103" i="3"/>
  <c r="Z99" i="3"/>
  <c r="AE5" i="4"/>
  <c r="AT99" i="3"/>
  <c r="AN105" i="3"/>
  <c r="AN11" i="4"/>
  <c r="AH99" i="3"/>
  <c r="AU99" i="3"/>
  <c r="Q99" i="3"/>
  <c r="AR103" i="3"/>
  <c r="Z5" i="4"/>
  <c r="EM86" i="3"/>
  <c r="ER39" i="3"/>
  <c r="AL105" i="3"/>
  <c r="AE111" i="3"/>
  <c r="Y99" i="3"/>
  <c r="AS11" i="4"/>
  <c r="AS5" i="4"/>
  <c r="AD5" i="4"/>
  <c r="AI11" i="4"/>
  <c r="AN103" i="3"/>
  <c r="AI9" i="4"/>
  <c r="AJ5" i="4"/>
  <c r="BM84" i="3"/>
  <c r="AO103" i="3"/>
  <c r="CZ71" i="3"/>
  <c r="FZ71" i="3" s="1"/>
  <c r="N19" i="4"/>
  <c r="AJ9" i="4"/>
  <c r="AB99" i="3"/>
  <c r="Y5" i="4"/>
  <c r="AL99" i="3"/>
  <c r="DM84" i="3"/>
  <c r="ET66" i="3"/>
  <c r="P113" i="3"/>
  <c r="AA99" i="3"/>
  <c r="AG99" i="3"/>
  <c r="P5" i="4"/>
  <c r="AM105" i="3"/>
  <c r="O19" i="4"/>
  <c r="EU68" i="3"/>
  <c r="AA5" i="4"/>
  <c r="AB5" i="4"/>
  <c r="AQ11" i="4"/>
  <c r="P99" i="3"/>
  <c r="P19" i="4"/>
  <c r="I65" i="3"/>
  <c r="EV65" i="3"/>
  <c r="CM86" i="3"/>
  <c r="FZ86" i="3" s="1"/>
  <c r="AJ105" i="3"/>
  <c r="F12" i="2"/>
  <c r="C7" i="2"/>
  <c r="F10" i="2"/>
  <c r="F11" i="2"/>
  <c r="G12" i="2"/>
  <c r="V12" i="2" s="1"/>
  <c r="C11" i="2"/>
  <c r="C10" i="2"/>
  <c r="D11" i="2"/>
  <c r="E11" i="2"/>
  <c r="H113" i="3"/>
  <c r="D106" i="3"/>
  <c r="AO15" i="4"/>
  <c r="P10" i="4"/>
  <c r="K111" i="3"/>
  <c r="BU44" i="3"/>
  <c r="AM18" i="4"/>
  <c r="AB9" i="4"/>
  <c r="K112" i="3"/>
  <c r="G113" i="3"/>
  <c r="AG46" i="3"/>
  <c r="L7" i="4"/>
  <c r="CM77" i="3"/>
  <c r="AC17" i="4"/>
  <c r="AE11" i="4"/>
  <c r="V17" i="4"/>
  <c r="Z9" i="4"/>
  <c r="AB6" i="4"/>
  <c r="AB104" i="3"/>
  <c r="DX65" i="3"/>
  <c r="W6" i="4"/>
  <c r="J106" i="3"/>
  <c r="EX65" i="3"/>
  <c r="AP109" i="3"/>
  <c r="FZ70" i="3"/>
  <c r="ER40" i="3"/>
  <c r="AB100" i="3"/>
  <c r="AQ15" i="4"/>
  <c r="EM84" i="3"/>
  <c r="AC6" i="4"/>
  <c r="G104" i="3"/>
  <c r="E13" i="4"/>
  <c r="I111" i="3"/>
  <c r="AS7" i="4"/>
  <c r="AR107" i="3"/>
  <c r="AS101" i="3"/>
  <c r="AG104" i="3"/>
  <c r="AP113" i="3"/>
  <c r="FY77" i="3"/>
  <c r="AI18" i="4"/>
  <c r="AJ17" i="4"/>
  <c r="AH104" i="3"/>
  <c r="EV44" i="3"/>
  <c r="R112" i="3"/>
  <c r="AL6" i="4"/>
  <c r="FY74" i="3"/>
  <c r="AT113" i="3"/>
  <c r="FY80" i="3"/>
  <c r="Z108" i="3"/>
  <c r="P18" i="4"/>
  <c r="BR40" i="3"/>
  <c r="AM107" i="3"/>
  <c r="Q112" i="3"/>
  <c r="AJ110" i="3"/>
  <c r="P6" i="4"/>
  <c r="AC18" i="4"/>
  <c r="Z112" i="3"/>
  <c r="AG11" i="4"/>
  <c r="AN107" i="3"/>
  <c r="Z10" i="4"/>
  <c r="AJ13" i="4"/>
  <c r="Y7" i="2"/>
  <c r="AI13" i="4"/>
  <c r="AU106" i="3"/>
  <c r="AH105" i="3"/>
  <c r="AI17" i="4"/>
  <c r="EY43" i="3"/>
  <c r="AF11" i="4"/>
  <c r="G17" i="4"/>
  <c r="AI101" i="3"/>
  <c r="I14" i="2"/>
  <c r="AZ84" i="3"/>
  <c r="Z111" i="3"/>
  <c r="EU44" i="3"/>
  <c r="AI105" i="3"/>
  <c r="EY46" i="3"/>
  <c r="EV67" i="3"/>
  <c r="EV46" i="3"/>
  <c r="AC103" i="3"/>
  <c r="AE100" i="3"/>
  <c r="Y10" i="2"/>
  <c r="FY75" i="3"/>
  <c r="EY68" i="3"/>
  <c r="Y13" i="4"/>
  <c r="DU43" i="3"/>
  <c r="I13" i="4"/>
  <c r="AC9" i="4"/>
  <c r="EY65" i="3"/>
  <c r="AD6" i="4"/>
  <c r="AM111" i="3"/>
  <c r="EG66" i="3"/>
  <c r="EL46" i="3"/>
  <c r="AN19" i="4"/>
  <c r="AS18" i="4"/>
  <c r="AA111" i="3"/>
  <c r="AG100" i="3"/>
  <c r="W14" i="4"/>
  <c r="X14" i="4"/>
  <c r="AF104" i="3"/>
  <c r="L107" i="3"/>
  <c r="AB111" i="3"/>
  <c r="O108" i="3"/>
  <c r="J5" i="4"/>
  <c r="AB18" i="4"/>
  <c r="CX44" i="3"/>
  <c r="AQ7" i="4"/>
  <c r="AO18" i="4"/>
  <c r="FX82" i="3"/>
  <c r="AL44" i="3"/>
  <c r="AK46" i="3"/>
  <c r="BL46" i="3"/>
  <c r="BT43" i="3"/>
  <c r="DH68" i="3"/>
  <c r="G106" i="3"/>
  <c r="CU46" i="3"/>
  <c r="EX68" i="3"/>
  <c r="AM13" i="4"/>
  <c r="AF103" i="3"/>
  <c r="AD103" i="3"/>
  <c r="EM85" i="3"/>
  <c r="G45" i="3"/>
  <c r="BK65" i="3"/>
  <c r="DU44" i="3"/>
  <c r="AN13" i="4"/>
  <c r="EG65" i="3"/>
  <c r="AG110" i="3"/>
  <c r="B12" i="4"/>
  <c r="AD111" i="3"/>
  <c r="W16" i="4"/>
  <c r="F106" i="3"/>
  <c r="AC6" i="2"/>
  <c r="AC14" i="2" s="1"/>
  <c r="AJ103" i="3"/>
  <c r="BF42" i="3"/>
  <c r="F13" i="4"/>
  <c r="Z17" i="4"/>
  <c r="X65" i="3"/>
  <c r="AQ112" i="3"/>
  <c r="AA108" i="3"/>
  <c r="AO102" i="3"/>
  <c r="BM72" i="3"/>
  <c r="EU45" i="3"/>
  <c r="H107" i="3"/>
  <c r="AD9" i="4"/>
  <c r="AN112" i="3"/>
  <c r="AE110" i="3"/>
  <c r="I18" i="4"/>
  <c r="AC10" i="4"/>
  <c r="Y100" i="3"/>
  <c r="DM83" i="3"/>
  <c r="FZ83" i="3" s="1"/>
  <c r="AQ102" i="3"/>
  <c r="EU66" i="3"/>
  <c r="J99" i="3"/>
  <c r="AS19" i="4"/>
  <c r="I107" i="3"/>
  <c r="AG9" i="4"/>
  <c r="X6" i="4"/>
  <c r="S42" i="3"/>
  <c r="DV44" i="3"/>
  <c r="FX75" i="3"/>
  <c r="CM74" i="3"/>
  <c r="FZ74" i="3" s="1"/>
  <c r="AJ104" i="3"/>
  <c r="AH66" i="3"/>
  <c r="H111" i="3"/>
  <c r="Z74" i="3"/>
  <c r="K65" i="3"/>
  <c r="G13" i="4"/>
  <c r="C5" i="4"/>
  <c r="N101" i="3"/>
  <c r="R100" i="3"/>
  <c r="AL107" i="3"/>
  <c r="AH100" i="3"/>
  <c r="BH68" i="3"/>
  <c r="S111" i="3"/>
  <c r="AK7" i="4"/>
  <c r="EI44" i="3"/>
  <c r="EH67" i="3"/>
  <c r="FY73" i="3"/>
  <c r="FZ76" i="3"/>
  <c r="GA80" i="3"/>
  <c r="E12" i="4"/>
  <c r="CG43" i="3"/>
  <c r="EG67" i="3"/>
  <c r="AK18" i="4"/>
  <c r="F104" i="3"/>
  <c r="J7" i="4"/>
  <c r="CX45" i="3"/>
  <c r="BT45" i="3"/>
  <c r="ET68" i="3"/>
  <c r="AG13" i="4"/>
  <c r="AB101" i="3"/>
  <c r="L8" i="4"/>
  <c r="AI103" i="3"/>
  <c r="AM15" i="4"/>
  <c r="AB108" i="3"/>
  <c r="BT66" i="3"/>
  <c r="AC16" i="4"/>
  <c r="AC100" i="3"/>
  <c r="AM6" i="4"/>
  <c r="BU46" i="3"/>
  <c r="AJ112" i="3"/>
  <c r="EK45" i="3"/>
  <c r="V10" i="4"/>
  <c r="P109" i="3"/>
  <c r="BY65" i="3"/>
  <c r="CR39" i="3"/>
  <c r="CX46" i="3"/>
  <c r="Z101" i="3"/>
  <c r="E10" i="4"/>
  <c r="W8" i="2"/>
  <c r="X8" i="2"/>
  <c r="DZ76" i="3"/>
  <c r="GA76" i="3" s="1"/>
  <c r="BT46" i="3"/>
  <c r="M14" i="4"/>
  <c r="E99" i="3"/>
  <c r="K45" i="3"/>
  <c r="CL68" i="3"/>
  <c r="CL43" i="3"/>
  <c r="AE7" i="4"/>
  <c r="AF7" i="4"/>
  <c r="AD7" i="4"/>
  <c r="AB16" i="4"/>
  <c r="AP15" i="4"/>
  <c r="AV109" i="3"/>
  <c r="AT109" i="3"/>
  <c r="AM112" i="3"/>
  <c r="AJ18" i="4"/>
  <c r="DZ72" i="3"/>
  <c r="DZ84" i="3"/>
  <c r="GA84" i="3" s="1"/>
  <c r="DU65" i="3"/>
  <c r="AD11" i="4"/>
  <c r="Y10" i="4"/>
  <c r="AE9" i="4"/>
  <c r="EL44" i="3"/>
  <c r="B5" i="4"/>
  <c r="AA9" i="4"/>
  <c r="L43" i="3"/>
  <c r="D104" i="3"/>
  <c r="AY67" i="3"/>
  <c r="AF106" i="3"/>
  <c r="AC106" i="3"/>
  <c r="Z12" i="4"/>
  <c r="CV65" i="3"/>
  <c r="AD13" i="4"/>
  <c r="AG107" i="3"/>
  <c r="AE13" i="4"/>
  <c r="AJ107" i="3"/>
  <c r="EK46" i="3"/>
  <c r="EK66" i="3"/>
  <c r="EX46" i="3"/>
  <c r="EX43" i="3"/>
  <c r="AK19" i="4"/>
  <c r="AL113" i="3"/>
  <c r="Y5" i="2"/>
  <c r="S316" i="1"/>
  <c r="AI111" i="3"/>
  <c r="AF17" i="4"/>
  <c r="CI45" i="3"/>
  <c r="Q101" i="3"/>
  <c r="AN8" i="4"/>
  <c r="AE17" i="4"/>
  <c r="Y16" i="4"/>
  <c r="M74" i="3"/>
  <c r="K99" i="3"/>
  <c r="I66" i="3"/>
  <c r="I68" i="3"/>
  <c r="L104" i="3"/>
  <c r="L101" i="3"/>
  <c r="BS41" i="3"/>
  <c r="BR39" i="3"/>
  <c r="Y11" i="4"/>
  <c r="Z105" i="3"/>
  <c r="DK68" i="3"/>
  <c r="DK45" i="3"/>
  <c r="DH45" i="3"/>
  <c r="U109" i="3"/>
  <c r="H65" i="3"/>
  <c r="G5" i="4"/>
  <c r="DT43" i="3"/>
  <c r="F5" i="4"/>
  <c r="AG105" i="3"/>
  <c r="AI112" i="3"/>
  <c r="AU68" i="3"/>
  <c r="G12" i="4"/>
  <c r="AD110" i="3"/>
  <c r="AN7" i="4"/>
  <c r="T109" i="3"/>
  <c r="AP106" i="3"/>
  <c r="AO106" i="3"/>
  <c r="AR106" i="3"/>
  <c r="AE6" i="4"/>
  <c r="AG6" i="4"/>
  <c r="ET65" i="3"/>
  <c r="DT67" i="3"/>
  <c r="CG66" i="3"/>
  <c r="AA112" i="3"/>
  <c r="AC105" i="3"/>
  <c r="EG68" i="3"/>
  <c r="EX66" i="3"/>
  <c r="AA16" i="4"/>
  <c r="C12" i="4"/>
  <c r="DM77" i="3"/>
  <c r="DM85" i="3"/>
  <c r="L106" i="3"/>
  <c r="I12" i="4"/>
  <c r="BT65" i="3"/>
  <c r="AJ6" i="4"/>
  <c r="AM100" i="3"/>
  <c r="AA8" i="4"/>
  <c r="DZ86" i="3"/>
  <c r="GA86" i="3" s="1"/>
  <c r="AH7" i="4"/>
  <c r="AA12" i="4"/>
  <c r="AZ79" i="3"/>
  <c r="FY79" i="3" s="1"/>
  <c r="EV45" i="3"/>
  <c r="V12" i="4"/>
  <c r="Y7" i="4"/>
  <c r="W7" i="4"/>
  <c r="R111" i="3"/>
  <c r="P111" i="3"/>
  <c r="W18" i="4"/>
  <c r="AG7" i="4"/>
  <c r="DY45" i="3"/>
  <c r="AL111" i="3"/>
  <c r="AN111" i="3"/>
  <c r="AF14" i="4"/>
  <c r="AC104" i="3"/>
  <c r="AE104" i="3"/>
  <c r="DT65" i="3"/>
  <c r="O104" i="3"/>
  <c r="M104" i="3"/>
  <c r="L10" i="4"/>
  <c r="AQ101" i="3"/>
  <c r="AP101" i="3"/>
  <c r="AN101" i="3"/>
  <c r="AS17" i="4"/>
  <c r="AR17" i="4"/>
  <c r="AP17" i="4"/>
  <c r="AT66" i="3"/>
  <c r="AR101" i="3"/>
  <c r="AU111" i="3"/>
  <c r="AS111" i="3"/>
  <c r="EI67" i="3"/>
  <c r="D99" i="3"/>
  <c r="F113" i="3"/>
  <c r="D5" i="4"/>
  <c r="F107" i="3"/>
  <c r="C13" i="4"/>
  <c r="I19" i="4"/>
  <c r="H19" i="4"/>
  <c r="AE39" i="3"/>
  <c r="AD12" i="4"/>
  <c r="AE12" i="4"/>
  <c r="AF12" i="4"/>
  <c r="AG106" i="3"/>
  <c r="EK43" i="3"/>
  <c r="EL45" i="3"/>
  <c r="EL65" i="3"/>
  <c r="CX67" i="3"/>
  <c r="AD106" i="3"/>
  <c r="AH106" i="3"/>
  <c r="EX44" i="3"/>
  <c r="AA105" i="3"/>
  <c r="ES41" i="3"/>
  <c r="EV43" i="3"/>
  <c r="G99" i="3"/>
  <c r="AS107" i="3"/>
  <c r="AS13" i="4"/>
  <c r="AT107" i="3"/>
  <c r="CX66" i="3"/>
  <c r="DX45" i="3"/>
  <c r="AC14" i="4"/>
  <c r="Z14" i="4"/>
  <c r="AD108" i="3"/>
  <c r="AA14" i="4"/>
  <c r="CI67" i="3"/>
  <c r="CI68" i="3"/>
  <c r="W10" i="4"/>
  <c r="Y104" i="3"/>
  <c r="AL8" i="4"/>
  <c r="EL68" i="3"/>
  <c r="AU107" i="3"/>
  <c r="AB12" i="4"/>
  <c r="CG46" i="3"/>
  <c r="S109" i="3"/>
  <c r="AL112" i="3"/>
  <c r="EX45" i="3"/>
  <c r="EL67" i="3"/>
  <c r="V13" i="4"/>
  <c r="AI43" i="3"/>
  <c r="F111" i="3"/>
  <c r="Z107" i="3"/>
  <c r="CG67" i="3"/>
  <c r="AM17" i="4"/>
  <c r="AN17" i="4"/>
  <c r="FZ79" i="3"/>
  <c r="AF111" i="3"/>
  <c r="AB17" i="4"/>
  <c r="AA17" i="4"/>
  <c r="O7" i="4"/>
  <c r="N7" i="4"/>
  <c r="AU67" i="3"/>
  <c r="AU65" i="3"/>
  <c r="AK15" i="4"/>
  <c r="AJ15" i="4"/>
  <c r="AN109" i="3"/>
  <c r="AI7" i="4"/>
  <c r="AM101" i="3"/>
  <c r="DX68" i="3"/>
  <c r="AS109" i="3"/>
  <c r="AK6" i="4"/>
  <c r="AG103" i="3"/>
  <c r="L14" i="4"/>
  <c r="I5" i="4"/>
  <c r="E5" i="4"/>
  <c r="AJ19" i="4"/>
  <c r="AD104" i="3"/>
  <c r="AI104" i="3"/>
  <c r="N104" i="3"/>
  <c r="BV45" i="3"/>
  <c r="CK46" i="3"/>
  <c r="AF101" i="3"/>
  <c r="Z106" i="3"/>
  <c r="AK101" i="3"/>
  <c r="EU67" i="3"/>
  <c r="EU65" i="3"/>
  <c r="AT101" i="3"/>
  <c r="AE112" i="3"/>
  <c r="GA70" i="3"/>
  <c r="AL45" i="3"/>
  <c r="M102" i="3"/>
  <c r="BE39" i="3"/>
  <c r="CU44" i="3"/>
  <c r="DL66" i="3"/>
  <c r="V9" i="4"/>
  <c r="Z103" i="3"/>
  <c r="EY44" i="3"/>
  <c r="EY66" i="3"/>
  <c r="AD10" i="4"/>
  <c r="AU100" i="3"/>
  <c r="EY45" i="3"/>
  <c r="AK8" i="4"/>
  <c r="AP6" i="4"/>
  <c r="R14" i="4"/>
  <c r="AR6" i="4"/>
  <c r="C5" i="2"/>
  <c r="EM72" i="3"/>
  <c r="DZ85" i="3"/>
  <c r="K68" i="3"/>
  <c r="E40" i="3"/>
  <c r="H10" i="4"/>
  <c r="F42" i="3"/>
  <c r="N10" i="4"/>
  <c r="Q104" i="3"/>
  <c r="AM8" i="4"/>
  <c r="AV113" i="3"/>
  <c r="DT44" i="3"/>
  <c r="FX80" i="3"/>
  <c r="Y9" i="4"/>
  <c r="CI46" i="3"/>
  <c r="P106" i="3"/>
  <c r="I45" i="3"/>
  <c r="AI67" i="3"/>
  <c r="AI65" i="3"/>
  <c r="AV68" i="3"/>
  <c r="BK68" i="3"/>
  <c r="BY66" i="3"/>
  <c r="CH43" i="3"/>
  <c r="CS41" i="3"/>
  <c r="CY44" i="3"/>
  <c r="DI44" i="3"/>
  <c r="DE40" i="3"/>
  <c r="AJ113" i="3"/>
  <c r="DG67" i="3"/>
  <c r="DK43" i="3"/>
  <c r="H46" i="3"/>
  <c r="FZ80" i="3"/>
  <c r="AG19" i="4"/>
  <c r="EE40" i="3"/>
  <c r="DR40" i="3"/>
  <c r="AR113" i="3"/>
  <c r="EF42" i="3"/>
  <c r="DY66" i="3"/>
  <c r="DV65" i="3"/>
  <c r="FX73" i="3"/>
  <c r="GA74" i="3"/>
  <c r="AA6" i="4"/>
  <c r="AF10" i="4"/>
  <c r="AK102" i="3"/>
  <c r="Y103" i="3"/>
  <c r="B19" i="4"/>
  <c r="J10" i="4"/>
  <c r="Y46" i="3"/>
  <c r="AK43" i="3"/>
  <c r="BL68" i="3"/>
  <c r="Q14" i="4"/>
  <c r="BU67" i="3"/>
  <c r="N12" i="4"/>
  <c r="AI107" i="3"/>
  <c r="H45" i="3"/>
  <c r="AS100" i="3"/>
  <c r="AQ6" i="4"/>
  <c r="DI66" i="3"/>
  <c r="X68" i="3"/>
  <c r="C7" i="4"/>
  <c r="AT45" i="3"/>
  <c r="U102" i="3"/>
  <c r="BX43" i="3"/>
  <c r="CF41" i="3"/>
  <c r="CY43" i="3"/>
  <c r="DG45" i="3"/>
  <c r="W19" i="4"/>
  <c r="AF113" i="3"/>
  <c r="DX46" i="3"/>
  <c r="AD112" i="3"/>
  <c r="S423" i="1"/>
  <c r="D18" i="4"/>
  <c r="E112" i="3"/>
  <c r="AG44" i="3"/>
  <c r="AG66" i="3"/>
  <c r="AG45" i="3"/>
  <c r="F112" i="3"/>
  <c r="O8" i="4"/>
  <c r="BG65" i="3"/>
  <c r="T46" i="3"/>
  <c r="CV45" i="3"/>
  <c r="H104" i="3"/>
  <c r="U45" i="3"/>
  <c r="E7" i="4"/>
  <c r="O111" i="3"/>
  <c r="M17" i="4"/>
  <c r="V19" i="4"/>
  <c r="AS8" i="4"/>
  <c r="CU65" i="3"/>
  <c r="Q10" i="4"/>
  <c r="DH44" i="3"/>
  <c r="O102" i="3"/>
  <c r="CS42" i="3"/>
  <c r="AH46" i="3"/>
  <c r="AL65" i="3"/>
  <c r="DV43" i="3"/>
  <c r="BG67" i="3"/>
  <c r="H44" i="3"/>
  <c r="BK43" i="3"/>
  <c r="Z113" i="3"/>
  <c r="AC113" i="3"/>
  <c r="T104" i="3"/>
  <c r="L65" i="3"/>
  <c r="AU44" i="3"/>
  <c r="DH43" i="3"/>
  <c r="DX44" i="3"/>
  <c r="DX43" i="3"/>
  <c r="S197" i="1"/>
  <c r="N6" i="4"/>
  <c r="P100" i="3"/>
  <c r="E101" i="3"/>
  <c r="AT44" i="3"/>
  <c r="EK65" i="3"/>
  <c r="EI45" i="3"/>
  <c r="AS12" i="4"/>
  <c r="AQ12" i="4"/>
  <c r="EK68" i="3"/>
  <c r="Q7" i="4"/>
  <c r="T68" i="3"/>
  <c r="W8" i="4"/>
  <c r="W9" i="4"/>
  <c r="DL45" i="3"/>
  <c r="CU45" i="3"/>
  <c r="BX68" i="3"/>
  <c r="AF107" i="3"/>
  <c r="I104" i="3"/>
  <c r="BL45" i="3"/>
  <c r="U43" i="3"/>
  <c r="AG43" i="3"/>
  <c r="B10" i="4"/>
  <c r="I67" i="3"/>
  <c r="L99" i="3"/>
  <c r="I44" i="3"/>
  <c r="BX46" i="3"/>
  <c r="DG44" i="3"/>
  <c r="Z100" i="3"/>
  <c r="AA100" i="3"/>
  <c r="V6" i="4"/>
  <c r="AA104" i="3"/>
  <c r="Z104" i="3"/>
  <c r="AV46" i="3"/>
  <c r="AM19" i="4"/>
  <c r="AO113" i="3"/>
  <c r="AJ102" i="3"/>
  <c r="K6" i="4"/>
  <c r="T66" i="3"/>
  <c r="AC110" i="3"/>
  <c r="M15" i="4"/>
  <c r="Z83" i="3"/>
  <c r="FX83" i="3" s="1"/>
  <c r="GC83" i="3" s="1"/>
  <c r="E19" i="4"/>
  <c r="R40" i="3"/>
  <c r="AX46" i="3"/>
  <c r="R12" i="4"/>
  <c r="BV43" i="3"/>
  <c r="BV66" i="3"/>
  <c r="T101" i="3"/>
  <c r="AF105" i="3"/>
  <c r="Y113" i="3"/>
  <c r="G18" i="4"/>
  <c r="BK66" i="3"/>
  <c r="BE40" i="3"/>
  <c r="CV67" i="3"/>
  <c r="CY65" i="3"/>
  <c r="AE16" i="4"/>
  <c r="AD16" i="4"/>
  <c r="EG44" i="3"/>
  <c r="EG45" i="3"/>
  <c r="EH46" i="3"/>
  <c r="ET67" i="3"/>
  <c r="ET46" i="3"/>
  <c r="AO101" i="3"/>
  <c r="AS102" i="3"/>
  <c r="AP111" i="3"/>
  <c r="AR111" i="3"/>
  <c r="AO111" i="3"/>
  <c r="FY76" i="3"/>
  <c r="AA102" i="3"/>
  <c r="N14" i="2"/>
  <c r="Y4" i="2"/>
  <c r="S319" i="1"/>
  <c r="AV102" i="3"/>
  <c r="BX45" i="3"/>
  <c r="J104" i="3"/>
  <c r="EG43" i="3"/>
  <c r="AV106" i="3"/>
  <c r="G111" i="3"/>
  <c r="AH45" i="3"/>
  <c r="N15" i="4"/>
  <c r="AH19" i="4"/>
  <c r="EM83" i="3"/>
  <c r="GA83" i="3" s="1"/>
  <c r="J19" i="4"/>
  <c r="V66" i="3"/>
  <c r="AY43" i="3"/>
  <c r="AY68" i="3"/>
  <c r="S8" i="4"/>
  <c r="AE101" i="3"/>
  <c r="AD101" i="3"/>
  <c r="DL44" i="3"/>
  <c r="Z102" i="3"/>
  <c r="K43" i="3"/>
  <c r="K113" i="3"/>
  <c r="I106" i="3"/>
  <c r="R8" i="4"/>
  <c r="C12" i="2"/>
  <c r="Z7" i="4"/>
  <c r="P8" i="4"/>
  <c r="M109" i="3"/>
  <c r="G112" i="3"/>
  <c r="AE108" i="3"/>
  <c r="H5" i="4"/>
  <c r="AM7" i="4"/>
  <c r="AK113" i="3"/>
  <c r="CX68" i="3"/>
  <c r="S17" i="4"/>
  <c r="AA113" i="3"/>
  <c r="DX67" i="3"/>
  <c r="V45" i="3"/>
  <c r="BX67" i="3"/>
  <c r="AH108" i="3"/>
  <c r="F5" i="2"/>
  <c r="AR15" i="4"/>
  <c r="DV67" i="3"/>
  <c r="DZ79" i="3"/>
  <c r="GA79" i="3" s="1"/>
  <c r="AK109" i="3"/>
  <c r="AI106" i="3"/>
  <c r="AJ106" i="3"/>
  <c r="DS41" i="3"/>
  <c r="CX65" i="3"/>
  <c r="EH44" i="3"/>
  <c r="EH43" i="3"/>
  <c r="AR109" i="3"/>
  <c r="AQ109" i="3"/>
  <c r="AL15" i="4"/>
  <c r="EU43" i="3"/>
  <c r="EU46" i="3"/>
  <c r="AR7" i="4"/>
  <c r="AV101" i="3"/>
  <c r="DV45" i="3"/>
  <c r="AP7" i="4"/>
  <c r="DT46" i="3"/>
  <c r="BI65" i="3"/>
  <c r="DG66" i="3"/>
  <c r="Q102" i="3"/>
  <c r="AV65" i="3"/>
  <c r="K104" i="3"/>
  <c r="AV44" i="3"/>
  <c r="AL43" i="3"/>
  <c r="S7" i="4"/>
  <c r="AV66" i="3"/>
  <c r="AV45" i="3"/>
  <c r="V11" i="4"/>
  <c r="W11" i="4"/>
  <c r="AB105" i="3"/>
  <c r="Y105" i="3"/>
  <c r="P15" i="4"/>
  <c r="Q109" i="3"/>
  <c r="T112" i="3"/>
  <c r="Q18" i="4"/>
  <c r="BY43" i="3"/>
  <c r="AU43" i="3"/>
  <c r="AT65" i="3"/>
  <c r="DZ82" i="3"/>
  <c r="GA82" i="3" s="1"/>
  <c r="AO112" i="3"/>
  <c r="F41" i="3"/>
  <c r="AX66" i="3"/>
  <c r="AR39" i="3"/>
  <c r="BG45" i="3"/>
  <c r="BG43" i="3"/>
  <c r="K12" i="4"/>
  <c r="L12" i="4"/>
  <c r="N106" i="3"/>
  <c r="O106" i="3"/>
  <c r="CU66" i="3"/>
  <c r="AE105" i="3"/>
  <c r="AA103" i="3"/>
  <c r="X9" i="4"/>
  <c r="AB103" i="3"/>
  <c r="AB112" i="3"/>
  <c r="D10" i="2"/>
  <c r="Q8" i="4"/>
  <c r="S101" i="3"/>
  <c r="AT43" i="3"/>
  <c r="J111" i="3"/>
  <c r="X11" i="4"/>
  <c r="Y11" i="2"/>
  <c r="DV68" i="3"/>
  <c r="BK67" i="3"/>
  <c r="BI68" i="3"/>
  <c r="AP19" i="4"/>
  <c r="AG68" i="3"/>
  <c r="BZ84" i="3"/>
  <c r="X10" i="4"/>
  <c r="BT44" i="3"/>
  <c r="AU45" i="3"/>
  <c r="AZ85" i="3"/>
  <c r="FY85" i="3" s="1"/>
  <c r="Z16" i="4"/>
  <c r="R18" i="4"/>
  <c r="N111" i="3"/>
  <c r="S18" i="4"/>
  <c r="BS42" i="3"/>
  <c r="X19" i="4"/>
  <c r="AO19" i="4"/>
  <c r="DZ81" i="3"/>
  <c r="GA81" i="3" s="1"/>
  <c r="AQ17" i="4"/>
  <c r="AT111" i="3"/>
  <c r="D17" i="4"/>
  <c r="C17" i="4"/>
  <c r="C19" i="4"/>
  <c r="E113" i="3"/>
  <c r="AK65" i="3"/>
  <c r="AK44" i="3"/>
  <c r="BK44" i="3"/>
  <c r="BK46" i="3"/>
  <c r="BK45" i="3"/>
  <c r="S6" i="4"/>
  <c r="T100" i="3"/>
  <c r="AE107" i="3"/>
  <c r="CH67" i="3"/>
  <c r="AA13" i="4"/>
  <c r="AC107" i="3"/>
  <c r="AH44" i="3"/>
  <c r="AH43" i="3"/>
  <c r="AH67" i="3"/>
  <c r="R17" i="4"/>
  <c r="Q17" i="4"/>
  <c r="U111" i="3"/>
  <c r="T111" i="3"/>
  <c r="W4" i="2"/>
  <c r="P102" i="3"/>
  <c r="D112" i="3"/>
  <c r="T102" i="3"/>
  <c r="Q6" i="4"/>
  <c r="B13" i="4"/>
  <c r="Z77" i="3"/>
  <c r="Z71" i="3"/>
  <c r="N112" i="3"/>
  <c r="O112" i="3"/>
  <c r="K18" i="4"/>
  <c r="M18" i="4"/>
  <c r="L18" i="4"/>
  <c r="AO8" i="4"/>
  <c r="DU46" i="3"/>
  <c r="AJ8" i="4"/>
  <c r="AL102" i="3"/>
  <c r="AI8" i="4"/>
  <c r="AR18" i="4"/>
  <c r="AE102" i="3"/>
  <c r="AF102" i="3"/>
  <c r="AD18" i="4"/>
  <c r="AG18" i="4"/>
  <c r="AG112" i="3"/>
  <c r="D5" i="2"/>
  <c r="K10" i="4"/>
  <c r="P104" i="3"/>
  <c r="CL46" i="3"/>
  <c r="CK45" i="3"/>
  <c r="CF42" i="3"/>
  <c r="Y102" i="3"/>
  <c r="AH107" i="3"/>
  <c r="AM12" i="4"/>
  <c r="Y18" i="4"/>
  <c r="CI43" i="3"/>
  <c r="N14" i="4"/>
  <c r="D13" i="4"/>
  <c r="O12" i="4"/>
  <c r="F99" i="3"/>
  <c r="BM78" i="3"/>
  <c r="FY78" i="3" s="1"/>
  <c r="Q111" i="3"/>
  <c r="AF6" i="4"/>
  <c r="AL13" i="4"/>
  <c r="AH13" i="4"/>
  <c r="EK67" i="3"/>
  <c r="AQ13" i="4"/>
  <c r="AR13" i="4"/>
  <c r="AN102" i="3"/>
  <c r="AH8" i="4"/>
  <c r="AN18" i="4"/>
  <c r="FX70" i="3"/>
  <c r="FX72" i="3"/>
  <c r="GA78" i="3"/>
  <c r="FX81" i="3"/>
  <c r="FZ73" i="3"/>
  <c r="AC112" i="3"/>
  <c r="Z18" i="4"/>
  <c r="E107" i="3"/>
  <c r="BU66" i="3"/>
  <c r="D19" i="4"/>
  <c r="G65" i="3"/>
  <c r="Q106" i="3"/>
  <c r="K44" i="3"/>
  <c r="F101" i="3"/>
  <c r="X66" i="3"/>
  <c r="J18" i="4"/>
  <c r="AI46" i="3"/>
  <c r="DH66" i="3"/>
  <c r="AI113" i="3"/>
  <c r="DY43" i="3"/>
  <c r="F17" i="4"/>
  <c r="E17" i="4"/>
  <c r="AB102" i="3"/>
  <c r="AQ8" i="4"/>
  <c r="DV66" i="3"/>
  <c r="E5" i="2"/>
  <c r="S434" i="1"/>
  <c r="AF14" i="2"/>
  <c r="Z76" i="3"/>
  <c r="FX76" i="3" s="1"/>
  <c r="H12" i="4"/>
  <c r="V43" i="3"/>
  <c r="V65" i="3"/>
  <c r="R39" i="3"/>
  <c r="AL67" i="3"/>
  <c r="BL44" i="3"/>
  <c r="BL43" i="3"/>
  <c r="AF13" i="4"/>
  <c r="CI44" i="3"/>
  <c r="CI66" i="3"/>
  <c r="AA101" i="3"/>
  <c r="V7" i="4"/>
  <c r="DK65" i="3"/>
  <c r="AV43" i="3"/>
  <c r="H43" i="3"/>
  <c r="AR100" i="3"/>
  <c r="AQ100" i="3"/>
  <c r="AI100" i="3"/>
  <c r="G5" i="2"/>
  <c r="V5" i="2" s="1"/>
  <c r="V14" i="2" s="1"/>
  <c r="V127" i="1"/>
  <c r="BD127" i="1" s="1"/>
  <c r="G67" i="3"/>
  <c r="Y67" i="3"/>
  <c r="T45" i="3"/>
  <c r="V67" i="3"/>
  <c r="BX66" i="3"/>
  <c r="R102" i="3"/>
  <c r="CL45" i="3"/>
  <c r="AG101" i="3"/>
  <c r="G7" i="4"/>
  <c r="EL43" i="3"/>
  <c r="FY71" i="3"/>
  <c r="CR40" i="3"/>
  <c r="X7" i="4"/>
  <c r="FX78" i="3"/>
  <c r="AC12" i="4"/>
  <c r="K7" i="4"/>
  <c r="AF108" i="3"/>
  <c r="M112" i="3"/>
  <c r="S41" i="3"/>
  <c r="AF41" i="3"/>
  <c r="AS41" i="3"/>
  <c r="AR40" i="3"/>
  <c r="BF41" i="3"/>
  <c r="AU101" i="3"/>
  <c r="GA73" i="3"/>
  <c r="CZ82" i="3"/>
  <c r="FZ82" i="3" s="1"/>
  <c r="CZ72" i="3"/>
  <c r="AH102" i="3"/>
  <c r="CV66" i="3"/>
  <c r="AE8" i="4"/>
  <c r="DI68" i="3"/>
  <c r="DM86" i="3"/>
  <c r="DH65" i="3"/>
  <c r="DL68" i="3"/>
  <c r="X9" i="2"/>
  <c r="DM72" i="3"/>
  <c r="AG102" i="3"/>
  <c r="AD8" i="4"/>
  <c r="CM72" i="3"/>
  <c r="DG65" i="3"/>
  <c r="CT65" i="3"/>
  <c r="CY67" i="3"/>
  <c r="CL67" i="3"/>
  <c r="CI65" i="3"/>
  <c r="CH65" i="3"/>
  <c r="AB14" i="2"/>
  <c r="AX68" i="3"/>
  <c r="T44" i="3"/>
  <c r="X46" i="3"/>
  <c r="AB19" i="4"/>
  <c r="T67" i="3"/>
  <c r="X13" i="4"/>
  <c r="CG45" i="3"/>
  <c r="CG44" i="3"/>
  <c r="CG65" i="3"/>
  <c r="W13" i="4"/>
  <c r="Y107" i="3"/>
  <c r="AB107" i="3"/>
  <c r="AA107" i="3"/>
  <c r="DH67" i="3"/>
  <c r="U66" i="3"/>
  <c r="U46" i="3"/>
  <c r="U68" i="3"/>
  <c r="G10" i="4"/>
  <c r="R108" i="3"/>
  <c r="Y110" i="3"/>
  <c r="Z110" i="3"/>
  <c r="AB110" i="3"/>
  <c r="V16" i="4"/>
  <c r="X16" i="4"/>
  <c r="DS42" i="3"/>
  <c r="EL66" i="3"/>
  <c r="EK44" i="3"/>
  <c r="AN113" i="3"/>
  <c r="AI19" i="4"/>
  <c r="AM113" i="3"/>
  <c r="CE39" i="3"/>
  <c r="K14" i="2"/>
  <c r="AC108" i="3"/>
  <c r="CM78" i="3"/>
  <c r="FZ78" i="3" s="1"/>
  <c r="CM85" i="3"/>
  <c r="Y112" i="3"/>
  <c r="V18" i="4"/>
  <c r="S435" i="1"/>
  <c r="S438" i="1"/>
  <c r="CH68" i="3"/>
  <c r="AB13" i="4"/>
  <c r="CH44" i="3"/>
  <c r="Z13" i="4"/>
  <c r="AC13" i="4"/>
  <c r="CH45" i="3"/>
  <c r="CH66" i="3"/>
  <c r="DI65" i="3"/>
  <c r="DI67" i="3"/>
  <c r="CK67" i="3"/>
  <c r="U100" i="3"/>
  <c r="AD19" i="4"/>
  <c r="X44" i="3"/>
  <c r="BH67" i="3"/>
  <c r="DE39" i="3"/>
  <c r="K46" i="3"/>
  <c r="AD14" i="4"/>
  <c r="AD113" i="3"/>
  <c r="U67" i="3"/>
  <c r="F7" i="4"/>
  <c r="CT43" i="3"/>
  <c r="X43" i="3"/>
  <c r="EI66" i="3"/>
  <c r="AL46" i="3"/>
  <c r="AL66" i="3"/>
  <c r="AL68" i="3"/>
  <c r="AK68" i="3"/>
  <c r="AK66" i="3"/>
  <c r="AX43" i="3"/>
  <c r="BL66" i="3"/>
  <c r="BL65" i="3"/>
  <c r="S108" i="3"/>
  <c r="U108" i="3"/>
  <c r="S14" i="4"/>
  <c r="BU43" i="3"/>
  <c r="BU45" i="3"/>
  <c r="P12" i="4"/>
  <c r="BU65" i="3"/>
  <c r="BU68" i="3"/>
  <c r="AP18" i="4"/>
  <c r="AS112" i="3"/>
  <c r="AU112" i="3"/>
  <c r="AV112" i="3"/>
  <c r="AT112" i="3"/>
  <c r="AQ18" i="4"/>
  <c r="AC102" i="3"/>
  <c r="S102" i="3"/>
  <c r="U65" i="3"/>
  <c r="Z19" i="4"/>
  <c r="U44" i="3"/>
  <c r="J101" i="3"/>
  <c r="L68" i="3"/>
  <c r="L66" i="3"/>
  <c r="L44" i="3"/>
  <c r="L46" i="3"/>
  <c r="G68" i="3"/>
  <c r="G43" i="3"/>
  <c r="G46" i="3"/>
  <c r="D10" i="4"/>
  <c r="Y66" i="3"/>
  <c r="Y65" i="3"/>
  <c r="Y45" i="3"/>
  <c r="J107" i="3"/>
  <c r="AY44" i="3"/>
  <c r="AY66" i="3"/>
  <c r="AY45" i="3"/>
  <c r="BV65" i="3"/>
  <c r="BV67" i="3"/>
  <c r="BV46" i="3"/>
  <c r="BV68" i="3"/>
  <c r="T106" i="3"/>
  <c r="U106" i="3"/>
  <c r="S106" i="3"/>
  <c r="BV44" i="3"/>
  <c r="CK66" i="3"/>
  <c r="CK65" i="3"/>
  <c r="CK43" i="3"/>
  <c r="CK44" i="3"/>
  <c r="AA7" i="4"/>
  <c r="AB7" i="4"/>
  <c r="AC7" i="4"/>
  <c r="DF42" i="3"/>
  <c r="DF41" i="3"/>
  <c r="AA18" i="4"/>
  <c r="AF112" i="3"/>
  <c r="FY70" i="3"/>
  <c r="AF18" i="4"/>
  <c r="AE18" i="4"/>
  <c r="AH112" i="3"/>
  <c r="CM81" i="3"/>
  <c r="FZ81" i="3" s="1"/>
  <c r="AC111" i="3"/>
  <c r="Y111" i="3"/>
  <c r="P108" i="3"/>
  <c r="O14" i="4"/>
  <c r="Q108" i="3"/>
  <c r="BL67" i="3"/>
  <c r="BH65" i="3"/>
  <c r="AI102" i="3"/>
  <c r="AE19" i="4"/>
  <c r="BI43" i="3"/>
  <c r="CY68" i="3"/>
  <c r="V8" i="4"/>
  <c r="N8" i="4"/>
  <c r="F10" i="4"/>
  <c r="BY67" i="3"/>
  <c r="CT46" i="3"/>
  <c r="AH113" i="3"/>
  <c r="CU67" i="3"/>
  <c r="CG68" i="3"/>
  <c r="BY46" i="3"/>
  <c r="E104" i="3"/>
  <c r="D107" i="3"/>
  <c r="AC19" i="4"/>
  <c r="D7" i="4"/>
  <c r="CT68" i="3"/>
  <c r="S12" i="4"/>
  <c r="DL67" i="3"/>
  <c r="AH6" i="4"/>
  <c r="AD107" i="3"/>
  <c r="BI66" i="3"/>
  <c r="L45" i="3"/>
  <c r="DL46" i="3"/>
  <c r="AE40" i="3"/>
  <c r="J112" i="3"/>
  <c r="AK67" i="3"/>
  <c r="E18" i="4"/>
  <c r="AM85" i="3"/>
  <c r="H18" i="4"/>
  <c r="B18" i="4"/>
  <c r="K66" i="3"/>
  <c r="D101" i="3"/>
  <c r="B7" i="4"/>
  <c r="E39" i="3"/>
  <c r="V68" i="3"/>
  <c r="D12" i="4"/>
  <c r="E106" i="3"/>
  <c r="BX44" i="3"/>
  <c r="BX65" i="3"/>
  <c r="CL44" i="3"/>
  <c r="CL66" i="3"/>
  <c r="CL65" i="3"/>
  <c r="CV44" i="3"/>
  <c r="AJ101" i="3"/>
  <c r="CV43" i="3"/>
  <c r="CV68" i="3"/>
  <c r="CV46" i="3"/>
  <c r="AH101" i="3"/>
  <c r="DG46" i="3"/>
  <c r="DG43" i="3"/>
  <c r="DG68" i="3"/>
  <c r="Y106" i="3"/>
  <c r="AB106" i="3"/>
  <c r="Y12" i="4"/>
  <c r="W12" i="4"/>
  <c r="X12" i="4"/>
  <c r="AK100" i="3"/>
  <c r="AI6" i="4"/>
  <c r="AL100" i="3"/>
  <c r="AN100" i="3"/>
  <c r="AK106" i="3"/>
  <c r="AJ12" i="4"/>
  <c r="AN106" i="3"/>
  <c r="AH12" i="4"/>
  <c r="AM106" i="3"/>
  <c r="AK12" i="4"/>
  <c r="AI12" i="4"/>
  <c r="BY45" i="3"/>
  <c r="H13" i="4"/>
  <c r="CH46" i="3"/>
  <c r="DY65" i="3"/>
  <c r="G44" i="3"/>
  <c r="Y68" i="3"/>
  <c r="G66" i="3"/>
  <c r="H101" i="3"/>
  <c r="Q12" i="4"/>
  <c r="X18" i="4"/>
  <c r="Y43" i="3"/>
  <c r="AF8" i="4"/>
  <c r="CK68" i="3"/>
  <c r="Y108" i="3"/>
  <c r="K106" i="3"/>
  <c r="J12" i="4"/>
  <c r="O109" i="3"/>
  <c r="K15" i="4"/>
  <c r="L15" i="4"/>
  <c r="N109" i="3"/>
  <c r="BI44" i="3"/>
  <c r="BI46" i="3"/>
  <c r="DY46" i="3"/>
  <c r="DY67" i="3"/>
  <c r="DY68" i="3"/>
  <c r="DY44" i="3"/>
  <c r="DR39" i="3"/>
  <c r="EI46" i="3"/>
  <c r="EI65" i="3"/>
  <c r="EI68" i="3"/>
  <c r="EH45" i="3"/>
  <c r="AP102" i="3"/>
  <c r="AL12" i="4"/>
  <c r="AO12" i="4"/>
  <c r="AQ106" i="3"/>
  <c r="AE14" i="2"/>
  <c r="J113" i="3"/>
  <c r="D113" i="3"/>
  <c r="X45" i="3"/>
  <c r="AI66" i="3"/>
  <c r="AI45" i="3"/>
  <c r="AI68" i="3"/>
  <c r="I17" i="4"/>
  <c r="AI44" i="3"/>
  <c r="H17" i="4"/>
  <c r="L111" i="3"/>
  <c r="O101" i="3"/>
  <c r="M101" i="3"/>
  <c r="AT67" i="3"/>
  <c r="AT68" i="3"/>
  <c r="AT46" i="3"/>
  <c r="R15" i="4"/>
  <c r="S15" i="4"/>
  <c r="Q15" i="4"/>
  <c r="BG44" i="3"/>
  <c r="BG46" i="3"/>
  <c r="M8" i="4"/>
  <c r="N102" i="3"/>
  <c r="O15" i="4"/>
  <c r="R109" i="3"/>
  <c r="G107" i="3"/>
  <c r="DI45" i="3"/>
  <c r="BH44" i="3"/>
  <c r="S100" i="3"/>
  <c r="BH45" i="3"/>
  <c r="J13" i="4"/>
  <c r="BI45" i="3"/>
  <c r="DZ77" i="3"/>
  <c r="GA77" i="3" s="1"/>
  <c r="AK107" i="3"/>
  <c r="AK111" i="3"/>
  <c r="AH17" i="4"/>
  <c r="B17" i="4"/>
  <c r="D111" i="3"/>
  <c r="E111" i="3"/>
  <c r="AZ81" i="3"/>
  <c r="FY81" i="3" s="1"/>
  <c r="M111" i="3"/>
  <c r="AE113" i="3"/>
  <c r="AA19" i="4"/>
  <c r="EE39" i="3"/>
  <c r="EF41" i="3"/>
  <c r="AQ19" i="4"/>
  <c r="AS113" i="3"/>
  <c r="E12" i="2"/>
  <c r="R6" i="4"/>
  <c r="AC11" i="4"/>
  <c r="AD105" i="3"/>
  <c r="AA11" i="4"/>
  <c r="CU68" i="3"/>
  <c r="Z11" i="4"/>
  <c r="DL43" i="3"/>
  <c r="DL65" i="3"/>
  <c r="DK67" i="3"/>
  <c r="DK46" i="3"/>
  <c r="EI43" i="3"/>
  <c r="AD102" i="3"/>
  <c r="DI43" i="3"/>
  <c r="BH46" i="3"/>
  <c r="AC101" i="3"/>
  <c r="BI67" i="3"/>
  <c r="Y44" i="3"/>
  <c r="V46" i="3"/>
  <c r="AS42" i="3"/>
  <c r="AY46" i="3"/>
  <c r="AG8" i="4"/>
  <c r="BZ86" i="3"/>
  <c r="BZ72" i="3"/>
  <c r="R104" i="3"/>
  <c r="AU46" i="3"/>
  <c r="AE14" i="4"/>
  <c r="AJ108" i="3"/>
  <c r="AG14" i="4"/>
  <c r="CY46" i="3"/>
  <c r="CY66" i="3"/>
  <c r="CY45" i="3"/>
  <c r="AH110" i="3"/>
  <c r="AI110" i="3"/>
  <c r="AG16" i="4"/>
  <c r="EH68" i="3"/>
  <c r="EH65" i="3"/>
  <c r="EG46" i="3"/>
  <c r="EH66" i="3"/>
  <c r="ET44" i="3"/>
  <c r="ET43" i="3"/>
  <c r="ET45" i="3"/>
  <c r="AO7" i="4"/>
  <c r="AL7" i="4"/>
  <c r="S198" i="1"/>
  <c r="AO13" i="4"/>
  <c r="AQ107" i="3"/>
  <c r="DU66" i="3"/>
  <c r="DU45" i="3"/>
  <c r="DU67" i="3"/>
  <c r="AO107" i="3"/>
  <c r="H99" i="3"/>
  <c r="I99" i="3"/>
  <c r="H67" i="3"/>
  <c r="H66" i="3"/>
  <c r="H68" i="3"/>
  <c r="AF19" i="4"/>
  <c r="DK44" i="3"/>
  <c r="P112" i="3"/>
  <c r="N18" i="4"/>
  <c r="AZ82" i="3"/>
  <c r="FY82" i="3" s="1"/>
  <c r="S445" i="1"/>
  <c r="S448" i="1"/>
  <c r="Z6" i="2"/>
  <c r="Z14" i="2" s="1"/>
  <c r="AA6" i="2"/>
  <c r="AA14" i="2" s="1"/>
  <c r="AG111" i="3"/>
  <c r="G10" i="2"/>
  <c r="I101" i="3"/>
  <c r="AO100" i="3"/>
  <c r="AP100" i="3"/>
  <c r="AO6" i="4"/>
  <c r="FX79" i="3"/>
  <c r="AZ86" i="3"/>
  <c r="FY86" i="3" s="1"/>
  <c r="AO109" i="3"/>
  <c r="AU109" i="3"/>
  <c r="T43" i="3"/>
  <c r="T65" i="3"/>
  <c r="AG65" i="3"/>
  <c r="AG67" i="3"/>
  <c r="F12" i="4"/>
  <c r="H106" i="3"/>
  <c r="CZ85" i="3"/>
  <c r="CZ86" i="3"/>
  <c r="Y19" i="4"/>
  <c r="AB113" i="3"/>
  <c r="AH15" i="4"/>
  <c r="DT66" i="3"/>
  <c r="AI15" i="4"/>
  <c r="AM109" i="3"/>
  <c r="DT45" i="3"/>
  <c r="AJ7" i="4"/>
  <c r="AL101" i="3"/>
  <c r="AT100" i="3"/>
  <c r="AV100" i="3"/>
  <c r="AS106" i="3"/>
  <c r="AR12" i="4"/>
  <c r="AP12" i="4"/>
  <c r="J8" i="2"/>
  <c r="J14" i="2" s="1"/>
  <c r="R10" i="4"/>
  <c r="S10" i="4"/>
  <c r="U104" i="3"/>
  <c r="S104" i="3"/>
  <c r="M108" i="3"/>
  <c r="K14" i="4"/>
  <c r="AU66" i="3"/>
  <c r="P101" i="3"/>
  <c r="R101" i="3"/>
  <c r="AP13" i="4"/>
  <c r="DV46" i="3"/>
  <c r="O6" i="4"/>
  <c r="BH66" i="3"/>
  <c r="S112" i="3"/>
  <c r="U112" i="3"/>
  <c r="CX43" i="3"/>
  <c r="V14" i="4"/>
  <c r="Y14" i="4"/>
  <c r="AB8" i="4"/>
  <c r="Z8" i="4"/>
  <c r="AC8" i="4"/>
  <c r="E10" i="2"/>
  <c r="H14" i="2"/>
  <c r="AL18" i="4"/>
  <c r="AH18" i="4"/>
  <c r="I7" i="4"/>
  <c r="K101" i="3"/>
  <c r="H7" i="4"/>
  <c r="AF42" i="3"/>
  <c r="Y101" i="3"/>
  <c r="DK66" i="3"/>
  <c r="CT67" i="3"/>
  <c r="CT45" i="3"/>
  <c r="CT66" i="3"/>
  <c r="CT44" i="3"/>
  <c r="L14" i="2"/>
  <c r="AD17" i="4"/>
  <c r="AG17" i="4"/>
  <c r="AH111" i="3"/>
  <c r="BT68" i="3"/>
  <c r="DH46" i="3"/>
  <c r="DX66" i="3"/>
  <c r="AR112" i="3"/>
  <c r="AP112" i="3"/>
  <c r="AP8" i="4"/>
  <c r="AT102" i="3"/>
  <c r="AU102" i="3"/>
  <c r="AR8" i="4"/>
  <c r="AM102" i="3"/>
  <c r="D7" i="2"/>
  <c r="Z85" i="3"/>
  <c r="I46" i="3"/>
  <c r="I43" i="3"/>
  <c r="I10" i="4"/>
  <c r="AK45" i="3"/>
  <c r="AX67" i="3"/>
  <c r="AX65" i="3"/>
  <c r="AX44" i="3"/>
  <c r="AX45" i="3"/>
  <c r="BG66" i="3"/>
  <c r="BG68" i="3"/>
  <c r="K8" i="4"/>
  <c r="DI46" i="3"/>
  <c r="P17" i="4"/>
  <c r="O17" i="4"/>
  <c r="N17" i="4"/>
  <c r="AR102" i="3"/>
  <c r="DU68" i="3"/>
  <c r="AR19" i="4"/>
  <c r="AU113" i="3"/>
  <c r="AK112" i="3"/>
  <c r="AI108" i="3"/>
  <c r="AG108" i="3"/>
  <c r="AA10" i="4"/>
  <c r="AB10" i="4"/>
  <c r="X17" i="4"/>
  <c r="W17" i="4"/>
  <c r="S420" i="1"/>
  <c r="X67" i="3"/>
  <c r="M71" i="3"/>
  <c r="V44" i="3"/>
  <c r="M6" i="4"/>
  <c r="L6" i="4"/>
  <c r="M100" i="3"/>
  <c r="O100" i="3"/>
  <c r="BH43" i="3"/>
  <c r="CE40" i="3"/>
  <c r="AH103" i="3"/>
  <c r="AG113" i="3"/>
  <c r="D12" i="2"/>
  <c r="G11" i="2"/>
  <c r="C10" i="4"/>
  <c r="BY44" i="3"/>
  <c r="BY68" i="3"/>
  <c r="DZ71" i="3"/>
  <c r="GA71" i="3" s="1"/>
  <c r="H112" i="3"/>
  <c r="AH65" i="3"/>
  <c r="K17" i="4"/>
  <c r="CU43" i="3"/>
  <c r="EV66" i="3"/>
  <c r="EV68" i="3"/>
  <c r="AL17" i="4"/>
  <c r="AD100" i="3"/>
  <c r="Z6" i="4"/>
  <c r="Y8" i="4"/>
  <c r="AQ111" i="3"/>
  <c r="U101" i="3"/>
  <c r="X8" i="4"/>
  <c r="AE106" i="3"/>
  <c r="L17" i="4"/>
  <c r="AH68" i="3"/>
  <c r="I112" i="3"/>
  <c r="AG10" i="4"/>
  <c r="AV67" i="3"/>
  <c r="AE10" i="4"/>
  <c r="G101" i="3"/>
  <c r="AY65" i="3"/>
  <c r="M106" i="3"/>
  <c r="BT67" i="3"/>
  <c r="G19" i="4"/>
  <c r="F19" i="4"/>
  <c r="DT68" i="3"/>
  <c r="AQ113" i="3"/>
  <c r="AL19" i="4"/>
  <c r="AB14" i="4"/>
  <c r="D115" i="3" l="1"/>
  <c r="G115" i="3"/>
  <c r="FD65" i="3"/>
  <c r="FE65" i="3"/>
  <c r="FG67" i="3"/>
  <c r="J115" i="3"/>
  <c r="FC65" i="3"/>
  <c r="FF67" i="3"/>
  <c r="M6" i="2"/>
  <c r="M14" i="2" s="1"/>
  <c r="FV46" i="3"/>
  <c r="X12" i="2"/>
  <c r="FM67" i="3"/>
  <c r="FP46" i="3"/>
  <c r="FT44" i="3"/>
  <c r="FZ77" i="3"/>
  <c r="FR66" i="3"/>
  <c r="FV67" i="3"/>
  <c r="FR43" i="3"/>
  <c r="F14" i="2"/>
  <c r="FU66" i="3"/>
  <c r="FY84" i="3"/>
  <c r="FR68" i="3"/>
  <c r="FV65" i="3"/>
  <c r="X5" i="2"/>
  <c r="FR44" i="3"/>
  <c r="FH44" i="3"/>
  <c r="GC75" i="3"/>
  <c r="FE66" i="3"/>
  <c r="FT65" i="3"/>
  <c r="L115" i="3"/>
  <c r="FI68" i="3"/>
  <c r="FG43" i="3"/>
  <c r="GA85" i="3"/>
  <c r="FC66" i="3"/>
  <c r="FS67" i="3"/>
  <c r="FH66" i="3"/>
  <c r="FL68" i="3"/>
  <c r="FR46" i="3"/>
  <c r="FZ40" i="3"/>
  <c r="FU65" i="3"/>
  <c r="FE45" i="3"/>
  <c r="FZ72" i="3"/>
  <c r="FS65" i="3"/>
  <c r="GA41" i="3"/>
  <c r="C14" i="2"/>
  <c r="H16" i="2" s="1"/>
  <c r="FV44" i="3"/>
  <c r="FX71" i="3"/>
  <c r="GC71" i="3" s="1"/>
  <c r="FZ41" i="3"/>
  <c r="FD46" i="3"/>
  <c r="FZ42" i="3"/>
  <c r="FX42" i="3"/>
  <c r="GC79" i="3"/>
  <c r="FQ44" i="3"/>
  <c r="FN45" i="3"/>
  <c r="FL65" i="3"/>
  <c r="FO68" i="3"/>
  <c r="FD45" i="3"/>
  <c r="GA72" i="3"/>
  <c r="FI44" i="3"/>
  <c r="FF43" i="3"/>
  <c r="FV66" i="3"/>
  <c r="FS68" i="3"/>
  <c r="FL66" i="3"/>
  <c r="FF65" i="3"/>
  <c r="FO45" i="3"/>
  <c r="FC44" i="3"/>
  <c r="FO67" i="3"/>
  <c r="FN43" i="3"/>
  <c r="FQ43" i="3"/>
  <c r="FU68" i="3"/>
  <c r="FU44" i="3"/>
  <c r="FI43" i="3"/>
  <c r="FK44" i="3"/>
  <c r="GA42" i="3"/>
  <c r="FT45" i="3"/>
  <c r="FJ45" i="3"/>
  <c r="T115" i="3"/>
  <c r="G14" i="2"/>
  <c r="FE67" i="3"/>
  <c r="AV115" i="3"/>
  <c r="FK67" i="3"/>
  <c r="FY72" i="3"/>
  <c r="FT43" i="3"/>
  <c r="FX40" i="3"/>
  <c r="FM66" i="3"/>
  <c r="FV68" i="3"/>
  <c r="FP68" i="3"/>
  <c r="FP65" i="3"/>
  <c r="GC78" i="3"/>
  <c r="FY40" i="3"/>
  <c r="FP45" i="3"/>
  <c r="FS44" i="3"/>
  <c r="FY42" i="3"/>
  <c r="AF115" i="3"/>
  <c r="FG65" i="3"/>
  <c r="FI67" i="3"/>
  <c r="FN44" i="3"/>
  <c r="GC76" i="3"/>
  <c r="FR65" i="3"/>
  <c r="FK65" i="3"/>
  <c r="FY39" i="3"/>
  <c r="FR67" i="3"/>
  <c r="GC73" i="3"/>
  <c r="FX74" i="3"/>
  <c r="GC74" i="3" s="1"/>
  <c r="FO46" i="3"/>
  <c r="AT115" i="3"/>
  <c r="FJ43" i="3"/>
  <c r="FY41" i="3"/>
  <c r="FV45" i="3"/>
  <c r="FD67" i="3"/>
  <c r="FQ46" i="3"/>
  <c r="FJ44" i="3"/>
  <c r="Y14" i="2"/>
  <c r="AC115" i="3"/>
  <c r="FU45" i="3"/>
  <c r="AS115" i="3"/>
  <c r="O115" i="3"/>
  <c r="FD44" i="3"/>
  <c r="FS46" i="3"/>
  <c r="GA39" i="3"/>
  <c r="GC80" i="3"/>
  <c r="E14" i="2"/>
  <c r="FX39" i="3"/>
  <c r="FG45" i="3"/>
  <c r="FK43" i="3"/>
  <c r="FE43" i="3"/>
  <c r="FL46" i="3"/>
  <c r="FJ66" i="3"/>
  <c r="FC45" i="3"/>
  <c r="FH45" i="3"/>
  <c r="FT67" i="3"/>
  <c r="FU46" i="3"/>
  <c r="FU43" i="3"/>
  <c r="FI45" i="3"/>
  <c r="FQ66" i="3"/>
  <c r="Q115" i="3"/>
  <c r="FS43" i="3"/>
  <c r="FJ68" i="3"/>
  <c r="FH65" i="3"/>
  <c r="FK45" i="3"/>
  <c r="K115" i="3"/>
  <c r="GC81" i="3"/>
  <c r="FH43" i="3"/>
  <c r="GA40" i="3"/>
  <c r="AG115" i="3"/>
  <c r="AB115" i="3"/>
  <c r="FF44" i="3"/>
  <c r="FC67" i="3"/>
  <c r="FU67" i="3"/>
  <c r="FL43" i="3"/>
  <c r="FE44" i="3"/>
  <c r="FH46" i="3"/>
  <c r="FF45" i="3"/>
  <c r="FX41" i="3"/>
  <c r="D14" i="2"/>
  <c r="AN115" i="3"/>
  <c r="FJ65" i="3"/>
  <c r="FM43" i="3"/>
  <c r="AA115" i="3"/>
  <c r="FK68" i="3"/>
  <c r="F115" i="3"/>
  <c r="FJ67" i="3"/>
  <c r="FT46" i="3"/>
  <c r="FT68" i="3"/>
  <c r="FR45" i="3"/>
  <c r="E115" i="3"/>
  <c r="FO66" i="3"/>
  <c r="FD43" i="3"/>
  <c r="AR115" i="3"/>
  <c r="AU115" i="3"/>
  <c r="R115" i="3"/>
  <c r="AI115" i="3"/>
  <c r="FN66" i="3"/>
  <c r="FK66" i="3"/>
  <c r="FK46" i="3"/>
  <c r="N115" i="3"/>
  <c r="AQ115" i="3"/>
  <c r="FI65" i="3"/>
  <c r="Z115" i="3"/>
  <c r="FM65" i="3"/>
  <c r="AP115" i="3"/>
  <c r="AE115" i="3"/>
  <c r="FQ45" i="3"/>
  <c r="FD66" i="3"/>
  <c r="FJ46" i="3"/>
  <c r="FO44" i="3"/>
  <c r="FF66" i="3"/>
  <c r="FN67" i="3"/>
  <c r="FL67" i="3"/>
  <c r="GC70" i="3"/>
  <c r="FO65" i="3"/>
  <c r="FV43" i="3"/>
  <c r="FZ85" i="3"/>
  <c r="I115" i="3"/>
  <c r="FQ65" i="3"/>
  <c r="FF46" i="3"/>
  <c r="FF68" i="3"/>
  <c r="AO115" i="3"/>
  <c r="H115" i="3"/>
  <c r="S115" i="3"/>
  <c r="FM46" i="3"/>
  <c r="GC82" i="3"/>
  <c r="FI46" i="3"/>
  <c r="FC46" i="3"/>
  <c r="FC68" i="3"/>
  <c r="FM44" i="3"/>
  <c r="AM115" i="3"/>
  <c r="X10" i="2"/>
  <c r="V10" i="2"/>
  <c r="FS45" i="3"/>
  <c r="FC43" i="3"/>
  <c r="FN68" i="3"/>
  <c r="FZ39" i="3"/>
  <c r="FM45" i="3"/>
  <c r="FS66" i="3"/>
  <c r="FH68" i="3"/>
  <c r="FT66" i="3"/>
  <c r="U115" i="3"/>
  <c r="Y115" i="3"/>
  <c r="FH67" i="3"/>
  <c r="FN46" i="3"/>
  <c r="AH115" i="3"/>
  <c r="FQ68" i="3"/>
  <c r="FG68" i="3"/>
  <c r="FG46" i="3"/>
  <c r="FD68" i="3"/>
  <c r="FE68" i="3"/>
  <c r="FE46" i="3"/>
  <c r="AD115" i="3"/>
  <c r="P115" i="3"/>
  <c r="AL115" i="3"/>
  <c r="FP44" i="3"/>
  <c r="FL45" i="3"/>
  <c r="FG44" i="3"/>
  <c r="FP67" i="3"/>
  <c r="FQ67" i="3"/>
  <c r="FI66" i="3"/>
  <c r="FP43" i="3"/>
  <c r="FG66" i="3"/>
  <c r="V11" i="2"/>
  <c r="X11" i="2"/>
  <c r="AK115" i="3"/>
  <c r="FO43" i="3"/>
  <c r="FL44" i="3"/>
  <c r="FN65" i="3"/>
  <c r="M115" i="3"/>
  <c r="AJ115" i="3"/>
  <c r="FM68" i="3"/>
  <c r="FP66" i="3"/>
  <c r="J116" i="3" l="1"/>
  <c r="FC69" i="3"/>
  <c r="FE69" i="3"/>
  <c r="FD69" i="3"/>
  <c r="G116" i="3"/>
  <c r="D116" i="3"/>
  <c r="X6" i="2"/>
  <c r="X14" i="2" s="1"/>
  <c r="W6" i="2"/>
  <c r="W14" i="2" s="1"/>
  <c r="L17" i="2"/>
  <c r="GC72" i="3"/>
  <c r="FR47" i="3"/>
  <c r="E19" i="2"/>
  <c r="FG69" i="3"/>
  <c r="FS69" i="3"/>
  <c r="FL69" i="3"/>
  <c r="FF69" i="3"/>
  <c r="FV47" i="3"/>
  <c r="FU69" i="3"/>
  <c r="GC42" i="3"/>
  <c r="FV69" i="3"/>
  <c r="FQ47" i="3"/>
  <c r="FI47" i="3"/>
  <c r="FN47" i="3"/>
  <c r="GC40" i="3"/>
  <c r="FS47" i="3"/>
  <c r="FT47" i="3"/>
  <c r="FI69" i="3"/>
  <c r="FJ47" i="3"/>
  <c r="FK69" i="3"/>
  <c r="FK47" i="3"/>
  <c r="FR69" i="3"/>
  <c r="FO69" i="3"/>
  <c r="AS116" i="3"/>
  <c r="M116" i="3"/>
  <c r="AC116" i="3"/>
  <c r="FD47" i="3"/>
  <c r="GC41" i="3"/>
  <c r="FH47" i="3"/>
  <c r="FU47" i="3"/>
  <c r="FJ69" i="3"/>
  <c r="FF47" i="3"/>
  <c r="FE47" i="3"/>
  <c r="GC39" i="3"/>
  <c r="FH69" i="3"/>
  <c r="S116" i="3"/>
  <c r="FN69" i="3"/>
  <c r="Y116" i="3"/>
  <c r="FC47" i="3"/>
  <c r="P116" i="3"/>
  <c r="AO116" i="3"/>
  <c r="FM69" i="3"/>
  <c r="AG116" i="3"/>
  <c r="FM47" i="3"/>
  <c r="FO47" i="3"/>
  <c r="FG47" i="3"/>
  <c r="AK116" i="3"/>
  <c r="FT69" i="3"/>
  <c r="FP69" i="3"/>
  <c r="FQ69" i="3"/>
  <c r="FL47" i="3"/>
  <c r="FP47" i="3"/>
  <c r="AA126" i="1" l="1"/>
  <c r="AG6" i="2" s="1"/>
  <c r="AG14" i="2" s="1"/>
  <c r="AD6" i="2"/>
  <c r="AD1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tc={4C172262-11B1-4C99-B115-AA54691C62CA}</author>
    <author>Microsoft Office User</author>
    <author>Ting Ting DL Li</author>
    <author>LUMINITA PENCIU</author>
  </authors>
  <commentList>
    <comment ref="D2" authorId="0" shapeId="0" xr:uid="{4C172262-11B1-4C99-B115-AA54691C62CA}">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 ref="B65" authorId="1" shapeId="0" xr:uid="{17ADCF28-4393-4B7A-B9FC-2FBC2FEF6AD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65" authorId="1" shapeId="0" xr:uid="{93E22E59-C3BE-F34C-B708-EB6763AD457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apply attend 1Q 2021 Induction training due to project  reason</t>
        </r>
      </text>
    </comment>
    <comment ref="H65" authorId="1" shapeId="0" xr:uid="{A0EA3E05-1D00-0F45-AE8D-27AE4C78CC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65" authorId="1" shapeId="0" xr:uid="{2FC6A926-627A-2347-A0E4-17838346224D}">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65" authorId="1" shapeId="0" xr:uid="{DB5F815E-F77F-4F27-AAD4-C2B96821020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65" authorId="1" shapeId="0" xr:uid="{FA904BCA-3597-5144-A75A-5778342CCB1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H66" authorId="1" shapeId="0" xr:uid="{4B4DEEB1-DE2B-5B4B-BC27-060344CC74A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66" authorId="1" shapeId="0" xr:uid="{446AD1B1-1D17-0945-ADC1-68B89F7368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66" authorId="1" shapeId="0" xr:uid="{E73E5FA8-8EF5-448E-966E-B768DAD1608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66" authorId="1" shapeId="0" xr:uid="{FCE50174-2C04-D44A-B6EC-A0A7F5F6C43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67" authorId="1" shapeId="0" xr:uid="{669A81E0-A629-4D97-9306-7CDBA831387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V67" authorId="1" shapeId="0" xr:uid="{DA6F141A-E777-BB42-8B60-D1E04769914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G68" authorId="1" shapeId="0" xr:uid="{98E2782A-365F-0546-A5BC-5BECF5DFF05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informaiton: change joining date</t>
        </r>
      </text>
    </comment>
    <comment ref="H68" authorId="1" shapeId="0" xr:uid="{06BF0613-F1F3-504B-80C5-BBA3CC3640C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20th change information:change induction start date to Dec 7
</t>
        </r>
      </text>
    </comment>
    <comment ref="J68" authorId="1" shapeId="0" xr:uid="{46DB0E06-09CF-B443-AC11-0B11959C456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August 20modify information: change start date to Dec 18
</t>
        </r>
      </text>
    </comment>
    <comment ref="T68" authorId="1" shapeId="0" xr:uid="{C147954A-F8FE-41A9-9ACC-12D4E88CB59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 modify information: change EPH number to 56
</t>
        </r>
        <r>
          <rPr>
            <sz val="10"/>
            <color rgb="FF000000"/>
            <rFont val="Microsoft YaHei UI"/>
            <family val="2"/>
            <charset val="1"/>
          </rPr>
          <t>Jan 6th modify: update actual attendee number</t>
        </r>
      </text>
    </comment>
    <comment ref="V68" authorId="1" shapeId="0" xr:uid="{57B4007F-5F4E-0D4A-BA63-09B8C2875E6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20 modify information: change EPH number to 56
</t>
        </r>
        <r>
          <rPr>
            <sz val="10"/>
            <color rgb="FF000000"/>
            <rFont val="Microsoft YaHei UI"/>
            <family val="2"/>
            <charset val="1"/>
          </rPr>
          <t>Jan 6th modify: update actual attendee number</t>
        </r>
      </text>
    </comment>
    <comment ref="B76" authorId="1" shapeId="0" xr:uid="{A7827078-B193-44E1-B7D0-86735746523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training date from 10/19 change to 10/20</t>
        </r>
      </text>
    </comment>
    <comment ref="G76" authorId="1" shapeId="0" xr:uid="{6E307C6C-E79F-5F45-97F9-88F4E41BBE9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apply to attend 1Q2021 induction training due to project reason
</t>
        </r>
      </text>
    </comment>
    <comment ref="H76" authorId="1" shapeId="0" xr:uid="{E714FEB5-08CE-0746-9522-83A880FCBA7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76" authorId="1" shapeId="0" xr:uid="{A4FBBA26-2B99-4940-8ED6-C5F157C88675}">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T76" authorId="1" shapeId="0" xr:uid="{9EDC45EF-97D8-4987-AF73-BE45C267946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U76" authorId="1" shapeId="0" xr:uid="{ACCE67B8-0650-954C-90C6-A29DA6849FF4}">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T77" authorId="1" shapeId="0" xr:uid="{78A84CDB-96C6-4E15-ADE2-05115DBCF86A}">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U77" authorId="1" shapeId="0" xr:uid="{FA4D0640-B2A7-CC46-94B8-4D3ADC86B18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change. number
</t>
        </r>
      </text>
    </comment>
    <comment ref="H78" authorId="1" shapeId="0" xr:uid="{4F188779-80AC-0745-BBD6-DE0ED8F4962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J78" authorId="1" shapeId="0" xr:uid="{A511E1C2-90FF-E741-A850-24954183A34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date</t>
        </r>
      </text>
    </comment>
    <comment ref="H79" authorId="1" shapeId="0" xr:uid="{08255784-6DF4-C941-AAF6-93052B77F2CB}">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start date from Jul 13 to Jul 15</t>
        </r>
      </text>
    </comment>
    <comment ref="J79" authorId="1" shapeId="0" xr:uid="{F83E9EB3-0A45-5A4D-909D-89112A0880C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specialty training start date to Jul 27</t>
        </r>
      </text>
    </comment>
    <comment ref="T79" authorId="1" shapeId="0" xr:uid="{6A0BF076-F21F-47E8-BB89-60C0CD454CE0}">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U79" authorId="1" shapeId="0" xr:uid="{C3CA441F-5216-A147-A156-A91FEEC183C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change number</t>
        </r>
      </text>
    </comment>
    <comment ref="G80" authorId="1" shapeId="0" xr:uid="{BBD88045-A93C-B447-82CF-CEBA538DDD3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informatin: change OB date to Oct 11</t>
        </r>
      </text>
    </comment>
    <comment ref="H80" authorId="1" shapeId="0" xr:uid="{EF560DCE-D9A1-1A40-89A2-0A149E54D11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start date to Oct 12</t>
        </r>
      </text>
    </comment>
    <comment ref="J80" authorId="1" shapeId="0" xr:uid="{1B143627-D842-3043-B7A9-B3302CA741D3}">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start date to Oct 23</t>
        </r>
      </text>
    </comment>
    <comment ref="T80" authorId="1" shapeId="0" xr:uid="{9C0B7D11-6CFB-4730-8C50-7FB26C68D139}">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EPH</t>
        </r>
        <r>
          <rPr>
            <sz val="10"/>
            <color rgb="FF000000"/>
            <rFont val="Microsoft YaHei UI"/>
            <family val="2"/>
            <charset val="1"/>
          </rPr>
          <t xml:space="preserve">
</t>
        </r>
        <r>
          <rPr>
            <sz val="10"/>
            <color rgb="FF000000"/>
            <rFont val="Microsoft YaHei UI"/>
            <family val="2"/>
            <charset val="1"/>
          </rPr>
          <t xml:space="preserve">JAN 6TH  MODIFY: UPDATE  EPH NUMBER
</t>
        </r>
      </text>
    </comment>
    <comment ref="U80" authorId="1" shapeId="0" xr:uid="{6F4E46AF-4BC5-BA4F-A702-44A3522DD9D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20 modify information: change EPH</t>
        </r>
        <r>
          <rPr>
            <sz val="10"/>
            <color rgb="FF000000"/>
            <rFont val="Microsoft YaHei UI"/>
            <family val="2"/>
            <charset val="1"/>
          </rPr>
          <t xml:space="preserve">
</t>
        </r>
        <r>
          <rPr>
            <sz val="10"/>
            <color rgb="FF000000"/>
            <rFont val="Microsoft YaHei UI"/>
            <family val="2"/>
            <charset val="1"/>
          </rPr>
          <t xml:space="preserve">JAN 6TH  MODIFY: UPDATE  EPH NUMBER
</t>
        </r>
      </text>
    </comment>
    <comment ref="T81" authorId="2" shapeId="0" xr:uid="{1DC735FC-E0A5-455D-AB1C-594F40274880}">
      <text>
        <r>
          <rPr>
            <b/>
            <sz val="10"/>
            <color rgb="FF000000"/>
            <rFont val="Microsoft YaHei UI"/>
            <family val="2"/>
            <charset val="1"/>
          </rPr>
          <t>Ting Ting DL Li:</t>
        </r>
        <r>
          <rPr>
            <sz val="10"/>
            <color rgb="FF000000"/>
            <rFont val="Microsoft YaHei UI"/>
            <family val="2"/>
            <charset val="1"/>
          </rPr>
          <t xml:space="preserve">
</t>
        </r>
        <r>
          <rPr>
            <sz val="10"/>
            <color rgb="FF000000"/>
            <rFont val="Microsoft YaHei UI"/>
            <family val="2"/>
            <charset val="1"/>
          </rPr>
          <t>Jan 6th modify: update EPH number</t>
        </r>
      </text>
    </comment>
    <comment ref="U81" authorId="2" shapeId="0" xr:uid="{71B672E1-62F7-5C40-8861-7DAF9EBFB476}">
      <text>
        <r>
          <rPr>
            <b/>
            <sz val="10"/>
            <color rgb="FF000000"/>
            <rFont val="Microsoft YaHei UI"/>
            <family val="2"/>
            <charset val="1"/>
          </rPr>
          <t>Ting Ting DL Li:</t>
        </r>
        <r>
          <rPr>
            <sz val="10"/>
            <color rgb="FF000000"/>
            <rFont val="Microsoft YaHei UI"/>
            <family val="2"/>
            <charset val="1"/>
          </rPr>
          <t xml:space="preserve">
</t>
        </r>
        <r>
          <rPr>
            <sz val="10"/>
            <color rgb="FF000000"/>
            <rFont val="Microsoft YaHei UI"/>
            <family val="2"/>
            <charset val="1"/>
          </rPr>
          <t>Jan 6th modify: update EPH number</t>
        </r>
      </text>
    </comment>
    <comment ref="V105" authorId="3" shapeId="0" xr:uid="{381CFC37-F789-474E-B3D7-56C9197EF7C2}">
      <text>
        <r>
          <rPr>
            <b/>
            <sz val="9"/>
            <color indexed="81"/>
            <rFont val="Tahoma"/>
            <family val="2"/>
          </rPr>
          <t>LUMINITA PENCIU:</t>
        </r>
        <r>
          <rPr>
            <sz val="9"/>
            <color indexed="81"/>
            <rFont val="Tahoma"/>
            <family val="2"/>
          </rPr>
          <t xml:space="preserve">
from 59
</t>
        </r>
      </text>
    </comment>
    <comment ref="V106" authorId="3" shapeId="0" xr:uid="{CB33813B-606A-427E-B29D-2B2825BD0C73}">
      <text>
        <r>
          <rPr>
            <b/>
            <sz val="9"/>
            <color indexed="81"/>
            <rFont val="Tahoma"/>
            <family val="2"/>
          </rPr>
          <t>LUMINITA PENCIU:</t>
        </r>
        <r>
          <rPr>
            <sz val="9"/>
            <color indexed="81"/>
            <rFont val="Tahoma"/>
            <family val="2"/>
          </rPr>
          <t xml:space="preserve">
from 50
</t>
        </r>
      </text>
    </comment>
    <comment ref="V107" authorId="3" shapeId="0" xr:uid="{6926F3B2-61B1-4DAE-8839-B467D677A615}">
      <text>
        <r>
          <rPr>
            <b/>
            <sz val="9"/>
            <color rgb="FF000000"/>
            <rFont val="Tahoma"/>
            <family val="2"/>
          </rPr>
          <t>LUMINITA PENCIU:</t>
        </r>
        <r>
          <rPr>
            <sz val="9"/>
            <color rgb="FF000000"/>
            <rFont val="Tahoma"/>
            <family val="2"/>
          </rPr>
          <t xml:space="preserve">
</t>
        </r>
        <r>
          <rPr>
            <sz val="9"/>
            <color rgb="FF000000"/>
            <rFont val="Tahoma"/>
            <family val="2"/>
          </rPr>
          <t>from 70</t>
        </r>
      </text>
    </comment>
    <comment ref="K439" authorId="1" shapeId="0" xr:uid="{94343DC7-9431-FC47-96BF-862C1EF188BB}">
      <text>
        <r>
          <rPr>
            <b/>
            <sz val="10"/>
            <color rgb="FF000000"/>
            <rFont val="Yu Gothic UI"/>
            <family val="2"/>
          </rPr>
          <t>It is different from each specialty truck. The longest truck is end at Aug 6th.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33" authorId="0" shapeId="0" xr:uid="{253D94E8-9DB3-D94B-BF5E-925CFF15986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participant number</t>
        </r>
      </text>
    </comment>
    <comment ref="F34" authorId="0" shapeId="0" xr:uid="{FEAA7698-5889-4446-A5EB-05DAD216EEE1}">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participant number</t>
        </r>
      </text>
    </comment>
    <comment ref="F35" authorId="0" shapeId="0" xr:uid="{6880CDA0-BCBF-0F41-8387-49AEE7B72F7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enroll number</t>
        </r>
      </text>
    </comment>
    <comment ref="I35" authorId="0" shapeId="0" xr:uid="{28331A6A-2CEB-7043-9B1F-91D55B23C5F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update the deliver date
</t>
        </r>
      </text>
    </comment>
    <comment ref="F36" authorId="0" shapeId="0" xr:uid="{669D80CF-FB4E-8D42-859D-BEB817111EA2}">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actual enroll number</t>
        </r>
      </text>
    </comment>
    <comment ref="I36" authorId="0" shapeId="0" xr:uid="{32DA3EEF-CA8B-BB4A-8F11-A536B8A93026}">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update the deliver date</t>
        </r>
      </text>
    </comment>
    <comment ref="D39" authorId="0" shapeId="0" xr:uid="{970A3A1A-59CB-0D46-AD5A-6FDC8C3B89C0}">
      <text>
        <r>
          <rPr>
            <b/>
            <sz val="10"/>
            <color rgb="FF000000"/>
            <rFont val="Microsoft YaHei UI"/>
            <family val="2"/>
            <charset val="1"/>
          </rPr>
          <t>Microsoft Office User:</t>
        </r>
        <r>
          <rPr>
            <sz val="10"/>
            <color rgb="FF000000"/>
            <rFont val="Microsoft YaHei UI"/>
            <family val="2"/>
            <charset val="1"/>
          </rPr>
          <t xml:space="preserve">Aug 24 update: change start date. Sep 28 update start date
</t>
        </r>
      </text>
    </comment>
    <comment ref="F39" authorId="0" shapeId="0" xr:uid="{3EE21E2E-F766-8F45-A853-8BAD56C0A98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update: change target number</t>
        </r>
        <r>
          <rPr>
            <sz val="10"/>
            <color rgb="FF000000"/>
            <rFont val="Microsoft YaHei UI"/>
            <family val="2"/>
            <charset val="1"/>
          </rPr>
          <t xml:space="preserve">
</t>
        </r>
        <r>
          <rPr>
            <sz val="10"/>
            <color rgb="FF000000"/>
            <rFont val="Microsoft YaHei UI"/>
            <family val="2"/>
            <charset val="1"/>
          </rPr>
          <t>Jan 6 update: change target number to 75</t>
        </r>
      </text>
    </comment>
    <comment ref="I39" authorId="0" shapeId="0" xr:uid="{045F77C7-A1E8-354C-9061-AFB2803A47E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24th update:change session date to Nov 5&amp;6</t>
        </r>
      </text>
    </comment>
    <comment ref="D40" authorId="0" shapeId="0" xr:uid="{9F31974F-C01F-D34D-B33E-47C65F165158}">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 xml:space="preserve">Aug 24th update: change  start date
</t>
        </r>
        <r>
          <rPr>
            <sz val="10"/>
            <color rgb="FF000000"/>
            <rFont val="Microsoft YaHei UI"/>
            <family val="2"/>
            <charset val="1"/>
          </rPr>
          <t xml:space="preserve">Jan 6th update: change start date to Dec 4th
</t>
        </r>
      </text>
    </comment>
    <comment ref="F40" authorId="0" shapeId="0" xr:uid="{D434E9C3-0571-0342-8B9B-52AF52DA3FD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upadte: change target number</t>
        </r>
        <r>
          <rPr>
            <sz val="10"/>
            <color rgb="FF000000"/>
            <rFont val="Microsoft YaHei UI"/>
            <family val="2"/>
            <charset val="1"/>
          </rPr>
          <t xml:space="preserve">
</t>
        </r>
        <r>
          <rPr>
            <sz val="10"/>
            <color rgb="FF000000"/>
            <rFont val="Microsoft YaHei UI"/>
            <family val="2"/>
            <charset val="1"/>
          </rPr>
          <t>Jan 6 update: channge target number to 79</t>
        </r>
      </text>
    </comment>
    <comment ref="I40" authorId="0" shapeId="0" xr:uid="{6534069B-A32E-4840-B4C1-E0E8A851B4DF}">
      <text>
        <r>
          <rPr>
            <b/>
            <sz val="10"/>
            <color rgb="FF000000"/>
            <rFont val="Microsoft YaHei UI"/>
            <family val="2"/>
            <charset val="1"/>
          </rPr>
          <t>Microsoft Office User:</t>
        </r>
        <r>
          <rPr>
            <sz val="10"/>
            <color rgb="FF000000"/>
            <rFont val="Microsoft YaHei UI"/>
            <family val="2"/>
            <charset val="1"/>
          </rPr>
          <t xml:space="preserve">
</t>
        </r>
        <r>
          <rPr>
            <sz val="10"/>
            <color rgb="FF000000"/>
            <rFont val="Microsoft YaHei UI"/>
            <family val="2"/>
            <charset val="1"/>
          </rPr>
          <t>Aug 24 udpate: change SAE date to Dec 3&amp;4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tc={17714357-1D83-47EA-AF84-B689C8F71EC7}</author>
  </authors>
  <commentList>
    <comment ref="B3" authorId="0" shapeId="0" xr:uid="{17714357-1D83-47EA-AF84-B689C8F71EC7}">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tc={7C68D0C8-63DF-48EA-A6EF-BB5B87D85A62}</author>
    <author>tc={0C723A66-DAB1-4CDD-973F-AF7E1AD22150}</author>
    <author>tc={D5BA9046-43FA-4FD8-8B5E-7D845D4D0BC5}</author>
    <author>tc={04510AEB-F10F-43C3-8556-452DE859C14D}</author>
    <author>tc={C996AFEA-74E3-49E1-876D-ADA747F0B814}</author>
  </authors>
  <commentList>
    <comment ref="C3" authorId="0" shapeId="0" xr:uid="{7C68D0C8-63DF-48EA-A6EF-BB5B87D85A62}">
      <text>
        <t>[Threaded comment]
Your version of Excel allows you to read this threaded comment; however, any edits to it will get removed if the file is opened in a newer version of Excel. Learn more: https://go.microsoft.com/fwlink/?linkid=870924
Comment:
    Class Code generated while setting up the class in CRC, same as Instance Number</t>
      </text>
    </comment>
    <comment ref="M16" authorId="1" shapeId="0" xr:uid="{0C723A66-DAB1-4CDD-973F-AF7E1AD22150}">
      <text>
        <t>[Threaded comment]
Your version of Excel allows you to read this threaded comment; however, any edits to it will get removed if the file is opened in a newer version of Excel. Learn more: https://go.microsoft.com/fwlink/?linkid=870924
Comment:
    Class was cancelled</t>
      </text>
    </comment>
    <comment ref="M17" authorId="2" shapeId="0" xr:uid="{D5BA9046-43FA-4FD8-8B5E-7D845D4D0BC5}">
      <text>
        <t>[Threaded comment]
Your version of Excel allows you to read this threaded comment; however, any edits to it will get removed if the file is opened in a newer version of Excel. Learn more: https://go.microsoft.com/fwlink/?linkid=870924
Comment:
    Class was cancelled</t>
      </text>
    </comment>
    <comment ref="M96" authorId="3" shapeId="0" xr:uid="{04510AEB-F10F-43C3-8556-452DE859C14D}">
      <text>
        <t>[Threaded comment]
Your version of Excel allows you to read this threaded comment; however, any edits to it will get removed if the file is opened in a newer version of Excel. Learn more: https://go.microsoft.com/fwlink/?linkid=870924
Comment:
    No Interns were hired at the CIC for this cohort.</t>
      </text>
    </comment>
    <comment ref="E108" authorId="4" shapeId="0" xr:uid="{C996AFEA-74E3-49E1-876D-ADA747F0B814}">
      <text>
        <t xml:space="preserve">[Threaded comment]
Your version of Excel allows you to read this threaded comment; however, any edits to it will get removed if the file is opened in a newer version of Excel. Learn more: https://go.microsoft.com/fwlink/?linkid=870924
Comment:
    These individuals were slated to start on 5/1 but were pushed to 5/8. It was decided to place these individuals into the 5/22 onboarding class so they could get the same experience as the 5/1 interns. </t>
      </text>
    </comment>
  </commentList>
</comments>
</file>

<file path=xl/sharedStrings.xml><?xml version="1.0" encoding="utf-8"?>
<sst xmlns="http://schemas.openxmlformats.org/spreadsheetml/2006/main" count="9259" uniqueCount="1431">
  <si>
    <t>Legacy induction + tech learning not on SMARTER roadmap</t>
  </si>
  <si>
    <t>New induction + tech learning not on SMARTER roadmap</t>
  </si>
  <si>
    <t>Legacy induction + tech learning on SMARTER Roadmap</t>
  </si>
  <si>
    <t>New induction + tech learning on SMARTER Roadmap</t>
  </si>
  <si>
    <t>Unique Identifier by Cohort - OLD</t>
  </si>
  <si>
    <t>Unique Identifier by Cohort - NEW - yyyy_mm_dd_alphabet</t>
  </si>
  <si>
    <t>Existing Cohort Name per 485f report in LKDM</t>
  </si>
  <si>
    <t>Class Code</t>
  </si>
  <si>
    <t>Pilot vs Subsequent Rollout</t>
  </si>
  <si>
    <t>Geo/CIC/Combination of Geo + CIC</t>
  </si>
  <si>
    <t>Date of Joining IBM</t>
  </si>
  <si>
    <t>Induction Start Date</t>
  </si>
  <si>
    <t>Induction End Date</t>
  </si>
  <si>
    <t>Associate Specialty Training Start Date</t>
  </si>
  <si>
    <t>Associate Specialty Training End Date</t>
  </si>
  <si>
    <t>Project Start Date</t>
  </si>
  <si>
    <t>Continuation of 10 day Induction Training Start Date if Applicable</t>
  </si>
  <si>
    <t>Continuation 10 day Induction Training End Date If Applicable</t>
  </si>
  <si>
    <t>2nd Continuation of 10 day Induction Training Start Date if Applicable</t>
  </si>
  <si>
    <t>2nd Continuation 10 day Induction Training End Date If Applicable</t>
  </si>
  <si>
    <t>Quarter</t>
  </si>
  <si>
    <t>Market Location (City, Country,# of Associates)</t>
  </si>
  <si>
    <t># of EPH in Cohort</t>
  </si>
  <si>
    <t>Maximum Cohort size</t>
  </si>
  <si>
    <t># of EPH from GEO in Cohort</t>
  </si>
  <si>
    <t># of EPH from CIC in Cohort</t>
  </si>
  <si>
    <t>JR&amp;S</t>
  </si>
  <si>
    <t>Instructor</t>
  </si>
  <si>
    <t>Key Milestones (Pilot or Others)</t>
  </si>
  <si>
    <t>Batch On-Boarding Status (Based on date of joining IBM)</t>
  </si>
  <si>
    <t>Overall Status (Complete, In Progress, Tentative, or Planned)</t>
  </si>
  <si>
    <t xml:space="preserve"> Status of entire 10 Day Induction curriculum training or first part  (Complete, In Progress, Tentative, or Planned) as applicable</t>
  </si>
  <si>
    <t>Status of continuation of 10 Day Induction training (Complete, In Progress, Tentative, or Planned) if applicable</t>
  </si>
  <si>
    <t>Status of entire Technical training (Complete, In Progress, Tentative, or Planned)</t>
  </si>
  <si>
    <t xml:space="preserve">Status of Continued Learning  (Complete, In Progress, Tentative, or Planned) </t>
  </si>
  <si>
    <t xml:space="preserve">Status of Milestone event(Complete, In Progress, Tentative, or Planned) </t>
  </si>
  <si>
    <t>10 day Induction Content</t>
  </si>
  <si>
    <t>Modality of entire 10 day Induction training</t>
  </si>
  <si>
    <t>Modality of Continuation of 10 day Induction Training If Applicable</t>
  </si>
  <si>
    <t>Modality of Techincal Training</t>
    <phoneticPr fontId="10"/>
  </si>
  <si>
    <t>NPS</t>
  </si>
  <si>
    <t>Deviation from Standard Framework (exception approval requested)</t>
  </si>
  <si>
    <t>Hire Type</t>
  </si>
  <si>
    <t>Notes</t>
  </si>
  <si>
    <t>CIC_India_2021_01_04_a</t>
  </si>
  <si>
    <t>CIC India</t>
  </si>
  <si>
    <t>Not Applicable</t>
  </si>
  <si>
    <t>Q1</t>
  </si>
  <si>
    <t>Bangalore, India</t>
  </si>
  <si>
    <t xml:space="preserve">2L&amp;K and  8 Business Facilitators </t>
  </si>
  <si>
    <t>Complete</t>
  </si>
  <si>
    <t>In Progress</t>
  </si>
  <si>
    <t>Planned</t>
  </si>
  <si>
    <t>New GBS Associates Induction</t>
  </si>
  <si>
    <t>Virtual</t>
  </si>
  <si>
    <t>No Deviation</t>
  </si>
  <si>
    <t>If col AR having count more than 1 it means the cohort name is duplicates</t>
  </si>
  <si>
    <t>CIC_India_2021_01_11_a</t>
  </si>
  <si>
    <t>10096427                           10096421</t>
  </si>
  <si>
    <t>1/4/5/6 Jan,21</t>
  </si>
  <si>
    <t>CIC_India_2021_01_18_a</t>
  </si>
  <si>
    <t>11th &amp; 13th Jan,21</t>
  </si>
  <si>
    <t>CIC_India_2021_01_27_a</t>
  </si>
  <si>
    <t>18th-21st Jan,21</t>
  </si>
  <si>
    <t>CIC_India_2021_02_01_a</t>
  </si>
  <si>
    <t>25th-27th Jan,21</t>
  </si>
  <si>
    <t>CIC_India_2021_02_08_a</t>
  </si>
  <si>
    <t>01st-03rd Feb,21</t>
  </si>
  <si>
    <t>CIC_India_2021_02_15_a</t>
  </si>
  <si>
    <t>08th Feb,21</t>
  </si>
  <si>
    <t>CIC_India_2021_02_22_a</t>
  </si>
  <si>
    <t>15th Feb,21</t>
  </si>
  <si>
    <t>CIC_India_2021_03_08_a</t>
  </si>
  <si>
    <t>01st Mar,21</t>
  </si>
  <si>
    <t>CIC_India_2021_03_22_a</t>
  </si>
  <si>
    <t>15th-17th Mar,21</t>
  </si>
  <si>
    <t>CIC_India_2021_04_12_a</t>
  </si>
  <si>
    <t>24th Mar-5th-7th Apr-21</t>
  </si>
  <si>
    <t>Q2</t>
  </si>
  <si>
    <t>CIC_India_2021_04_19_a</t>
  </si>
  <si>
    <t>12th-14th Apr,21</t>
  </si>
  <si>
    <t>CIC_India_2021_04_26_a</t>
  </si>
  <si>
    <t>19th-21st Apr,21</t>
  </si>
  <si>
    <t>CIC_India_2021_05_03_a</t>
  </si>
  <si>
    <t>24th-26th-28th Apr,21</t>
  </si>
  <si>
    <t>CIC_India_2021_05_24_a</t>
  </si>
  <si>
    <t>10th-17th-19th-20th May,21</t>
  </si>
  <si>
    <t>CIC_India_2021_05_31_a</t>
  </si>
  <si>
    <t>10102522     10102523</t>
  </si>
  <si>
    <t>24th-26th May,21</t>
  </si>
  <si>
    <t>CIC_India_2021_06_14_a</t>
  </si>
  <si>
    <t>10103173    10103178</t>
  </si>
  <si>
    <t>7th-8th Jun,21</t>
  </si>
  <si>
    <t>CIC_India_2021_06_28_a</t>
  </si>
  <si>
    <t>10103695    10103694</t>
  </si>
  <si>
    <t>21st-23rd-25th Jun,21</t>
  </si>
  <si>
    <t>CIC_India_2021_07_12_a</t>
  </si>
  <si>
    <t>10104282     10104278</t>
  </si>
  <si>
    <t>5th-7th Jul,21</t>
  </si>
  <si>
    <t>Q3</t>
  </si>
  <si>
    <t>CIC_India_2021_07_26_a</t>
  </si>
  <si>
    <t>10104858    10104857</t>
  </si>
  <si>
    <t>14th- 19th Jul,21</t>
  </si>
  <si>
    <t>CIC_India_2021_08_09_a</t>
  </si>
  <si>
    <t>10105236     10104707</t>
  </si>
  <si>
    <t>2nd Aug,21</t>
  </si>
  <si>
    <t>CIC_India_2021_08_16_a</t>
  </si>
  <si>
    <t>10105367    10105360</t>
  </si>
  <si>
    <t>09th Aug,21</t>
  </si>
  <si>
    <t>CIC_India_2021_08_23_a</t>
  </si>
  <si>
    <t>10105506    10105505</t>
  </si>
  <si>
    <t>16th Aug,21</t>
  </si>
  <si>
    <t>CIC_India_2021_08_31_a</t>
  </si>
  <si>
    <t>10105607    10105606</t>
  </si>
  <si>
    <t>23rd Aug,21</t>
  </si>
  <si>
    <t>CIC_India_2021_09_20_a</t>
  </si>
  <si>
    <t xml:space="preserve">10105742
10105741                              </t>
  </si>
  <si>
    <t>13th Sep,21</t>
  </si>
  <si>
    <t>CIC_India_2021_10_04_a</t>
  </si>
  <si>
    <t>10221354    10221384</t>
  </si>
  <si>
    <t>25th-27th Sep,21</t>
  </si>
  <si>
    <t>Q4</t>
  </si>
  <si>
    <t>CIC_India_2021_10_18_a</t>
  </si>
  <si>
    <t>10224578     10224467</t>
  </si>
  <si>
    <t>11th Oct,21</t>
  </si>
  <si>
    <t>CIC_India_2021_10_25_a</t>
  </si>
  <si>
    <t>18th Oct,21</t>
  </si>
  <si>
    <t>CIC_India_2021_11_15_a</t>
  </si>
  <si>
    <t xml:space="preserve">  10230469                                                   10231755</t>
  </si>
  <si>
    <t>08th Nov,21</t>
  </si>
  <si>
    <t>CIC_India_2021_11_22_a</t>
  </si>
  <si>
    <t>10241314                                10229857    10230865</t>
  </si>
  <si>
    <t>15th-17th Nov,21</t>
  </si>
  <si>
    <t>CIC_India_2022_01_24_a</t>
  </si>
  <si>
    <t>17th Jan,22</t>
  </si>
  <si>
    <t>CIC_India_2022_02_14_a</t>
  </si>
  <si>
    <t>7th-9th Feb,22</t>
  </si>
  <si>
    <t>CIC_India_2022_03_28_a</t>
  </si>
  <si>
    <t>CIC_India_2022_04_04_a</t>
  </si>
  <si>
    <t>CIC_India_2022_04_25_a</t>
  </si>
  <si>
    <t>CIC_India_2022_05_02_a</t>
  </si>
  <si>
    <t>CIC_India_2022_05_16_a</t>
  </si>
  <si>
    <t>CIC_India_2022_05_23_a</t>
  </si>
  <si>
    <t>CIC_India_2022_05_30_a</t>
  </si>
  <si>
    <t>CIC_India_2022_06_06_a</t>
  </si>
  <si>
    <t>CIC_India_2022_06_13_a</t>
  </si>
  <si>
    <t>CIC_India_2022_06_20_a</t>
  </si>
  <si>
    <t>CIC_India_2022_06_27_a</t>
  </si>
  <si>
    <t>CIC_India_2022_07_11_a</t>
  </si>
  <si>
    <t>CIC_India_2022_07_25_a</t>
  </si>
  <si>
    <t>CIC_India_2022_08_08_a</t>
  </si>
  <si>
    <t>NA</t>
  </si>
  <si>
    <t>CIC_India_2022_08_22_a</t>
  </si>
  <si>
    <t>CIC_India_2022_09_05_a</t>
  </si>
  <si>
    <t>CIC_India_2022_09_19_a</t>
  </si>
  <si>
    <t>CIC_India_2022_10_10_a</t>
  </si>
  <si>
    <t>CIC_India_2022_11_07_a</t>
  </si>
  <si>
    <t>CIC_India_2022_11_21_a</t>
  </si>
  <si>
    <t>CIC_India_2022_12_12_a</t>
  </si>
  <si>
    <t>5th, 12th &amp; 13th Dec</t>
  </si>
  <si>
    <t>CIC_India_2023_01_16_a</t>
  </si>
  <si>
    <t>10330214                           10332332</t>
  </si>
  <si>
    <t>F2F</t>
  </si>
  <si>
    <t>CIC_India_2023_01_23_a</t>
  </si>
  <si>
    <t>CIC_India_2023_02_06_a</t>
  </si>
  <si>
    <t>CIC_India_2023_03_06_a</t>
  </si>
  <si>
    <t>CIC_India_2023_03_27_a</t>
  </si>
  <si>
    <t>CIC_India_2023_04_03_a</t>
  </si>
  <si>
    <t xml:space="preserve">10348768
10350173
</t>
  </si>
  <si>
    <t>CIC_India_2023_04_17_a</t>
  </si>
  <si>
    <t>CIC_India_2023_05_03_a</t>
  </si>
  <si>
    <t>CIC_India_2023_05_15_a</t>
  </si>
  <si>
    <t>CIC_China_2021_03_10_a</t>
  </si>
  <si>
    <t>10097302
10097304
10097306
10097308
10097312
10097310
10097299(survey)</t>
  </si>
  <si>
    <t>CIC China</t>
    <phoneticPr fontId="10"/>
  </si>
  <si>
    <t>Mar,2021</t>
    <phoneticPr fontId="10"/>
  </si>
  <si>
    <t>Oct,2020</t>
    <phoneticPr fontId="10"/>
  </si>
  <si>
    <t>DL</t>
    <phoneticPr fontId="10"/>
  </si>
  <si>
    <t>Complete</t>
    <phoneticPr fontId="10"/>
  </si>
  <si>
    <t>No Deviation</t>
    <phoneticPr fontId="10"/>
  </si>
  <si>
    <t>CIC_China_2021_05_18_a</t>
  </si>
  <si>
    <t>10101333
10101334
10101335
10101336
10101337
10101338
10101339 (survey)</t>
  </si>
  <si>
    <t>Mar,2021</t>
  </si>
  <si>
    <t>the cohort name should be CIC not GEO</t>
    <phoneticPr fontId="10"/>
  </si>
  <si>
    <t>CIC_China_2021_07_13_a</t>
  </si>
  <si>
    <t>10104576
10104863
10104865
10104866
10104867
10103631</t>
    <phoneticPr fontId="10"/>
  </si>
  <si>
    <t>CIC_China_2021_12_07_a</t>
  </si>
  <si>
    <t>10236161
10236163
10238537
10236169
10236168
10236297</t>
  </si>
  <si>
    <t>CIC_China_2022_03_01_a</t>
  </si>
  <si>
    <t>10255608
10255615
10255616
10255618
10255613
10255614</t>
  </si>
  <si>
    <t>CIC_China_2022_05_10_a</t>
  </si>
  <si>
    <t>10266560
10266615
10266616
10266561
10266611
10266617
10271321(Survey)</t>
  </si>
  <si>
    <t>CIC_China_2022_05_17_a</t>
    <phoneticPr fontId="10"/>
  </si>
  <si>
    <t>10271601
10271609
10271616
10271721
10271715
10271718
10271321(survey)</t>
  </si>
  <si>
    <t>16 May, 2022</t>
    <phoneticPr fontId="10"/>
  </si>
  <si>
    <t>CIC_China_2022_07_12_a</t>
  </si>
  <si>
    <t>10280651
10280652
10280653
10280654
10280655
10280657
10284976(survey)</t>
    <phoneticPr fontId="10"/>
  </si>
  <si>
    <t>CIC_China_2022_08_09_a</t>
  </si>
  <si>
    <t>10284981
10285010
10285011
10285012
10285014
10285015
10284978(survey)</t>
    <phoneticPr fontId="10"/>
  </si>
  <si>
    <t>CIC_China_2022_11_29_a</t>
  </si>
  <si>
    <t>10315289
10315398
10315401
10315403
10315406
10315408
10323785(survey)</t>
    <phoneticPr fontId="10"/>
  </si>
  <si>
    <t>Dalian/Shanghai/Chengdu/Beijing, 31 Associates</t>
    <phoneticPr fontId="10"/>
  </si>
  <si>
    <t>Hybrid B</t>
  </si>
  <si>
    <t>CIC_China_2023_03_01_a</t>
  </si>
  <si>
    <t>10327837
10327838
10327839
10327840
 10327841
10327842</t>
  </si>
  <si>
    <t>12/5, 12/12, 12/26 2022</t>
    <phoneticPr fontId="10"/>
  </si>
  <si>
    <t>Dalian,3 Associates</t>
    <phoneticPr fontId="10"/>
  </si>
  <si>
    <t>GEO_China_2021_03_10_a</t>
  </si>
  <si>
    <t>10097301
10097303
10097305
10097307
10097311
10097309
10097300 (survey)</t>
  </si>
  <si>
    <t>Geo China</t>
  </si>
  <si>
    <t>HK</t>
    <phoneticPr fontId="10"/>
  </si>
  <si>
    <t>GEO_China_2021_04_13_a</t>
  </si>
  <si>
    <t>10099721
10099722
10099723
10099724
10099725
10099726
10100020 (survey)</t>
  </si>
  <si>
    <t>Geo China</t>
    <phoneticPr fontId="10"/>
  </si>
  <si>
    <t>GEO_China_2021_04_19_a</t>
  </si>
  <si>
    <t>10100000
10100001
10100002
10100003
10100004
10100005
10100967(survey)</t>
  </si>
  <si>
    <t>GEO_China_2021_07_15_a</t>
  </si>
  <si>
    <t>10104908
10104911
10104912
10104914
10104915
10103632</t>
    <phoneticPr fontId="10"/>
  </si>
  <si>
    <t>GEO_China_2021_10_12_a</t>
  </si>
  <si>
    <t>10225590
10223696
10223705
10223706
10225587
10225589</t>
    <phoneticPr fontId="10"/>
  </si>
  <si>
    <t>GEO_China_2021_11_09_a</t>
  </si>
  <si>
    <t>10229181
10229183
10229184
10235030
10229186
10229187</t>
    <phoneticPr fontId="10"/>
  </si>
  <si>
    <t>GEO_China_2021_11_15_a</t>
  </si>
  <si>
    <t>10242933
10242935
10242937
10242943
10242947
10242951</t>
  </si>
  <si>
    <t>Sep.6,2021</t>
  </si>
  <si>
    <t>HK Associates attended India Cohort</t>
  </si>
  <si>
    <t>GEO_China_2022_03_08_a</t>
  </si>
  <si>
    <t>10258312
10258314
10258334
10258347
10258342
10258336</t>
  </si>
  <si>
    <t>GEO_China_2022_03_30_a</t>
  </si>
  <si>
    <t>10265759
10265767
10265769
10265865
10265844
10265846</t>
  </si>
  <si>
    <t>GEO_China_2022_04_27_a</t>
  </si>
  <si>
    <t>10269808
10269802
10269803
10269804
10269807
10269811</t>
  </si>
  <si>
    <t>04 April, 2022</t>
  </si>
  <si>
    <t>GEO_China_2022_05_17_a</t>
  </si>
  <si>
    <t>10271601
10271609
10271616
10271721
10271715
10271718
10271740(survey)</t>
  </si>
  <si>
    <t>GEO_China_2022_07_19_a</t>
  </si>
  <si>
    <t>10280982
10281001
10281003
10281004
10281005
10281006
10281009(Survey)</t>
  </si>
  <si>
    <t>7/13/2022, 7/18/2022</t>
  </si>
  <si>
    <t>GEO_China_2022_08_18_a</t>
  </si>
  <si>
    <t xml:space="preserve">10282049
10282050
10282051
10282053
10282056
10282057
10282063
</t>
  </si>
  <si>
    <t>GEO_China_2022_10_04_a</t>
  </si>
  <si>
    <t>10308589
10308601        10308593       10308609       10308611
10308613</t>
  </si>
  <si>
    <t>Hongkong, 5 Associates</t>
  </si>
  <si>
    <t>HK Associates attend ASEAN Cohort</t>
  </si>
  <si>
    <t>GEO_China_2022_11_01_a</t>
  </si>
  <si>
    <t xml:space="preserve"> 10305881	 10305883
10305884
10305886
10305888
10305891
10305893</t>
  </si>
  <si>
    <t>Beijing/Shanghai/Hongkong/Taiwan/Shenzhen/Guangzhou/Dalian/Chengdu, 53 Associates</t>
  </si>
  <si>
    <t>GEO_China_2022_11_29_a</t>
  </si>
  <si>
    <t>Taiwan, 6 Associates</t>
  </si>
  <si>
    <t>Taiwan Associate attend Export （CIC-China) Cohort</t>
  </si>
  <si>
    <t>GEO_China_2023_02_06_a</t>
  </si>
  <si>
    <t>10334225
10334226
10334227
10334228
10334229
10334230</t>
  </si>
  <si>
    <t>HK, 1 Associate</t>
  </si>
  <si>
    <t>HK Associate attend AESAN cohort</t>
  </si>
  <si>
    <t>GEO_China_2023_03_01_a</t>
  </si>
  <si>
    <t>10327837
10327838
10327839
10327840
 10327841
10327842
10327844</t>
  </si>
  <si>
    <t>Taiwan, 13 Associates
Beijing/Shanghai/Guangzhou/Shenzhen 24 Associates</t>
  </si>
  <si>
    <t>GEO_China_2023_05_16_a</t>
  </si>
  <si>
    <t xml:space="preserve"> 	10351117
	10351120
	10351119
	10351118
	10351121
	10351122
	10359901</t>
  </si>
  <si>
    <t>Taiwan, Hongkong, Beijing, Shanghai, Shenzhen</t>
  </si>
  <si>
    <t>Hybrid D</t>
  </si>
  <si>
    <t>GEO_China_2023_07_25_a</t>
  </si>
  <si>
    <t>GEO_China_2023_10_17_a</t>
  </si>
  <si>
    <t>Total Completed</t>
  </si>
  <si>
    <t>Total In Progress</t>
  </si>
  <si>
    <t>Total Planned</t>
  </si>
  <si>
    <t>Total Tentative</t>
  </si>
  <si>
    <t>Total</t>
  </si>
  <si>
    <t>CIC_CEE_2021_02_01_a</t>
  </si>
  <si>
    <t>Induction</t>
  </si>
  <si>
    <t>CIC CEE</t>
  </si>
  <si>
    <t>Jul/ Aug/ Sep/ Oct/ Nov 2020</t>
  </si>
  <si>
    <t>5 February, 2021</t>
  </si>
  <si>
    <t>Jul/ Aug/ Sep/ Oct/ Nov 2021</t>
  </si>
  <si>
    <t>8 February, 2021</t>
  </si>
  <si>
    <t>12 February, 2021</t>
  </si>
  <si>
    <t>CEE</t>
  </si>
  <si>
    <t>N/A</t>
  </si>
  <si>
    <t>Mix of all 5</t>
  </si>
  <si>
    <t>complete</t>
  </si>
  <si>
    <t>No deviation</t>
  </si>
  <si>
    <t>legacy cohort</t>
  </si>
  <si>
    <t>CIC_CEE_2021_03_08_a</t>
  </si>
  <si>
    <t>Dec 2020 / Jan/Feb 2021</t>
  </si>
  <si>
    <t>12 March, 2021</t>
  </si>
  <si>
    <t>15 March, 2021</t>
  </si>
  <si>
    <t>19 March, 2021</t>
  </si>
  <si>
    <t>combined cohort: legacy + new joiners</t>
  </si>
  <si>
    <t>CIC_CEE_2021_08_02_a</t>
  </si>
  <si>
    <t>Aug 2020/ Jan/Feb/Mar 2021</t>
  </si>
  <si>
    <t>6 August, 2021</t>
  </si>
  <si>
    <t>20 September, 2021</t>
  </si>
  <si>
    <t>24 September, 2021</t>
  </si>
  <si>
    <t>CIC_CEE_2021_10_11_a</t>
  </si>
  <si>
    <t>Nov/Dec 2020/ Jan/Feb/Mar/ Apr/May/Jun 2021</t>
  </si>
  <si>
    <t>15 October, 2021</t>
  </si>
  <si>
    <t>18 October, 2021</t>
  </si>
  <si>
    <t>22 October, 2021</t>
  </si>
  <si>
    <t>CIC_CEE_2021_11_08_a</t>
  </si>
  <si>
    <t>Feb/Mar/Apr/May/Jun/Jul/Aug 2021</t>
  </si>
  <si>
    <t>CIC_CEE_2021_12_06_a</t>
  </si>
  <si>
    <t>10234602 and  10235994</t>
  </si>
  <si>
    <t>Mar/ May/Jun/ Jul/ Aug/ Sep 2021</t>
  </si>
  <si>
    <t>13 December, 2021</t>
  </si>
  <si>
    <t>17 December, 2021</t>
  </si>
  <si>
    <t>CIC_CEE_2022_01_31_a</t>
  </si>
  <si>
    <t>Aug/Sep/Oct/Nov 2021
Jan 2022</t>
  </si>
  <si>
    <t>11 February, 2022</t>
  </si>
  <si>
    <t>CIC_CEE_2022_03_07_a</t>
  </si>
  <si>
    <t>Sep/Oct/Nov/Dec 2021</t>
  </si>
  <si>
    <t>11 March, 2022</t>
  </si>
  <si>
    <t>18 March, 2022</t>
  </si>
  <si>
    <t>CIC_CEE_2022_04_04_a</t>
  </si>
  <si>
    <t>Jan/Mar/Jun/Aug/Sep/Oct/Nov/Dec 
Jan/ Feb/March 2022</t>
  </si>
  <si>
    <t>8 April, 2022</t>
  </si>
  <si>
    <t>11 April, 2022</t>
  </si>
  <si>
    <t>15 April, 2022</t>
  </si>
  <si>
    <t>CIC_CEE_2022_04_26_a</t>
  </si>
  <si>
    <t>2 May,2022</t>
  </si>
  <si>
    <t>3 May, 2022</t>
  </si>
  <si>
    <t>6-May, 2022</t>
  </si>
  <si>
    <t>New GBS Interns &amp; Associates Induction</t>
  </si>
  <si>
    <t>CIC_CEE_2022_05_03_a</t>
  </si>
  <si>
    <t>CIC_CEE_2022_05_16_a</t>
  </si>
  <si>
    <t>Feb/Apr/March/May 2022</t>
  </si>
  <si>
    <t>CIC_CEE_2022_06_14_a</t>
  </si>
  <si>
    <t>Jun/ Aug 2021 Feb/March/April/June 2022</t>
  </si>
  <si>
    <t>CIC_CEE_2022_07_18_a</t>
  </si>
  <si>
    <t>Jan/Feb/March/ May/June/July 2022</t>
  </si>
  <si>
    <t>CIC_CEE_2022_08_16_a</t>
  </si>
  <si>
    <t>Jan/Feb/March/ May/June/July/ Aug  2022</t>
  </si>
  <si>
    <t>26 Aug, 2022</t>
  </si>
  <si>
    <t>22-Aug-202</t>
  </si>
  <si>
    <t>CIC_CEE_2022_09_19_a</t>
  </si>
  <si>
    <t>Oct 2021; Jan/Feb//July/ Aug/ Sep  2022</t>
  </si>
  <si>
    <t>30 Sep, 2022</t>
  </si>
  <si>
    <t>26-sep-202</t>
  </si>
  <si>
    <t>CEE (SK - 8; LT - 10; RO: 61; HR -2; CZ - 2)</t>
  </si>
  <si>
    <t>CIC_CEE_2022_10_10_a</t>
  </si>
  <si>
    <t>Sep/Oct 2022</t>
  </si>
  <si>
    <t>CEE (SK - 6; LT - 8; RO: 10; CZ - 3)</t>
  </si>
  <si>
    <t>CIC_CEE_2022_12_05_a</t>
  </si>
  <si>
    <t>Sep-Dec 2022</t>
  </si>
  <si>
    <t>Sep-Dec-2022</t>
  </si>
  <si>
    <t>CEE (SK - 10; LT - 1; RO: 28; CZ - 2)</t>
  </si>
  <si>
    <t>Hybrid A</t>
  </si>
  <si>
    <t>Hybrid</t>
  </si>
  <si>
    <t>CIC_CEE_2023_02_13_a</t>
  </si>
  <si>
    <t>Various</t>
  </si>
  <si>
    <t xml:space="preserve">Various </t>
  </si>
  <si>
    <t xml:space="preserve">CEE </t>
  </si>
  <si>
    <t>CIC_CEE_2023_03_20_a</t>
  </si>
  <si>
    <t>new joiners</t>
  </si>
  <si>
    <t>CIC_CEE_2023_05_10_a</t>
  </si>
  <si>
    <t>CIC_EU_2021_02_22_a</t>
  </si>
  <si>
    <t>CIC Western Europe</t>
  </si>
  <si>
    <t>5 March, 2021</t>
  </si>
  <si>
    <t>Developers</t>
  </si>
  <si>
    <t>Crist Brawn + other tutors</t>
  </si>
  <si>
    <t>not Applicable</t>
  </si>
  <si>
    <t>planned</t>
  </si>
  <si>
    <t>virtual+elearning</t>
  </si>
  <si>
    <t>no Deviation</t>
  </si>
  <si>
    <t>CIC_EU_2021_06_07_a</t>
  </si>
  <si>
    <t>10102803
10102486</t>
  </si>
  <si>
    <t>France</t>
  </si>
  <si>
    <t>Developers/Data Scientists</t>
  </si>
  <si>
    <t>French tutors with Sarah Procter and Marek Novotny</t>
  </si>
  <si>
    <t>CIC_EU_2021_03_17_a</t>
  </si>
  <si>
    <t>30 March, 2021</t>
  </si>
  <si>
    <t>Developers, Data Scientists</t>
  </si>
  <si>
    <t>Cris Brawn + other tutors</t>
  </si>
  <si>
    <t>CIC_EU_2021_06_21_a</t>
  </si>
  <si>
    <t>UKI, NL, Austria</t>
  </si>
  <si>
    <t>cris Brawn + other tutors</t>
  </si>
  <si>
    <t>CIC_EU_2021_08_05_a</t>
  </si>
  <si>
    <t>Developer</t>
  </si>
  <si>
    <t>CIC_EU_2021_09_20_a</t>
  </si>
  <si>
    <t>virtual</t>
  </si>
  <si>
    <t>CIC_EU_2021_10_04_a</t>
  </si>
  <si>
    <t>Marek Novotny &amp; other French speaking tutors</t>
  </si>
  <si>
    <t>elearning</t>
  </si>
  <si>
    <t>CIC_EU_2021_10_25_a</t>
  </si>
  <si>
    <t>CIC_EU_2022_02_07_a</t>
  </si>
  <si>
    <t>CIC_EU_2022_02_28_a</t>
  </si>
  <si>
    <t>French speaking tutors</t>
  </si>
  <si>
    <t>CIC_EU_2022_03_07_a</t>
  </si>
  <si>
    <t>UKI &amp; Germany</t>
  </si>
  <si>
    <t>CIC_EU_2022_03_21_a</t>
  </si>
  <si>
    <t>CIC_EU_2022_05_03_a</t>
  </si>
  <si>
    <t>CIC_EU_2022_08_08_a</t>
  </si>
  <si>
    <t>CIC_EU_2022_09_19_a</t>
  </si>
  <si>
    <t>week 1 F2F, week 2 virtual</t>
  </si>
  <si>
    <t>CIC_EU_2022_10_03_a</t>
  </si>
  <si>
    <t>CIC_EU_2022_11_21_a</t>
  </si>
  <si>
    <t>CIC_EU_2023_03_06_a</t>
  </si>
  <si>
    <t>Germany</t>
  </si>
  <si>
    <t>CIC_EU_2023_03_20_a</t>
  </si>
  <si>
    <t>Belgium, UK, Italy</t>
  </si>
  <si>
    <t>CIC_EU_2023_06_12_a</t>
  </si>
  <si>
    <t>Italy, Denmark</t>
  </si>
  <si>
    <t>CIC_EU_2023_06_26_a</t>
  </si>
  <si>
    <t>GEO_EU_2021_03_08_a</t>
  </si>
  <si>
    <t>Geo Western Europe</t>
  </si>
  <si>
    <t>Consultant (most class, but TBD)</t>
  </si>
  <si>
    <t>GEO_EU_2021_02_08_a</t>
  </si>
  <si>
    <t>GEO_EU_2021_04_12_a</t>
  </si>
  <si>
    <t>GEO_EU_2021_06_07_a</t>
  </si>
  <si>
    <t>GEO_EU_2021_07_05_a</t>
  </si>
  <si>
    <t>GEO_EU_2021_07_26_a</t>
  </si>
  <si>
    <t>various</t>
  </si>
  <si>
    <t>consultant (most class, but TBD)</t>
  </si>
  <si>
    <t>GEO_EU_2021_08_09_a</t>
  </si>
  <si>
    <t>GEO_EU_2021_09_06_a</t>
  </si>
  <si>
    <t>GEO_EU_2021_09_06_b</t>
  </si>
  <si>
    <t>UK</t>
  </si>
  <si>
    <t>GEO_EU_2021_09_20_a</t>
  </si>
  <si>
    <t>GEO_EU_2021_10_11_a</t>
  </si>
  <si>
    <t>GEO_EU_2021_10_11_b</t>
  </si>
  <si>
    <t>GEO_EU_2021_11_08_a</t>
  </si>
  <si>
    <t>10228487
10229509</t>
  </si>
  <si>
    <t>GEO_EU_2021_11_08_b</t>
  </si>
  <si>
    <t>GEO_EU_2022_02_07_a</t>
  </si>
  <si>
    <t>10250003
10243911</t>
  </si>
  <si>
    <t>GEO_EU_2022_02_21_a</t>
  </si>
  <si>
    <t>GEO_EU_2022_03_07_a</t>
  </si>
  <si>
    <t>GEO_EU_2022_04_06_a</t>
  </si>
  <si>
    <t>GEO_EU_2022_04_06_b</t>
  </si>
  <si>
    <t>GEO_EU_2022_05_09_a</t>
  </si>
  <si>
    <t>10274979
10273357</t>
  </si>
  <si>
    <t>GEO_EU_2022_06_03_a</t>
  </si>
  <si>
    <t>10281404
10280714
10280691
10281384</t>
  </si>
  <si>
    <t>DACH (8), SPGI (22)</t>
  </si>
  <si>
    <t>GEO_EU_2022_06_13_a</t>
  </si>
  <si>
    <t>UKI</t>
  </si>
  <si>
    <t>GEO_EU_2022_07_11_a</t>
  </si>
  <si>
    <t>GEO_EU_2022_07_11_b</t>
  </si>
  <si>
    <t>DACH (9), CEE (3), Italy (4), SPGI (3), Nordics (1)</t>
  </si>
  <si>
    <t xml:space="preserve"> -
week 1 F2F, week 2 virtual</t>
  </si>
  <si>
    <t>GEO_EU_2022_08_08_a</t>
  </si>
  <si>
    <t>UKI (32), DACH (3)</t>
  </si>
  <si>
    <t>GEO_EU_2022_09_05_a</t>
  </si>
  <si>
    <t>UKI (29)</t>
  </si>
  <si>
    <t>GEO_EU_2022_09_05_b</t>
  </si>
  <si>
    <t>NorthernEurope (25)</t>
  </si>
  <si>
    <t>GEO_EU_2022_09_05_c</t>
  </si>
  <si>
    <t>DACH (12), SPGI (3)</t>
  </si>
  <si>
    <t>GEO_EU_2022_09_19_a</t>
  </si>
  <si>
    <t>SPGI (19), Italy (2)</t>
  </si>
  <si>
    <t>GEO_EU_2022_10_10_a</t>
  </si>
  <si>
    <t>UKI (26), Italy (2), CEE (2)</t>
  </si>
  <si>
    <t>GEO_EU_2022_10_10_b</t>
  </si>
  <si>
    <t>DACH (28)</t>
  </si>
  <si>
    <t>GEO_EU_2022_11_07_a</t>
  </si>
  <si>
    <t>UKI (27), Italy (3)</t>
  </si>
  <si>
    <t>GEO_EU_2022_11_07_b</t>
  </si>
  <si>
    <t>10317932
10318278</t>
  </si>
  <si>
    <t>DACH (16), SPGI (8), NCEE (2)</t>
  </si>
  <si>
    <t>GEO_EU_2023_02_06_a</t>
  </si>
  <si>
    <t>DACH (9), SPGI (2), France (2), Italy (2), NCEE (5)</t>
  </si>
  <si>
    <t>GEO_EU_2023_03_06_a</t>
  </si>
  <si>
    <t>DACH (6), SPGI (10), Italy (1), NCEE (2)</t>
  </si>
  <si>
    <t>GEO_EU_2023_04_17_a</t>
  </si>
  <si>
    <t>DACH (11), Italy (4), NCEE (2), SPGI (1)</t>
  </si>
  <si>
    <t>GEO_EU_2023_06_12_a</t>
  </si>
  <si>
    <t>GEO_EU_2023_06_19_a</t>
  </si>
  <si>
    <t>GEO_EU_2023_07_10_a</t>
  </si>
  <si>
    <t>GEO_EU_2023_07_10_b</t>
  </si>
  <si>
    <t>GEO_EU_2023_08_07_a</t>
  </si>
  <si>
    <t>GEO_EU_2023_09_11_a</t>
  </si>
  <si>
    <t>GEO_EU_2023_09_18_a</t>
  </si>
  <si>
    <t>GEO_EU_2023_09_18_b</t>
  </si>
  <si>
    <t>GEO_EU_2023_10_09_a</t>
  </si>
  <si>
    <t>GEO_EU_2023_10_09_b</t>
  </si>
  <si>
    <t>GEO_EU_2023_11_06_a</t>
  </si>
  <si>
    <t>CIC_PH_2021_04_12_a</t>
  </si>
  <si>
    <t>10098477, 10098478,
10098481, 10098482,
10098484, 10098487,
10098488, 10098489,
10098490, 10098491</t>
  </si>
  <si>
    <t>Subsequent Rollout</t>
  </si>
  <si>
    <t>CIC Philippines</t>
  </si>
  <si>
    <t>25 January, 15 February  2021, April 12 2021 (Numbers: Jan OB 3 EPH, Feb OB 3 EPH, April OB 10 EPH)</t>
  </si>
  <si>
    <t>Quezon City, Philippines</t>
  </si>
  <si>
    <t xml:space="preserve">1. Technical learning not consecutively following induction
</t>
  </si>
  <si>
    <t>Onboarding on Jan 25, 2021 (3 EPHs) and Feb 15 (3 EPHs) and April 5 (10 EPH) however induction for the 6 Associates will be conducted in April 5.  After completion of the Induction they will join the client projects.</t>
  </si>
  <si>
    <t>CIC_PH_2021_04_26_a</t>
  </si>
  <si>
    <t>10275745, 10275746,
10275749, 10275752,
10275753, 10275754,
10275755, 10275757</t>
  </si>
  <si>
    <t>2 Associates will join India Cohort for the 2-weeks induction program</t>
  </si>
  <si>
    <t>CIC_PH_2021_05_03_a</t>
  </si>
  <si>
    <t>10275764, 10275769
10275766, 10275770,
10275771, 10275772,
10275773, 10275774</t>
  </si>
  <si>
    <t>10 Associates will join India Cohort for the 2-weeks induction program</t>
  </si>
  <si>
    <t>CIC_PH_2021_07_19_a</t>
  </si>
  <si>
    <t>10283128, 10283129
10283130, 10283131
10283133, 10283134
10283135, 10283136</t>
  </si>
  <si>
    <t>14 June, 2021</t>
  </si>
  <si>
    <t>30 July, 2021</t>
  </si>
  <si>
    <t>2 Aug, 2021</t>
  </si>
  <si>
    <t>Clubbing the Associates Induction Training on July 19 Cohort</t>
  </si>
  <si>
    <t>CIC_PH_2021_07_19_b</t>
  </si>
  <si>
    <t>21 June, 2021</t>
  </si>
  <si>
    <t>6 Aug, 2021</t>
  </si>
  <si>
    <t>9 Aug, 2021</t>
  </si>
  <si>
    <t>CIC_PH_2021_08_16_a</t>
  </si>
  <si>
    <t>10105377, 10105378,
10105379, 10105380,
10105381, 10105382
10105383</t>
  </si>
  <si>
    <t>July 19, 2021 (3), 
July 26, 2021 (2),
Aug 2, 2021 (7),
Aug 16, 2021 (10)</t>
  </si>
  <si>
    <t>Clubbing the Associates Induction Training on August 16 Cohort</t>
  </si>
  <si>
    <t>CIC_PH_2021_10_11_a</t>
  </si>
  <si>
    <t>10216448, 10216449,
10216451, 10216453,
10216457, 10216459,
10216462, 10216466</t>
  </si>
  <si>
    <t>Sept 6,
Sept 13,
Oct 4,
Oct 11, 2021</t>
  </si>
  <si>
    <t>Clubbing the Associates Induction Training on October 11 Cohort</t>
  </si>
  <si>
    <t>CIC_PH_2021_12_06_a</t>
  </si>
  <si>
    <t>10230958, 10230959,
10231040, 10231042,
10232635, 10232641,
10232648</t>
  </si>
  <si>
    <t xml:space="preserve">Nov 8,
Nov 15, 
Dec 1
</t>
  </si>
  <si>
    <t>Lani Pedro + Volunteer Facilitators</t>
  </si>
  <si>
    <t>Associate</t>
  </si>
  <si>
    <t>CIC_PH_2022_02_14_a</t>
  </si>
  <si>
    <t>10246238, 10246239,
10247065, 10247056,
10247060, 10247061,
10247062</t>
  </si>
  <si>
    <t>Jan 24, 2022
Feb 14, 2022</t>
  </si>
  <si>
    <t>CIC_PH_2022_03_21_a</t>
  </si>
  <si>
    <t>10254036, 10254037,
10254038, 10254039,
10254040, 10254337,
10254340</t>
  </si>
  <si>
    <t>Feb 28, 2022
Mar 11, 2022
Mar 18, 2022</t>
  </si>
  <si>
    <t>4/12022</t>
  </si>
  <si>
    <t>CIC_PH_2022_05_23_a</t>
  </si>
  <si>
    <t>10271297, 10271298,
10271299, 10272058,
10271794, 10272060,
10272086, 10272088</t>
  </si>
  <si>
    <t>April 18,2022
May 20, 2022</t>
  </si>
  <si>
    <t>Developer, Tech Specialists</t>
  </si>
  <si>
    <t>Francis Pacana + Volunteer Facilitators</t>
  </si>
  <si>
    <t>CIC_PH_2022_06_27_a</t>
  </si>
  <si>
    <t>10283353, 10283356,	
10283360, 10283363,
10283365, 10283366,
10283368</t>
  </si>
  <si>
    <t>June 6, 2022
June 13, 2022
June 24, 2022</t>
  </si>
  <si>
    <t>CIC_PH_2022_09_26_a</t>
  </si>
  <si>
    <t>10302781
10302782
10302784
10302785
10302786
10302787
10302789</t>
  </si>
  <si>
    <t>July 18, 2022
August 1, 2022
September 26, 2022</t>
  </si>
  <si>
    <t>CIC_PH_2023_02_27_a</t>
  </si>
  <si>
    <t>CIC_PH_2023_04_17_a</t>
  </si>
  <si>
    <t>March 13, 2023
March 27, 2023</t>
  </si>
  <si>
    <t>Developer, Tech Specialist</t>
  </si>
  <si>
    <t>CIC_LA_Brazil_2021_01_18_a</t>
  </si>
  <si>
    <t>CIC LA</t>
  </si>
  <si>
    <t>January</t>
  </si>
  <si>
    <t>Brazil</t>
  </si>
  <si>
    <t>Mix of all 6</t>
  </si>
  <si>
    <t>Tentative</t>
  </si>
  <si>
    <t>1. Project Prior to induction
2. Induction, Technical learning and Project running concurrently</t>
  </si>
  <si>
    <t>CIC_LA_SSA_11_Dec_2020_1</t>
  </si>
  <si>
    <t>CIC_LA_Brazil_2021_02_09_a</t>
  </si>
  <si>
    <t>February</t>
  </si>
  <si>
    <t>CIC_LA_SSA_2021_02_26_a</t>
  </si>
  <si>
    <t>SSA</t>
  </si>
  <si>
    <t>CIC_LA_Mexico_2021_03_04_a</t>
  </si>
  <si>
    <t>March</t>
  </si>
  <si>
    <t>Mexico</t>
  </si>
  <si>
    <t>CIC_LA_Brazil_2021_03_16_a</t>
  </si>
  <si>
    <t>CIC_LA_Mexico_2021_04_13_a</t>
  </si>
  <si>
    <t>April</t>
  </si>
  <si>
    <t>CIC_LA_Brazil_2021_04_20_a</t>
  </si>
  <si>
    <t>CIC_LA_SSA_2021_04_12_a</t>
  </si>
  <si>
    <t>CIC_LA_Mexico_2021_05_10_a</t>
  </si>
  <si>
    <t>May</t>
  </si>
  <si>
    <t>CIC_LA_SSA_2021_05_19_a</t>
  </si>
  <si>
    <t>CIC_LA_Brazil_2021_05_18_a</t>
  </si>
  <si>
    <t>CIC_LA_Mexico_2021_06_03_a</t>
  </si>
  <si>
    <t>June</t>
  </si>
  <si>
    <t>CIC_LA_Brazil_2021_06_15_a</t>
  </si>
  <si>
    <t>CIC_LA_SSA_2021_06_29_a</t>
  </si>
  <si>
    <t>CIC_LA_Mexico_2021_06_30_a</t>
  </si>
  <si>
    <t>CIC_LA_Brazil_2021_07_20_a</t>
  </si>
  <si>
    <t>July</t>
  </si>
  <si>
    <t>CIC_LA_SSA_2021_08_09_a</t>
  </si>
  <si>
    <t>August</t>
  </si>
  <si>
    <t>CIC_LA_Mexico_2021_07_29_a</t>
  </si>
  <si>
    <t>CIC_LA_Brazil_2021_08_17_a</t>
  </si>
  <si>
    <t>CIC_LA_Mexico_2021_09_02_a</t>
  </si>
  <si>
    <t>10103796_10224712</t>
  </si>
  <si>
    <t>September</t>
  </si>
  <si>
    <t>CIC_LA_Brazil_2021_09_20_a</t>
  </si>
  <si>
    <t>CIC_LA_Brazil_2021_10_18_a</t>
  </si>
  <si>
    <t>October</t>
  </si>
  <si>
    <t>CIC_LA_Mexico_2021_11_03_a</t>
  </si>
  <si>
    <t>November</t>
  </si>
  <si>
    <t>CIC_LA_Mexico_2021_12_07_a</t>
  </si>
  <si>
    <t>December</t>
  </si>
  <si>
    <t>CIC_LA_SSA_2021_11_22_a</t>
  </si>
  <si>
    <t>CIC_LA_Brazil_2021_11_22_a</t>
  </si>
  <si>
    <t>CIC_LA_Brazil_2021_12_14_a</t>
  </si>
  <si>
    <t>CIC_LA_Brazil_2022_01_18_a</t>
  </si>
  <si>
    <t>CIC_LA_Brazil_2022_02_15_a</t>
  </si>
  <si>
    <t>CIC_LA_Brazil_2022_03_15_a</t>
  </si>
  <si>
    <t>CIC_LA_Brazil_2022_04_12_a</t>
  </si>
  <si>
    <t>CIC_LA_Brazil_2022_05_17_a</t>
  </si>
  <si>
    <t>10258862_10280509</t>
  </si>
  <si>
    <t>CIC_LA_Brazil_2022_06_14_a</t>
  </si>
  <si>
    <t>CIC_LA_Brazil_2022_07_12_a</t>
  </si>
  <si>
    <t>CIC_LA_Brazil_2022_08_15_a</t>
  </si>
  <si>
    <t>CIC_LA_Brazil_2022_09_13_a</t>
  </si>
  <si>
    <t>CIC_LA_Brazil_2022_10_18_a</t>
  </si>
  <si>
    <t>CIC_LA_Brazil_2022_11_14_a</t>
  </si>
  <si>
    <t>CIC_LA_Brazil_2022_12_13_a</t>
  </si>
  <si>
    <t>CIC_LA_Mexico_2022_01_18_a</t>
  </si>
  <si>
    <t>CIC_LA_Mexico_2022_02_15_a</t>
  </si>
  <si>
    <t>CIC_LA_Mexico_2022_03_15_a</t>
  </si>
  <si>
    <t>CIC_LA_Mexico_2022_04_12_a</t>
  </si>
  <si>
    <t>10260684/10271151</t>
  </si>
  <si>
    <t>CIC_LA_Mexico_2022_05_17_a</t>
  </si>
  <si>
    <t>CIC_LA_Mexico_2022_06_14_a</t>
  </si>
  <si>
    <t>CIC_LA_Mexico_2022_07_12_a</t>
  </si>
  <si>
    <t>10292013/10292019</t>
  </si>
  <si>
    <t>CIC_LA_Mexico_2022_08_15_a</t>
  </si>
  <si>
    <t>CIC_LA_Mexico_2022_09_13_a</t>
  </si>
  <si>
    <t>CIC_LA_Mexico_2022_10_18_a</t>
  </si>
  <si>
    <t>CIC_LA_Mexico_2022_11_14_a</t>
  </si>
  <si>
    <t>CIC_LA_Mexico_2022_12_13_a</t>
  </si>
  <si>
    <t>CIC_LA_SSA_2022_01_18_a</t>
  </si>
  <si>
    <t>CIC_LA_SSA_2022_02_15_a</t>
  </si>
  <si>
    <t>CIC_LA_SSA_2022_03_15_a</t>
  </si>
  <si>
    <t>CIC_LA_SSA_2022_04_12_a</t>
  </si>
  <si>
    <t>CIC_LA_SSA_2022_05_17_a</t>
  </si>
  <si>
    <t>CIC_LA_SSA_2022_07_12_a</t>
  </si>
  <si>
    <t>CIC_LA_SSA_2022_08_15_a</t>
  </si>
  <si>
    <t>CIC_LA_SSA_2022_09_13_a</t>
  </si>
  <si>
    <t>CIC_LA_SSA_2022_10_18_a</t>
  </si>
  <si>
    <t>CIC_LA_SSA_2022_11_14_a</t>
  </si>
  <si>
    <t>CIC_LA_Brazil_2023_01_16_a</t>
  </si>
  <si>
    <t>São Paulo, Brazil, #of Associates (check)</t>
  </si>
  <si>
    <t>CIC_LA_Brazil_2023_02_20_a</t>
  </si>
  <si>
    <t>CIC_LA_Brazil_2023_03_20_a</t>
  </si>
  <si>
    <t>CIC_LA_Brazil_2023_04_17_a</t>
  </si>
  <si>
    <t>CIC_LA_Brazil_2023_05_15_a</t>
  </si>
  <si>
    <t>CIC_LA_Brazil_2023_06_19_a</t>
  </si>
  <si>
    <t>CIC_LA_Brazil_2023_07_17_a</t>
  </si>
  <si>
    <t>CIC_LA_Brazil_2023_08_21_a</t>
  </si>
  <si>
    <t>CIC_LA_Brazil_2023_09_18_a</t>
  </si>
  <si>
    <t>CIC_LA_Brazil_2023_10_16_a</t>
  </si>
  <si>
    <t>CIC_LA_Brazil_2023_11_20_a</t>
  </si>
  <si>
    <t>CIC_LA_Brazil_2023_12_18_a</t>
  </si>
  <si>
    <t>CIC_LA_Mexico_2023_02_20_a</t>
  </si>
  <si>
    <t>Mexico City, Mexico, # (check)</t>
  </si>
  <si>
    <t>CIC_LA_Mexico_2023_03_20_a</t>
  </si>
  <si>
    <t>CIC_LA_Mexico_2023_04_17_a</t>
  </si>
  <si>
    <t>CIC_LA_Mexico_2023_05_15_a</t>
  </si>
  <si>
    <t>CIC_LA_Mexico_2023_06_19_a</t>
  </si>
  <si>
    <t>CIC_LA_Mexico_2023_07_17_a</t>
  </si>
  <si>
    <t>CIC_LA_Mexico_2023_08_21_a</t>
  </si>
  <si>
    <t>CIC_LA_Mexico_2023_09_18_a</t>
  </si>
  <si>
    <t>CIC_LA_Mexico_2023_10_16_a</t>
  </si>
  <si>
    <t>CIC_LA_Mexico_2023_11_20_a</t>
  </si>
  <si>
    <t>CIC_LA_Mexico_2023_12_18_a</t>
  </si>
  <si>
    <t>CIC_LA_SSA_2023_01_16_a</t>
  </si>
  <si>
    <t>Buenos Aires, Argentina, # (check)</t>
  </si>
  <si>
    <t>CIC_LA_SSA_2023_02_20_a</t>
  </si>
  <si>
    <t>CIC_LA_SSA_2023_03_20_a</t>
  </si>
  <si>
    <t>CIC_LA_SSA_2023_04_17_a</t>
  </si>
  <si>
    <t>CIC_LA_SSA_2023_05_15_a</t>
  </si>
  <si>
    <t>CIC_LA_SSA_2023_06_19_a</t>
  </si>
  <si>
    <t>CIC_LA_SSA_2023_07_17_a</t>
  </si>
  <si>
    <t>CIC_LA_SSA_2023_08_21_a</t>
  </si>
  <si>
    <t>CIC_LA_SSA_2023_09_18_a</t>
  </si>
  <si>
    <t>CIC_LA_SSA_2023_10_16_a</t>
  </si>
  <si>
    <t>CIC_LA_SSA_2023_11_20_a</t>
  </si>
  <si>
    <t>CIC_LA_SSA_2023_12_18_a</t>
  </si>
  <si>
    <t>CIC_NA_2021_01_25_a</t>
  </si>
  <si>
    <t>CIC NA</t>
  </si>
  <si>
    <t>CIC_NA_2021_01_26_a</t>
  </si>
  <si>
    <t>n/a - Apprentice co-hort</t>
  </si>
  <si>
    <t>Apprentice</t>
  </si>
  <si>
    <t>CIC_NA_2021_02_01_a</t>
  </si>
  <si>
    <t>CIC_NA_2021_02_15_a</t>
  </si>
  <si>
    <t>CIC_NA_2021_02_23_a</t>
  </si>
  <si>
    <t>CIC_NA_2021_03_01_a</t>
  </si>
  <si>
    <t>CIC_NA_2021_03_01_b</t>
  </si>
  <si>
    <t>CIC_NA_2021_03_17_a</t>
  </si>
  <si>
    <t>CIC_NA_2021_04_01_a</t>
  </si>
  <si>
    <t>CIC_NA_2021_04_12_a</t>
  </si>
  <si>
    <t>CIC_NA_2021_04_15_a</t>
  </si>
  <si>
    <t>CIC_NA_2021_05_10_a</t>
  </si>
  <si>
    <t>CIC_NA_2021_05_29_a</t>
  </si>
  <si>
    <t>CIC_NA_2021_06_07_a</t>
  </si>
  <si>
    <t>CIC_NA_2021_06_14_a</t>
  </si>
  <si>
    <t>10101004 &amp; 10100999</t>
  </si>
  <si>
    <t>CIC_NA_2021_07_19_a</t>
  </si>
  <si>
    <t>CIC_NA_2021_09_13_a</t>
  </si>
  <si>
    <t>CIC_NA_2021_09_27_a</t>
  </si>
  <si>
    <t>No GBS12338 class code set up - admin error</t>
  </si>
  <si>
    <t>CIC_NA_2021_12_06_a</t>
  </si>
  <si>
    <t>CIC_NA_2022_01_24_a</t>
  </si>
  <si>
    <t>CIC_NA_2022_02_14_a</t>
  </si>
  <si>
    <t>CIC_NA_2022_03_01_a</t>
  </si>
  <si>
    <t>CIC_NA_2022_03_07_a</t>
  </si>
  <si>
    <t>CIC_NA_2022_03_14_a</t>
  </si>
  <si>
    <t>CIC_NA_2022_03_15_a</t>
  </si>
  <si>
    <t>CIC_NA_2022_04_25_a</t>
  </si>
  <si>
    <t>CIC_NA_2022_05_09_a</t>
  </si>
  <si>
    <t>CANCEL CLASS</t>
  </si>
  <si>
    <t>CIC_NA_2022_05_23_a</t>
  </si>
  <si>
    <t>CIC_NA_2022_06_06_a</t>
  </si>
  <si>
    <t>CIC_NA_2022_06_06_b</t>
  </si>
  <si>
    <t>CIC_NA_2022_06_23_a</t>
  </si>
  <si>
    <t>CIC_NA_2022_07_11_a</t>
  </si>
  <si>
    <t>CIC_NA_2022_07_18_a</t>
  </si>
  <si>
    <t>CIC_NA_2022_07_26_a</t>
  </si>
  <si>
    <t>GEO NA - US</t>
  </si>
  <si>
    <t>CIC_NA_2022_08_08_a</t>
  </si>
  <si>
    <t>CIC_NA_2022_08_15_a</t>
  </si>
  <si>
    <t>CIC_NA_2022_08_15_b</t>
  </si>
  <si>
    <t>CIC_NA_2022_09_12_a</t>
  </si>
  <si>
    <t>21 (2 Baton Rouge, 1 Lansing, 13 Halifax, 3 Calgary and 2 Quebec).</t>
  </si>
  <si>
    <t>CIC_NA_2022_10_17_a</t>
  </si>
  <si>
    <t>CIC_NA_2022_11_07_a</t>
  </si>
  <si>
    <t>CIC_NA_2022_12_05_a</t>
  </si>
  <si>
    <t>CIC_NA_2023_01_16_a</t>
  </si>
  <si>
    <t>CIC_NA_2023_02_06_a</t>
  </si>
  <si>
    <t>future class</t>
  </si>
  <si>
    <t>CIC_NA_2023_02_13_a</t>
  </si>
  <si>
    <t>CIC_NA_2023_02_27_a</t>
  </si>
  <si>
    <t>CIC_NA_2023_03_13_a</t>
  </si>
  <si>
    <t>CIC_NA_2023_03_20_a</t>
  </si>
  <si>
    <t>CIC_NA_2023_03_28_a</t>
  </si>
  <si>
    <t>CIC_NA_2023_04_03_a</t>
  </si>
  <si>
    <t>CIC_NA_2023_05_01_a</t>
  </si>
  <si>
    <t>CIC_NA_2023_06_06_a</t>
  </si>
  <si>
    <t>CIC_NA_2023_06_05_a</t>
  </si>
  <si>
    <t>Future Class</t>
  </si>
  <si>
    <t>GEO_NA_CA_2021_03_15_a</t>
  </si>
  <si>
    <t>GEO NA - Canada</t>
  </si>
  <si>
    <t>GEO_NA_CA_2021_05_03_a</t>
  </si>
  <si>
    <t>GEO_NA_CA_2021_07_12_a</t>
  </si>
  <si>
    <t>GEO_NA_CA_2021_10_25_a</t>
  </si>
  <si>
    <t>GEO_NA_CA_2022_03_07_a</t>
  </si>
  <si>
    <t>GEO_NA_CA_2022_05_09_a</t>
  </si>
  <si>
    <t>GEO_NA_CA_2022_06_13_a</t>
  </si>
  <si>
    <t>GEO_NA_CA_2022_08_08_a</t>
  </si>
  <si>
    <t>GEO_NA_CA_2022_09_12_a</t>
  </si>
  <si>
    <t>GEO_NA_CA_2022_10_17_a</t>
  </si>
  <si>
    <t>GEO_NA_CA_2023_02_06_a</t>
  </si>
  <si>
    <t>20 Canada</t>
  </si>
  <si>
    <t>GEO_NA_CA_2023_03_13_a</t>
  </si>
  <si>
    <t>25 Canada</t>
  </si>
  <si>
    <t>GEO_NA_CA_2023_05_08_a</t>
  </si>
  <si>
    <t>GEO_NA_CA_2023_06_05_a</t>
  </si>
  <si>
    <t>17 Canada</t>
  </si>
  <si>
    <t>GEO_NA_CA_2023_07_10_a</t>
  </si>
  <si>
    <t>GEO_NA_US_2021_01_13_a</t>
  </si>
  <si>
    <t>GEO_NA_US_2021_03_15_a</t>
  </si>
  <si>
    <t>GEO_NA_US_2021_05_03_a</t>
  </si>
  <si>
    <t>GEO_NA_US_2021_06_07_a</t>
  </si>
  <si>
    <t>GEO_NA_US_2021_07_12_a</t>
  </si>
  <si>
    <t>GEO_NA_US_2021_08_09_a</t>
  </si>
  <si>
    <t>GEO_NA_US_2021_09_27_a</t>
  </si>
  <si>
    <t>No class code set up</t>
  </si>
  <si>
    <t>GEO_NA_US_2021_10_25_a</t>
  </si>
  <si>
    <t>GEO_NA_US_2022_02_05_a</t>
  </si>
  <si>
    <t>GEO_NA_US_2022_02_14_a</t>
  </si>
  <si>
    <t>GEO_NA_US_2022_02_15_a</t>
  </si>
  <si>
    <t>GEO_NA_US_2022_03_07_a</t>
  </si>
  <si>
    <t>GEO_NA_US_2022_04_04_a</t>
  </si>
  <si>
    <t>GEO_NA_US_2022_05_09_a</t>
  </si>
  <si>
    <t>GEO_NA_US_2022_06_13_a</t>
  </si>
  <si>
    <t>10255373 &amp; 10275947</t>
  </si>
  <si>
    <t>GEO_NA_US_2022_07_09_a</t>
  </si>
  <si>
    <t>GEO_NA_US_2022_07_18_a</t>
  </si>
  <si>
    <t>GEO_NA_US_2022_07_18_b</t>
  </si>
  <si>
    <t>GEO_NA_US_2022_08_01_a</t>
  </si>
  <si>
    <t>GEO_NA_US_2022_08_08_a</t>
  </si>
  <si>
    <t>GEO_NA_US_2022_08_08_b</t>
  </si>
  <si>
    <t>GEO_NA_US_2022_09_12_a</t>
  </si>
  <si>
    <t>36 coml</t>
  </si>
  <si>
    <t>GEO_NA_US_2022_09_12_b</t>
  </si>
  <si>
    <t>11 federal
25 canada
7 CIC Rocket Center</t>
  </si>
  <si>
    <t>GEO_NA_US_2022_10_17_a</t>
  </si>
  <si>
    <t>GEO_NA_US_2022_11_01_a</t>
  </si>
  <si>
    <t>GEO_NA_US_2023_02_06_a</t>
  </si>
  <si>
    <t>10 US</t>
  </si>
  <si>
    <t>GEO_NA_US_2023_03_13_a</t>
  </si>
  <si>
    <t xml:space="preserve">10 US, 15 Fed </t>
  </si>
  <si>
    <t>GEO_NA_US_2023_04_05_a</t>
  </si>
  <si>
    <t>GEO_NA_US_2023_04_25_a</t>
  </si>
  <si>
    <t>GEO_NA_US_2023_05_08_a</t>
  </si>
  <si>
    <t xml:space="preserve">15 US, 20 Fed </t>
  </si>
  <si>
    <t>GEO_NA_US_2023_06_12_a</t>
  </si>
  <si>
    <t>10 US, 17 Fed</t>
  </si>
  <si>
    <t>GEO_NA_US_2023_07_24_a</t>
  </si>
  <si>
    <t>20 US, 14 Fed</t>
  </si>
  <si>
    <t>GEO_NA_US_2023_08_14_a</t>
  </si>
  <si>
    <t>23 US</t>
  </si>
  <si>
    <t>CIC_MEA_2021_11_01_a</t>
  </si>
  <si>
    <t>CIC MEA</t>
  </si>
  <si>
    <t xml:space="preserve">Multiple </t>
  </si>
  <si>
    <t>Pakistan/Morocco</t>
  </si>
  <si>
    <t>CIC_MEA_2021_12_01_a</t>
  </si>
  <si>
    <t>Multiple</t>
  </si>
  <si>
    <t>Egypt/Paksitan/SouthAfrica/Morocco</t>
  </si>
  <si>
    <t>CIC_MEA_2022_02_14_a</t>
  </si>
  <si>
    <t>Pakistan</t>
  </si>
  <si>
    <t>CIC_MEA_2022_03_21_a</t>
  </si>
  <si>
    <t>Egypt/Morocco</t>
  </si>
  <si>
    <t>CIC_MEA_2022_06_05_a</t>
  </si>
  <si>
    <t>Egypt/Pakistan</t>
  </si>
  <si>
    <t>CIC_MEA_2022_10_09_a</t>
  </si>
  <si>
    <t>CIC_MEA_2023_05_08_a</t>
  </si>
  <si>
    <t>10350755</t>
  </si>
  <si>
    <t>17,May,2023</t>
  </si>
  <si>
    <t>Morocco</t>
  </si>
  <si>
    <t>CIC_MEA_2023_03_19_a</t>
  </si>
  <si>
    <t>19-03-2023</t>
  </si>
  <si>
    <t>30,March,2023</t>
  </si>
  <si>
    <t>Egypt/Pakistan/SouthAfrica</t>
  </si>
  <si>
    <t>CIC_MEA_2023_06_12_a</t>
  </si>
  <si>
    <t>21-06-2023</t>
  </si>
  <si>
    <t>Egypt</t>
  </si>
  <si>
    <t>GEO_MEA_2021_12_05_a</t>
  </si>
  <si>
    <t>Geo MEA</t>
  </si>
  <si>
    <t>Saudi</t>
  </si>
  <si>
    <t>Henry Donald</t>
  </si>
  <si>
    <t>Very small cohort so content from Days 1&amp;2 able to be delivered in a single calendar day</t>
  </si>
  <si>
    <t>GEO_Japan_2021_04_12_a</t>
  </si>
  <si>
    <t>Geo Japan</t>
  </si>
  <si>
    <t>Q2</t>
    <phoneticPr fontId="10"/>
  </si>
  <si>
    <t>Japan (Tokyo)</t>
    <phoneticPr fontId="11"/>
  </si>
  <si>
    <t>Consultant, Technical Specialist, Data Scientist, Designer</t>
  </si>
  <si>
    <t>GEO_Japan_2021_10_11_a</t>
  </si>
  <si>
    <t>Q4</t>
    <phoneticPr fontId="11"/>
  </si>
  <si>
    <t>Consultant, Technical Specialist</t>
    <phoneticPr fontId="10"/>
  </si>
  <si>
    <t>GEO_Japan_2022_04_07_a</t>
  </si>
  <si>
    <t>Q2</t>
    <phoneticPr fontId="11"/>
  </si>
  <si>
    <t>Consultant, Technical Specialist, Data Scientist, Designer</t>
    <phoneticPr fontId="10"/>
  </si>
  <si>
    <t>GEO_Japan_2022_10_11_a</t>
  </si>
  <si>
    <t>Consultant, Technical Specialist, Designer</t>
    <phoneticPr fontId="10"/>
  </si>
  <si>
    <t>GEO_Japan_2023_04_10_a</t>
  </si>
  <si>
    <t>GEO_AP_KR_2021_01_04_a</t>
  </si>
  <si>
    <t>Geo AP</t>
  </si>
  <si>
    <t>Korea</t>
  </si>
  <si>
    <t>Consultant</t>
  </si>
  <si>
    <t>GEO_AP_ANZ_2021_03_01_a</t>
  </si>
  <si>
    <t>ANZ</t>
  </si>
  <si>
    <t>Consultant, Developer, PM</t>
  </si>
  <si>
    <t>Completed</t>
  </si>
  <si>
    <t>GEO_AP_ANZ_06_Jul_2020_1</t>
  </si>
  <si>
    <t>GEO_AP_ANZ_2021_04_12_a</t>
  </si>
  <si>
    <t>10099353, 10100604</t>
  </si>
  <si>
    <t>GEO_AP_ANZ_2021_07_05_a</t>
  </si>
  <si>
    <t>GEO_AP_ISA_2021_08_07_a</t>
  </si>
  <si>
    <t>ISA</t>
  </si>
  <si>
    <t>GEO_AP_ISA_01_Sep_2020_1</t>
  </si>
  <si>
    <t>GEO_AP_ASEAN_2021_07_05_a</t>
  </si>
  <si>
    <t>Asean</t>
  </si>
  <si>
    <t>Consultant, Designer, Developer and PM</t>
  </si>
  <si>
    <t>GEO_AP_ASEAN_01_Oct_2020_1</t>
  </si>
  <si>
    <t>GEO_AP_ANZ_2021_10_11_a</t>
  </si>
  <si>
    <t>GEO_AP_ANZ_2021_04_05_a</t>
  </si>
  <si>
    <t>GEO_AP_ASEAN_2021_10_11_a</t>
  </si>
  <si>
    <t>ASEAN</t>
  </si>
  <si>
    <t>GEO_AP_KR_2021_11_26_a</t>
  </si>
  <si>
    <t>GEO_AP_ASEAN_2022_02_17_a</t>
  </si>
  <si>
    <t>GEO_AP_ANZ_2022_03_01_a</t>
  </si>
  <si>
    <t>GEO_AP_KR_2022_05_11_a</t>
  </si>
  <si>
    <t>GEO_AP_ASEAN_2022_07_04_a</t>
  </si>
  <si>
    <t>GEO_AP_ANZ_2022_07_11_a</t>
  </si>
  <si>
    <t>GEO_AP_ISA_2022_07_27_a</t>
  </si>
  <si>
    <t>GEO_AP_ISA_2022_08_24_a</t>
  </si>
  <si>
    <t>GEO_AP_ASEAN_2022_10_03_a</t>
  </si>
  <si>
    <t>GEO AP</t>
  </si>
  <si>
    <t>GEO_AP_ISA_2022_11_21_a</t>
  </si>
  <si>
    <t>GEO_AP_KR_2022_12_12_a</t>
  </si>
  <si>
    <t>GEO_AP_ASEAN_2023_02_06_a</t>
  </si>
  <si>
    <t>GEO_AP_ANZ_2023_02_27_a</t>
  </si>
  <si>
    <t>Connected Classroom</t>
  </si>
  <si>
    <t>GEO_AP_ASEAN_2023_05_22_a</t>
  </si>
  <si>
    <t>GEO_AP_ANZ_2023_05_08_a</t>
  </si>
  <si>
    <t>10350812</t>
  </si>
  <si>
    <t>8-May_23</t>
  </si>
  <si>
    <t>GEO_AP_ASEAN_2023_05_22_b</t>
  </si>
  <si>
    <t>GEO_AP_KR_2023_06_19_a</t>
  </si>
  <si>
    <t>GEO_AP_ANZ_2023_07_10_a</t>
  </si>
  <si>
    <t>GEO_AP_ASEAN_2023_07_24_a</t>
  </si>
  <si>
    <t>1-Jun4-23</t>
  </si>
  <si>
    <t>Legends</t>
  </si>
  <si>
    <t>Week 1 F2F &amp; Week 2 Virtual</t>
  </si>
  <si>
    <t>Some locations are F2F and some location will join through Webex.Some instructors will join via Webex and some will be in the classroom F2F,wherever the instructor is available. (Specific to China right now)</t>
  </si>
  <si>
    <t>Hybrid C</t>
  </si>
  <si>
    <t>Problem Solving &amp; Design Thinking is F2F . All the other units are virtual. (specific to Japan)</t>
  </si>
  <si>
    <t>Week 1 Virtual &amp; Week 2 F2F</t>
  </si>
  <si>
    <t>Week 1-via connected classroom
Week 2- LVC- All associates in all the locations will be connected through webex.</t>
  </si>
  <si>
    <t>Complete face to face intervention</t>
  </si>
  <si>
    <t>Complete LVC</t>
  </si>
  <si>
    <t>Geos</t>
  </si>
  <si>
    <t>Modality</t>
  </si>
  <si>
    <t>Approach</t>
  </si>
  <si>
    <t>Comments</t>
  </si>
  <si>
    <t>China</t>
  </si>
  <si>
    <t xml:space="preserve">Most of the induction is conducted via Webex, while in some main locations we have Associates gathered together in the training room. We also invite some local instructors or guest speakers to meet Associates F2F. 
Hybrid model for HK, Taiwan, Shanghai, Beijing, Shenzhen, Guangzhou, Dalian, Chengdu </t>
  </si>
  <si>
    <t>CIC PH</t>
  </si>
  <si>
    <t>Fully Virtual</t>
  </si>
  <si>
    <t>Virtual/Hybrid A/F2F</t>
  </si>
  <si>
    <t>Virtual- Fully virtual
Hybrid-Week 1 F2F &amp; Week 2 Virtual 
F2F- Fully face to face</t>
  </si>
  <si>
    <t>EMEA</t>
  </si>
  <si>
    <t xml:space="preserve">Week 1 F2F &amp; Week 2 Virtual
</t>
  </si>
  <si>
    <t>Occasionally still run a full virtual induction for Western Europe CIC.
Haven’t been able to pilot a full F2F version yet</t>
  </si>
  <si>
    <t xml:space="preserve">2 F2F cohorts completed in Q1,2023
One full virtual-planned next quarter </t>
  </si>
  <si>
    <t>AP</t>
  </si>
  <si>
    <t>Connected classroom</t>
  </si>
  <si>
    <t>Week 1- Three classroom locations (Sydney, Melbourne &amp; Perth) connected through webex
Week 2- LVC</t>
  </si>
  <si>
    <t xml:space="preserve">Feb,2023 cohort was the pilot session. </t>
  </si>
  <si>
    <t>Japan</t>
  </si>
  <si>
    <t>Hydrid C</t>
  </si>
  <si>
    <t>Remote + Onsite arrangement
Some modules will be delivered F2F</t>
  </si>
  <si>
    <t>Problem Solving &amp; Design Thinking is F2F . All the other units are virtual. 10-day induction is spread across month</t>
  </si>
  <si>
    <t>LA</t>
  </si>
  <si>
    <t>Fully virtual so far
F2F sessions planned for the upcoming quarters, yet to be confirmed though.</t>
  </si>
  <si>
    <t>SAE is F2F</t>
  </si>
  <si>
    <t>Geo NA (Mainline US &amp; Canada)</t>
  </si>
  <si>
    <t>Fully virtual so far
Planning to do Week 1 Induction F2F, but depends on the budget allocation in the upcoming quarters.</t>
  </si>
  <si>
    <t>Instance number/Class code</t>
  </si>
  <si>
    <t>Geo/CIC</t>
  </si>
  <si>
    <t>Growth Survey Debrief/Stay Ahead Event</t>
  </si>
  <si>
    <t>Start Date</t>
  </si>
  <si>
    <t>Version
(2 days - Current / 1 day version - New)</t>
  </si>
  <si>
    <t># of Associates</t>
  </si>
  <si>
    <t># of Associates Completed in COGNOS 210 Education Details Report</t>
  </si>
  <si>
    <t>Approximate Schedule</t>
  </si>
  <si>
    <t/>
  </si>
  <si>
    <t>Geo EU</t>
  </si>
  <si>
    <t>Growth Survey Debrief</t>
  </si>
  <si>
    <t>Stay Ahead Event</t>
  </si>
  <si>
    <t>2 days</t>
  </si>
  <si>
    <t>29 June to 1 July</t>
  </si>
  <si>
    <t>CIC EU</t>
  </si>
  <si>
    <t>done</t>
  </si>
  <si>
    <t>20th to 22nd Apr</t>
  </si>
  <si>
    <t>Geo NA (All)</t>
  </si>
  <si>
    <t>1 hour</t>
  </si>
  <si>
    <t>Combined US Domestic, Canada Domestic, NA CIC</t>
  </si>
  <si>
    <t>Geo NA US</t>
  </si>
  <si>
    <t>Geo NA Canada</t>
  </si>
  <si>
    <t>Geo NA CICs</t>
  </si>
  <si>
    <t>Done - Mexico</t>
  </si>
  <si>
    <t>Done - Brazil</t>
  </si>
  <si>
    <t>Done - SSA</t>
  </si>
  <si>
    <t>20-21 May</t>
  </si>
  <si>
    <t>Done - Mexico and SSA</t>
  </si>
  <si>
    <t>Confirmed - Mexico and SSA</t>
  </si>
  <si>
    <t>22-23 July</t>
  </si>
  <si>
    <t>Week of 12 April</t>
  </si>
  <si>
    <t>Pilot</t>
  </si>
  <si>
    <t>Week of 19 Apr</t>
  </si>
  <si>
    <t>Japan</t>
    <phoneticPr fontId="10"/>
  </si>
  <si>
    <t>Done</t>
    <phoneticPr fontId="10"/>
  </si>
  <si>
    <t>Planed</t>
    <phoneticPr fontId="10"/>
  </si>
  <si>
    <t>Confirmed Pilot</t>
    <phoneticPr fontId="10"/>
  </si>
  <si>
    <t>June 14-15</t>
    <phoneticPr fontId="10"/>
  </si>
  <si>
    <t>Confirmed</t>
    <phoneticPr fontId="10"/>
  </si>
  <si>
    <t>July 1-2</t>
    <phoneticPr fontId="10"/>
  </si>
  <si>
    <t>July 12-13</t>
    <phoneticPr fontId="10"/>
  </si>
  <si>
    <t>July 28-29</t>
    <phoneticPr fontId="10"/>
  </si>
  <si>
    <t>August 24-25</t>
    <phoneticPr fontId="10"/>
  </si>
  <si>
    <t>September 2-3</t>
    <phoneticPr fontId="10"/>
  </si>
  <si>
    <t>Confirmed</t>
  </si>
  <si>
    <t>Week of 12 -16 April</t>
  </si>
  <si>
    <t xml:space="preserve">3-5 May </t>
  </si>
  <si>
    <t>Geo_China</t>
    <phoneticPr fontId="10"/>
  </si>
  <si>
    <t>For 2020 1H,Week of April 12th</t>
    <phoneticPr fontId="10"/>
  </si>
  <si>
    <t>CIC_China</t>
    <phoneticPr fontId="10"/>
  </si>
  <si>
    <t>10101471/ 10102727</t>
  </si>
  <si>
    <t>Pre-session: June4, 2days session:June 8&amp;June9</t>
    <phoneticPr fontId="10"/>
  </si>
  <si>
    <t>Pre-session:June3,2days session:June 6&amp;June7</t>
    <phoneticPr fontId="10"/>
  </si>
  <si>
    <t>Tentative</t>
    <phoneticPr fontId="10"/>
  </si>
  <si>
    <t>For 2020 2H,Week of Aug 23th</t>
    <phoneticPr fontId="10"/>
  </si>
  <si>
    <t>1 day</t>
  </si>
  <si>
    <t>For 2020 2H,Pre-sesson:Nov 4th, 2days session:Nov 5th&amp;6th</t>
    <phoneticPr fontId="10"/>
  </si>
  <si>
    <t>For 2020 2H,Pre-sesson:Dec 2nd, 2days session:Dec 3rd&amp;4th</t>
    <phoneticPr fontId="10"/>
  </si>
  <si>
    <t>For 2020 2H,Week of Aug 23th</t>
  </si>
  <si>
    <t xml:space="preserve">June </t>
  </si>
  <si>
    <t>CIC_Philippines</t>
  </si>
  <si>
    <t>Cancelled</t>
  </si>
  <si>
    <t>Nov date TBD</t>
  </si>
  <si>
    <t>EMEA pilot of new content</t>
  </si>
  <si>
    <t>1.5 hours</t>
  </si>
  <si>
    <t>NA CIC</t>
  </si>
  <si>
    <t>Confirmed - ** Combined US,, CA, and CIC</t>
  </si>
  <si>
    <t>Week of 8 Nov</t>
  </si>
  <si>
    <t>Done - CIC PH</t>
  </si>
  <si>
    <t>cancel / reschedule</t>
  </si>
  <si>
    <t>n/a</t>
  </si>
  <si>
    <t>Rescheduled</t>
  </si>
  <si>
    <t>May TBD</t>
  </si>
  <si>
    <t>GEO EU</t>
  </si>
  <si>
    <t>CIC_LA</t>
  </si>
  <si>
    <t>10302925 </t>
  </si>
  <si>
    <t>10302925 /10311057</t>
  </si>
  <si>
    <t xml:space="preserve">1 day </t>
  </si>
  <si>
    <t>Geo</t>
  </si>
  <si>
    <t>CIC</t>
  </si>
  <si>
    <t>Geo + CIC</t>
  </si>
  <si>
    <t># of EPH - Complete</t>
  </si>
  <si>
    <t># of EPH - In Progress</t>
  </si>
  <si>
    <t># of EPH - Planned</t>
  </si>
  <si>
    <t># of EPH - Tentative</t>
  </si>
  <si>
    <t># of EPH - Total</t>
  </si>
  <si>
    <t># of Cohorts</t>
  </si>
  <si>
    <t># of EPH - Complete - Geo</t>
  </si>
  <si>
    <t># of EPH - Planned - Geo</t>
  </si>
  <si>
    <t># of EPH - Total - Geo</t>
  </si>
  <si>
    <t># of EPH - Complete - CIC</t>
  </si>
  <si>
    <t># of EPH - Planned - CIC</t>
  </si>
  <si>
    <t># of EPH - Total - CIC</t>
  </si>
  <si>
    <t>On-Boarding Total</t>
  </si>
  <si>
    <t>Cohort Total</t>
  </si>
  <si>
    <t># of cohorts using Legacy Curriculum</t>
  </si>
  <si>
    <t># of cohorts using New Curriculum</t>
  </si>
  <si>
    <t># of F2F cohorts</t>
  </si>
  <si>
    <t># of virtual cohorts</t>
  </si>
  <si>
    <t># of Complete cohorts</t>
  </si>
  <si>
    <t># of In Progress cohorts</t>
  </si>
  <si>
    <t># of Planned cohorts</t>
  </si>
  <si>
    <t># of Tentative cohorts</t>
  </si>
  <si>
    <t>India</t>
  </si>
  <si>
    <t>Western Europe</t>
  </si>
  <si>
    <t>Philippines</t>
  </si>
  <si>
    <t>MEA</t>
  </si>
  <si>
    <t xml:space="preserve">Interns Deployment/Planning Tracker Data Validation </t>
  </si>
  <si>
    <t>Location</t>
  </si>
  <si>
    <t xml:space="preserve">Intern Category </t>
  </si>
  <si>
    <t># of Hires</t>
  </si>
  <si>
    <t>Year of Start</t>
  </si>
  <si>
    <t>Quarter of Start</t>
  </si>
  <si>
    <t>Month of Start</t>
  </si>
  <si>
    <t>Induction Date</t>
  </si>
  <si>
    <t>Induction Delivery Type</t>
  </si>
  <si>
    <t>CIC APAC</t>
  </si>
  <si>
    <t>Internship ( &gt;4 Months)</t>
  </si>
  <si>
    <t>MM/DD/YYYY</t>
  </si>
  <si>
    <t xml:space="preserve">LVC </t>
  </si>
  <si>
    <t>Co-op Standard (4-12 Months)</t>
  </si>
  <si>
    <t>CIC GCG</t>
  </si>
  <si>
    <t>Co-op Extended ( &lt; 12 Months)</t>
  </si>
  <si>
    <t xml:space="preserve">March </t>
  </si>
  <si>
    <t>CIC Japan</t>
  </si>
  <si>
    <t>Geo APAC</t>
  </si>
  <si>
    <t xml:space="preserve">November </t>
  </si>
  <si>
    <t>Geo GCG</t>
  </si>
  <si>
    <t>Geo India</t>
  </si>
  <si>
    <t>Geo LA</t>
  </si>
  <si>
    <t>Geo NA</t>
  </si>
  <si>
    <t>Geo PH</t>
  </si>
  <si>
    <t>GEO/CIC</t>
  </si>
  <si>
    <t xml:space="preserve">Projected and Actual Intern Category </t>
  </si>
  <si>
    <t>Geo NA CA</t>
  </si>
  <si>
    <t xml:space="preserve">Co-op Standard (4-12 Months) 
Intern &lt; 4 months
</t>
  </si>
  <si>
    <t>Intern &lt; 4months</t>
  </si>
  <si>
    <t xml:space="preserve">Intern &lt; 4months
Co-op Standard (4-12 Months) </t>
  </si>
  <si>
    <t>Intern &lt; 4 months</t>
  </si>
  <si>
    <t>GEO China</t>
  </si>
  <si>
    <t>CIC China</t>
  </si>
  <si>
    <r>
      <rPr>
        <b/>
        <u/>
        <sz val="11"/>
        <color theme="1"/>
        <rFont val="IBM Plex Sans"/>
        <family val="2"/>
      </rPr>
      <t xml:space="preserve">Internship deployment tracker usage notes: </t>
    </r>
    <r>
      <rPr>
        <sz val="9"/>
        <color theme="1"/>
        <rFont val="IBM Plex Sans"/>
        <family val="2"/>
      </rPr>
      <t xml:space="preserve">
 -Each row shows progression from projected demand (yellow) through actual (green) hires to converted (blue) actual.  
 -Data validation is enabled on several columns to support data entry accuracy for reporting. 
 -Use a new row for each cohort by intern category being forecasted.  
 -Make effort to input data in each cell, as these details help forecast the support resources needed by support teams, along with demand/actual reporting to global leadership.
 -As needed, share relvant notes using the "New Comment"  feature on the appriopriate cell.
</t>
    </r>
  </si>
  <si>
    <t>Projected</t>
  </si>
  <si>
    <t>Actual</t>
  </si>
  <si>
    <t xml:space="preserve">Projected Intern Category </t>
  </si>
  <si>
    <t>Projected # of Hires</t>
  </si>
  <si>
    <t>Projected Year of Start</t>
  </si>
  <si>
    <t>Projected Quarter of Start</t>
  </si>
  <si>
    <t>Projected Month of Start</t>
  </si>
  <si>
    <t>Projected Induction Start  Date</t>
  </si>
  <si>
    <r>
      <t>Projected</t>
    </r>
    <r>
      <rPr>
        <sz val="9"/>
        <color theme="1"/>
        <rFont val="IBM Plex Sans"/>
        <family val="2"/>
      </rPr>
      <t xml:space="preserve"> </t>
    </r>
    <r>
      <rPr>
        <b/>
        <sz val="9"/>
        <color theme="1"/>
        <rFont val="IBM Plex Sans"/>
        <family val="2"/>
      </rPr>
      <t>Induction Delivery Type</t>
    </r>
  </si>
  <si>
    <r>
      <t xml:space="preserve">Projected Class Location 
</t>
    </r>
    <r>
      <rPr>
        <sz val="7"/>
        <color theme="1"/>
        <rFont val="IBM Plex Sans"/>
        <family val="2"/>
      </rPr>
      <t>For LVC enter closest IBM Office 
For F2F enter planned site to be utilized for class delivery</t>
    </r>
  </si>
  <si>
    <t xml:space="preserve">Actual Intern Category </t>
  </si>
  <si>
    <t>Actual Year of Start</t>
  </si>
  <si>
    <t>Actual Quarter of Start</t>
  </si>
  <si>
    <t>Actual Month of Start</t>
  </si>
  <si>
    <t>Onboarding Date</t>
  </si>
  <si>
    <t>Actual Induction Start Date</t>
  </si>
  <si>
    <t>Actual Induction Delivery Type</t>
  </si>
  <si>
    <t>Actual                      # Coverted to Associates</t>
  </si>
  <si>
    <t>Various - Canada</t>
  </si>
  <si>
    <t>Various - US</t>
  </si>
  <si>
    <t>Australia (Ballarat, Perth, Sydney)</t>
  </si>
  <si>
    <t>GEO NA</t>
  </si>
  <si>
    <t>-</t>
  </si>
  <si>
    <t>Various - CICs CEE</t>
  </si>
  <si>
    <t>Various  - CICs CEE</t>
  </si>
  <si>
    <t>December 5, 2022</t>
  </si>
  <si>
    <t>February, 2023</t>
  </si>
  <si>
    <t>March,2023</t>
  </si>
  <si>
    <t>April, May, June</t>
  </si>
  <si>
    <t>UAE and Saudi Arabia</t>
  </si>
  <si>
    <t>Australia (Ballarat, Bathurst, Brisbane, Joondalup)</t>
  </si>
  <si>
    <t>TBD</t>
  </si>
  <si>
    <t>India (Bangalore - BCIT)</t>
  </si>
  <si>
    <t>UAE, Saudi Arabia</t>
  </si>
  <si>
    <t>IOT</t>
  </si>
  <si>
    <t>Americas</t>
  </si>
  <si>
    <t>APAC</t>
  </si>
  <si>
    <t>Geo EU/DACH</t>
  </si>
  <si>
    <t>DACH</t>
  </si>
  <si>
    <t>Geo EU/France</t>
  </si>
  <si>
    <t>Geo EU/Italy</t>
  </si>
  <si>
    <t>Italy</t>
  </si>
  <si>
    <t>Geo EU/NCEE</t>
  </si>
  <si>
    <t>Geo EU/UKI</t>
  </si>
  <si>
    <t>GIC</t>
  </si>
  <si>
    <t>Co-op Extended &gt; 12 months</t>
  </si>
  <si>
    <t> </t>
  </si>
  <si>
    <t>Internship/Co-Ops (&gt;12 months)</t>
  </si>
  <si>
    <t>Internship/Co-Ops (5-12 months)</t>
  </si>
  <si>
    <t>Rows</t>
  </si>
  <si>
    <t>18,19,20,21,22</t>
  </si>
  <si>
    <t>Projected Induction Start  Date Col is blank &amp; Actual Month/Date of Start is blank 
Notes - Converted to Assocaietes</t>
  </si>
  <si>
    <t xml:space="preserve">February - 2022
March - 2022
April - 2022
May - 2022
June - 2022
July - 2022
January - 2022
April - 2022
July - 2022
</t>
  </si>
  <si>
    <t>24,25,26,27,28,29,30,31,32</t>
  </si>
  <si>
    <t>Projected/Actaul Induction Start Date is blank 
Notes - Row 30 for Actaul Induction Start Date is updated</t>
  </si>
  <si>
    <t>34, 35</t>
  </si>
  <si>
    <t>Projected Month of Start &amp; Projected Induction Start  Date is blank</t>
  </si>
  <si>
    <t>36,37,38,39,40,41,42,43,44,45</t>
  </si>
  <si>
    <t>Projected Month of Start &amp; Projected Induction Start  Date is blank
Notes - Row 37 Projected Intern Category  is blank</t>
  </si>
  <si>
    <t>January - 2022
Febraury - 2022
March - 2022
April - 2022
May - 2022
June - 2022
July - 2022
August - 2022
September - 2022
October - 2022
November - 2022
December - 2022</t>
  </si>
  <si>
    <t>51,52,53,54,55,56,58,59</t>
  </si>
  <si>
    <t>Actaul/Projected Induction Start Date is blank</t>
  </si>
  <si>
    <t>January - 2022
February - 2022</t>
  </si>
  <si>
    <t>75,76</t>
  </si>
  <si>
    <t>Projected/Actual Induction Start Date is blank</t>
  </si>
  <si>
    <t xml:space="preserve">January - 2022
February
March - 2022
April - 2022
May - 2022
June - 2022
July - 2022
August - 2022
</t>
  </si>
  <si>
    <t>78,79,80,81,82,83,84,85,86,87</t>
  </si>
  <si>
    <t>Projected/Actual Induction Start Date is blank
Notes - Converted to Assocaites</t>
  </si>
  <si>
    <t>March -2022
May - 2022
June - 2022
August - 2022
October - 2022
February - 2023</t>
  </si>
  <si>
    <t>96,97,98,99,100,101,102</t>
  </si>
  <si>
    <t>Actual Induction Start Date is blank
Notes - Converted to Assocaites</t>
  </si>
  <si>
    <t>Actual start Month and Actual Induction start Date is updated with different Month</t>
  </si>
  <si>
    <t>Quarter is updated in Projected Induction Start  Date Col &amp; Actual Month Start/Date is blank</t>
  </si>
  <si>
    <t>Geos/CICs</t>
  </si>
  <si>
    <t>Q1 '23</t>
  </si>
  <si>
    <t>Q2 '23</t>
  </si>
  <si>
    <t>Q3 '23</t>
  </si>
  <si>
    <t>Q4 '23</t>
  </si>
  <si>
    <t>Jan</t>
  </si>
  <si>
    <t>Feb</t>
  </si>
  <si>
    <t>Mar</t>
  </si>
  <si>
    <t>Apr</t>
  </si>
  <si>
    <t>Jun</t>
  </si>
  <si>
    <t>Jul</t>
  </si>
  <si>
    <t>Aug</t>
  </si>
  <si>
    <t>Sep</t>
  </si>
  <si>
    <t>Oct</t>
  </si>
  <si>
    <t>Nov</t>
  </si>
  <si>
    <t>Dec</t>
  </si>
  <si>
    <t>January 16(31)</t>
  </si>
  <si>
    <t>February 1(5),
February 1(15)</t>
  </si>
  <si>
    <t>March 1(18)</t>
  </si>
  <si>
    <t>May 22 (13),
May 22(13)</t>
  </si>
  <si>
    <t>May 22(0)</t>
  </si>
  <si>
    <t>March 15(55)</t>
  </si>
  <si>
    <t>GCG</t>
  </si>
  <si>
    <t>January 3(18)</t>
  </si>
  <si>
    <t>January 3(21),
January 3(6)</t>
  </si>
  <si>
    <t>May 1(44),
May 22(42),
May 1(0)</t>
  </si>
  <si>
    <t>June 19(6)</t>
  </si>
  <si>
    <t>July 5(6)</t>
  </si>
  <si>
    <t>September 5(23)</t>
  </si>
  <si>
    <t>January 3(16),
January 3(4)</t>
  </si>
  <si>
    <t>May 1(21),
May 22(34),
May 22(5)</t>
  </si>
  <si>
    <t>June 19(0)</t>
  </si>
  <si>
    <t>July 5(0)</t>
  </si>
  <si>
    <t># of Interns &amp; Specific Induction Start Date</t>
  </si>
  <si>
    <t># of Interns - Projected vs Actual Onboarding</t>
  </si>
  <si>
    <t>Completion Status of Associates by Component</t>
  </si>
  <si>
    <t>Geo / CIC Status</t>
  </si>
  <si>
    <t>IBM Onboarding</t>
  </si>
  <si>
    <t>Technical Learning</t>
  </si>
  <si>
    <t xml:space="preserve"> CIC China</t>
  </si>
  <si>
    <t xml:space="preserve"> CIC India</t>
  </si>
  <si>
    <t xml:space="preserve"> CIC LA</t>
  </si>
  <si>
    <t xml:space="preserve"> CIC MEA</t>
  </si>
  <si>
    <t xml:space="preserve"> CIC NA</t>
  </si>
  <si>
    <t xml:space="preserve"> CIC Philippines</t>
  </si>
  <si>
    <t xml:space="preserve"> CIC Western Europe</t>
  </si>
  <si>
    <t xml:space="preserve"> Geo AP</t>
  </si>
  <si>
    <t xml:space="preserve"> Geo China</t>
  </si>
  <si>
    <t xml:space="preserve"> Geo Japan</t>
  </si>
  <si>
    <t xml:space="preserve"> Geo MEA</t>
  </si>
  <si>
    <t xml:space="preserve"> Geo NA - Canada</t>
  </si>
  <si>
    <t xml:space="preserve"> Geo NA - US</t>
  </si>
  <si>
    <t xml:space="preserve"> Geo Western Europe</t>
  </si>
  <si>
    <t>By Component</t>
  </si>
  <si>
    <t>Overall</t>
  </si>
  <si>
    <t>CIC/Geo</t>
  </si>
  <si>
    <t>GEO, Legacy and Modality</t>
  </si>
  <si>
    <t>New vs Legacy</t>
  </si>
  <si>
    <t>F2F vs Virtual</t>
  </si>
  <si>
    <t>Status of IBM Onboarding</t>
  </si>
  <si>
    <t>Status of 10 day induction</t>
  </si>
  <si>
    <t>Status of Technical Learning</t>
  </si>
  <si>
    <t>% Completion of Technical Learning</t>
  </si>
  <si>
    <t>Status of SPO</t>
  </si>
  <si>
    <t>Status of Experienced Associates Event</t>
  </si>
  <si>
    <t>Associates</t>
  </si>
  <si>
    <t>10 Day Induction</t>
  </si>
  <si>
    <t>SPOs</t>
  </si>
  <si>
    <t>Experienced Associate Event</t>
  </si>
  <si>
    <t>CIC CEE:</t>
  </si>
  <si>
    <t>CIC India:</t>
  </si>
  <si>
    <t>CIC WE:</t>
  </si>
  <si>
    <t>GEO AP:</t>
  </si>
  <si>
    <t>CIC LA:</t>
  </si>
  <si>
    <t>CIC MEA:</t>
  </si>
  <si>
    <t xml:space="preserve">Jan. 01 – Bucharest </t>
  </si>
  <si>
    <t xml:space="preserve">Feb. 01 - Bucharest </t>
  </si>
  <si>
    <t>Mar. 01 – Bucharest</t>
  </si>
  <si>
    <t xml:space="preserve">Apr. 06 –Bangalore           </t>
  </si>
  <si>
    <t>May 11 – Bucharest</t>
  </si>
  <si>
    <t>CIC WE</t>
  </si>
  <si>
    <t>Jun. 04 – AU, UK, NL</t>
  </si>
  <si>
    <t>GEO</t>
  </si>
  <si>
    <t>Jul. 06 – ANZ</t>
  </si>
  <si>
    <t>Aug. 03 – Korea</t>
  </si>
  <si>
    <t xml:space="preserve">Sept. 01 – ISA </t>
  </si>
  <si>
    <t>Oct. 01 – Mexico</t>
  </si>
  <si>
    <t>Nov. 01 – Mexico</t>
  </si>
  <si>
    <t>Dec. 06 – Egypt</t>
  </si>
  <si>
    <t xml:space="preserve">GEO AP: </t>
  </si>
  <si>
    <t>CIC NA:</t>
  </si>
  <si>
    <t>GEO NA – US:</t>
  </si>
  <si>
    <t>CIC NA :</t>
  </si>
  <si>
    <t xml:space="preserve">Jan. 02 – Seoul </t>
  </si>
  <si>
    <t xml:space="preserve">Feb. 03 – Baton Rouge </t>
  </si>
  <si>
    <t xml:space="preserve">Mar. 02  - Herndon </t>
  </si>
  <si>
    <t>Apr. 06 – EL, RC, BR</t>
  </si>
  <si>
    <t>May 14 – Brazil</t>
  </si>
  <si>
    <t>Jun 09 – Brazil</t>
  </si>
  <si>
    <t xml:space="preserve">Jul. 06 – Bucharest </t>
  </si>
  <si>
    <t>Aug. 03 – Bucharest</t>
  </si>
  <si>
    <t>Sept. 04 – Mexico</t>
  </si>
  <si>
    <t>Oct. 01 – ASEAN</t>
  </si>
  <si>
    <t>Nov. 02 – Bucharest</t>
  </si>
  <si>
    <t>Dec. 07 – Bucharest</t>
  </si>
  <si>
    <t xml:space="preserve">Feb. 03 – Montreal </t>
  </si>
  <si>
    <t>GEO NA – Canada:</t>
  </si>
  <si>
    <t>GEO Japan:</t>
  </si>
  <si>
    <t>May 15 – Mexico</t>
  </si>
  <si>
    <t>Jun. 10 – Mexico</t>
  </si>
  <si>
    <t>Jul. 06 – Brazil</t>
  </si>
  <si>
    <t>CIC PH:</t>
  </si>
  <si>
    <t>GEO JAPAN:</t>
  </si>
  <si>
    <t>Jan. 13 – Baton Rouge</t>
  </si>
  <si>
    <t>Geo NA – Canada:</t>
  </si>
  <si>
    <t>Mar. 02 – Toronto</t>
  </si>
  <si>
    <t xml:space="preserve">Apr. 06 – Hiroshima </t>
  </si>
  <si>
    <t>CIC China:</t>
  </si>
  <si>
    <t>PH</t>
  </si>
  <si>
    <t>Aug.  03 – Quezon City</t>
  </si>
  <si>
    <t>Sept. 06 Egypt</t>
  </si>
  <si>
    <t>Oct. 01 – Tokyo</t>
  </si>
  <si>
    <t>Nov. 02 – Morocco</t>
  </si>
  <si>
    <t>Dec. 11 – SSA</t>
  </si>
  <si>
    <t xml:space="preserve">Jan. 13 – Halifax </t>
  </si>
  <si>
    <t xml:space="preserve">Feb. 03 - Toronto </t>
  </si>
  <si>
    <t>May 20 –Dalian</t>
  </si>
  <si>
    <t>Jul 07 - HK</t>
  </si>
  <si>
    <t>Sept. 06 Pakistan</t>
  </si>
  <si>
    <t>Dec. 11 – Brazil</t>
  </si>
  <si>
    <t xml:space="preserve">CIC India: </t>
  </si>
  <si>
    <t xml:space="preserve">Mar. 09 – Bangalore </t>
  </si>
  <si>
    <t>Apr. 09 – Tokyo</t>
  </si>
  <si>
    <t>Aug. 03 – Bangalore</t>
  </si>
  <si>
    <t>Sept. 06 Pakistan, Egypt, Others</t>
  </si>
  <si>
    <t>Oct. 05  - Bucharest</t>
  </si>
  <si>
    <t>Nov. 02 – Bangalore</t>
  </si>
  <si>
    <t>Jan. 14 -  Bangalore</t>
  </si>
  <si>
    <t>Feb. 03 – Melbourne</t>
  </si>
  <si>
    <t>May 26 – SSA</t>
  </si>
  <si>
    <t xml:space="preserve">Jul. 09 – Mexico </t>
  </si>
  <si>
    <t>Jan. 22 – Bangalore</t>
  </si>
  <si>
    <t xml:space="preserve">Apr. 13 – Tokyo </t>
  </si>
  <si>
    <t>GEO China:</t>
  </si>
  <si>
    <t>Aug. 04 – Mexico</t>
  </si>
  <si>
    <t>Sept. 07 – Leicester</t>
  </si>
  <si>
    <t>Oct. 05 – Bangalore</t>
  </si>
  <si>
    <t>Nov. 02– Chicago</t>
  </si>
  <si>
    <t xml:space="preserve">Jan. 27 – Bangalore </t>
  </si>
  <si>
    <t>Feb. 10 – Halifax</t>
  </si>
  <si>
    <t>May 27 – Beijing + TBD</t>
  </si>
  <si>
    <t>Jul. 13 – Chicago</t>
  </si>
  <si>
    <t>GEO WE:</t>
  </si>
  <si>
    <t>Apr. 20 – Chicago</t>
  </si>
  <si>
    <t>Aug. 03 – 8 locs</t>
  </si>
  <si>
    <t>Geo WE</t>
  </si>
  <si>
    <t>Sept. 07- Various Countries</t>
  </si>
  <si>
    <t>Nov. 09 – Germany</t>
  </si>
  <si>
    <t xml:space="preserve">Jan. 27 - Monroe </t>
  </si>
  <si>
    <t>Feb. 10 -  Germany</t>
  </si>
  <si>
    <t>GEO NA Canada</t>
  </si>
  <si>
    <t>Apr. 20 – Toronto</t>
  </si>
  <si>
    <t xml:space="preserve">Jul. 13 – Toronto </t>
  </si>
  <si>
    <t>Oct. 12 – UK</t>
  </si>
  <si>
    <t>GEO WE</t>
  </si>
  <si>
    <t>Aug. 10  - UK</t>
  </si>
  <si>
    <t xml:space="preserve">Sept. 07 – Bangalore </t>
  </si>
  <si>
    <t>Nov. 16 – SSA</t>
  </si>
  <si>
    <t xml:space="preserve">Feb. 17 – Baton Rouge </t>
  </si>
  <si>
    <t xml:space="preserve">Jul. 13 – Halifax </t>
  </si>
  <si>
    <t>GEO MEA:</t>
  </si>
  <si>
    <t>Oct. 12 – Brazil</t>
  </si>
  <si>
    <t>Nov. 16 – Brazil</t>
  </si>
  <si>
    <t xml:space="preserve">Feb. 17 - Montreal </t>
  </si>
  <si>
    <t>Aug. 15 – UAE/Saudi</t>
  </si>
  <si>
    <t>Oct. 12 – SSA</t>
  </si>
  <si>
    <t xml:space="preserve">Jul. 17 – SSA </t>
  </si>
  <si>
    <t>Sept. 14 – Brazil</t>
  </si>
  <si>
    <t>Feb. 17 - Bari</t>
  </si>
  <si>
    <t>CIC + GEO China:</t>
  </si>
  <si>
    <t>Aug. 17 – Bangalore</t>
  </si>
  <si>
    <t xml:space="preserve">Sept. 14 – SSA </t>
  </si>
  <si>
    <t>Oct. 19 – Quezon City</t>
  </si>
  <si>
    <t>Jul. 28 – SH,DL,CD</t>
  </si>
  <si>
    <t>Feb. 17 – Bangalore</t>
  </si>
  <si>
    <t>Sept. 14 - Chicago</t>
  </si>
  <si>
    <t>Oct. 19 – Bangalore</t>
  </si>
  <si>
    <t>Feb. 24 – Bangalore</t>
  </si>
  <si>
    <t>Jul. 27 – Baton Rouge</t>
  </si>
  <si>
    <t xml:space="preserve">Aug. 17 – Quezon City </t>
  </si>
  <si>
    <t>CIC CHINA:</t>
  </si>
  <si>
    <t>Sept. 21 – UK</t>
  </si>
  <si>
    <t>Oct. 19 – Dalian</t>
  </si>
  <si>
    <t>Feb. 24 - Halifax</t>
  </si>
  <si>
    <t>Aug. 17 – Brazil</t>
  </si>
  <si>
    <t>Aug. 17 – SSA</t>
  </si>
  <si>
    <t>Sept. 21 –Rocker Center</t>
  </si>
  <si>
    <t>Oct. 19 – Chicago</t>
  </si>
  <si>
    <t xml:space="preserve">Feb. 26 – Bangalore </t>
  </si>
  <si>
    <t>Aug. 17 – Chicago</t>
  </si>
  <si>
    <t>Sept. 21 – Bangalore</t>
  </si>
  <si>
    <t>Oct. 19 – Toronto</t>
  </si>
  <si>
    <t>Aug. 17 – Toronto</t>
  </si>
  <si>
    <t>Oct. 26  - Leicester</t>
  </si>
  <si>
    <t>Aug. 24 – Chicago</t>
  </si>
  <si>
    <t>Aug 31 – Bucharest</t>
  </si>
  <si>
    <t>Total # of Cohorts - Legacy - 10 Day Induction</t>
  </si>
  <si>
    <t>Total # of Cohorts - New - 10 Day Induction</t>
  </si>
  <si>
    <t>Total # of Cohorts - F2F</t>
  </si>
  <si>
    <t>Total # of Cohorts - Virtual</t>
  </si>
  <si>
    <t>Total # of Cohorts - Complete</t>
  </si>
  <si>
    <t>Total # of Cohorts - In Progress</t>
  </si>
  <si>
    <t>Total # of Cohorts - Planned</t>
  </si>
  <si>
    <t>Total # of Cohorts - Tentative</t>
  </si>
  <si>
    <t>Total # of Cohorts CIC CEE</t>
  </si>
  <si>
    <t>Total # of Cohorts CIC China</t>
  </si>
  <si>
    <t>Total # of Cohorts CIC India</t>
  </si>
  <si>
    <t>Total # of Cohorts CIC LA</t>
  </si>
  <si>
    <t>Total # of Cohorts CIC MEA</t>
  </si>
  <si>
    <t>Total # of Cohorts CIC NA</t>
  </si>
  <si>
    <t>Total # of Cohorts CIC Philippines</t>
  </si>
  <si>
    <t>Total # of Cohorts CIC Western Europe</t>
  </si>
  <si>
    <t>Total # of Cohorts Geo AP</t>
  </si>
  <si>
    <t>Total # of Cohorts Geo China</t>
  </si>
  <si>
    <t>Total # of Cohorts Geo Japan</t>
  </si>
  <si>
    <t>Total # of Cohorts Geo MEA</t>
  </si>
  <si>
    <t>Total # of Cohorts Geo NA - Canada</t>
  </si>
  <si>
    <t>Total # of Cohorts Geo NA - US</t>
  </si>
  <si>
    <t>Total # of Cohorts Geo Western Europe</t>
  </si>
  <si>
    <t>Total # of Cohorts - CICs</t>
  </si>
  <si>
    <t>Total # of Cohorts - Geos</t>
  </si>
  <si>
    <t>Total # of Cohorts</t>
  </si>
  <si>
    <t>Total # of Associates - Complete</t>
  </si>
  <si>
    <t>Total # of Associates - In Progress</t>
  </si>
  <si>
    <t>Total # of Associates - Planned</t>
  </si>
  <si>
    <t>Total # of Associates - Tentative</t>
  </si>
  <si>
    <t>Total # of Associates CIC CEE</t>
  </si>
  <si>
    <t>Total # of Associates CIC China</t>
  </si>
  <si>
    <t>Total # of Associates CIC India</t>
  </si>
  <si>
    <t>Total # of Associates CIC LA</t>
  </si>
  <si>
    <t>Total # of Associates CIC MEA</t>
  </si>
  <si>
    <t>Total # of Associates CIC NA</t>
  </si>
  <si>
    <t>Total # of Associates CIC Philippines</t>
  </si>
  <si>
    <t>Total # of Associates CIC Western Europe</t>
  </si>
  <si>
    <t>Total # of Associates Geo AP</t>
  </si>
  <si>
    <t>Total # of Associates Geo China</t>
  </si>
  <si>
    <t>Total # of Associates Geo Japan</t>
  </si>
  <si>
    <t>Total # of Associates Geo MEA</t>
  </si>
  <si>
    <t>Total # of Associates Geo NA - Canada</t>
  </si>
  <si>
    <t>Total # of Associates Geo NA - US</t>
  </si>
  <si>
    <t>Total # of Associates Geo Western Europe</t>
  </si>
  <si>
    <t>Total Associates - CICs</t>
  </si>
  <si>
    <t>Total Associates - Geos</t>
  </si>
  <si>
    <t>Total Associates</t>
  </si>
  <si>
    <t>Overall Percentage</t>
  </si>
  <si>
    <t xml:space="preserve">This worksheet has been sunset, replaced by the Intern Deploymnet Planning Tracker, see the new tab </t>
  </si>
  <si>
    <t>Q1 - Projected</t>
  </si>
  <si>
    <t>Q1 Total - Projected Internship by Geo/CIC</t>
  </si>
  <si>
    <t>Q1 Total - Projected Co-op by Geo/CIC</t>
  </si>
  <si>
    <t>Q1 - Actual</t>
  </si>
  <si>
    <t>Q1 Total - Actual Internship by Geo/CIC</t>
  </si>
  <si>
    <t>Q1 Total - Actual Co-op by Geo/CIC</t>
  </si>
  <si>
    <t xml:space="preserve"> Q2 - Projected</t>
  </si>
  <si>
    <t>Q2 Total Projected - Internship by Geo/CIC</t>
  </si>
  <si>
    <t>Q2 Total Projected - Co-op by Geo/CIC</t>
  </si>
  <si>
    <t xml:space="preserve"> Q2 - Actual</t>
  </si>
  <si>
    <t>Q2 Total Actual - Internship by Geo/CIC</t>
  </si>
  <si>
    <t>Q2 Total Actual - Co-op by Geo/CIC</t>
  </si>
  <si>
    <t xml:space="preserve"> Q3 - Projected</t>
  </si>
  <si>
    <t>Q3 Total Projected - Internship by Geo/CIC</t>
  </si>
  <si>
    <t>Q3 Total Projected - Co-op by Geo/CIC</t>
  </si>
  <si>
    <t xml:space="preserve"> Q3 - Actual</t>
  </si>
  <si>
    <t>Q3 Total Actual - Internship by Geo/CIC</t>
  </si>
  <si>
    <t>Q3 Total Actual - Co-op by Geo/CIC</t>
  </si>
  <si>
    <t xml:space="preserve"> Q4 - Projected</t>
  </si>
  <si>
    <t>Q4 Total Projected - Internship by Geo/CIC</t>
  </si>
  <si>
    <t>Q4 Total Projected - Co-op by Geo/CIC</t>
  </si>
  <si>
    <t>Actual - Q4</t>
  </si>
  <si>
    <t>Q4 Total Actual - Internship by Geo/CIC</t>
  </si>
  <si>
    <t>Q4 Total Actual - Co-op by Geo/CIC</t>
  </si>
  <si>
    <t>2022 Total Projected by Category</t>
  </si>
  <si>
    <t>2022 Overall Total Projected</t>
  </si>
  <si>
    <t>Onboarding Dates &amp; #s</t>
  </si>
  <si>
    <t>Deployment Strategy</t>
  </si>
  <si>
    <t>Category</t>
  </si>
  <si>
    <t>Internship</t>
  </si>
  <si>
    <t>1/4: 12
5/2: 16
5/23: 59 
6/20: 6
7/5: 8
9/6: 15</t>
  </si>
  <si>
    <t>We do not hold Geo/mainline/CIC specific classes; only US/Canada specific</t>
  </si>
  <si>
    <t>NA CIC and Geo cohorts will comprise Internship, Co-op (Std and Ext) categories and will take the 4 day Induction</t>
  </si>
  <si>
    <t>Co-op Standard</t>
  </si>
  <si>
    <t>Co-op Extended</t>
  </si>
  <si>
    <t>See above</t>
  </si>
  <si>
    <t>CIC LA will continue with the 10 day Induction for their Co-op (Std)</t>
  </si>
  <si>
    <t>GEO MEA</t>
  </si>
  <si>
    <t>TerriAnne Novak Geo EU:  Approx 164 Total throughout the year in existing country based xLoB Programs.  No interest in an IBM Consulting specific virtual induction program.  Those who later become Associates take the full Associates' Program.</t>
  </si>
  <si>
    <t>Geo EU will take 10 day Induction</t>
  </si>
  <si>
    <t>TerriAnne Novak:  CIC Western Europe:  Approx 60 during full year, mostly "singletons"  without critical mass for virtual induction. It is possible that if a country hires a cohort of at least 10 interns at once there might be an interest in leveraging the content of the global program to be taught locally.</t>
  </si>
  <si>
    <t>CIC EU Internship, Co-op (Std and Ext) might take 4 day Induction</t>
  </si>
  <si>
    <t>As AP Associates PM Vinod Thekkepat has been requested to complete this information as this responsibility does not sit with the Learning Consultant.  For ANZ we can confirm that Q1 - 31 interns onboarded (6 were only for 6weeks but one has extended) = 26
ANZ Q2 and beyond – no firm demand but majority will be in CIC</t>
  </si>
  <si>
    <t>Feb.21:9
Feb. 23:1
Feb. 25:1
Feb. 28:2
Mar.1:2
Mar.2:5
Mar.7:2
Mar.10:1
Mar.14:12
Mar.17:2
Mar.21:6
Mar.28:2</t>
  </si>
  <si>
    <t>Note1：Intern are managed by TA  team.
Note2：onboarding date of each student depends on the project demand and students' availble time case by case. No confirmed dates for Q2-Q4.
Note 3:Currently the L&amp;K resource for Associates is fully occupied in Associates related activities and there is no capacity for Intern Induction pilot.</t>
  </si>
  <si>
    <t>Jan 4：3
Jan 6：1
Jan 10: 3
Jan 17：2
Jan 18: 1
Jan 19: 1
Jan 21: 2,
Feb 7：1
Feb 14： 9
Feb 17：1
Feb 21：10
Feb 28：2,
Mar 1：8
Mar 7：4
Mar 10：1
Mar 14：1
Mar 18：1
Mar 21: 1
Mar 28： 2
Mar31: 1</t>
  </si>
  <si>
    <t>this is for CIC and not ML</t>
  </si>
  <si>
    <t>CIC PH will continue with the 10 day Induction for their Co-op (Std)</t>
  </si>
  <si>
    <t>GEO Jap</t>
  </si>
  <si>
    <t xml:space="preserve">Japan, we have internship program delivered by HR team. 2022 planed number 230 internship </t>
    <phoneticPr fontId="10"/>
  </si>
  <si>
    <t>UKI (10), DACH (3), NCEE (1)</t>
  </si>
  <si>
    <t>GEO_AP_ASEAN_2023_07_24_b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</si>
</sst>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3409]dd\ mmmm\,\ yyyy;@"/>
    <numFmt numFmtId="165" formatCode="[$-409]d\-mmm\-yyyy;@"/>
    <numFmt numFmtId="166" formatCode="[$-409]d\-mmm\-yy;@"/>
    <numFmt numFmtId="167" formatCode="dd/mm/yyyy;@"/>
    <numFmt numFmtId="168" formatCode="[$-409]mmmm\-yy;@"/>
    <numFmt numFmtId="169" formatCode="yyyy/mm/dd;@"/>
    <numFmt numFmtId="170" formatCode="[$-409]mmmm\ d\,\ yyyy;@"/>
    <numFmt numFmtId="171" formatCode="mm/dd/yy;@"/>
  </numFmts>
  <fonts count="73">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b/>
      <sz val="11"/>
      <color theme="1"/>
      <name val="Calibri"/>
      <family val="2"/>
      <scheme val="minor"/>
    </font>
    <font>
      <b/>
      <sz val="11"/>
      <color theme="8"/>
      <name val="Calibri"/>
      <family val="2"/>
      <scheme val="minor"/>
    </font>
    <font>
      <sz val="5"/>
      <color theme="1"/>
      <name val="Calibri"/>
      <family val="2"/>
      <scheme val="minor"/>
    </font>
    <font>
      <sz val="11"/>
      <color rgb="FF000000"/>
      <name val="Calibri"/>
      <family val="2"/>
      <scheme val="minor"/>
    </font>
    <font>
      <b/>
      <sz val="11"/>
      <color theme="1"/>
      <name val="Calibri"/>
      <family val="3"/>
      <charset val="128"/>
      <scheme val="minor"/>
    </font>
    <font>
      <sz val="6"/>
      <name val="Calibri"/>
      <family val="3"/>
      <charset val="128"/>
      <scheme val="minor"/>
    </font>
    <font>
      <sz val="6"/>
      <name val="ＭＳ Ｐゴシック"/>
      <family val="3"/>
      <charset val="128"/>
    </font>
    <font>
      <b/>
      <sz val="11"/>
      <color theme="8"/>
      <name val="Calibri"/>
      <family val="3"/>
      <charset val="128"/>
      <scheme val="minor"/>
    </font>
    <font>
      <sz val="11"/>
      <color rgb="FF000000"/>
      <name val="Calibri"/>
      <family val="3"/>
      <charset val="134"/>
      <scheme val="minor"/>
    </font>
    <font>
      <b/>
      <sz val="9"/>
      <color rgb="FF000000"/>
      <name val="Tahoma"/>
      <family val="2"/>
    </font>
    <font>
      <sz val="9"/>
      <color rgb="FF000000"/>
      <name val="Tahoma"/>
      <family val="2"/>
    </font>
    <font>
      <sz val="11"/>
      <color theme="0"/>
      <name val="Calibri"/>
      <family val="2"/>
      <scheme val="minor"/>
    </font>
    <font>
      <b/>
      <sz val="8"/>
      <color rgb="FF0D2DA9"/>
      <name val="IBM Plex Sans"/>
      <family val="2"/>
    </font>
    <font>
      <sz val="9"/>
      <color rgb="FFC00000"/>
      <name val="IBM Plex Sans"/>
      <family val="2"/>
    </font>
    <font>
      <b/>
      <sz val="9"/>
      <color rgb="FF00B050"/>
      <name val="IBM Plex Sans"/>
      <family val="2"/>
    </font>
    <font>
      <sz val="11"/>
      <name val="Calibri"/>
      <family val="2"/>
      <scheme val="minor"/>
    </font>
    <font>
      <b/>
      <sz val="11"/>
      <color rgb="FFFFFFFF"/>
      <name val="Calibri"/>
      <family val="2"/>
    </font>
    <font>
      <b/>
      <sz val="11"/>
      <color rgb="FFFFFFFF"/>
      <name val="Arial"/>
      <family val="2"/>
    </font>
    <font>
      <sz val="11"/>
      <color rgb="FFFFFFFF"/>
      <name val="Calibri"/>
      <family val="2"/>
    </font>
    <font>
      <b/>
      <sz val="9"/>
      <name val="IBM Plex Sans"/>
      <family val="2"/>
    </font>
    <font>
      <sz val="9"/>
      <name val="IBM Plex Sans"/>
      <family val="2"/>
    </font>
    <font>
      <b/>
      <sz val="11"/>
      <name val="Calibri"/>
      <family val="2"/>
      <scheme val="minor"/>
    </font>
    <font>
      <sz val="9"/>
      <name val="Calibri"/>
      <family val="3"/>
      <charset val="134"/>
      <scheme val="minor"/>
    </font>
    <font>
      <b/>
      <sz val="10"/>
      <color rgb="FF000000"/>
      <name val="Microsoft YaHei UI"/>
      <family val="2"/>
      <charset val="1"/>
    </font>
    <font>
      <sz val="10"/>
      <color rgb="FF000000"/>
      <name val="Microsoft YaHei UI"/>
      <family val="2"/>
      <charset val="1"/>
    </font>
    <font>
      <sz val="11"/>
      <color rgb="FF1D1C1D"/>
      <name val="Calibri"/>
      <family val="2"/>
    </font>
    <font>
      <sz val="8"/>
      <name val="Calibri"/>
      <family val="2"/>
      <scheme val="minor"/>
    </font>
    <font>
      <sz val="11"/>
      <color theme="1"/>
      <name val="IBM Plex Sans"/>
      <family val="2"/>
    </font>
    <font>
      <sz val="11"/>
      <color theme="0"/>
      <name val="IBM Plex Sans"/>
      <family val="2"/>
    </font>
    <font>
      <sz val="9"/>
      <color theme="1"/>
      <name val="IBM Plex Sans"/>
      <family val="2"/>
    </font>
    <font>
      <sz val="9"/>
      <color theme="0"/>
      <name val="IBM Plex Sans"/>
      <family val="2"/>
    </font>
    <font>
      <sz val="11"/>
      <color theme="1"/>
      <name val="Calibri"/>
      <family val="2"/>
    </font>
    <font>
      <b/>
      <sz val="11"/>
      <color theme="1"/>
      <name val="Calibri"/>
      <family val="2"/>
    </font>
    <font>
      <sz val="11"/>
      <color rgb="FF1D1C1D"/>
      <name val="Calibri"/>
      <family val="2"/>
      <scheme val="minor"/>
    </font>
    <font>
      <sz val="11"/>
      <color rgb="FF1D1C1D"/>
      <name val="Slack-Lato"/>
      <charset val="1"/>
    </font>
    <font>
      <b/>
      <sz val="10"/>
      <color rgb="FF000000"/>
      <name val="Yu Gothic UI"/>
      <family val="2"/>
    </font>
    <font>
      <b/>
      <sz val="11"/>
      <color rgb="FFFF0000"/>
      <name val="Calibri"/>
      <family val="2"/>
      <scheme val="minor"/>
    </font>
    <font>
      <sz val="11"/>
      <color rgb="FF000000"/>
      <name val="宋体"/>
      <family val="3"/>
      <charset val="134"/>
    </font>
    <font>
      <sz val="11"/>
      <color rgb="FF000000"/>
      <name val="Calibri"/>
      <family val="2"/>
    </font>
    <font>
      <sz val="11"/>
      <color rgb="FF1D1C1D"/>
      <name val="Arial"/>
      <family val="2"/>
    </font>
    <font>
      <sz val="16"/>
      <color rgb="FF000000"/>
      <name val="Calibri"/>
      <family val="2"/>
      <scheme val="minor"/>
    </font>
    <font>
      <sz val="8"/>
      <color theme="1"/>
      <name val="Calibri"/>
      <family val="2"/>
      <scheme val="minor"/>
    </font>
    <font>
      <sz val="8"/>
      <color rgb="FF000000"/>
      <name val="Calibri"/>
      <family val="2"/>
      <scheme val="minor"/>
    </font>
    <font>
      <b/>
      <sz val="8"/>
      <color theme="1"/>
      <name val="Calibri"/>
      <family val="2"/>
      <scheme val="minor"/>
    </font>
    <font>
      <sz val="15"/>
      <color rgb="FF1D1C1D"/>
      <name val="Arial"/>
      <family val="2"/>
    </font>
    <font>
      <b/>
      <sz val="11"/>
      <color theme="1"/>
      <name val="IBM Plex Sans"/>
      <family val="2"/>
    </font>
    <font>
      <b/>
      <sz val="9"/>
      <color theme="1"/>
      <name val="IBM Plex Sans"/>
      <family val="2"/>
    </font>
    <font>
      <sz val="7"/>
      <color theme="1"/>
      <name val="IBM Plex Sans"/>
      <family val="2"/>
    </font>
    <font>
      <b/>
      <sz val="9"/>
      <color theme="2"/>
      <name val="IBM Plex Sans"/>
      <family val="2"/>
    </font>
    <font>
      <b/>
      <u/>
      <sz val="11"/>
      <color theme="1"/>
      <name val="IBM Plex Sans"/>
      <family val="2"/>
    </font>
    <font>
      <b/>
      <sz val="26"/>
      <color rgb="FFFF0000"/>
      <name val="Calibri"/>
      <family val="2"/>
      <scheme val="minor"/>
    </font>
    <font>
      <sz val="10"/>
      <color rgb="FF000000"/>
      <name val="Arial"/>
      <family val="2"/>
    </font>
    <font>
      <sz val="10"/>
      <color theme="1"/>
      <name val="Calibri"/>
      <family val="2"/>
      <scheme val="minor"/>
    </font>
    <font>
      <sz val="10"/>
      <name val="Calibri"/>
      <family val="2"/>
      <scheme val="minor"/>
    </font>
    <font>
      <sz val="11.5"/>
      <color theme="1"/>
      <name val="Arial"/>
      <family val="2"/>
    </font>
    <font>
      <sz val="8"/>
      <color rgb="FF1D1C1D"/>
      <name val="Arial"/>
      <family val="2"/>
    </font>
    <font>
      <b/>
      <sz val="12"/>
      <color theme="1"/>
      <name val="IBM Plex Sans"/>
      <family val="2"/>
    </font>
    <font>
      <sz val="8"/>
      <color theme="1"/>
      <name val="Calibri"/>
      <family val="2"/>
      <charset val="1"/>
    </font>
    <font>
      <b/>
      <sz val="10"/>
      <color rgb="FF000000"/>
      <name val="Calibri"/>
      <family val="2"/>
    </font>
    <font>
      <sz val="10"/>
      <color rgb="FF000000"/>
      <name val="IBM Plex Sans"/>
      <family val="2"/>
    </font>
    <font>
      <sz val="10"/>
      <color rgb="FF000000"/>
      <name val="Calibri"/>
      <family val="2"/>
    </font>
    <font>
      <sz val="9"/>
      <color rgb="FFFF0000"/>
      <name val="IBM Plex Sans"/>
      <family val="2"/>
    </font>
    <font>
      <sz val="11"/>
      <color rgb="FFFF0000"/>
      <name val="IBM Plex Sans"/>
      <family val="2"/>
    </font>
    <font>
      <sz val="11"/>
      <color rgb="FFFF0000"/>
      <name val="Calibri"/>
      <family val="2"/>
      <scheme val="minor"/>
    </font>
    <font>
      <sz val="10"/>
      <color theme="1"/>
      <name val="IBM Plex Sans"/>
      <family val="2"/>
    </font>
    <font>
      <b/>
      <sz val="10"/>
      <color theme="1"/>
      <name val="IBM Plex Sans"/>
      <family val="2"/>
    </font>
    <font>
      <sz val="9"/>
      <color rgb="FF000000"/>
      <name val="IBM Plex Sans"/>
      <family val="2"/>
    </font>
    <font>
      <sz val="8"/>
      <color rgb="FF343334"/>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8"/>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theme="2"/>
        <bgColor indexed="64"/>
      </patternFill>
    </fill>
    <fill>
      <patternFill patternType="solid">
        <fgColor theme="5"/>
        <bgColor indexed="64"/>
      </patternFill>
    </fill>
    <fill>
      <patternFill patternType="solid">
        <fgColor theme="3"/>
        <bgColor indexed="64"/>
      </patternFill>
    </fill>
    <fill>
      <patternFill patternType="solid">
        <fgColor theme="7" tint="0.79998168889431442"/>
        <bgColor indexed="64"/>
      </patternFill>
    </fill>
    <fill>
      <patternFill patternType="solid">
        <fgColor rgb="FFFFFFFF"/>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rgb="FF000000"/>
      </patternFill>
    </fill>
    <fill>
      <patternFill patternType="solid">
        <fgColor rgb="FFFFFF00"/>
        <bgColor indexed="64"/>
      </patternFill>
    </fill>
    <fill>
      <patternFill patternType="solid">
        <fgColor rgb="FFD6DEFC"/>
        <bgColor indexed="64"/>
      </patternFill>
    </fill>
    <fill>
      <patternFill patternType="solid">
        <fgColor rgb="FF002060"/>
        <bgColor indexed="64"/>
      </patternFill>
    </fill>
    <fill>
      <patternFill patternType="solid">
        <fgColor theme="2" tint="-0.249977111117893"/>
        <bgColor indexed="64"/>
      </patternFill>
    </fill>
    <fill>
      <patternFill patternType="solid">
        <fgColor theme="1"/>
        <bgColor indexed="64"/>
      </patternFill>
    </fill>
    <fill>
      <patternFill patternType="solid">
        <fgColor rgb="FF6EA6FF"/>
        <bgColor indexed="64"/>
      </patternFill>
    </fill>
    <fill>
      <patternFill patternType="solid">
        <fgColor rgb="FF0530AD"/>
        <bgColor indexed="64"/>
      </patternFill>
    </fill>
    <fill>
      <patternFill patternType="solid">
        <fgColor rgb="FF0062FF"/>
        <bgColor indexed="64"/>
      </patternFill>
    </fill>
    <fill>
      <patternFill patternType="solid">
        <fgColor rgb="FFFF99FF"/>
        <bgColor indexed="64"/>
      </patternFill>
    </fill>
    <fill>
      <patternFill patternType="solid">
        <fgColor rgb="FFFF00FF"/>
        <bgColor indexed="64"/>
      </patternFill>
    </fill>
    <fill>
      <patternFill patternType="solid">
        <fgColor theme="9" tint="0.79998168889431442"/>
        <bgColor indexed="64"/>
      </patternFill>
    </fill>
    <fill>
      <patternFill patternType="solid">
        <fgColor rgb="FF7030A0"/>
        <bgColor indexed="64"/>
      </patternFill>
    </fill>
    <fill>
      <patternFill patternType="solid">
        <fgColor theme="2" tint="-9.9978637043366805E-2"/>
        <bgColor indexed="64"/>
      </patternFill>
    </fill>
    <fill>
      <patternFill patternType="solid">
        <fgColor rgb="FFFFFFFF"/>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2CC"/>
        <bgColor rgb="FF000000"/>
      </patternFill>
    </fill>
    <fill>
      <patternFill patternType="solid">
        <fgColor rgb="FFE2EFDA"/>
        <bgColor indexed="64"/>
      </patternFill>
    </fill>
    <fill>
      <patternFill patternType="solid">
        <fgColor rgb="FFFFFF99"/>
        <bgColor indexed="64"/>
      </patternFill>
    </fill>
    <fill>
      <patternFill patternType="solid">
        <fgColor rgb="FF70AD47"/>
        <bgColor rgb="FF000000"/>
      </patternFill>
    </fill>
    <fill>
      <patternFill patternType="solid">
        <fgColor rgb="FFD0CECE"/>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top/>
      <bottom style="thin">
        <color theme="4" tint="-0.249977111117893"/>
      </bottom>
      <diagonal/>
    </border>
    <border>
      <left/>
      <right/>
      <top/>
      <bottom style="thin">
        <color theme="4" tint="-0.249977111117893"/>
      </bottom>
      <diagonal/>
    </border>
    <border>
      <left/>
      <right style="thin">
        <color theme="4" tint="-0.249977111117893"/>
      </right>
      <top/>
      <bottom style="thin">
        <color theme="4" tint="-0.249977111117893"/>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right style="medium">
        <color rgb="FFFFFFFF"/>
      </right>
      <top style="medium">
        <color rgb="FFFFFFFF"/>
      </top>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theme="0" tint="-4.9989318521683403E-2"/>
      </left>
      <right/>
      <top/>
      <bottom/>
      <diagonal/>
    </border>
    <border>
      <left/>
      <right style="medium">
        <color rgb="FFFFFFFF"/>
      </right>
      <top/>
      <bottom/>
      <diagonal/>
    </border>
    <border>
      <left style="medium">
        <color rgb="FFFFFFFF"/>
      </left>
      <right style="medium">
        <color rgb="FFFFFFFF"/>
      </right>
      <top style="medium">
        <color rgb="FFFFFFFF"/>
      </top>
      <bottom style="medium">
        <color rgb="FFFFFFFF"/>
      </bottom>
      <diagonal/>
    </border>
    <border>
      <left/>
      <right style="medium">
        <color rgb="FFFFFFFF"/>
      </right>
      <top/>
      <bottom style="medium">
        <color rgb="FFFFFFFF"/>
      </bottom>
      <diagonal/>
    </border>
    <border>
      <left/>
      <right style="medium">
        <color rgb="FFFFFFFF"/>
      </right>
      <top style="medium">
        <color rgb="FFFFFFFF"/>
      </top>
      <bottom style="medium">
        <color rgb="FFFFFFFF"/>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style="medium">
        <color rgb="FFFFFFFF"/>
      </left>
      <right/>
      <top style="medium">
        <color theme="0" tint="-4.9989318521683403E-2"/>
      </top>
      <bottom style="medium">
        <color rgb="FFFFFFFF"/>
      </bottom>
      <diagonal/>
    </border>
    <border>
      <left/>
      <right/>
      <top style="medium">
        <color theme="0" tint="-4.9989318521683403E-2"/>
      </top>
      <bottom style="medium">
        <color rgb="FFFFFFFF"/>
      </bottom>
      <diagonal/>
    </border>
    <border>
      <left/>
      <right style="medium">
        <color theme="0" tint="-4.9989318521683403E-2"/>
      </right>
      <top style="medium">
        <color theme="0" tint="-4.9989318521683403E-2"/>
      </top>
      <bottom style="medium">
        <color rgb="FFFFFFFF"/>
      </bottom>
      <diagonal/>
    </border>
    <border>
      <left/>
      <right style="medium">
        <color rgb="FFFFFFFF"/>
      </right>
      <top style="medium">
        <color theme="0" tint="-4.9989318521683403E-2"/>
      </top>
      <bottom style="medium">
        <color rgb="FFFFFFFF"/>
      </bottom>
      <diagonal/>
    </border>
    <border>
      <left style="thin">
        <color indexed="64"/>
      </left>
      <right/>
      <top style="medium">
        <color theme="0" tint="-4.9989318521683403E-2"/>
      </top>
      <bottom style="medium">
        <color theme="0" tint="-4.9989318521683403E-2"/>
      </bottom>
      <diagonal/>
    </border>
    <border>
      <left/>
      <right style="thin">
        <color indexed="64"/>
      </right>
      <top style="medium">
        <color rgb="FFFFFFFF"/>
      </top>
      <bottom style="medium">
        <color rgb="FFFFFFFF"/>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style="medium">
        <color rgb="FFD4D4D4"/>
      </left>
      <right style="medium">
        <color rgb="FFD4D4D4"/>
      </right>
      <top style="medium">
        <color rgb="FFD4D4D4"/>
      </top>
      <bottom style="medium">
        <color rgb="FFD4D4D4"/>
      </bottom>
      <diagonal/>
    </border>
    <border>
      <left style="thin">
        <color indexed="64"/>
      </left>
      <right/>
      <top style="thin">
        <color indexed="64"/>
      </top>
      <bottom/>
      <diagonal/>
    </border>
    <border>
      <left/>
      <right style="thin">
        <color indexed="64"/>
      </right>
      <top style="thin">
        <color indexed="64"/>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
      <left/>
      <right style="thin">
        <color rgb="FF000000"/>
      </right>
      <top/>
      <bottom style="thin">
        <color rgb="FF000000"/>
      </bottom>
      <diagonal/>
    </border>
    <border>
      <left style="thin">
        <color indexed="64"/>
      </left>
      <right style="medium">
        <color rgb="FFD4D4D4"/>
      </right>
      <top style="medium">
        <color rgb="FFD4D4D4"/>
      </top>
      <bottom style="medium">
        <color rgb="FFD4D4D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style="thin">
        <color rgb="FF000000"/>
      </left>
      <right/>
      <top style="thin">
        <color rgb="FF000000"/>
      </top>
      <bottom/>
      <diagonal/>
    </border>
    <border>
      <left/>
      <right style="thin">
        <color rgb="FF000000"/>
      </right>
      <top style="thin">
        <color rgb="FF000000"/>
      </top>
      <bottom/>
      <diagonal/>
    </border>
    <border>
      <left/>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bottom/>
      <diagonal/>
    </border>
    <border>
      <left style="medium">
        <color indexed="64"/>
      </left>
      <right/>
      <top/>
      <bottom/>
      <diagonal/>
    </border>
    <border>
      <left style="medium">
        <color rgb="FFC0BFC0"/>
      </left>
      <right style="medium">
        <color rgb="FFC0BFC0"/>
      </right>
      <top/>
      <bottom style="medium">
        <color rgb="FFC0BFC0"/>
      </bottom>
      <diagonal/>
    </border>
    <border>
      <left/>
      <right/>
      <top style="thin">
        <color rgb="FF000000"/>
      </top>
      <bottom/>
      <diagonal/>
    </border>
  </borders>
  <cellStyleXfs count="2">
    <xf numFmtId="0" fontId="0" fillId="0" borderId="0"/>
    <xf numFmtId="0" fontId="3" fillId="0" borderId="0"/>
  </cellStyleXfs>
  <cellXfs count="664">
    <xf numFmtId="0" fontId="0" fillId="0" borderId="0" xfId="0"/>
    <xf numFmtId="0" fontId="0" fillId="0" borderId="1" xfId="0" applyBorder="1"/>
    <xf numFmtId="0" fontId="5" fillId="0" borderId="1" xfId="0" applyFont="1" applyBorder="1"/>
    <xf numFmtId="0" fontId="0" fillId="2" borderId="1" xfId="0" applyFill="1" applyBorder="1"/>
    <xf numFmtId="0" fontId="7" fillId="5" borderId="1" xfId="0" applyFont="1" applyFill="1" applyBorder="1"/>
    <xf numFmtId="1" fontId="5" fillId="0" borderId="1" xfId="0" applyNumberFormat="1" applyFont="1" applyBorder="1"/>
    <xf numFmtId="1" fontId="0" fillId="0" borderId="1" xfId="0" applyNumberFormat="1" applyBorder="1"/>
    <xf numFmtId="0" fontId="0" fillId="2" borderId="1" xfId="0" applyFill="1" applyBorder="1" applyAlignment="1">
      <alignment horizontal="right" vertical="center" wrapText="1"/>
    </xf>
    <xf numFmtId="1" fontId="0" fillId="2" borderId="1" xfId="0" applyNumberFormat="1" applyFill="1" applyBorder="1"/>
    <xf numFmtId="1" fontId="0" fillId="7" borderId="1" xfId="0" applyNumberFormat="1" applyFill="1" applyBorder="1"/>
    <xf numFmtId="0" fontId="0" fillId="7" borderId="1" xfId="0" applyFill="1" applyBorder="1"/>
    <xf numFmtId="0" fontId="0" fillId="9" borderId="1" xfId="0" applyFill="1" applyBorder="1"/>
    <xf numFmtId="0" fontId="0" fillId="0" borderId="1" xfId="0" applyBorder="1" applyAlignment="1">
      <alignment horizontal="center" vertical="center" wrapText="1"/>
    </xf>
    <xf numFmtId="0" fontId="5" fillId="6" borderId="1" xfId="0" applyFont="1" applyFill="1" applyBorder="1" applyAlignment="1">
      <alignment horizontal="center" wrapText="1"/>
    </xf>
    <xf numFmtId="0" fontId="0" fillId="0" borderId="0" xfId="0" applyAlignment="1">
      <alignment wrapText="1"/>
    </xf>
    <xf numFmtId="0" fontId="5" fillId="10" borderId="1" xfId="0" applyFont="1" applyFill="1" applyBorder="1" applyAlignment="1">
      <alignment horizontal="center" wrapText="1"/>
    </xf>
    <xf numFmtId="0" fontId="5" fillId="11" borderId="1" xfId="0" applyFont="1" applyFill="1" applyBorder="1" applyAlignment="1">
      <alignment horizontal="center" wrapText="1"/>
    </xf>
    <xf numFmtId="0" fontId="4" fillId="12" borderId="1" xfId="0" applyFont="1" applyFill="1" applyBorder="1" applyAlignment="1">
      <alignment horizontal="center" wrapText="1"/>
    </xf>
    <xf numFmtId="0" fontId="4" fillId="12" borderId="1" xfId="0" applyFont="1" applyFill="1" applyBorder="1" applyAlignment="1">
      <alignment wrapText="1"/>
    </xf>
    <xf numFmtId="0" fontId="0" fillId="0" borderId="0" xfId="0" quotePrefix="1"/>
    <xf numFmtId="0" fontId="0" fillId="9" borderId="1" xfId="0" applyFill="1" applyBorder="1" applyAlignment="1">
      <alignment horizontal="right" vertical="center" wrapText="1"/>
    </xf>
    <xf numFmtId="0" fontId="0" fillId="7" borderId="1" xfId="0" applyFill="1" applyBorder="1" applyAlignment="1">
      <alignment horizontal="right" vertical="center" wrapText="1"/>
    </xf>
    <xf numFmtId="0" fontId="0" fillId="17"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2" borderId="0" xfId="0" quotePrefix="1" applyFill="1"/>
    <xf numFmtId="1" fontId="0" fillId="9" borderId="1" xfId="0" applyNumberFormat="1" applyFill="1" applyBorder="1"/>
    <xf numFmtId="0" fontId="0" fillId="0" borderId="0" xfId="0" applyAlignment="1">
      <alignment horizontal="center" vertical="center"/>
    </xf>
    <xf numFmtId="0" fontId="0" fillId="0" borderId="0" xfId="0" applyAlignment="1">
      <alignment horizontal="left" vertical="center"/>
    </xf>
    <xf numFmtId="0" fontId="5" fillId="10" borderId="0" xfId="0" applyFont="1" applyFill="1" applyAlignment="1">
      <alignment horizontal="left" vertical="center"/>
    </xf>
    <xf numFmtId="0" fontId="5" fillId="10" borderId="0" xfId="0" applyFont="1" applyFill="1" applyAlignment="1">
      <alignment horizontal="center" vertical="center"/>
    </xf>
    <xf numFmtId="0" fontId="19" fillId="10" borderId="0" xfId="0" applyFont="1" applyFill="1" applyAlignment="1">
      <alignment horizontal="center" vertical="center" wrapText="1" readingOrder="1"/>
    </xf>
    <xf numFmtId="0" fontId="0" fillId="10" borderId="1" xfId="0" applyFill="1" applyBorder="1" applyAlignment="1">
      <alignment horizontal="center" vertical="center" wrapText="1"/>
    </xf>
    <xf numFmtId="0" fontId="0" fillId="10" borderId="1" xfId="0"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horizontal="center" vertical="center" wrapText="1"/>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left" vertical="center"/>
    </xf>
    <xf numFmtId="0" fontId="0" fillId="22" borderId="0" xfId="0" applyFill="1" applyAlignment="1">
      <alignment horizontal="center" vertical="center"/>
    </xf>
    <xf numFmtId="0" fontId="5" fillId="22" borderId="0" xfId="0" applyFont="1" applyFill="1" applyAlignment="1">
      <alignment horizontal="center" vertical="center"/>
    </xf>
    <xf numFmtId="0" fontId="5" fillId="19" borderId="0" xfId="0" applyFont="1" applyFill="1" applyAlignment="1">
      <alignment horizontal="left" vertical="center"/>
    </xf>
    <xf numFmtId="0" fontId="5" fillId="19" borderId="0" xfId="0" applyFont="1" applyFill="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0" fillId="17" borderId="1" xfId="0" applyFill="1" applyBorder="1" applyAlignment="1">
      <alignment horizontal="center" vertical="center"/>
    </xf>
    <xf numFmtId="0" fontId="5" fillId="17" borderId="1" xfId="0" applyFont="1" applyFill="1" applyBorder="1" applyAlignment="1">
      <alignment horizontal="center" vertical="center"/>
    </xf>
    <xf numFmtId="0" fontId="0" fillId="23" borderId="1" xfId="0" applyFill="1" applyBorder="1" applyAlignment="1">
      <alignment horizontal="center" vertical="center"/>
    </xf>
    <xf numFmtId="0" fontId="5" fillId="23" borderId="1" xfId="0" applyFont="1" applyFill="1" applyBorder="1" applyAlignment="1">
      <alignment horizontal="center" vertical="center"/>
    </xf>
    <xf numFmtId="0" fontId="0" fillId="23" borderId="0" xfId="0" applyFill="1" applyAlignment="1">
      <alignment horizontal="center" vertical="center"/>
    </xf>
    <xf numFmtId="0" fontId="5" fillId="23" borderId="0" xfId="0" applyFont="1" applyFill="1" applyAlignment="1">
      <alignment horizontal="center" vertical="center"/>
    </xf>
    <xf numFmtId="0" fontId="20" fillId="23" borderId="1" xfId="0" applyFont="1" applyFill="1" applyBorder="1" applyAlignment="1">
      <alignment horizontal="center" vertical="center"/>
    </xf>
    <xf numFmtId="0" fontId="17" fillId="20" borderId="2" xfId="0" applyFont="1" applyFill="1" applyBorder="1" applyAlignment="1">
      <alignment horizontal="center" vertical="center" wrapText="1" readingOrder="1"/>
    </xf>
    <xf numFmtId="0" fontId="0" fillId="10" borderId="9" xfId="0" applyFill="1" applyBorder="1" applyAlignment="1">
      <alignment horizontal="center" vertical="center" wrapText="1"/>
    </xf>
    <xf numFmtId="0" fontId="0" fillId="10" borderId="9" xfId="0" applyFill="1" applyBorder="1" applyAlignment="1">
      <alignment horizontal="center" vertical="center"/>
    </xf>
    <xf numFmtId="0" fontId="0" fillId="0" borderId="0" xfId="0" quotePrefix="1" applyAlignment="1">
      <alignment horizontal="center" vertical="center"/>
    </xf>
    <xf numFmtId="0" fontId="18" fillId="2" borderId="0" xfId="0" applyFont="1" applyFill="1" applyAlignment="1">
      <alignment horizontal="center" vertical="center" wrapText="1" readingOrder="1"/>
    </xf>
    <xf numFmtId="0" fontId="0" fillId="0" borderId="17" xfId="0" applyBorder="1"/>
    <xf numFmtId="0" fontId="23" fillId="25" borderId="19" xfId="0" applyFont="1" applyFill="1" applyBorder="1" applyAlignment="1">
      <alignment horizontal="center" vertical="center" wrapText="1" readingOrder="1"/>
    </xf>
    <xf numFmtId="0" fontId="23" fillId="26" borderId="19" xfId="0" applyFont="1" applyFill="1" applyBorder="1" applyAlignment="1">
      <alignment horizontal="center" vertical="center" wrapText="1" readingOrder="1"/>
    </xf>
    <xf numFmtId="0" fontId="23" fillId="25" borderId="13" xfId="0" applyFont="1" applyFill="1" applyBorder="1" applyAlignment="1">
      <alignment horizontal="center" vertical="center" wrapText="1" readingOrder="1"/>
    </xf>
    <xf numFmtId="0" fontId="23" fillId="26" borderId="13" xfId="0" applyFont="1" applyFill="1" applyBorder="1" applyAlignment="1">
      <alignment horizontal="center" vertical="center" wrapText="1" readingOrder="1"/>
    </xf>
    <xf numFmtId="0" fontId="23" fillId="24" borderId="13" xfId="0" applyFont="1" applyFill="1" applyBorder="1" applyAlignment="1">
      <alignment horizontal="center" vertical="center" wrapText="1" readingOrder="1"/>
    </xf>
    <xf numFmtId="0" fontId="20" fillId="0" borderId="2" xfId="0" applyFont="1" applyBorder="1" applyAlignment="1">
      <alignment horizontal="center" vertical="center"/>
    </xf>
    <xf numFmtId="0" fontId="20" fillId="0" borderId="0" xfId="0" applyFont="1" applyAlignment="1">
      <alignment horizontal="center" vertical="center"/>
    </xf>
    <xf numFmtId="0" fontId="25" fillId="0" borderId="2" xfId="0" applyFont="1" applyBorder="1" applyAlignment="1">
      <alignment horizontal="center" vertical="center" wrapText="1" readingOrder="1"/>
    </xf>
    <xf numFmtId="0" fontId="20" fillId="0" borderId="2" xfId="0" quotePrefix="1" applyFont="1" applyBorder="1" applyAlignment="1">
      <alignment horizontal="center" vertical="center"/>
    </xf>
    <xf numFmtId="9" fontId="20" fillId="0" borderId="2" xfId="0" quotePrefix="1" applyNumberFormat="1" applyFont="1" applyBorder="1" applyAlignment="1">
      <alignment horizontal="center" vertical="center"/>
    </xf>
    <xf numFmtId="0" fontId="20" fillId="2" borderId="2" xfId="0" applyFont="1" applyFill="1" applyBorder="1" applyAlignment="1">
      <alignment horizontal="center" vertical="center"/>
    </xf>
    <xf numFmtId="9" fontId="20" fillId="0" borderId="2" xfId="0" applyNumberFormat="1" applyFont="1" applyBorder="1" applyAlignment="1">
      <alignment horizontal="center" vertical="center"/>
    </xf>
    <xf numFmtId="10" fontId="20" fillId="0" borderId="2" xfId="0" applyNumberFormat="1" applyFont="1" applyBorder="1" applyAlignment="1">
      <alignment horizontal="center" vertical="center"/>
    </xf>
    <xf numFmtId="0" fontId="24" fillId="0" borderId="0" xfId="0" applyFont="1" applyAlignment="1">
      <alignment horizontal="center" vertical="center" wrapText="1" readingOrder="1"/>
    </xf>
    <xf numFmtId="0" fontId="25" fillId="0" borderId="0" xfId="0" applyFont="1" applyAlignment="1">
      <alignment horizontal="center" vertical="center" wrapText="1" readingOrder="1"/>
    </xf>
    <xf numFmtId="0" fontId="20" fillId="0" borderId="0" xfId="0" quotePrefix="1" applyFont="1" applyAlignment="1">
      <alignment horizontal="center" vertical="center"/>
    </xf>
    <xf numFmtId="0" fontId="20" fillId="2" borderId="0" xfId="0" applyFont="1" applyFill="1" applyAlignment="1">
      <alignment horizontal="center" vertical="center"/>
    </xf>
    <xf numFmtId="0" fontId="26" fillId="2" borderId="0" xfId="0" applyFont="1" applyFill="1" applyAlignment="1">
      <alignment horizontal="center" vertical="center"/>
    </xf>
    <xf numFmtId="0" fontId="25" fillId="2" borderId="2" xfId="0" applyFont="1" applyFill="1" applyBorder="1" applyAlignment="1">
      <alignment horizontal="center" vertical="center" wrapText="1" readingOrder="1"/>
    </xf>
    <xf numFmtId="0" fontId="23" fillId="24" borderId="0" xfId="0" applyFont="1" applyFill="1" applyAlignment="1">
      <alignment horizontal="center" vertical="center" wrapText="1" readingOrder="1"/>
    </xf>
    <xf numFmtId="0" fontId="25" fillId="2" borderId="0" xfId="0" applyFont="1" applyFill="1" applyAlignment="1">
      <alignment horizontal="center" vertical="center" wrapText="1" readingOrder="1"/>
    </xf>
    <xf numFmtId="0" fontId="20" fillId="2" borderId="0" xfId="0" quotePrefix="1" applyFont="1" applyFill="1" applyAlignment="1">
      <alignment horizontal="center" vertical="center"/>
    </xf>
    <xf numFmtId="0" fontId="0" fillId="19" borderId="1" xfId="0" applyFill="1" applyBorder="1" applyAlignment="1">
      <alignment horizontal="center" vertical="center" wrapText="1"/>
    </xf>
    <xf numFmtId="0" fontId="0" fillId="2" borderId="1" xfId="0" applyFill="1" applyBorder="1" applyAlignment="1">
      <alignment horizontal="center" wrapText="1"/>
    </xf>
    <xf numFmtId="0" fontId="0" fillId="0" borderId="1" xfId="0" applyBorder="1" applyAlignment="1">
      <alignment horizontal="center" vertical="top" wrapText="1"/>
    </xf>
    <xf numFmtId="166" fontId="0" fillId="1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5" fillId="0" borderId="1" xfId="0" applyFont="1" applyBorder="1" applyAlignment="1">
      <alignment horizontal="center" vertical="center" wrapText="1"/>
    </xf>
    <xf numFmtId="0" fontId="43" fillId="19" borderId="1" xfId="0" applyFont="1" applyFill="1" applyBorder="1" applyAlignment="1">
      <alignment wrapText="1"/>
    </xf>
    <xf numFmtId="0" fontId="43" fillId="0" borderId="1" xfId="0" applyFont="1" applyBorder="1" applyAlignment="1">
      <alignment wrapText="1"/>
    </xf>
    <xf numFmtId="0" fontId="0" fillId="0" borderId="1" xfId="0" applyBorder="1" applyAlignment="1">
      <alignment horizontal="left" vertical="center" wrapText="1"/>
    </xf>
    <xf numFmtId="0" fontId="42" fillId="19"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5" fillId="0" borderId="0" xfId="0" applyFont="1" applyAlignment="1">
      <alignment horizontal="center" wrapText="1"/>
    </xf>
    <xf numFmtId="166" fontId="5" fillId="0" borderId="0" xfId="0" applyNumberFormat="1" applyFont="1" applyAlignment="1">
      <alignment horizontal="center" wrapText="1"/>
    </xf>
    <xf numFmtId="0" fontId="0" fillId="0" borderId="0" xfId="0" applyAlignment="1">
      <alignment horizontal="center" wrapText="1"/>
    </xf>
    <xf numFmtId="0" fontId="46" fillId="0" borderId="0" xfId="0" applyFont="1" applyAlignment="1">
      <alignment wrapText="1"/>
    </xf>
    <xf numFmtId="166" fontId="0" fillId="0" borderId="0" xfId="0" applyNumberFormat="1" applyAlignment="1">
      <alignment horizontal="center" wrapText="1"/>
    </xf>
    <xf numFmtId="165" fontId="0" fillId="0" borderId="0" xfId="0" applyNumberFormat="1" applyAlignment="1">
      <alignment horizontal="center" vertical="center" wrapText="1"/>
    </xf>
    <xf numFmtId="16" fontId="0" fillId="0" borderId="0" xfId="0" applyNumberFormat="1" applyAlignment="1">
      <alignment horizontal="center" wrapText="1"/>
    </xf>
    <xf numFmtId="167" fontId="0" fillId="0" borderId="0" xfId="0" applyNumberFormat="1" applyAlignment="1">
      <alignment horizontal="center" wrapText="1"/>
    </xf>
    <xf numFmtId="168" fontId="0" fillId="0" borderId="0" xfId="0" applyNumberFormat="1" applyAlignment="1">
      <alignment horizontal="center" wrapText="1"/>
    </xf>
    <xf numFmtId="14" fontId="0" fillId="0" borderId="0" xfId="0" applyNumberFormat="1" applyAlignment="1">
      <alignment horizontal="center" vertical="center"/>
    </xf>
    <xf numFmtId="169" fontId="0" fillId="0" borderId="0" xfId="0" applyNumberFormat="1" applyAlignment="1">
      <alignment horizontal="center" wrapText="1"/>
    </xf>
    <xf numFmtId="0" fontId="46" fillId="8" borderId="0" xfId="0" applyFont="1" applyFill="1" applyAlignment="1">
      <alignment horizontal="left" vertical="center" wrapText="1"/>
    </xf>
    <xf numFmtId="0" fontId="46" fillId="7" borderId="0" xfId="0" applyFont="1" applyFill="1" applyAlignment="1">
      <alignment horizontal="left" vertical="center" wrapText="1"/>
    </xf>
    <xf numFmtId="0" fontId="46" fillId="0" borderId="0" xfId="0" applyFont="1" applyAlignment="1">
      <alignment horizontal="left" vertical="center" wrapText="1"/>
    </xf>
    <xf numFmtId="0" fontId="46" fillId="0" borderId="0" xfId="0" applyFont="1" applyAlignment="1">
      <alignment horizontal="left" vertical="center"/>
    </xf>
    <xf numFmtId="0" fontId="47" fillId="14" borderId="42" xfId="0" applyFont="1" applyFill="1" applyBorder="1" applyAlignment="1">
      <alignment horizontal="left" vertical="center" wrapText="1"/>
    </xf>
    <xf numFmtId="0" fontId="48" fillId="0" borderId="0" xfId="0" applyFont="1" applyAlignment="1">
      <alignment horizontal="center" wrapText="1"/>
    </xf>
    <xf numFmtId="0" fontId="46" fillId="2" borderId="0" xfId="0" applyFont="1" applyFill="1" applyAlignment="1">
      <alignment horizontal="left" vertical="center"/>
    </xf>
    <xf numFmtId="0" fontId="46" fillId="32" borderId="0" xfId="0" applyFont="1" applyFill="1" applyAlignment="1">
      <alignment horizontal="left" vertical="center"/>
    </xf>
    <xf numFmtId="0" fontId="43" fillId="0" borderId="12" xfId="0" applyFont="1" applyBorder="1" applyAlignment="1">
      <alignment wrapText="1"/>
    </xf>
    <xf numFmtId="15" fontId="0" fillId="13" borderId="1" xfId="0" applyNumberFormat="1" applyFill="1" applyBorder="1" applyAlignment="1">
      <alignment horizontal="center" vertical="center" wrapText="1"/>
    </xf>
    <xf numFmtId="15"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0" fillId="27" borderId="1" xfId="0" applyFill="1" applyBorder="1" applyAlignment="1">
      <alignment horizontal="center" vertical="center" wrapText="1"/>
    </xf>
    <xf numFmtId="0" fontId="36" fillId="14" borderId="1" xfId="0" applyFont="1" applyFill="1" applyBorder="1" applyAlignment="1">
      <alignment horizontal="center" vertical="center" wrapText="1"/>
    </xf>
    <xf numFmtId="0" fontId="37" fillId="2" borderId="1" xfId="0" applyFont="1" applyFill="1" applyBorder="1" applyAlignment="1">
      <alignment horizontal="center" vertical="center" wrapText="1"/>
    </xf>
    <xf numFmtId="164" fontId="36" fillId="2" borderId="1" xfId="0" applyNumberFormat="1" applyFont="1" applyFill="1" applyBorder="1" applyAlignment="1">
      <alignment horizontal="center" vertical="center" wrapText="1"/>
    </xf>
    <xf numFmtId="166" fontId="36" fillId="2" borderId="1" xfId="0" applyNumberFormat="1" applyFont="1" applyFill="1" applyBorder="1" applyAlignment="1">
      <alignment horizontal="center" vertical="center" wrapText="1"/>
    </xf>
    <xf numFmtId="0" fontId="36" fillId="2" borderId="1" xfId="0" applyFont="1" applyFill="1" applyBorder="1" applyAlignment="1">
      <alignment horizontal="center" vertical="center" wrapText="1"/>
    </xf>
    <xf numFmtId="0" fontId="44" fillId="0" borderId="0" xfId="0" applyFont="1" applyAlignment="1">
      <alignment wrapText="1"/>
    </xf>
    <xf numFmtId="0" fontId="0" fillId="14" borderId="1" xfId="0" applyFill="1" applyBorder="1" applyAlignment="1">
      <alignment horizontal="center" vertical="center" wrapText="1"/>
    </xf>
    <xf numFmtId="14" fontId="0" fillId="14" borderId="1" xfId="0" applyNumberFormat="1" applyFill="1" applyBorder="1" applyAlignment="1">
      <alignment horizontal="center" vertical="center" wrapText="1"/>
    </xf>
    <xf numFmtId="166" fontId="44" fillId="0" borderId="0" xfId="0" applyNumberFormat="1" applyFont="1" applyAlignment="1">
      <alignment wrapText="1"/>
    </xf>
    <xf numFmtId="0" fontId="44" fillId="0" borderId="0" xfId="0" applyFont="1" applyAlignment="1">
      <alignment horizontal="left" vertical="center" wrapText="1"/>
    </xf>
    <xf numFmtId="0" fontId="36" fillId="3"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0" fillId="16" borderId="1" xfId="0" applyFill="1" applyBorder="1" applyAlignment="1">
      <alignment horizontal="center" vertical="center" wrapText="1"/>
    </xf>
    <xf numFmtId="164" fontId="36" fillId="0" borderId="1" xfId="0" applyNumberFormat="1" applyFont="1" applyBorder="1" applyAlignment="1">
      <alignment horizontal="center" vertical="center" wrapText="1"/>
    </xf>
    <xf numFmtId="166" fontId="37" fillId="2" borderId="1" xfId="0" applyNumberFormat="1" applyFont="1" applyFill="1" applyBorder="1" applyAlignment="1">
      <alignment horizontal="center" vertical="center" wrapText="1"/>
    </xf>
    <xf numFmtId="0" fontId="37" fillId="19"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164" fontId="0" fillId="13" borderId="1" xfId="0" applyNumberFormat="1" applyFill="1" applyBorder="1" applyAlignment="1">
      <alignment horizontal="center" vertical="center" wrapText="1"/>
    </xf>
    <xf numFmtId="0" fontId="3" fillId="2" borderId="1" xfId="1" applyFill="1" applyBorder="1" applyAlignment="1">
      <alignment horizontal="center" vertical="center" wrapText="1"/>
    </xf>
    <xf numFmtId="0" fontId="3" fillId="19" borderId="1" xfId="1" applyFill="1" applyBorder="1" applyAlignment="1">
      <alignment horizontal="center" vertical="center" wrapText="1"/>
    </xf>
    <xf numFmtId="0" fontId="13" fillId="18" borderId="1" xfId="0" applyFont="1" applyFill="1" applyBorder="1" applyAlignment="1">
      <alignment horizontal="center" vertical="center" wrapText="1"/>
    </xf>
    <xf numFmtId="166" fontId="0" fillId="19" borderId="1" xfId="0" applyNumberFormat="1" applyFill="1" applyBorder="1" applyAlignment="1">
      <alignment horizontal="center" vertical="center" wrapText="1"/>
    </xf>
    <xf numFmtId="0" fontId="0" fillId="11" borderId="1" xfId="0" applyFill="1" applyBorder="1" applyAlignment="1">
      <alignment horizontal="center" vertical="center" wrapText="1"/>
    </xf>
    <xf numFmtId="0" fontId="0" fillId="0" borderId="1" xfId="0" applyBorder="1" applyAlignment="1">
      <alignment horizontal="center" wrapText="1"/>
    </xf>
    <xf numFmtId="0" fontId="0" fillId="28" borderId="0" xfId="0" applyFill="1" applyAlignment="1">
      <alignment horizontal="center" vertical="center" wrapText="1"/>
    </xf>
    <xf numFmtId="0" fontId="0" fillId="0" borderId="0" xfId="0" applyAlignment="1">
      <alignment horizontal="center" vertical="center" wrapText="1"/>
    </xf>
    <xf numFmtId="15" fontId="0" fillId="2" borderId="1" xfId="0" applyNumberFormat="1" applyFill="1" applyBorder="1" applyAlignment="1">
      <alignment horizontal="center" vertical="center" wrapText="1"/>
    </xf>
    <xf numFmtId="166" fontId="0" fillId="2" borderId="1" xfId="0" applyNumberForma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2" borderId="1" xfId="0" applyFill="1" applyBorder="1" applyAlignment="1">
      <alignment horizontal="left" vertical="center" wrapText="1"/>
    </xf>
    <xf numFmtId="16" fontId="0" fillId="2" borderId="1" xfId="0" applyNumberFormat="1" applyFill="1" applyBorder="1" applyAlignment="1">
      <alignment horizontal="center" vertical="center" wrapText="1"/>
    </xf>
    <xf numFmtId="15" fontId="0" fillId="19" borderId="1" xfId="0" applyNumberFormat="1" applyFill="1" applyBorder="1" applyAlignment="1">
      <alignment horizontal="center" vertical="center" wrapText="1"/>
    </xf>
    <xf numFmtId="164" fontId="0" fillId="19" borderId="1" xfId="0" applyNumberFormat="1" applyFill="1" applyBorder="1" applyAlignment="1">
      <alignment horizontal="center" vertical="center" wrapText="1"/>
    </xf>
    <xf numFmtId="0" fontId="38" fillId="19" borderId="0" xfId="0" applyFont="1" applyFill="1" applyAlignment="1">
      <alignment horizontal="center" vertical="center" wrapText="1"/>
    </xf>
    <xf numFmtId="0" fontId="5" fillId="27" borderId="1" xfId="0" applyFont="1" applyFill="1" applyBorder="1" applyAlignment="1">
      <alignment horizontal="center" vertical="center" wrapText="1"/>
    </xf>
    <xf numFmtId="15" fontId="0" fillId="27" borderId="1" xfId="0" applyNumberFormat="1" applyFill="1" applyBorder="1" applyAlignment="1">
      <alignment horizontal="center" vertical="center" wrapText="1"/>
    </xf>
    <xf numFmtId="166" fontId="0" fillId="27" borderId="1" xfId="0" applyNumberFormat="1" applyFill="1" applyBorder="1" applyAlignment="1">
      <alignment horizontal="center" vertical="center" wrapText="1"/>
    </xf>
    <xf numFmtId="164" fontId="0" fillId="27" borderId="1" xfId="0" applyNumberFormat="1" applyFill="1" applyBorder="1" applyAlignment="1">
      <alignment horizontal="center" vertical="center" wrapText="1"/>
    </xf>
    <xf numFmtId="0" fontId="39" fillId="0" borderId="0" xfId="0" applyFont="1" applyAlignment="1">
      <alignment horizontal="center" vertical="center" wrapText="1"/>
    </xf>
    <xf numFmtId="0" fontId="0" fillId="30" borderId="1" xfId="0" applyFill="1" applyBorder="1" applyAlignment="1">
      <alignment horizontal="center" vertical="center" wrapText="1"/>
    </xf>
    <xf numFmtId="0" fontId="0" fillId="3" borderId="1" xfId="0" applyFill="1" applyBorder="1" applyAlignment="1">
      <alignment horizontal="center" vertical="center" wrapText="1"/>
    </xf>
    <xf numFmtId="0" fontId="6" fillId="13"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6"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36" fillId="19" borderId="1" xfId="0" applyFont="1" applyFill="1" applyBorder="1" applyAlignment="1">
      <alignment horizontal="center" vertical="center" wrapText="1"/>
    </xf>
    <xf numFmtId="0" fontId="36" fillId="15" borderId="1" xfId="0" applyFont="1" applyFill="1" applyBorder="1" applyAlignment="1">
      <alignment horizontal="center" vertical="center" wrapText="1"/>
    </xf>
    <xf numFmtId="0" fontId="36" fillId="0" borderId="35" xfId="0" applyFont="1" applyBorder="1" applyAlignment="1">
      <alignment horizontal="center" vertical="center" wrapText="1"/>
    </xf>
    <xf numFmtId="0" fontId="37" fillId="0" borderId="1" xfId="0" applyFont="1" applyBorder="1" applyAlignment="1">
      <alignment horizontal="center" vertical="center" wrapText="1"/>
    </xf>
    <xf numFmtId="165" fontId="37" fillId="0" borderId="1" xfId="0" applyNumberFormat="1" applyFont="1" applyBorder="1" applyAlignment="1">
      <alignment horizontal="center" vertical="center" wrapText="1"/>
    </xf>
    <xf numFmtId="166" fontId="37" fillId="0" borderId="1" xfId="0" applyNumberFormat="1" applyFont="1" applyBorder="1" applyAlignment="1">
      <alignment horizontal="center" vertical="center" wrapText="1"/>
    </xf>
    <xf numFmtId="0" fontId="36" fillId="0" borderId="10" xfId="0" applyFont="1" applyBorder="1" applyAlignment="1">
      <alignment horizontal="center" vertical="center" wrapText="1"/>
    </xf>
    <xf numFmtId="0" fontId="30" fillId="19" borderId="34" xfId="0" applyFont="1" applyFill="1" applyBorder="1" applyAlignment="1">
      <alignment horizontal="center" vertical="center" wrapText="1"/>
    </xf>
    <xf numFmtId="0" fontId="36" fillId="0" borderId="11" xfId="0" applyFont="1" applyBorder="1" applyAlignment="1">
      <alignment horizontal="center" vertical="center" wrapText="1"/>
    </xf>
    <xf numFmtId="0" fontId="36" fillId="0" borderId="12" xfId="0" applyFont="1" applyBorder="1" applyAlignment="1">
      <alignment horizontal="center" vertical="center" wrapText="1"/>
    </xf>
    <xf numFmtId="166" fontId="36" fillId="13" borderId="1" xfId="0" applyNumberFormat="1" applyFont="1" applyFill="1" applyBorder="1" applyAlignment="1">
      <alignment horizontal="center" vertical="center" wrapText="1"/>
    </xf>
    <xf numFmtId="164" fontId="36" fillId="13" borderId="1" xfId="0" applyNumberFormat="1" applyFont="1" applyFill="1" applyBorder="1" applyAlignment="1">
      <alignment horizontal="center" vertical="center" wrapText="1"/>
    </xf>
    <xf numFmtId="164" fontId="36" fillId="15" borderId="1" xfId="0" applyNumberFormat="1" applyFont="1" applyFill="1" applyBorder="1" applyAlignment="1">
      <alignment horizontal="center" vertical="center" wrapText="1"/>
    </xf>
    <xf numFmtId="0" fontId="36" fillId="0" borderId="34" xfId="0" applyFont="1" applyBorder="1" applyAlignment="1">
      <alignment horizontal="center" vertical="center" wrapText="1"/>
    </xf>
    <xf numFmtId="0" fontId="30" fillId="19" borderId="37" xfId="0" applyFont="1" applyFill="1" applyBorder="1" applyAlignment="1">
      <alignment horizontal="center" vertical="center" wrapText="1"/>
    </xf>
    <xf numFmtId="0" fontId="36" fillId="19" borderId="9" xfId="0" applyFont="1" applyFill="1" applyBorder="1" applyAlignment="1">
      <alignment horizontal="center" vertical="center" wrapText="1"/>
    </xf>
    <xf numFmtId="0" fontId="43" fillId="0" borderId="34" xfId="0" applyFont="1" applyBorder="1" applyAlignment="1">
      <alignment horizontal="center" vertical="center" wrapText="1"/>
    </xf>
    <xf numFmtId="0" fontId="36" fillId="19" borderId="34" xfId="0" applyFont="1" applyFill="1" applyBorder="1" applyAlignment="1">
      <alignment horizontal="center" vertical="center" wrapText="1"/>
    </xf>
    <xf numFmtId="0" fontId="36" fillId="19" borderId="10" xfId="0" applyFont="1" applyFill="1" applyBorder="1" applyAlignment="1">
      <alignment horizontal="center" vertical="center" wrapText="1"/>
    </xf>
    <xf numFmtId="0" fontId="43" fillId="19" borderId="34" xfId="0" applyFont="1" applyFill="1" applyBorder="1" applyAlignment="1">
      <alignment horizontal="center" vertical="center" wrapText="1"/>
    </xf>
    <xf numFmtId="0" fontId="36" fillId="19" borderId="11" xfId="0" applyFont="1" applyFill="1" applyBorder="1" applyAlignment="1">
      <alignment horizontal="center" vertical="center" wrapText="1"/>
    </xf>
    <xf numFmtId="0" fontId="36" fillId="19" borderId="12" xfId="0" applyFont="1" applyFill="1" applyBorder="1" applyAlignment="1">
      <alignment horizontal="center" vertical="center" wrapText="1"/>
    </xf>
    <xf numFmtId="165" fontId="37" fillId="19" borderId="1" xfId="0" applyNumberFormat="1" applyFont="1" applyFill="1" applyBorder="1" applyAlignment="1">
      <alignment horizontal="center" vertical="center" wrapText="1"/>
    </xf>
    <xf numFmtId="164" fontId="36" fillId="19" borderId="1" xfId="0" applyNumberFormat="1" applyFont="1" applyFill="1" applyBorder="1" applyAlignment="1">
      <alignment horizontal="center" vertical="center" wrapText="1"/>
    </xf>
    <xf numFmtId="0" fontId="37" fillId="13"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43" fillId="19" borderId="1" xfId="0" applyFont="1" applyFill="1" applyBorder="1" applyAlignment="1">
      <alignment horizontal="center" vertical="center" wrapText="1"/>
    </xf>
    <xf numFmtId="166" fontId="36" fillId="13" borderId="40" xfId="0" applyNumberFormat="1" applyFont="1" applyFill="1" applyBorder="1" applyAlignment="1">
      <alignment horizontal="center" vertical="center" wrapText="1"/>
    </xf>
    <xf numFmtId="166" fontId="36" fillId="13" borderId="34" xfId="0" applyNumberFormat="1" applyFont="1" applyFill="1" applyBorder="1" applyAlignment="1">
      <alignment horizontal="center" vertical="center" wrapText="1"/>
    </xf>
    <xf numFmtId="165" fontId="37" fillId="0" borderId="40" xfId="0" applyNumberFormat="1" applyFont="1" applyBorder="1" applyAlignment="1">
      <alignment horizontal="center" vertical="center" wrapText="1"/>
    </xf>
    <xf numFmtId="166" fontId="37" fillId="0" borderId="40" xfId="0" applyNumberFormat="1" applyFont="1" applyBorder="1" applyAlignment="1">
      <alignment horizontal="center" vertical="center" wrapText="1"/>
    </xf>
    <xf numFmtId="166" fontId="37" fillId="0" borderId="34" xfId="0" applyNumberFormat="1" applyFont="1" applyBorder="1" applyAlignment="1">
      <alignment horizontal="center" vertical="center" wrapText="1"/>
    </xf>
    <xf numFmtId="0" fontId="36" fillId="9" borderId="1" xfId="0" applyFont="1" applyFill="1" applyBorder="1" applyAlignment="1">
      <alignment horizontal="center" vertical="center" wrapText="1"/>
    </xf>
    <xf numFmtId="0" fontId="43" fillId="0" borderId="9" xfId="0" applyFont="1" applyBorder="1" applyAlignment="1">
      <alignment horizontal="center" vertical="center" wrapText="1"/>
    </xf>
    <xf numFmtId="0" fontId="43" fillId="0" borderId="35" xfId="0" applyFont="1" applyBorder="1" applyAlignment="1">
      <alignment horizontal="center" vertical="center" wrapText="1"/>
    </xf>
    <xf numFmtId="0" fontId="37" fillId="0" borderId="35" xfId="0" applyFont="1" applyBorder="1" applyAlignment="1">
      <alignment horizontal="center" vertical="center" wrapText="1"/>
    </xf>
    <xf numFmtId="165" fontId="37" fillId="0" borderId="35" xfId="0" applyNumberFormat="1" applyFont="1" applyBorder="1" applyAlignment="1">
      <alignment horizontal="center" vertical="center" wrapText="1"/>
    </xf>
    <xf numFmtId="164" fontId="36" fillId="0" borderId="35" xfId="0" applyNumberFormat="1" applyFont="1" applyBorder="1" applyAlignment="1">
      <alignment horizontal="center" vertical="center" wrapText="1"/>
    </xf>
    <xf numFmtId="0" fontId="36" fillId="2" borderId="35" xfId="0" applyFont="1" applyFill="1" applyBorder="1" applyAlignment="1">
      <alignment horizontal="center" vertical="center" wrapText="1"/>
    </xf>
    <xf numFmtId="0" fontId="36" fillId="0" borderId="39" xfId="0" applyFont="1" applyBorder="1" applyAlignment="1">
      <alignment horizontal="center" vertical="center" wrapText="1"/>
    </xf>
    <xf numFmtId="0" fontId="37" fillId="0" borderId="34" xfId="0" applyFont="1" applyBorder="1" applyAlignment="1">
      <alignment horizontal="center" vertical="center" wrapText="1"/>
    </xf>
    <xf numFmtId="165" fontId="37" fillId="0" borderId="34" xfId="0" applyNumberFormat="1" applyFont="1" applyBorder="1" applyAlignment="1">
      <alignment horizontal="center" vertical="center" wrapText="1"/>
    </xf>
    <xf numFmtId="164" fontId="36" fillId="0" borderId="34" xfId="0" applyNumberFormat="1" applyFont="1" applyBorder="1" applyAlignment="1">
      <alignment horizontal="center" vertical="center" wrapText="1"/>
    </xf>
    <xf numFmtId="0" fontId="36" fillId="19" borderId="39" xfId="0" applyFont="1" applyFill="1" applyBorder="1" applyAlignment="1">
      <alignment horizontal="center" vertical="center" wrapText="1"/>
    </xf>
    <xf numFmtId="0" fontId="37" fillId="19" borderId="34" xfId="0" applyFont="1" applyFill="1" applyBorder="1" applyAlignment="1">
      <alignment horizontal="center" vertical="center" wrapText="1"/>
    </xf>
    <xf numFmtId="165" fontId="37" fillId="19" borderId="40" xfId="0" applyNumberFormat="1" applyFont="1" applyFill="1" applyBorder="1" applyAlignment="1">
      <alignment horizontal="center" vertical="center" wrapText="1"/>
    </xf>
    <xf numFmtId="165" fontId="37" fillId="19" borderId="34" xfId="0" applyNumberFormat="1" applyFont="1" applyFill="1" applyBorder="1" applyAlignment="1">
      <alignment horizontal="center" vertical="center" wrapText="1"/>
    </xf>
    <xf numFmtId="164" fontId="36" fillId="19" borderId="34" xfId="0" applyNumberFormat="1" applyFont="1" applyFill="1" applyBorder="1" applyAlignment="1">
      <alignment horizontal="center" vertical="center" wrapText="1"/>
    </xf>
    <xf numFmtId="0" fontId="36" fillId="19" borderId="35" xfId="0" applyFont="1" applyFill="1" applyBorder="1" applyAlignment="1">
      <alignment horizontal="center" vertical="center" wrapText="1"/>
    </xf>
    <xf numFmtId="0" fontId="0" fillId="2" borderId="9" xfId="0" applyFill="1" applyBorder="1" applyAlignment="1">
      <alignment horizontal="center" vertical="center" wrapText="1"/>
    </xf>
    <xf numFmtId="0" fontId="0" fillId="0" borderId="9" xfId="0" applyBorder="1" applyAlignment="1">
      <alignment horizontal="center" wrapText="1"/>
    </xf>
    <xf numFmtId="0" fontId="0" fillId="15" borderId="1" xfId="0" applyFill="1" applyBorder="1" applyAlignment="1">
      <alignment horizontal="center" vertical="center" wrapText="1"/>
    </xf>
    <xf numFmtId="0" fontId="8" fillId="19"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16" fontId="0" fillId="15" borderId="1" xfId="0" applyNumberFormat="1" applyFill="1" applyBorder="1" applyAlignment="1">
      <alignment horizontal="center" vertical="center" wrapText="1"/>
    </xf>
    <xf numFmtId="166" fontId="0" fillId="15" borderId="1" xfId="0" applyNumberFormat="1" applyFill="1" applyBorder="1" applyAlignment="1">
      <alignment horizontal="center" vertical="center" wrapText="1"/>
    </xf>
    <xf numFmtId="164" fontId="0" fillId="15"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15" borderId="1" xfId="0" applyFill="1" applyBorder="1" applyAlignment="1">
      <alignment horizontal="center" wrapText="1"/>
    </xf>
    <xf numFmtId="16" fontId="0" fillId="15" borderId="11" xfId="0" applyNumberFormat="1" applyFill="1" applyBorder="1" applyAlignment="1">
      <alignment horizontal="center" vertical="center" wrapText="1"/>
    </xf>
    <xf numFmtId="166" fontId="0" fillId="15" borderId="11" xfId="0" applyNumberFormat="1" applyFill="1" applyBorder="1" applyAlignment="1">
      <alignment horizontal="center" vertical="center" wrapText="1"/>
    </xf>
    <xf numFmtId="164" fontId="0" fillId="15" borderId="11" xfId="0" applyNumberFormat="1" applyFill="1" applyBorder="1" applyAlignment="1">
      <alignment horizontal="center" vertical="center"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wrapText="1"/>
    </xf>
    <xf numFmtId="0" fontId="0" fillId="2" borderId="11" xfId="0" applyFill="1" applyBorder="1" applyAlignment="1">
      <alignment horizontal="center" vertical="center" wrapText="1"/>
    </xf>
    <xf numFmtId="0" fontId="12" fillId="2" borderId="1" xfId="0" applyFont="1" applyFill="1" applyBorder="1" applyAlignment="1">
      <alignment horizontal="center" vertical="center" wrapText="1"/>
    </xf>
    <xf numFmtId="0" fontId="0" fillId="19" borderId="1" xfId="0" applyFill="1" applyBorder="1" applyAlignment="1">
      <alignment horizontal="center" wrapText="1"/>
    </xf>
    <xf numFmtId="16" fontId="0" fillId="19" borderId="1" xfId="0" applyNumberFormat="1" applyFill="1" applyBorder="1" applyAlignment="1">
      <alignment horizontal="center" vertical="center" wrapText="1"/>
    </xf>
    <xf numFmtId="16" fontId="0" fillId="0" borderId="1" xfId="0" applyNumberFormat="1" applyBorder="1" applyAlignment="1">
      <alignment horizontal="center" vertical="center" wrapText="1"/>
    </xf>
    <xf numFmtId="0" fontId="45" fillId="0" borderId="0" xfId="0" applyFont="1" applyAlignment="1">
      <alignment horizontal="center" vertical="center" wrapText="1"/>
    </xf>
    <xf numFmtId="0" fontId="49" fillId="0" borderId="0" xfId="0" applyFont="1" applyAlignment="1">
      <alignment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0" fillId="33" borderId="1" xfId="0" applyFill="1" applyBorder="1" applyAlignment="1">
      <alignment horizontal="center" wrapText="1"/>
    </xf>
    <xf numFmtId="0" fontId="50" fillId="15" borderId="0" xfId="0" applyFont="1" applyFill="1" applyAlignment="1">
      <alignment wrapText="1"/>
    </xf>
    <xf numFmtId="0" fontId="50" fillId="15" borderId="48" xfId="0" applyFont="1" applyFill="1" applyBorder="1" applyAlignment="1">
      <alignment wrapText="1"/>
    </xf>
    <xf numFmtId="0" fontId="51" fillId="34" borderId="49" xfId="0" applyFont="1" applyFill="1" applyBorder="1" applyAlignment="1">
      <alignment horizontal="center" vertical="center" wrapText="1"/>
    </xf>
    <xf numFmtId="1" fontId="51" fillId="34" borderId="50" xfId="0" applyNumberFormat="1" applyFont="1" applyFill="1" applyBorder="1" applyAlignment="1">
      <alignment horizontal="center" vertical="center" wrapText="1"/>
    </xf>
    <xf numFmtId="0" fontId="51" fillId="34" borderId="50" xfId="0" applyFont="1" applyFill="1" applyBorder="1" applyAlignment="1">
      <alignment horizontal="center" vertical="center" wrapText="1"/>
    </xf>
    <xf numFmtId="170" fontId="51" fillId="34" borderId="50" xfId="0" applyNumberFormat="1" applyFont="1" applyFill="1" applyBorder="1" applyAlignment="1">
      <alignment horizontal="center" vertical="center" wrapText="1"/>
    </xf>
    <xf numFmtId="0" fontId="51" fillId="34" borderId="51" xfId="0" applyFont="1" applyFill="1" applyBorder="1" applyAlignment="1">
      <alignment horizontal="center" vertical="center" wrapText="1"/>
    </xf>
    <xf numFmtId="0" fontId="34" fillId="0" borderId="53" xfId="0" applyFont="1" applyBorder="1"/>
    <xf numFmtId="0" fontId="34" fillId="0" borderId="38" xfId="0" applyFont="1" applyBorder="1" applyAlignment="1">
      <alignment wrapText="1"/>
    </xf>
    <xf numFmtId="1" fontId="34" fillId="0" borderId="9" xfId="0" applyNumberFormat="1" applyFont="1" applyBorder="1"/>
    <xf numFmtId="0" fontId="34" fillId="0" borderId="9" xfId="0" applyFont="1" applyBorder="1"/>
    <xf numFmtId="170" fontId="34" fillId="0" borderId="9" xfId="0" applyNumberFormat="1" applyFont="1" applyBorder="1"/>
    <xf numFmtId="0" fontId="34" fillId="0" borderId="55" xfId="0" applyFont="1" applyBorder="1"/>
    <xf numFmtId="0" fontId="34" fillId="5" borderId="56" xfId="0" applyFont="1" applyFill="1" applyBorder="1"/>
    <xf numFmtId="0" fontId="34" fillId="5" borderId="12" xfId="0" applyFont="1" applyFill="1" applyBorder="1" applyAlignment="1">
      <alignment wrapText="1"/>
    </xf>
    <xf numFmtId="1" fontId="34" fillId="5" borderId="1" xfId="0" applyNumberFormat="1" applyFont="1" applyFill="1" applyBorder="1"/>
    <xf numFmtId="0" fontId="34" fillId="5" borderId="1" xfId="0" applyFont="1" applyFill="1" applyBorder="1"/>
    <xf numFmtId="170" fontId="34" fillId="5" borderId="1" xfId="0" applyNumberFormat="1" applyFont="1" applyFill="1" applyBorder="1"/>
    <xf numFmtId="0" fontId="34" fillId="5" borderId="55" xfId="0" applyFont="1" applyFill="1" applyBorder="1"/>
    <xf numFmtId="0" fontId="34" fillId="0" borderId="56" xfId="0" applyFont="1" applyBorder="1"/>
    <xf numFmtId="0" fontId="34" fillId="0" borderId="12" xfId="0" applyFont="1" applyBorder="1" applyAlignment="1">
      <alignment wrapText="1"/>
    </xf>
    <xf numFmtId="1" fontId="34" fillId="0" borderId="1" xfId="0" applyNumberFormat="1" applyFont="1" applyBorder="1"/>
    <xf numFmtId="0" fontId="34" fillId="0" borderId="1" xfId="0" applyFont="1" applyBorder="1"/>
    <xf numFmtId="170" fontId="34" fillId="0" borderId="1" xfId="0" applyNumberFormat="1" applyFont="1" applyBorder="1"/>
    <xf numFmtId="0" fontId="34" fillId="31" borderId="56" xfId="0" applyFont="1" applyFill="1" applyBorder="1"/>
    <xf numFmtId="0" fontId="34" fillId="31" borderId="12" xfId="0" applyFont="1" applyFill="1" applyBorder="1" applyAlignment="1">
      <alignment wrapText="1"/>
    </xf>
    <xf numFmtId="0" fontId="34" fillId="5" borderId="61" xfId="0" applyFont="1" applyFill="1" applyBorder="1"/>
    <xf numFmtId="0" fontId="34" fillId="0" borderId="0" xfId="0" applyFont="1"/>
    <xf numFmtId="0" fontId="34" fillId="0" borderId="0" xfId="0" applyFont="1" applyAlignment="1">
      <alignment wrapText="1"/>
    </xf>
    <xf numFmtId="1" fontId="34" fillId="0" borderId="0" xfId="0" applyNumberFormat="1" applyFont="1"/>
    <xf numFmtId="170" fontId="34" fillId="0" borderId="0" xfId="0" applyNumberFormat="1" applyFont="1"/>
    <xf numFmtId="0" fontId="50" fillId="19" borderId="0" xfId="0" applyFont="1" applyFill="1"/>
    <xf numFmtId="0" fontId="50" fillId="19" borderId="0" xfId="0" applyFont="1" applyFill="1" applyAlignment="1">
      <alignment wrapText="1"/>
    </xf>
    <xf numFmtId="1" fontId="50" fillId="19" borderId="0" xfId="0" applyNumberFormat="1" applyFont="1" applyFill="1"/>
    <xf numFmtId="170" fontId="50" fillId="19" borderId="0" xfId="0" applyNumberFormat="1" applyFont="1" applyFill="1"/>
    <xf numFmtId="1" fontId="53" fillId="21" borderId="52" xfId="0" applyNumberFormat="1" applyFont="1" applyFill="1" applyBorder="1" applyAlignment="1">
      <alignment horizontal="center" vertical="center" wrapText="1"/>
    </xf>
    <xf numFmtId="1" fontId="34" fillId="0" borderId="55" xfId="0" applyNumberFormat="1" applyFont="1" applyBorder="1"/>
    <xf numFmtId="1" fontId="34" fillId="5" borderId="55" xfId="0" applyNumberFormat="1" applyFont="1" applyFill="1" applyBorder="1"/>
    <xf numFmtId="1" fontId="0" fillId="0" borderId="0" xfId="0" applyNumberFormat="1"/>
    <xf numFmtId="170" fontId="0" fillId="0" borderId="0" xfId="0" applyNumberFormat="1"/>
    <xf numFmtId="0" fontId="0" fillId="0" borderId="1" xfId="0" applyBorder="1" applyAlignment="1">
      <alignment horizontal="center"/>
    </xf>
    <xf numFmtId="0" fontId="0" fillId="2" borderId="1" xfId="0" applyFill="1" applyBorder="1" applyAlignment="1">
      <alignment horizontal="center" vertical="center"/>
    </xf>
    <xf numFmtId="0" fontId="0" fillId="27" borderId="1" xfId="0" applyFill="1" applyBorder="1" applyAlignment="1">
      <alignment horizontal="center" vertical="center"/>
    </xf>
    <xf numFmtId="0" fontId="0" fillId="28" borderId="1" xfId="0" applyFill="1" applyBorder="1" applyAlignment="1">
      <alignment horizontal="center" vertical="center"/>
    </xf>
    <xf numFmtId="0" fontId="0" fillId="29" borderId="1"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166" fontId="0" fillId="13" borderId="1" xfId="0" applyNumberFormat="1" applyFill="1"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center" vertical="top"/>
    </xf>
    <xf numFmtId="0" fontId="0" fillId="14" borderId="1" xfId="0" applyFill="1" applyBorder="1" applyAlignment="1">
      <alignment horizontal="center" vertical="center"/>
    </xf>
    <xf numFmtId="0" fontId="5"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166" fontId="0" fillId="2" borderId="1" xfId="0" applyNumberFormat="1" applyFill="1" applyBorder="1" applyAlignment="1">
      <alignment horizontal="center" vertical="center"/>
    </xf>
    <xf numFmtId="0" fontId="0" fillId="2" borderId="1" xfId="0" applyFill="1" applyBorder="1" applyAlignment="1">
      <alignment horizontal="left" vertical="center"/>
    </xf>
    <xf numFmtId="164" fontId="0" fillId="0" borderId="1" xfId="0" applyNumberFormat="1" applyBorder="1" applyAlignment="1">
      <alignment horizontal="center" vertical="center"/>
    </xf>
    <xf numFmtId="166" fontId="0" fillId="0" borderId="1" xfId="0" applyNumberFormat="1" applyBorder="1" applyAlignment="1">
      <alignment horizontal="center" vertical="center"/>
    </xf>
    <xf numFmtId="0" fontId="56" fillId="0" borderId="0" xfId="0" applyFont="1"/>
    <xf numFmtId="0" fontId="43" fillId="0" borderId="40" xfId="0" applyFont="1" applyBorder="1" applyAlignment="1">
      <alignment horizontal="center" vertical="center" wrapText="1"/>
    </xf>
    <xf numFmtId="0" fontId="43" fillId="35" borderId="12" xfId="0" applyFont="1" applyFill="1" applyBorder="1" applyAlignment="1">
      <alignment horizontal="center" vertical="center" wrapText="1"/>
    </xf>
    <xf numFmtId="0" fontId="43" fillId="0" borderId="12" xfId="0" applyFont="1" applyBorder="1" applyAlignment="1">
      <alignment horizontal="center" vertical="center" wrapText="1"/>
    </xf>
    <xf numFmtId="0" fontId="43" fillId="0" borderId="38" xfId="0" applyFont="1" applyBorder="1" applyAlignment="1">
      <alignment horizontal="center" vertical="center" wrapText="1"/>
    </xf>
    <xf numFmtId="0" fontId="43" fillId="0" borderId="46" xfId="0" applyFont="1" applyBorder="1" applyAlignment="1">
      <alignment horizontal="center" vertical="center" wrapText="1"/>
    </xf>
    <xf numFmtId="0" fontId="43" fillId="0" borderId="0" xfId="0" applyFont="1" applyAlignment="1">
      <alignment horizontal="center" vertical="center" wrapText="1"/>
    </xf>
    <xf numFmtId="0" fontId="43" fillId="0" borderId="41" xfId="0" applyFont="1" applyBorder="1" applyAlignment="1">
      <alignment horizontal="center" vertical="center" wrapText="1"/>
    </xf>
    <xf numFmtId="0" fontId="43" fillId="0" borderId="62" xfId="0" applyFont="1" applyBorder="1" applyAlignment="1">
      <alignment horizontal="center" vertical="center" wrapText="1"/>
    </xf>
    <xf numFmtId="0" fontId="43" fillId="0" borderId="44" xfId="0" applyFont="1" applyBorder="1" applyAlignment="1">
      <alignment horizontal="center" vertical="center" wrapText="1"/>
    </xf>
    <xf numFmtId="0" fontId="43" fillId="0" borderId="63" xfId="0" applyFont="1" applyBorder="1" applyAlignment="1">
      <alignment horizontal="center" vertical="center" wrapText="1"/>
    </xf>
    <xf numFmtId="15" fontId="8" fillId="0" borderId="1" xfId="0" applyNumberFormat="1" applyFont="1" applyBorder="1" applyAlignment="1">
      <alignment horizontal="center" vertical="center" wrapText="1"/>
    </xf>
    <xf numFmtId="15" fontId="8" fillId="0" borderId="9" xfId="0" applyNumberFormat="1" applyFont="1" applyBorder="1" applyAlignment="1">
      <alignment horizontal="center" vertical="center" wrapText="1"/>
    </xf>
    <xf numFmtId="0" fontId="0" fillId="19" borderId="1" xfId="0" applyFill="1" applyBorder="1" applyAlignment="1">
      <alignment horizontal="left" vertical="top" wrapText="1"/>
    </xf>
    <xf numFmtId="14" fontId="0" fillId="19" borderId="1" xfId="0" applyNumberForma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26" fillId="7" borderId="1" xfId="0" applyFont="1" applyFill="1" applyBorder="1" applyAlignment="1">
      <alignment horizontal="left" vertical="top" wrapText="1"/>
    </xf>
    <xf numFmtId="0" fontId="26" fillId="8" borderId="1" xfId="0" applyFont="1" applyFill="1" applyBorder="1" applyAlignment="1">
      <alignment horizontal="left" vertical="top" wrapText="1"/>
    </xf>
    <xf numFmtId="166" fontId="26" fillId="8" borderId="1" xfId="0" applyNumberFormat="1" applyFont="1" applyFill="1" applyBorder="1" applyAlignment="1">
      <alignment horizontal="left" vertical="top" wrapText="1"/>
    </xf>
    <xf numFmtId="0" fontId="26" fillId="2" borderId="1" xfId="0" applyFont="1" applyFill="1" applyBorder="1" applyAlignment="1">
      <alignment horizontal="left" vertical="top" wrapText="1"/>
    </xf>
    <xf numFmtId="0" fontId="57" fillId="0" borderId="0" xfId="0" applyFont="1" applyAlignment="1">
      <alignment horizontal="left" vertical="center"/>
    </xf>
    <xf numFmtId="0" fontId="57" fillId="0" borderId="0" xfId="0" applyFont="1" applyAlignment="1">
      <alignment vertical="center" wrapText="1"/>
    </xf>
    <xf numFmtId="166" fontId="57" fillId="0" borderId="0" xfId="0" applyNumberFormat="1" applyFont="1" applyAlignment="1">
      <alignment horizontal="center" vertical="center" wrapText="1"/>
    </xf>
    <xf numFmtId="0" fontId="57" fillId="0" borderId="0" xfId="0" applyFont="1" applyAlignment="1">
      <alignment vertical="center"/>
    </xf>
    <xf numFmtId="0" fontId="57" fillId="0" borderId="0" xfId="0" applyFont="1" applyAlignment="1">
      <alignment horizontal="center" vertical="center" wrapText="1"/>
    </xf>
    <xf numFmtId="169" fontId="58" fillId="0" borderId="0" xfId="0" applyNumberFormat="1" applyFont="1" applyAlignment="1">
      <alignment horizontal="center" vertical="center" wrapText="1"/>
    </xf>
    <xf numFmtId="169" fontId="57" fillId="0" borderId="0" xfId="0" applyNumberFormat="1" applyFont="1" applyAlignment="1">
      <alignment horizontal="center" vertical="center" wrapText="1"/>
    </xf>
    <xf numFmtId="0" fontId="47" fillId="14" borderId="64" xfId="0" applyFont="1" applyFill="1" applyBorder="1" applyAlignment="1">
      <alignment horizontal="left" vertical="center" wrapText="1"/>
    </xf>
    <xf numFmtId="0" fontId="46" fillId="0" borderId="65" xfId="0" applyFont="1" applyBorder="1" applyAlignment="1">
      <alignment horizontal="left" vertical="center" wrapText="1"/>
    </xf>
    <xf numFmtId="0" fontId="59" fillId="0" borderId="0" xfId="0" applyFont="1"/>
    <xf numFmtId="0" fontId="60" fillId="0" borderId="0" xfId="0" applyFont="1"/>
    <xf numFmtId="166" fontId="0" fillId="27" borderId="34" xfId="0" applyNumberFormat="1" applyFill="1" applyBorder="1" applyAlignment="1">
      <alignment horizontal="center" vertical="center" wrapText="1"/>
    </xf>
    <xf numFmtId="164" fontId="0" fillId="27" borderId="34" xfId="0" applyNumberFormat="1" applyFill="1" applyBorder="1" applyAlignment="1">
      <alignment horizontal="center" vertical="center" wrapText="1"/>
    </xf>
    <xf numFmtId="0" fontId="0" fillId="27" borderId="34" xfId="0" applyFill="1" applyBorder="1" applyAlignment="1">
      <alignment horizontal="center" vertical="center" wrapText="1"/>
    </xf>
    <xf numFmtId="166" fontId="0" fillId="27" borderId="35" xfId="0" applyNumberFormat="1" applyFill="1" applyBorder="1" applyAlignment="1">
      <alignment horizontal="center" vertical="center" wrapText="1"/>
    </xf>
    <xf numFmtId="164" fontId="0" fillId="27" borderId="35" xfId="0" applyNumberFormat="1" applyFill="1" applyBorder="1" applyAlignment="1">
      <alignment horizontal="center" vertical="center" wrapText="1"/>
    </xf>
    <xf numFmtId="0" fontId="0" fillId="27" borderId="35" xfId="0" applyFill="1" applyBorder="1" applyAlignment="1">
      <alignment horizontal="center" vertical="center" wrapText="1"/>
    </xf>
    <xf numFmtId="0" fontId="5" fillId="27" borderId="34" xfId="0" applyFont="1" applyFill="1" applyBorder="1" applyAlignment="1">
      <alignment horizontal="center" vertical="center" wrapText="1"/>
    </xf>
    <xf numFmtId="15" fontId="0" fillId="27" borderId="34" xfId="0" applyNumberFormat="1" applyFill="1" applyBorder="1" applyAlignment="1">
      <alignment horizontal="center" vertical="center" wrapText="1"/>
    </xf>
    <xf numFmtId="0" fontId="0" fillId="27" borderId="10" xfId="0" applyFill="1" applyBorder="1" applyAlignment="1">
      <alignment horizontal="center" vertical="center" wrapText="1"/>
    </xf>
    <xf numFmtId="166" fontId="0" fillId="27" borderId="40" xfId="0" applyNumberFormat="1" applyFill="1" applyBorder="1" applyAlignment="1">
      <alignment horizontal="center" vertical="center" wrapText="1"/>
    </xf>
    <xf numFmtId="0" fontId="5" fillId="27" borderId="35" xfId="0" applyFont="1" applyFill="1" applyBorder="1" applyAlignment="1">
      <alignment horizontal="center" vertical="center" wrapText="1"/>
    </xf>
    <xf numFmtId="15" fontId="0" fillId="27" borderId="35" xfId="0" applyNumberFormat="1" applyFill="1" applyBorder="1" applyAlignment="1">
      <alignment horizontal="center" vertical="center" wrapText="1"/>
    </xf>
    <xf numFmtId="170" fontId="34" fillId="0" borderId="1" xfId="0" applyNumberFormat="1" applyFont="1" applyBorder="1" applyAlignment="1">
      <alignment horizontal="right"/>
    </xf>
    <xf numFmtId="0" fontId="43" fillId="19" borderId="9" xfId="0" applyFont="1" applyFill="1" applyBorder="1" applyAlignment="1">
      <alignment horizontal="center" vertical="center" wrapText="1"/>
    </xf>
    <xf numFmtId="0" fontId="43" fillId="19" borderId="38" xfId="0" applyFont="1" applyFill="1" applyBorder="1" applyAlignment="1">
      <alignment horizontal="center" vertical="center" wrapText="1"/>
    </xf>
    <xf numFmtId="170" fontId="34" fillId="0" borderId="1" xfId="0" applyNumberFormat="1" applyFont="1" applyBorder="1" applyAlignment="1">
      <alignment horizontal="center"/>
    </xf>
    <xf numFmtId="15" fontId="0" fillId="0" borderId="1" xfId="0" applyNumberFormat="1" applyBorder="1" applyAlignment="1">
      <alignment horizontal="center" vertical="center"/>
    </xf>
    <xf numFmtId="0" fontId="36" fillId="36" borderId="1" xfId="0" applyFont="1" applyFill="1" applyBorder="1" applyAlignment="1">
      <alignment horizontal="center" vertical="center" wrapText="1"/>
    </xf>
    <xf numFmtId="0" fontId="43" fillId="36" borderId="9" xfId="0" applyFont="1" applyFill="1" applyBorder="1" applyAlignment="1">
      <alignment horizontal="center" vertical="center" wrapText="1"/>
    </xf>
    <xf numFmtId="0" fontId="36" fillId="36" borderId="10" xfId="0" applyFont="1" applyFill="1" applyBorder="1" applyAlignment="1">
      <alignment horizontal="center" vertical="center" wrapText="1"/>
    </xf>
    <xf numFmtId="0" fontId="43" fillId="36" borderId="34" xfId="0" applyFont="1" applyFill="1" applyBorder="1" applyAlignment="1">
      <alignment horizontal="center" vertical="center" wrapText="1"/>
    </xf>
    <xf numFmtId="0" fontId="36" fillId="36" borderId="12" xfId="0" applyFont="1" applyFill="1" applyBorder="1" applyAlignment="1">
      <alignment horizontal="center" vertical="center" wrapText="1"/>
    </xf>
    <xf numFmtId="0" fontId="37" fillId="36" borderId="1" xfId="0" applyFont="1" applyFill="1" applyBorder="1" applyAlignment="1">
      <alignment horizontal="center" vertical="center" wrapText="1"/>
    </xf>
    <xf numFmtId="165" fontId="37" fillId="36" borderId="1" xfId="0" applyNumberFormat="1" applyFont="1" applyFill="1" applyBorder="1" applyAlignment="1">
      <alignment horizontal="center" vertical="center" wrapText="1"/>
    </xf>
    <xf numFmtId="164" fontId="36" fillId="36" borderId="1" xfId="0" applyNumberFormat="1" applyFont="1" applyFill="1" applyBorder="1" applyAlignment="1">
      <alignment horizontal="center" vertical="center" wrapText="1"/>
    </xf>
    <xf numFmtId="0" fontId="0" fillId="36" borderId="1" xfId="0" applyFill="1" applyBorder="1" applyAlignment="1">
      <alignment horizontal="center" vertical="center"/>
    </xf>
    <xf numFmtId="0" fontId="43" fillId="36" borderId="44" xfId="0" applyFont="1" applyFill="1" applyBorder="1" applyAlignment="1">
      <alignment horizontal="center" vertical="center" wrapText="1"/>
    </xf>
    <xf numFmtId="0" fontId="34" fillId="0" borderId="66" xfId="0" applyFont="1" applyBorder="1"/>
    <xf numFmtId="0" fontId="34" fillId="5" borderId="11" xfId="0" applyFont="1" applyFill="1" applyBorder="1"/>
    <xf numFmtId="0" fontId="34" fillId="0" borderId="11" xfId="0" applyFont="1" applyBorder="1"/>
    <xf numFmtId="0" fontId="34" fillId="0" borderId="68" xfId="0" applyFont="1" applyBorder="1" applyAlignment="1">
      <alignment horizontal="left" wrapText="1"/>
    </xf>
    <xf numFmtId="0" fontId="34" fillId="0" borderId="69" xfId="0" applyFont="1" applyBorder="1" applyAlignment="1">
      <alignment horizontal="left" wrapText="1"/>
    </xf>
    <xf numFmtId="0" fontId="34" fillId="31" borderId="11" xfId="0" applyFont="1" applyFill="1" applyBorder="1"/>
    <xf numFmtId="0" fontId="34" fillId="0" borderId="68" xfId="0" applyFont="1" applyBorder="1" applyAlignment="1">
      <alignment horizontal="left"/>
    </xf>
    <xf numFmtId="0" fontId="34" fillId="0" borderId="69" xfId="0" applyFont="1" applyBorder="1" applyAlignment="1">
      <alignment horizontal="left"/>
    </xf>
    <xf numFmtId="0" fontId="34" fillId="5" borderId="70" xfId="0" applyFont="1" applyFill="1" applyBorder="1"/>
    <xf numFmtId="0" fontId="43" fillId="0" borderId="37" xfId="0" applyFont="1" applyBorder="1" applyAlignment="1">
      <alignment horizontal="center" vertical="center" wrapText="1"/>
    </xf>
    <xf numFmtId="0" fontId="36" fillId="0" borderId="37" xfId="0" applyFont="1" applyBorder="1" applyAlignment="1">
      <alignment horizontal="center" vertical="center" wrapText="1"/>
    </xf>
    <xf numFmtId="0" fontId="36" fillId="0" borderId="71" xfId="0" applyFont="1" applyBorder="1" applyAlignment="1">
      <alignment horizontal="center" vertical="center" wrapText="1"/>
    </xf>
    <xf numFmtId="0" fontId="37" fillId="0" borderId="37" xfId="0" applyFont="1" applyBorder="1" applyAlignment="1">
      <alignment horizontal="center" vertical="center" wrapText="1"/>
    </xf>
    <xf numFmtId="165" fontId="37" fillId="0" borderId="72" xfId="0" applyNumberFormat="1" applyFont="1" applyBorder="1" applyAlignment="1">
      <alignment horizontal="center" vertical="center" wrapText="1"/>
    </xf>
    <xf numFmtId="165" fontId="37" fillId="0" borderId="37" xfId="0" applyNumberFormat="1" applyFont="1" applyBorder="1" applyAlignment="1">
      <alignment horizontal="center" vertical="center" wrapText="1"/>
    </xf>
    <xf numFmtId="164" fontId="36" fillId="0" borderId="37" xfId="0" applyNumberFormat="1" applyFont="1" applyBorder="1" applyAlignment="1">
      <alignment horizontal="center" vertical="center" wrapText="1"/>
    </xf>
    <xf numFmtId="0" fontId="0" fillId="2" borderId="35" xfId="0" applyFill="1" applyBorder="1" applyAlignment="1">
      <alignment horizontal="center" vertical="center"/>
    </xf>
    <xf numFmtId="0" fontId="36" fillId="14" borderId="35" xfId="0" applyFont="1" applyFill="1" applyBorder="1" applyAlignment="1">
      <alignment horizontal="center" vertical="center" wrapText="1"/>
    </xf>
    <xf numFmtId="0" fontId="36" fillId="36" borderId="9" xfId="0" applyFont="1" applyFill="1" applyBorder="1" applyAlignment="1">
      <alignment horizontal="center" vertical="center" wrapText="1"/>
    </xf>
    <xf numFmtId="0" fontId="36" fillId="36" borderId="67" xfId="0" applyFont="1" applyFill="1" applyBorder="1" applyAlignment="1">
      <alignment horizontal="center" vertical="center" wrapText="1"/>
    </xf>
    <xf numFmtId="0" fontId="43" fillId="36" borderId="46" xfId="0" applyFont="1" applyFill="1" applyBorder="1" applyAlignment="1">
      <alignment horizontal="center" vertical="center" wrapText="1"/>
    </xf>
    <xf numFmtId="0" fontId="36" fillId="36" borderId="38" xfId="0" applyFont="1" applyFill="1" applyBorder="1" applyAlignment="1">
      <alignment horizontal="center" vertical="center" wrapText="1"/>
    </xf>
    <xf numFmtId="0" fontId="37" fillId="36" borderId="9" xfId="0" applyFont="1" applyFill="1" applyBorder="1" applyAlignment="1">
      <alignment horizontal="center" vertical="center" wrapText="1"/>
    </xf>
    <xf numFmtId="165" fontId="37" fillId="36" borderId="9" xfId="0" applyNumberFormat="1" applyFont="1" applyFill="1" applyBorder="1" applyAlignment="1">
      <alignment horizontal="center" vertical="center" wrapText="1"/>
    </xf>
    <xf numFmtId="164" fontId="36" fillId="36" borderId="9" xfId="0" applyNumberFormat="1" applyFont="1" applyFill="1" applyBorder="1" applyAlignment="1">
      <alignment horizontal="center" vertical="center" wrapText="1"/>
    </xf>
    <xf numFmtId="0" fontId="0" fillId="36" borderId="9" xfId="0" applyFill="1" applyBorder="1" applyAlignment="1">
      <alignment horizontal="center" vertical="center"/>
    </xf>
    <xf numFmtId="0" fontId="43" fillId="36" borderId="62" xfId="0" applyFont="1" applyFill="1" applyBorder="1" applyAlignment="1">
      <alignment horizontal="center" vertical="center" wrapText="1"/>
    </xf>
    <xf numFmtId="0" fontId="0" fillId="19" borderId="34" xfId="0" applyFill="1" applyBorder="1" applyAlignment="1">
      <alignment horizontal="center" vertical="center"/>
    </xf>
    <xf numFmtId="0" fontId="34" fillId="0" borderId="0" xfId="0" applyFont="1" applyAlignment="1">
      <alignment horizontal="left" wrapText="1"/>
    </xf>
    <xf numFmtId="1" fontId="34" fillId="0" borderId="10" xfId="0" applyNumberFormat="1" applyFont="1" applyBorder="1"/>
    <xf numFmtId="0" fontId="34" fillId="0" borderId="47" xfId="0" applyFont="1" applyBorder="1" applyAlignment="1">
      <alignment horizontal="left" wrapText="1"/>
    </xf>
    <xf numFmtId="0" fontId="62" fillId="0" borderId="0" xfId="0" applyFont="1" applyAlignment="1">
      <alignment horizontal="left"/>
    </xf>
    <xf numFmtId="0" fontId="50" fillId="0" borderId="0" xfId="0" applyFont="1" applyAlignment="1">
      <alignment wrapText="1"/>
    </xf>
    <xf numFmtId="0" fontId="51" fillId="37" borderId="49" xfId="0" applyFont="1" applyFill="1" applyBorder="1" applyAlignment="1">
      <alignment horizontal="center" vertical="center" wrapText="1"/>
    </xf>
    <xf numFmtId="1" fontId="51" fillId="37" borderId="50" xfId="0" applyNumberFormat="1" applyFont="1" applyFill="1" applyBorder="1" applyAlignment="1">
      <alignment horizontal="center" vertical="center" wrapText="1"/>
    </xf>
    <xf numFmtId="0" fontId="51" fillId="37" borderId="50" xfId="0" applyFont="1" applyFill="1" applyBorder="1" applyAlignment="1">
      <alignment horizontal="center" vertical="center" wrapText="1"/>
    </xf>
    <xf numFmtId="170" fontId="51" fillId="37" borderId="50" xfId="0" applyNumberFormat="1" applyFont="1" applyFill="1" applyBorder="1" applyAlignment="1">
      <alignment horizontal="center" vertical="center" wrapText="1"/>
    </xf>
    <xf numFmtId="0" fontId="51" fillId="37" borderId="51" xfId="0" applyFont="1" applyFill="1" applyBorder="1" applyAlignment="1">
      <alignment horizontal="center" vertical="center" wrapText="1"/>
    </xf>
    <xf numFmtId="0" fontId="34" fillId="21" borderId="0" xfId="0" applyFont="1" applyFill="1" applyAlignment="1">
      <alignment horizontal="left"/>
    </xf>
    <xf numFmtId="0" fontId="32" fillId="0" borderId="36" xfId="0" applyFont="1" applyBorder="1" applyAlignment="1">
      <alignment horizontal="center" vertical="center" wrapText="1"/>
    </xf>
    <xf numFmtId="0" fontId="33" fillId="0" borderId="36" xfId="0" applyFont="1" applyBorder="1" applyAlignment="1">
      <alignment horizontal="center" vertical="center" wrapText="1"/>
    </xf>
    <xf numFmtId="0" fontId="32" fillId="0" borderId="0" xfId="0" applyFont="1" applyAlignment="1">
      <alignment horizontal="center" vertical="center" wrapText="1"/>
    </xf>
    <xf numFmtId="0" fontId="34" fillId="0" borderId="36" xfId="0" applyFont="1" applyBorder="1" applyAlignment="1">
      <alignment horizontal="left" vertical="center" wrapText="1"/>
    </xf>
    <xf numFmtId="0" fontId="35" fillId="0" borderId="36" xfId="0" applyFont="1" applyBorder="1" applyAlignment="1">
      <alignment horizontal="left" vertical="center" wrapText="1"/>
    </xf>
    <xf numFmtId="0" fontId="63" fillId="38" borderId="1" xfId="0" applyFont="1" applyFill="1" applyBorder="1" applyAlignment="1">
      <alignment horizontal="center" vertical="top"/>
    </xf>
    <xf numFmtId="0" fontId="64" fillId="0" borderId="1" xfId="0" applyFont="1" applyBorder="1" applyAlignment="1">
      <alignment horizontal="center" vertical="top"/>
    </xf>
    <xf numFmtId="0" fontId="64" fillId="0" borderId="1" xfId="0" applyFont="1" applyBorder="1" applyAlignment="1">
      <alignment horizontal="center" vertical="top" wrapText="1"/>
    </xf>
    <xf numFmtId="0" fontId="65" fillId="0" borderId="1" xfId="0" applyFont="1" applyBorder="1" applyAlignment="1">
      <alignment horizontal="center" vertical="top" wrapText="1"/>
    </xf>
    <xf numFmtId="0" fontId="5" fillId="0" borderId="0" xfId="0" applyFont="1"/>
    <xf numFmtId="0" fontId="67" fillId="0" borderId="0" xfId="0" applyFont="1" applyAlignment="1">
      <alignment horizontal="left" vertical="center"/>
    </xf>
    <xf numFmtId="0" fontId="34" fillId="31" borderId="66" xfId="0" applyFont="1" applyFill="1" applyBorder="1"/>
    <xf numFmtId="1" fontId="34" fillId="31" borderId="1" xfId="0" applyNumberFormat="1" applyFont="1" applyFill="1" applyBorder="1"/>
    <xf numFmtId="0" fontId="34" fillId="31" borderId="1" xfId="0" applyFont="1" applyFill="1" applyBorder="1"/>
    <xf numFmtId="170" fontId="34" fillId="31" borderId="1" xfId="0" applyNumberFormat="1" applyFont="1" applyFill="1" applyBorder="1"/>
    <xf numFmtId="0" fontId="34" fillId="31" borderId="55" xfId="0" applyFont="1" applyFill="1" applyBorder="1"/>
    <xf numFmtId="1" fontId="34" fillId="31" borderId="55" xfId="0" applyNumberFormat="1" applyFont="1" applyFill="1" applyBorder="1"/>
    <xf numFmtId="0" fontId="0" fillId="31" borderId="0" xfId="0" applyFill="1"/>
    <xf numFmtId="0" fontId="25" fillId="0" borderId="11" xfId="0" applyFont="1" applyBorder="1"/>
    <xf numFmtId="0" fontId="25" fillId="0" borderId="56" xfId="0" applyFont="1" applyBorder="1"/>
    <xf numFmtId="1" fontId="25" fillId="0" borderId="1" xfId="0" applyNumberFormat="1" applyFont="1" applyBorder="1"/>
    <xf numFmtId="0" fontId="25" fillId="0" borderId="1" xfId="0" applyFont="1" applyBorder="1"/>
    <xf numFmtId="170" fontId="25" fillId="0" borderId="1" xfId="0" applyNumberFormat="1" applyFont="1" applyBorder="1"/>
    <xf numFmtId="0" fontId="25" fillId="0" borderId="55" xfId="0" applyFont="1" applyBorder="1"/>
    <xf numFmtId="1" fontId="25" fillId="0" borderId="55" xfId="0" applyNumberFormat="1" applyFont="1" applyBorder="1"/>
    <xf numFmtId="0" fontId="20" fillId="0" borderId="0" xfId="0" applyFont="1"/>
    <xf numFmtId="0" fontId="64" fillId="8" borderId="1" xfId="0" applyFont="1" applyFill="1" applyBorder="1" applyAlignment="1">
      <alignment horizontal="center" vertical="top"/>
    </xf>
    <xf numFmtId="0" fontId="34" fillId="2" borderId="56" xfId="0" applyFont="1" applyFill="1" applyBorder="1"/>
    <xf numFmtId="0" fontId="25" fillId="31" borderId="56" xfId="0" applyFont="1" applyFill="1" applyBorder="1"/>
    <xf numFmtId="0" fontId="25" fillId="31" borderId="11" xfId="0" applyFont="1" applyFill="1" applyBorder="1"/>
    <xf numFmtId="1" fontId="25" fillId="31" borderId="1" xfId="0" applyNumberFormat="1" applyFont="1" applyFill="1" applyBorder="1"/>
    <xf numFmtId="0" fontId="25" fillId="31" borderId="1" xfId="0" applyFont="1" applyFill="1" applyBorder="1"/>
    <xf numFmtId="170" fontId="25" fillId="31" borderId="1" xfId="0" applyNumberFormat="1" applyFont="1" applyFill="1" applyBorder="1"/>
    <xf numFmtId="0" fontId="25" fillId="31" borderId="55" xfId="0" applyFont="1" applyFill="1" applyBorder="1"/>
    <xf numFmtId="1" fontId="25" fillId="31" borderId="55" xfId="0" applyNumberFormat="1" applyFont="1" applyFill="1" applyBorder="1"/>
    <xf numFmtId="0" fontId="20" fillId="31" borderId="0" xfId="0" applyFont="1" applyFill="1"/>
    <xf numFmtId="0" fontId="34" fillId="2" borderId="12" xfId="0" applyFont="1" applyFill="1" applyBorder="1" applyAlignment="1">
      <alignment wrapText="1"/>
    </xf>
    <xf numFmtId="1" fontId="34" fillId="31" borderId="10" xfId="0" applyNumberFormat="1" applyFont="1" applyFill="1" applyBorder="1"/>
    <xf numFmtId="170" fontId="34" fillId="31" borderId="1" xfId="0" applyNumberFormat="1" applyFont="1" applyFill="1" applyBorder="1" applyAlignment="1">
      <alignment horizontal="right"/>
    </xf>
    <xf numFmtId="0" fontId="34" fillId="2" borderId="11" xfId="0" applyFont="1" applyFill="1" applyBorder="1"/>
    <xf numFmtId="1" fontId="34" fillId="2" borderId="1" xfId="0" applyNumberFormat="1" applyFont="1" applyFill="1" applyBorder="1"/>
    <xf numFmtId="0" fontId="34" fillId="2" borderId="1" xfId="0" applyFont="1" applyFill="1" applyBorder="1"/>
    <xf numFmtId="170" fontId="34" fillId="2" borderId="1" xfId="0" applyNumberFormat="1" applyFont="1" applyFill="1" applyBorder="1"/>
    <xf numFmtId="0" fontId="34" fillId="2" borderId="55" xfId="0" applyFont="1" applyFill="1" applyBorder="1"/>
    <xf numFmtId="1" fontId="34" fillId="2" borderId="55" xfId="0" applyNumberFormat="1" applyFont="1" applyFill="1" applyBorder="1"/>
    <xf numFmtId="0" fontId="0" fillId="2" borderId="0" xfId="0" applyFill="1"/>
    <xf numFmtId="0" fontId="34" fillId="2" borderId="66" xfId="0" applyFont="1" applyFill="1" applyBorder="1"/>
    <xf numFmtId="0" fontId="34" fillId="31" borderId="9" xfId="0" applyFont="1" applyFill="1" applyBorder="1"/>
    <xf numFmtId="0" fontId="34" fillId="22" borderId="11" xfId="0" applyFont="1" applyFill="1" applyBorder="1"/>
    <xf numFmtId="0" fontId="34" fillId="22" borderId="56" xfId="0" applyFont="1" applyFill="1" applyBorder="1"/>
    <xf numFmtId="1" fontId="34" fillId="22" borderId="1" xfId="0" applyNumberFormat="1" applyFont="1" applyFill="1" applyBorder="1"/>
    <xf numFmtId="0" fontId="34" fillId="22" borderId="1" xfId="0" applyFont="1" applyFill="1" applyBorder="1"/>
    <xf numFmtId="170" fontId="34" fillId="22" borderId="1" xfId="0" applyNumberFormat="1" applyFont="1" applyFill="1" applyBorder="1"/>
    <xf numFmtId="0" fontId="34" fillId="22" borderId="55" xfId="0" applyFont="1" applyFill="1" applyBorder="1"/>
    <xf numFmtId="1" fontId="34" fillId="22" borderId="55" xfId="0" applyNumberFormat="1" applyFont="1" applyFill="1" applyBorder="1"/>
    <xf numFmtId="0" fontId="0" fillId="22" borderId="0" xfId="0" applyFill="1"/>
    <xf numFmtId="0" fontId="34" fillId="31" borderId="53" xfId="0" applyFont="1" applyFill="1" applyBorder="1"/>
    <xf numFmtId="1" fontId="34" fillId="31" borderId="9" xfId="0" applyNumberFormat="1" applyFont="1" applyFill="1" applyBorder="1"/>
    <xf numFmtId="170" fontId="34" fillId="31" borderId="9" xfId="0" applyNumberFormat="1" applyFont="1" applyFill="1" applyBorder="1"/>
    <xf numFmtId="0" fontId="34" fillId="2" borderId="12" xfId="0" applyFont="1" applyFill="1" applyBorder="1"/>
    <xf numFmtId="0" fontId="34" fillId="0" borderId="12" xfId="0" applyFont="1" applyBorder="1"/>
    <xf numFmtId="0" fontId="34" fillId="31" borderId="12" xfId="0" applyFont="1" applyFill="1" applyBorder="1"/>
    <xf numFmtId="0" fontId="66" fillId="0" borderId="12" xfId="0" applyFont="1" applyBorder="1"/>
    <xf numFmtId="0" fontId="34" fillId="2" borderId="11" xfId="0" applyFont="1" applyFill="1" applyBorder="1" applyAlignment="1">
      <alignment wrapText="1"/>
    </xf>
    <xf numFmtId="0" fontId="34" fillId="2" borderId="56" xfId="0" applyFont="1" applyFill="1" applyBorder="1" applyAlignment="1">
      <alignment wrapText="1"/>
    </xf>
    <xf numFmtId="1" fontId="34" fillId="2" borderId="1" xfId="0" applyNumberFormat="1" applyFont="1" applyFill="1" applyBorder="1" applyAlignment="1">
      <alignment wrapText="1"/>
    </xf>
    <xf numFmtId="0" fontId="34" fillId="2" borderId="1" xfId="0" applyFont="1" applyFill="1" applyBorder="1" applyAlignment="1">
      <alignment wrapText="1"/>
    </xf>
    <xf numFmtId="170" fontId="34" fillId="2" borderId="1" xfId="0" applyNumberFormat="1" applyFont="1" applyFill="1" applyBorder="1" applyAlignment="1">
      <alignment wrapText="1"/>
    </xf>
    <xf numFmtId="0" fontId="34" fillId="2" borderId="55" xfId="0" applyFont="1" applyFill="1" applyBorder="1" applyAlignment="1">
      <alignment wrapText="1"/>
    </xf>
    <xf numFmtId="1" fontId="34" fillId="2" borderId="55" xfId="0" applyNumberFormat="1" applyFont="1" applyFill="1" applyBorder="1" applyAlignment="1">
      <alignment wrapText="1"/>
    </xf>
    <xf numFmtId="0" fontId="0" fillId="2" borderId="0" xfId="0" applyFill="1" applyAlignment="1">
      <alignment wrapText="1"/>
    </xf>
    <xf numFmtId="0" fontId="34" fillId="5" borderId="12" xfId="0" applyFont="1" applyFill="1" applyBorder="1"/>
    <xf numFmtId="0" fontId="25" fillId="0" borderId="12" xfId="0" applyFont="1" applyBorder="1"/>
    <xf numFmtId="0" fontId="25" fillId="31" borderId="12" xfId="0" applyFont="1" applyFill="1" applyBorder="1"/>
    <xf numFmtId="0" fontId="34" fillId="0" borderId="47" xfId="0" applyFont="1" applyBorder="1" applyAlignment="1">
      <alignment horizontal="left"/>
    </xf>
    <xf numFmtId="0" fontId="34" fillId="0" borderId="0" xfId="0" applyFont="1" applyAlignment="1">
      <alignment horizontal="left"/>
    </xf>
    <xf numFmtId="0" fontId="34" fillId="31" borderId="47" xfId="0" applyFont="1" applyFill="1" applyBorder="1" applyAlignment="1">
      <alignment horizontal="left"/>
    </xf>
    <xf numFmtId="0" fontId="34" fillId="31" borderId="0" xfId="0" applyFont="1" applyFill="1" applyAlignment="1">
      <alignment horizontal="left"/>
    </xf>
    <xf numFmtId="0" fontId="34" fillId="0" borderId="59" xfId="0" applyFont="1" applyBorder="1" applyAlignment="1">
      <alignment horizontal="left"/>
    </xf>
    <xf numFmtId="0" fontId="34" fillId="22" borderId="12" xfId="0" applyFont="1" applyFill="1" applyBorder="1"/>
    <xf numFmtId="0" fontId="0" fillId="27" borderId="10" xfId="0" applyFill="1" applyBorder="1" applyAlignment="1">
      <alignment horizontal="center" vertical="center"/>
    </xf>
    <xf numFmtId="0" fontId="5" fillId="27" borderId="34" xfId="0" applyFont="1" applyFill="1" applyBorder="1" applyAlignment="1">
      <alignment horizontal="center" vertical="center"/>
    </xf>
    <xf numFmtId="15" fontId="0" fillId="27" borderId="34" xfId="0" applyNumberFormat="1" applyFill="1" applyBorder="1" applyAlignment="1">
      <alignment horizontal="center" vertical="center"/>
    </xf>
    <xf numFmtId="166" fontId="0" fillId="27" borderId="34" xfId="0" applyNumberFormat="1" applyFill="1" applyBorder="1" applyAlignment="1">
      <alignment horizontal="center" vertical="center"/>
    </xf>
    <xf numFmtId="166" fontId="0" fillId="27" borderId="40" xfId="0" applyNumberFormat="1" applyFill="1" applyBorder="1" applyAlignment="1">
      <alignment horizontal="center" vertical="center"/>
    </xf>
    <xf numFmtId="164" fontId="0" fillId="27" borderId="34" xfId="0" applyNumberFormat="1" applyFill="1" applyBorder="1" applyAlignment="1">
      <alignment horizontal="center" vertical="center"/>
    </xf>
    <xf numFmtId="0" fontId="0" fillId="27" borderId="34" xfId="0" applyFill="1" applyBorder="1" applyAlignment="1">
      <alignment horizontal="center" vertical="center"/>
    </xf>
    <xf numFmtId="171" fontId="0" fillId="27" borderId="34" xfId="0" applyNumberFormat="1" applyFill="1" applyBorder="1" applyAlignment="1">
      <alignment horizontal="center" vertical="center" wrapText="1"/>
    </xf>
    <xf numFmtId="0" fontId="5" fillId="19" borderId="1" xfId="0" applyFont="1" applyFill="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68" fillId="0" borderId="1" xfId="0" applyFont="1" applyBorder="1" applyAlignment="1">
      <alignment vertical="top"/>
    </xf>
    <xf numFmtId="0" fontId="0" fillId="0" borderId="1" xfId="0" applyBorder="1" applyAlignment="1">
      <alignment vertical="center" wrapText="1"/>
    </xf>
    <xf numFmtId="0" fontId="34" fillId="31" borderId="68" xfId="0" applyFont="1" applyFill="1" applyBorder="1" applyAlignment="1">
      <alignment horizontal="left" vertical="center"/>
    </xf>
    <xf numFmtId="0" fontId="34" fillId="31" borderId="12" xfId="0" applyFont="1" applyFill="1" applyBorder="1" applyAlignment="1">
      <alignment horizontal="left" vertical="center"/>
    </xf>
    <xf numFmtId="1" fontId="34" fillId="31" borderId="1" xfId="0" applyNumberFormat="1" applyFont="1" applyFill="1" applyBorder="1" applyAlignment="1">
      <alignment horizontal="left" vertical="center"/>
    </xf>
    <xf numFmtId="0" fontId="34" fillId="31" borderId="1" xfId="0" applyFont="1" applyFill="1" applyBorder="1" applyAlignment="1">
      <alignment horizontal="left" vertical="center"/>
    </xf>
    <xf numFmtId="170" fontId="34" fillId="31" borderId="1" xfId="0" applyNumberFormat="1" applyFont="1" applyFill="1" applyBorder="1" applyAlignment="1">
      <alignment horizontal="left" vertical="center"/>
    </xf>
    <xf numFmtId="1" fontId="34" fillId="31" borderId="55" xfId="0" applyNumberFormat="1" applyFont="1" applyFill="1" applyBorder="1" applyAlignment="1">
      <alignment horizontal="left" vertical="center"/>
    </xf>
    <xf numFmtId="0" fontId="34" fillId="31" borderId="69" xfId="0" applyFont="1" applyFill="1" applyBorder="1" applyAlignment="1">
      <alignment horizontal="left" vertical="center"/>
    </xf>
    <xf numFmtId="0" fontId="34" fillId="31" borderId="12" xfId="0" applyFont="1" applyFill="1" applyBorder="1" applyAlignment="1">
      <alignment vertical="center"/>
    </xf>
    <xf numFmtId="1" fontId="34" fillId="31" borderId="1" xfId="0" applyNumberFormat="1" applyFont="1" applyFill="1" applyBorder="1" applyAlignment="1">
      <alignment vertical="center"/>
    </xf>
    <xf numFmtId="0" fontId="34" fillId="31" borderId="1" xfId="0" applyFont="1" applyFill="1" applyBorder="1" applyAlignment="1">
      <alignment vertical="center"/>
    </xf>
    <xf numFmtId="170" fontId="34" fillId="31" borderId="1" xfId="0" applyNumberFormat="1" applyFont="1" applyFill="1" applyBorder="1" applyAlignment="1">
      <alignment vertical="center"/>
    </xf>
    <xf numFmtId="1" fontId="34" fillId="31" borderId="55" xfId="0" applyNumberFormat="1" applyFont="1" applyFill="1" applyBorder="1" applyAlignment="1">
      <alignment vertical="center"/>
    </xf>
    <xf numFmtId="0" fontId="0" fillId="0" borderId="0" xfId="0" applyAlignment="1">
      <alignment vertical="center"/>
    </xf>
    <xf numFmtId="0" fontId="34" fillId="31" borderId="68" xfId="0" applyFont="1" applyFill="1" applyBorder="1" applyAlignment="1">
      <alignment vertical="center"/>
    </xf>
    <xf numFmtId="0" fontId="34" fillId="31" borderId="69" xfId="0" applyFont="1" applyFill="1" applyBorder="1" applyAlignment="1">
      <alignment vertical="center"/>
    </xf>
    <xf numFmtId="0" fontId="0" fillId="0" borderId="1" xfId="0" applyBorder="1" applyAlignment="1">
      <alignment wrapText="1"/>
    </xf>
    <xf numFmtId="0" fontId="5" fillId="0" borderId="1" xfId="0" applyFont="1" applyBorder="1" applyAlignment="1">
      <alignment wrapText="1"/>
    </xf>
    <xf numFmtId="0" fontId="69" fillId="0" borderId="47" xfId="0" applyFont="1" applyBorder="1" applyAlignment="1">
      <alignment horizontal="center" vertical="center" wrapText="1"/>
    </xf>
    <xf numFmtId="0" fontId="69" fillId="0" borderId="0" xfId="0" applyFont="1" applyAlignment="1">
      <alignment horizontal="center" vertical="center" wrapText="1"/>
    </xf>
    <xf numFmtId="0" fontId="64" fillId="0" borderId="76" xfId="0" applyFont="1" applyBorder="1" applyAlignment="1">
      <alignment horizontal="center" vertical="center" wrapText="1"/>
    </xf>
    <xf numFmtId="0" fontId="64" fillId="0" borderId="77" xfId="0" applyFont="1" applyBorder="1" applyAlignment="1">
      <alignment horizontal="center" vertical="center" wrapText="1"/>
    </xf>
    <xf numFmtId="0" fontId="70" fillId="0" borderId="1" xfId="0" applyFont="1" applyBorder="1" applyAlignment="1">
      <alignment horizontal="center" vertical="center" wrapText="1"/>
    </xf>
    <xf numFmtId="170" fontId="70" fillId="0" borderId="1" xfId="0" applyNumberFormat="1" applyFont="1" applyBorder="1" applyAlignment="1">
      <alignment horizontal="center" vertical="center" wrapText="1"/>
    </xf>
    <xf numFmtId="0" fontId="69" fillId="0" borderId="1" xfId="0" applyFont="1" applyBorder="1" applyAlignment="1">
      <alignment horizontal="center" vertical="center" wrapText="1"/>
    </xf>
    <xf numFmtId="17" fontId="64" fillId="0" borderId="1" xfId="0" applyNumberFormat="1" applyFont="1" applyBorder="1" applyAlignment="1">
      <alignment horizontal="center" vertical="center" wrapText="1"/>
    </xf>
    <xf numFmtId="0" fontId="64" fillId="0" borderId="1" xfId="0" applyFont="1" applyBorder="1" applyAlignment="1">
      <alignment horizontal="center" vertical="center" wrapText="1"/>
    </xf>
    <xf numFmtId="0" fontId="70" fillId="0" borderId="0" xfId="0" applyFont="1" applyAlignment="1">
      <alignment horizontal="center" vertical="center" wrapText="1"/>
    </xf>
    <xf numFmtId="166" fontId="0" fillId="19" borderId="0" xfId="0" applyNumberFormat="1" applyFill="1" applyAlignment="1">
      <alignment horizontal="center" vertical="center" wrapText="1"/>
    </xf>
    <xf numFmtId="0" fontId="71" fillId="31" borderId="38" xfId="0" applyFont="1" applyFill="1" applyBorder="1"/>
    <xf numFmtId="0" fontId="72" fillId="0" borderId="78" xfId="0" applyFont="1" applyBorder="1" applyAlignment="1">
      <alignment horizontal="center" vertical="center"/>
    </xf>
    <xf numFmtId="170" fontId="57" fillId="0" borderId="1" xfId="0" applyNumberFormat="1" applyFont="1" applyBorder="1" applyAlignment="1">
      <alignment horizontal="center" vertical="center"/>
    </xf>
    <xf numFmtId="171" fontId="0" fillId="27" borderId="0" xfId="0" applyNumberFormat="1" applyFill="1" applyAlignment="1">
      <alignment horizontal="center" vertical="center" wrapText="1"/>
    </xf>
    <xf numFmtId="166" fontId="0" fillId="19" borderId="11" xfId="0" applyNumberFormat="1" applyFill="1" applyBorder="1" applyAlignment="1">
      <alignment horizontal="center" vertical="center" wrapText="1"/>
    </xf>
    <xf numFmtId="0" fontId="0" fillId="6" borderId="12" xfId="0" applyFill="1" applyBorder="1" applyAlignment="1">
      <alignment horizontal="center" vertical="center" wrapText="1"/>
    </xf>
    <xf numFmtId="0" fontId="39" fillId="0" borderId="79" xfId="0" applyFont="1" applyBorder="1" applyAlignment="1">
      <alignment horizontal="center" vertical="center" wrapText="1"/>
    </xf>
    <xf numFmtId="0" fontId="71" fillId="39" borderId="0" xfId="0" applyFont="1" applyFill="1"/>
    <xf numFmtId="0" fontId="0" fillId="19" borderId="12" xfId="0" applyFill="1" applyBorder="1" applyAlignment="1">
      <alignment horizontal="left" vertical="top"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34" fillId="0" borderId="59" xfId="0" applyFont="1" applyBorder="1" applyAlignment="1">
      <alignment horizontal="left" wrapText="1"/>
    </xf>
    <xf numFmtId="0" fontId="5" fillId="0" borderId="1" xfId="0" applyFont="1" applyBorder="1" applyAlignment="1">
      <alignment horizontal="center" vertical="center"/>
    </xf>
    <xf numFmtId="0" fontId="24" fillId="0" borderId="31" xfId="0" applyFont="1" applyBorder="1" applyAlignment="1">
      <alignment horizontal="center" vertical="center" wrapText="1" readingOrder="1"/>
    </xf>
    <xf numFmtId="0" fontId="24" fillId="0" borderId="32" xfId="0" applyFont="1" applyBorder="1" applyAlignment="1">
      <alignment horizontal="center" vertical="center" wrapText="1" readingOrder="1"/>
    </xf>
    <xf numFmtId="0" fontId="24" fillId="0" borderId="33" xfId="0" applyFont="1" applyBorder="1" applyAlignment="1">
      <alignment horizontal="center" vertical="center" wrapText="1" readingOrder="1"/>
    </xf>
    <xf numFmtId="0" fontId="0" fillId="7" borderId="0" xfId="0" applyFill="1" applyAlignment="1">
      <alignment horizontal="center" vertical="center"/>
    </xf>
    <xf numFmtId="0" fontId="0" fillId="7" borderId="1" xfId="0" applyFill="1" applyBorder="1" applyAlignment="1">
      <alignment horizontal="center" vertical="center" wrapText="1"/>
    </xf>
    <xf numFmtId="0" fontId="5" fillId="19" borderId="1" xfId="0" applyFont="1" applyFill="1" applyBorder="1" applyAlignment="1">
      <alignment horizontal="center" vertical="center" wrapText="1"/>
    </xf>
    <xf numFmtId="0" fontId="42"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19" borderId="10" xfId="0" applyFill="1" applyBorder="1" applyAlignment="1">
      <alignment horizontal="left" vertical="top" wrapText="1"/>
    </xf>
    <xf numFmtId="0" fontId="0" fillId="19" borderId="11" xfId="0" applyFill="1" applyBorder="1" applyAlignment="1">
      <alignment horizontal="left" vertical="top" wrapText="1"/>
    </xf>
    <xf numFmtId="0" fontId="0" fillId="19" borderId="12" xfId="0" applyFill="1" applyBorder="1" applyAlignment="1">
      <alignment horizontal="left" vertical="top" wrapText="1"/>
    </xf>
    <xf numFmtId="0" fontId="5" fillId="2" borderId="67" xfId="0" applyFont="1" applyFill="1" applyBorder="1" applyAlignment="1">
      <alignment horizontal="center" vertical="center" wrapText="1"/>
    </xf>
    <xf numFmtId="0" fontId="5" fillId="2" borderId="66" xfId="0" applyFont="1" applyFill="1" applyBorder="1" applyAlignment="1">
      <alignment horizontal="center" vertical="center" wrapText="1"/>
    </xf>
    <xf numFmtId="0" fontId="5" fillId="2" borderId="38" xfId="0" applyFont="1" applyFill="1" applyBorder="1" applyAlignment="1">
      <alignment horizontal="center" vertical="center" wrapText="1"/>
    </xf>
    <xf numFmtId="0" fontId="0" fillId="8" borderId="1" xfId="0" applyFill="1" applyBorder="1" applyAlignment="1">
      <alignment horizontal="center"/>
    </xf>
    <xf numFmtId="0" fontId="0" fillId="0" borderId="0" xfId="0" applyAlignment="1">
      <alignment horizontal="center" wrapText="1"/>
    </xf>
    <xf numFmtId="0" fontId="5" fillId="6" borderId="1" xfId="0" applyFont="1" applyFill="1" applyBorder="1"/>
    <xf numFmtId="0" fontId="5" fillId="6" borderId="1" xfId="0" applyFont="1" applyFill="1" applyBorder="1" applyAlignment="1">
      <alignment horizontal="center"/>
    </xf>
    <xf numFmtId="0" fontId="0" fillId="0" borderId="1" xfId="0" applyBorder="1" applyAlignment="1">
      <alignment horizontal="center"/>
    </xf>
    <xf numFmtId="0" fontId="5" fillId="10" borderId="1" xfId="0" applyFont="1" applyFill="1" applyBorder="1" applyAlignment="1">
      <alignment horizontal="center"/>
    </xf>
    <xf numFmtId="0" fontId="0" fillId="10" borderId="1" xfId="0" applyFill="1" applyBorder="1"/>
    <xf numFmtId="0" fontId="5" fillId="11" borderId="1" xfId="0" applyFont="1" applyFill="1" applyBorder="1" applyAlignment="1">
      <alignment horizontal="center"/>
    </xf>
    <xf numFmtId="0" fontId="0" fillId="11" borderId="1" xfId="0" applyFill="1" applyBorder="1"/>
    <xf numFmtId="0" fontId="4" fillId="12" borderId="1" xfId="0" applyFont="1" applyFill="1" applyBorder="1" applyAlignment="1">
      <alignment horizontal="center"/>
    </xf>
    <xf numFmtId="0" fontId="41" fillId="0" borderId="0" xfId="0" applyFont="1" applyAlignment="1">
      <alignment horizontal="center"/>
    </xf>
    <xf numFmtId="0" fontId="0" fillId="0" borderId="0" xfId="0" applyAlignment="1">
      <alignment horizontal="center"/>
    </xf>
    <xf numFmtId="0" fontId="34" fillId="0" borderId="57" xfId="0" applyFont="1" applyBorder="1" applyAlignment="1">
      <alignment horizontal="left" wrapText="1"/>
    </xf>
    <xf numFmtId="0" fontId="34" fillId="0" borderId="53" xfId="0" applyFont="1" applyBorder="1" applyAlignment="1">
      <alignment horizontal="left" wrapText="1"/>
    </xf>
    <xf numFmtId="0" fontId="34" fillId="0" borderId="58" xfId="0" applyFont="1" applyBorder="1" applyAlignment="1">
      <alignment horizontal="left" wrapText="1"/>
    </xf>
    <xf numFmtId="0" fontId="34" fillId="0" borderId="60" xfId="0" applyFont="1" applyBorder="1" applyAlignment="1">
      <alignment horizontal="left" wrapText="1"/>
    </xf>
    <xf numFmtId="1" fontId="34" fillId="0" borderId="35" xfId="0" applyNumberFormat="1" applyFont="1" applyBorder="1" applyAlignment="1">
      <alignment horizontal="right" wrapText="1"/>
    </xf>
    <xf numFmtId="1" fontId="34" fillId="0" borderId="9" xfId="0" applyNumberFormat="1" applyFont="1" applyBorder="1" applyAlignment="1">
      <alignment horizontal="right" wrapText="1"/>
    </xf>
    <xf numFmtId="0" fontId="34" fillId="0" borderId="35" xfId="0" applyFont="1" applyBorder="1" applyAlignment="1">
      <alignment horizontal="right" wrapText="1"/>
    </xf>
    <xf numFmtId="0" fontId="34" fillId="0" borderId="9" xfId="0" applyFont="1" applyBorder="1" applyAlignment="1">
      <alignment horizontal="right" wrapText="1"/>
    </xf>
    <xf numFmtId="0" fontId="34" fillId="0" borderId="35" xfId="0" applyFont="1" applyBorder="1" applyAlignment="1">
      <alignment horizontal="left" wrapText="1"/>
    </xf>
    <xf numFmtId="0" fontId="34" fillId="0" borderId="9" xfId="0" applyFont="1" applyBorder="1" applyAlignment="1">
      <alignment horizontal="left" wrapText="1"/>
    </xf>
    <xf numFmtId="0" fontId="34" fillId="0" borderId="35" xfId="0" applyFont="1" applyBorder="1" applyAlignment="1">
      <alignment horizontal="left"/>
    </xf>
    <xf numFmtId="0" fontId="34" fillId="0" borderId="9" xfId="0" applyFont="1" applyBorder="1" applyAlignment="1">
      <alignment horizontal="left"/>
    </xf>
    <xf numFmtId="170" fontId="34" fillId="0" borderId="35" xfId="0" applyNumberFormat="1" applyFont="1" applyBorder="1" applyAlignment="1">
      <alignment horizontal="left"/>
    </xf>
    <xf numFmtId="170" fontId="34" fillId="0" borderId="9" xfId="0" applyNumberFormat="1" applyFont="1" applyBorder="1" applyAlignment="1">
      <alignment horizontal="left"/>
    </xf>
    <xf numFmtId="0" fontId="34" fillId="0" borderId="47" xfId="0" applyFont="1" applyBorder="1" applyAlignment="1">
      <alignment horizontal="center" wrapText="1"/>
    </xf>
    <xf numFmtId="0" fontId="34" fillId="0" borderId="59" xfId="0" applyFont="1" applyBorder="1" applyAlignment="1">
      <alignment horizontal="left" wrapText="1"/>
    </xf>
    <xf numFmtId="0" fontId="34" fillId="0" borderId="54" xfId="0" applyFont="1" applyBorder="1" applyAlignment="1">
      <alignment horizontal="left" wrapText="1"/>
    </xf>
    <xf numFmtId="170" fontId="34" fillId="0" borderId="35" xfId="0" applyNumberFormat="1" applyFont="1" applyBorder="1" applyAlignment="1">
      <alignment horizontal="left" wrapText="1"/>
    </xf>
    <xf numFmtId="170" fontId="34" fillId="0" borderId="9" xfId="0" applyNumberFormat="1" applyFont="1" applyBorder="1" applyAlignment="1">
      <alignment horizontal="left" wrapText="1"/>
    </xf>
    <xf numFmtId="0" fontId="61" fillId="37" borderId="73" xfId="0" applyFont="1" applyFill="1" applyBorder="1" applyAlignment="1">
      <alignment horizontal="center" vertical="center" wrapText="1"/>
    </xf>
    <xf numFmtId="0" fontId="61" fillId="34" borderId="73" xfId="0" applyFont="1" applyFill="1" applyBorder="1" applyAlignment="1">
      <alignment horizontal="center" vertical="center"/>
    </xf>
    <xf numFmtId="0" fontId="34" fillId="0" borderId="57" xfId="0" applyFont="1" applyBorder="1" applyAlignment="1">
      <alignment horizontal="left"/>
    </xf>
    <xf numFmtId="0" fontId="34" fillId="0" borderId="53" xfId="0" applyFont="1" applyBorder="1" applyAlignment="1">
      <alignment horizontal="left"/>
    </xf>
    <xf numFmtId="1" fontId="34" fillId="0" borderId="35" xfId="0" applyNumberFormat="1" applyFont="1" applyBorder="1" applyAlignment="1">
      <alignment horizontal="right"/>
    </xf>
    <xf numFmtId="1" fontId="34" fillId="0" borderId="9" xfId="0" applyNumberFormat="1" applyFont="1" applyBorder="1" applyAlignment="1">
      <alignment horizontal="right"/>
    </xf>
    <xf numFmtId="0" fontId="34" fillId="0" borderId="35" xfId="0" applyFont="1" applyBorder="1" applyAlignment="1">
      <alignment horizontal="right"/>
    </xf>
    <xf numFmtId="0" fontId="34" fillId="0" borderId="9" xfId="0" applyFont="1" applyBorder="1" applyAlignment="1">
      <alignment horizontal="right"/>
    </xf>
    <xf numFmtId="0" fontId="34" fillId="31" borderId="74" xfId="0" applyFont="1" applyFill="1" applyBorder="1" applyAlignment="1">
      <alignment horizontal="left" vertical="center"/>
    </xf>
    <xf numFmtId="0" fontId="34" fillId="31" borderId="75" xfId="0" applyFont="1" applyFill="1" applyBorder="1" applyAlignment="1">
      <alignment horizontal="left" vertical="center"/>
    </xf>
    <xf numFmtId="0" fontId="34" fillId="31" borderId="57" xfId="0" applyFont="1" applyFill="1" applyBorder="1" applyAlignment="1">
      <alignment horizontal="left" vertical="center"/>
    </xf>
    <xf numFmtId="0" fontId="34" fillId="31" borderId="53" xfId="0" applyFont="1" applyFill="1" applyBorder="1" applyAlignment="1">
      <alignment horizontal="left" vertical="center"/>
    </xf>
    <xf numFmtId="0" fontId="34" fillId="31" borderId="58" xfId="0" applyFont="1" applyFill="1" applyBorder="1" applyAlignment="1">
      <alignment horizontal="left" vertical="center"/>
    </xf>
    <xf numFmtId="0" fontId="34" fillId="31" borderId="60" xfId="0" applyFont="1" applyFill="1" applyBorder="1" applyAlignment="1">
      <alignment horizontal="left" vertical="center"/>
    </xf>
    <xf numFmtId="1" fontId="34" fillId="31" borderId="35" xfId="0" applyNumberFormat="1" applyFont="1" applyFill="1" applyBorder="1" applyAlignment="1">
      <alignment horizontal="left" vertical="center"/>
    </xf>
    <xf numFmtId="1" fontId="34" fillId="31" borderId="9" xfId="0" applyNumberFormat="1" applyFont="1" applyFill="1" applyBorder="1" applyAlignment="1">
      <alignment horizontal="left" vertical="center"/>
    </xf>
    <xf numFmtId="0" fontId="34" fillId="31" borderId="35" xfId="0" applyFont="1" applyFill="1" applyBorder="1" applyAlignment="1">
      <alignment horizontal="left" vertical="center"/>
    </xf>
    <xf numFmtId="0" fontId="34" fillId="31" borderId="9" xfId="0" applyFont="1" applyFill="1" applyBorder="1" applyAlignment="1">
      <alignment horizontal="left" vertical="center"/>
    </xf>
    <xf numFmtId="170" fontId="34" fillId="31" borderId="35" xfId="0" applyNumberFormat="1" applyFont="1" applyFill="1" applyBorder="1" applyAlignment="1">
      <alignment horizontal="left" vertical="center"/>
    </xf>
    <xf numFmtId="170" fontId="34" fillId="31" borderId="9" xfId="0" applyNumberFormat="1" applyFont="1" applyFill="1" applyBorder="1" applyAlignment="1">
      <alignment horizontal="left" vertical="center"/>
    </xf>
    <xf numFmtId="0" fontId="34" fillId="31" borderId="59" xfId="0" applyFont="1" applyFill="1" applyBorder="1" applyAlignment="1">
      <alignment horizontal="left" vertical="center"/>
    </xf>
    <xf numFmtId="0" fontId="34" fillId="31" borderId="54" xfId="0" applyFont="1" applyFill="1" applyBorder="1" applyAlignment="1">
      <alignment horizontal="left" vertical="center"/>
    </xf>
    <xf numFmtId="0" fontId="34" fillId="31" borderId="74" xfId="0" applyFont="1" applyFill="1" applyBorder="1" applyAlignment="1">
      <alignment vertical="center"/>
    </xf>
    <xf numFmtId="0" fontId="34" fillId="31" borderId="75" xfId="0" applyFont="1" applyFill="1" applyBorder="1" applyAlignment="1">
      <alignment vertical="center"/>
    </xf>
    <xf numFmtId="0" fontId="34" fillId="31" borderId="57" xfId="0" applyFont="1" applyFill="1" applyBorder="1" applyAlignment="1">
      <alignment vertical="center"/>
    </xf>
    <xf numFmtId="0" fontId="34" fillId="31" borderId="53" xfId="0" applyFont="1" applyFill="1" applyBorder="1" applyAlignment="1">
      <alignment vertical="center"/>
    </xf>
    <xf numFmtId="0" fontId="34" fillId="31" borderId="58" xfId="0" applyFont="1" applyFill="1" applyBorder="1" applyAlignment="1">
      <alignment vertical="center"/>
    </xf>
    <xf numFmtId="0" fontId="34" fillId="31" borderId="60" xfId="0" applyFont="1" applyFill="1" applyBorder="1" applyAlignment="1">
      <alignment vertical="center"/>
    </xf>
    <xf numFmtId="1" fontId="34" fillId="31" borderId="35" xfId="0" applyNumberFormat="1" applyFont="1" applyFill="1" applyBorder="1" applyAlignment="1">
      <alignment vertical="center"/>
    </xf>
    <xf numFmtId="1" fontId="34" fillId="31" borderId="9" xfId="0" applyNumberFormat="1" applyFont="1" applyFill="1" applyBorder="1" applyAlignment="1">
      <alignment vertical="center"/>
    </xf>
    <xf numFmtId="0" fontId="34" fillId="31" borderId="35" xfId="0" applyFont="1" applyFill="1" applyBorder="1" applyAlignment="1">
      <alignment vertical="center"/>
    </xf>
    <xf numFmtId="0" fontId="34" fillId="31" borderId="9" xfId="0" applyFont="1" applyFill="1" applyBorder="1" applyAlignment="1">
      <alignment vertical="center"/>
    </xf>
    <xf numFmtId="170" fontId="34" fillId="31" borderId="35" xfId="0" applyNumberFormat="1" applyFont="1" applyFill="1" applyBorder="1" applyAlignment="1">
      <alignment vertical="center"/>
    </xf>
    <xf numFmtId="170" fontId="34" fillId="31" borderId="9" xfId="0" applyNumberFormat="1" applyFont="1" applyFill="1" applyBorder="1" applyAlignment="1">
      <alignment vertical="center"/>
    </xf>
    <xf numFmtId="0" fontId="34" fillId="31" borderId="59" xfId="0" applyFont="1" applyFill="1" applyBorder="1" applyAlignment="1">
      <alignment vertical="center"/>
    </xf>
    <xf numFmtId="0" fontId="34" fillId="31" borderId="54" xfId="0" applyFont="1" applyFill="1" applyBorder="1" applyAlignment="1">
      <alignment vertical="center"/>
    </xf>
    <xf numFmtId="0" fontId="5" fillId="0" borderId="1" xfId="0" applyFont="1" applyBorder="1" applyAlignment="1">
      <alignment horizontal="center" vertical="top"/>
    </xf>
    <xf numFmtId="0" fontId="5" fillId="0" borderId="1" xfId="0" applyFont="1" applyBorder="1" applyAlignment="1">
      <alignment horizontal="center" vertical="center"/>
    </xf>
    <xf numFmtId="0" fontId="21" fillId="24" borderId="0" xfId="0" applyFont="1" applyFill="1" applyAlignment="1">
      <alignment horizontal="center" vertical="center" wrapText="1" readingOrder="1"/>
    </xf>
    <xf numFmtId="0" fontId="22" fillId="25" borderId="15" xfId="0" applyFont="1" applyFill="1" applyBorder="1" applyAlignment="1">
      <alignment horizontal="center" vertical="center" wrapText="1" readingOrder="1"/>
    </xf>
    <xf numFmtId="0" fontId="22" fillId="25" borderId="16" xfId="0" applyFont="1" applyFill="1" applyBorder="1" applyAlignment="1">
      <alignment horizontal="center" vertical="center" wrapText="1" readingOrder="1"/>
    </xf>
    <xf numFmtId="0" fontId="22" fillId="25" borderId="21" xfId="0" applyFont="1" applyFill="1" applyBorder="1" applyAlignment="1">
      <alignment horizontal="center" vertical="center" wrapText="1" readingOrder="1"/>
    </xf>
    <xf numFmtId="0" fontId="21" fillId="24" borderId="14" xfId="0" applyFont="1" applyFill="1" applyBorder="1" applyAlignment="1">
      <alignment horizontal="center" vertical="center" wrapText="1" readingOrder="1"/>
    </xf>
    <xf numFmtId="0" fontId="21" fillId="24" borderId="18" xfId="0" applyFont="1" applyFill="1" applyBorder="1" applyAlignment="1">
      <alignment horizontal="center" vertical="center" wrapText="1" readingOrder="1"/>
    </xf>
    <xf numFmtId="0" fontId="21" fillId="24" borderId="20" xfId="0" applyFont="1" applyFill="1" applyBorder="1" applyAlignment="1">
      <alignment horizontal="center" vertical="center" wrapText="1" readingOrder="1"/>
    </xf>
    <xf numFmtId="0" fontId="22" fillId="25" borderId="30" xfId="0" applyFont="1" applyFill="1" applyBorder="1" applyAlignment="1">
      <alignment horizontal="center" vertical="center" wrapText="1" readingOrder="1"/>
    </xf>
    <xf numFmtId="0" fontId="22" fillId="26" borderId="29" xfId="0" applyFont="1" applyFill="1" applyBorder="1" applyAlignment="1">
      <alignment horizontal="center" vertical="center" wrapText="1" readingOrder="1"/>
    </xf>
    <xf numFmtId="0" fontId="22" fillId="26" borderId="23" xfId="0" applyFont="1" applyFill="1" applyBorder="1" applyAlignment="1">
      <alignment horizontal="center" vertical="center" wrapText="1" readingOrder="1"/>
    </xf>
    <xf numFmtId="0" fontId="22" fillId="26" borderId="24" xfId="0" applyFont="1" applyFill="1" applyBorder="1" applyAlignment="1">
      <alignment horizontal="center" vertical="center" wrapText="1" readingOrder="1"/>
    </xf>
    <xf numFmtId="0" fontId="22" fillId="26" borderId="25" xfId="0" applyFont="1" applyFill="1" applyBorder="1" applyAlignment="1">
      <alignment horizontal="center" vertical="center" wrapText="1" readingOrder="1"/>
    </xf>
    <xf numFmtId="0" fontId="22" fillId="26" borderId="26" xfId="0" applyFont="1" applyFill="1" applyBorder="1" applyAlignment="1">
      <alignment horizontal="center" vertical="center" wrapText="1" readingOrder="1"/>
    </xf>
    <xf numFmtId="0" fontId="22" fillId="26" borderId="28" xfId="0" applyFont="1" applyFill="1" applyBorder="1" applyAlignment="1">
      <alignment horizontal="center" vertical="center" wrapText="1" readingOrder="1"/>
    </xf>
    <xf numFmtId="0" fontId="22" fillId="26" borderId="27" xfId="0" applyFont="1" applyFill="1" applyBorder="1" applyAlignment="1">
      <alignment horizontal="center" vertical="center" wrapText="1" readingOrder="1"/>
    </xf>
    <xf numFmtId="0" fontId="21" fillId="24" borderId="22" xfId="0" applyFont="1" applyFill="1" applyBorder="1" applyAlignment="1">
      <alignment horizontal="center" vertical="center" wrapText="1" readingOrder="1"/>
    </xf>
    <xf numFmtId="0" fontId="21" fillId="24" borderId="23" xfId="0" applyFont="1" applyFill="1" applyBorder="1" applyAlignment="1">
      <alignment horizontal="center" vertical="center" wrapText="1" readingOrder="1"/>
    </xf>
    <xf numFmtId="0" fontId="21" fillId="24" borderId="24" xfId="0" applyFont="1" applyFill="1" applyBorder="1" applyAlignment="1">
      <alignment horizontal="center" vertical="center" wrapText="1" readingOrder="1"/>
    </xf>
    <xf numFmtId="0" fontId="22" fillId="26" borderId="13" xfId="0" applyFont="1" applyFill="1" applyBorder="1" applyAlignment="1">
      <alignment horizontal="center" vertical="center" wrapText="1" readingOrder="1"/>
    </xf>
    <xf numFmtId="0" fontId="22" fillId="25" borderId="22" xfId="0" applyFont="1" applyFill="1" applyBorder="1" applyAlignment="1">
      <alignment horizontal="center" vertical="center" wrapText="1" readingOrder="1"/>
    </xf>
    <xf numFmtId="0" fontId="22" fillId="25" borderId="23" xfId="0" applyFont="1" applyFill="1" applyBorder="1" applyAlignment="1">
      <alignment horizontal="center" vertical="center" wrapText="1" readingOrder="1"/>
    </xf>
    <xf numFmtId="0" fontId="22" fillId="25" borderId="24" xfId="0" applyFont="1" applyFill="1" applyBorder="1" applyAlignment="1">
      <alignment horizontal="center" vertical="center" wrapText="1" readingOrder="1"/>
    </xf>
    <xf numFmtId="0" fontId="21" fillId="24" borderId="13" xfId="0" applyFont="1" applyFill="1" applyBorder="1" applyAlignment="1">
      <alignment horizontal="center" vertical="center" wrapText="1" readingOrder="1"/>
    </xf>
    <xf numFmtId="0" fontId="22" fillId="25" borderId="13" xfId="0" applyFont="1" applyFill="1" applyBorder="1" applyAlignment="1">
      <alignment horizontal="center" vertical="center" wrapText="1" readingOrder="1"/>
    </xf>
    <xf numFmtId="0" fontId="24" fillId="0" borderId="31" xfId="0" applyFont="1" applyBorder="1" applyAlignment="1">
      <alignment horizontal="center" vertical="center" wrapText="1" readingOrder="1"/>
    </xf>
    <xf numFmtId="0" fontId="24" fillId="0" borderId="32" xfId="0" applyFont="1" applyBorder="1" applyAlignment="1">
      <alignment horizontal="center" vertical="center" wrapText="1" readingOrder="1"/>
    </xf>
    <xf numFmtId="0" fontId="24" fillId="0" borderId="33" xfId="0" applyFont="1" applyBorder="1" applyAlignment="1">
      <alignment horizontal="center" vertical="center" wrapText="1" readingOrder="1"/>
    </xf>
    <xf numFmtId="0" fontId="24" fillId="2" borderId="0" xfId="0" applyFont="1" applyFill="1" applyAlignment="1">
      <alignment horizontal="center" vertical="center" wrapText="1" readingOrder="1"/>
    </xf>
    <xf numFmtId="0" fontId="16" fillId="21" borderId="2" xfId="0" applyFont="1" applyFill="1" applyBorder="1" applyAlignment="1">
      <alignment horizontal="center" vertical="center"/>
    </xf>
    <xf numFmtId="0" fontId="16" fillId="21" borderId="3" xfId="0" applyFont="1" applyFill="1" applyBorder="1" applyAlignment="1">
      <alignment horizontal="center" vertical="center"/>
    </xf>
    <xf numFmtId="0" fontId="16" fillId="21" borderId="4" xfId="0" applyFont="1" applyFill="1" applyBorder="1" applyAlignment="1">
      <alignment horizontal="center" vertical="center"/>
    </xf>
    <xf numFmtId="0" fontId="16" fillId="21" borderId="5" xfId="0" applyFont="1" applyFill="1" applyBorder="1" applyAlignment="1">
      <alignment horizontal="center" vertical="center"/>
    </xf>
    <xf numFmtId="0" fontId="16" fillId="21" borderId="6" xfId="0" applyFont="1" applyFill="1" applyBorder="1" applyAlignment="1">
      <alignment horizontal="center" vertical="center"/>
    </xf>
    <xf numFmtId="0" fontId="16" fillId="21" borderId="7" xfId="0" applyFont="1" applyFill="1" applyBorder="1" applyAlignment="1">
      <alignment horizontal="center" vertical="center"/>
    </xf>
    <xf numFmtId="0" fontId="16" fillId="21" borderId="8" xfId="0" applyFont="1" applyFill="1" applyBorder="1" applyAlignment="1">
      <alignment horizontal="center" vertical="center"/>
    </xf>
    <xf numFmtId="0" fontId="0" fillId="7" borderId="0" xfId="0" applyFill="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17" borderId="1" xfId="0" applyFill="1" applyBorder="1" applyAlignment="1">
      <alignment horizontal="center" vertical="center"/>
    </xf>
    <xf numFmtId="0" fontId="0" fillId="0" borderId="1" xfId="0" applyBorder="1" applyAlignment="1">
      <alignment horizontal="center" vertical="center" wrapText="1"/>
    </xf>
    <xf numFmtId="0" fontId="42" fillId="0" borderId="1" xfId="0" applyFont="1" applyBorder="1" applyAlignment="1">
      <alignment horizontal="center" vertical="center" wrapText="1"/>
    </xf>
    <xf numFmtId="0" fontId="5" fillId="19"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5" fillId="0" borderId="10" xfId="0" applyFont="1" applyBorder="1" applyAlignment="1">
      <alignment horizontal="left" vertical="center" wrapText="1"/>
    </xf>
    <xf numFmtId="0" fontId="55" fillId="0" borderId="11" xfId="0" applyFont="1" applyBorder="1" applyAlignment="1">
      <alignment horizontal="left" vertical="center" wrapText="1"/>
    </xf>
    <xf numFmtId="0" fontId="55" fillId="0" borderId="12" xfId="0" applyFont="1" applyBorder="1" applyAlignment="1">
      <alignment horizontal="left" vertical="center" wrapText="1"/>
    </xf>
  </cellXfs>
  <cellStyles count="2">
    <cellStyle name="Normal" xfId="0" builtinId="0"/>
    <cellStyle name="Normal 2" xfId="1" xr:uid="{00000000-0005-0000-0000-000001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FF3300"/>
      <color rgb="FFFF99FF"/>
      <color rgb="FFFF66FF"/>
      <color rgb="FF0099FF"/>
      <color rgb="FF99CCFF"/>
      <color rgb="FF000099"/>
      <color rgb="FF0066FF"/>
      <color rgb="FFBF95D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TEPHEN NAGLE" id="{62E18B43-2220-428E-991D-1D2592D43BD1}" userId="" providerId=""/>
  <person displayName="NINO DAN MERCADO" id="{AAE72B2D-B0C7-4CEC-898D-819D69DE72E4}" userId="S::Dan.Mercado@ph.ibm.com::4471fc52-481f-45b2-bbf6-faf2a49a93e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2" dT="2020-05-21T09:25:00.16" personId="{AAE72B2D-B0C7-4CEC-898D-819D69DE72E4}" id="{4C172262-11B1-4C99-B115-AA54691C62CA}">
    <text>Class Code generated while setting up the class in CRC, same as Instance Number</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0-05-21T09:25:00.16" personId="{AAE72B2D-B0C7-4CEC-898D-819D69DE72E4}" id="{17714357-1D83-47EA-AF84-B689C8F71EC7}">
    <text>Class Code generated while setting up the class in CRC, same as Instance Number</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0-05-21T09:25:00.16" personId="{AAE72B2D-B0C7-4CEC-898D-819D69DE72E4}" id="{7C68D0C8-63DF-48EA-A6EF-BB5B87D85A62}">
    <text>Class Code generated while setting up the class in CRC, same as Instance Number</text>
  </threadedComment>
  <threadedComment ref="M16" dT="2023-05-04T13:13:32.02" personId="{62E18B43-2220-428E-991D-1D2592D43BD1}" id="{0C723A66-DAB1-4CDD-973F-AF7E1AD22150}">
    <text>Class was cancelled</text>
  </threadedComment>
  <threadedComment ref="M17" dT="2023-05-04T13:13:35.65" personId="{62E18B43-2220-428E-991D-1D2592D43BD1}" id="{D5BA9046-43FA-4FD8-8B5E-7D845D4D0BC5}">
    <text>Class was cancelled</text>
  </threadedComment>
  <threadedComment ref="M96" dT="2023-05-30T12:20:41.36" personId="{62E18B43-2220-428E-991D-1D2592D43BD1}" id="{04510AEB-F10F-43C3-8556-452DE859C14D}">
    <text>No Interns were hired at the CIC for this cohort.</text>
  </threadedComment>
  <threadedComment ref="E108" dT="2023-05-30T12:26:19.51" personId="{62E18B43-2220-428E-991D-1D2592D43BD1}" id="{C996AFEA-74E3-49E1-876D-ADA747F0B814}">
    <text xml:space="preserve">These individuals were slated to start on 5/1 but were pushed to 5/8. It was decided to place these individuals into the 5/22 onboarding class so they could get the same experience as the 5/1 interns.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G477"/>
  <sheetViews>
    <sheetView tabSelected="1" topLeftCell="B1" zoomScale="90" zoomScaleNormal="90" workbookViewId="0">
      <pane xSplit="1" ySplit="2" topLeftCell="C3" activePane="bottomRight" state="frozen"/>
      <selection pane="topRight" activeCell="C2" sqref="C2"/>
      <selection pane="bottomLeft" activeCell="B3" sqref="B3"/>
      <selection pane="bottomRight" activeCell="B2" sqref="B2"/>
    </sheetView>
  </sheetViews>
  <sheetFormatPr defaultColWidth="9.453125" defaultRowHeight="14.5"/>
  <cols>
    <col min="1" max="1" width="31.453125" style="283" bestFit="1" customWidth="1"/>
    <col min="2" max="2" width="51.453125" style="283" bestFit="1" customWidth="1"/>
    <col min="3" max="3" width="49.453125" style="283" bestFit="1" customWidth="1"/>
    <col min="4" max="4" width="48.453125" style="283" bestFit="1" customWidth="1"/>
    <col min="5" max="5" width="15.453125" style="283" customWidth="1"/>
    <col min="6" max="6" width="20.453125" style="282" customWidth="1"/>
    <col min="7" max="7" width="19.453125" style="283" customWidth="1"/>
    <col min="8" max="8" width="23.453125" style="284" customWidth="1"/>
    <col min="9" max="9" width="19.453125" style="282" customWidth="1"/>
    <col min="10" max="10" width="16.453125" style="284" customWidth="1"/>
    <col min="11" max="11" width="24.453125" style="282" customWidth="1"/>
    <col min="12" max="12" width="19.453125" style="282" customWidth="1"/>
    <col min="13" max="13" width="25.453125" style="282" customWidth="1"/>
    <col min="14" max="14" width="19.453125" style="282" customWidth="1"/>
    <col min="15" max="15" width="14.453125" style="282" customWidth="1"/>
    <col min="16" max="16" width="18.453125" style="282" customWidth="1"/>
    <col min="17" max="17" width="10.453125" style="283" customWidth="1"/>
    <col min="18" max="18" width="51.453125" style="283" bestFit="1" customWidth="1"/>
    <col min="19" max="19" width="16.453125" style="283" customWidth="1"/>
    <col min="20" max="20" width="17.453125" style="283" customWidth="1"/>
    <col min="21" max="21" width="15.453125" style="282" customWidth="1"/>
    <col min="22" max="22" width="15.453125" style="285" customWidth="1"/>
    <col min="23" max="25" width="15.453125" style="283" customWidth="1"/>
    <col min="26" max="26" width="17.453125" style="283" customWidth="1"/>
    <col min="27" max="27" width="20.453125" style="283" customWidth="1"/>
    <col min="28" max="28" width="18.453125" style="283" customWidth="1"/>
    <col min="29" max="29" width="19.453125" style="283" customWidth="1"/>
    <col min="30" max="32" width="15.453125" style="283" customWidth="1"/>
    <col min="33" max="33" width="17.453125" style="283" customWidth="1"/>
    <col min="34" max="37" width="15.453125" style="283" customWidth="1"/>
    <col min="38" max="38" width="35.453125" style="286" customWidth="1"/>
    <col min="39" max="39" width="46.453125" style="283" customWidth="1"/>
    <col min="40" max="40" width="20.453125" style="283" customWidth="1"/>
    <col min="41" max="41" width="9.453125" style="283"/>
    <col min="42" max="43" width="9.453125" style="283" customWidth="1"/>
    <col min="44" max="49" width="9.453125" style="12" customWidth="1"/>
    <col min="50" max="51" width="10.453125" style="12" customWidth="1"/>
    <col min="52" max="52" width="17.453125" style="85" customWidth="1"/>
    <col min="53" max="53" width="9.453125" style="12" customWidth="1"/>
    <col min="54" max="54" width="10.453125" style="12" customWidth="1"/>
    <col min="55" max="57" width="9.453125" style="12" customWidth="1"/>
    <col min="58" max="58" width="9.453125" style="283" customWidth="1"/>
    <col min="59" max="16384" width="9.453125" style="283"/>
  </cols>
  <sheetData>
    <row r="1" spans="1:58">
      <c r="A1" s="277"/>
      <c r="B1" s="278" t="s">
        <v>0</v>
      </c>
      <c r="C1" s="279" t="s">
        <v>1</v>
      </c>
      <c r="D1" s="280" t="s">
        <v>2</v>
      </c>
      <c r="E1" s="281" t="s">
        <v>3</v>
      </c>
    </row>
    <row r="2" spans="1:58" s="309" customFormat="1" ht="93" customHeight="1">
      <c r="A2" s="310" t="s">
        <v>4</v>
      </c>
      <c r="B2" s="311" t="s">
        <v>5</v>
      </c>
      <c r="C2" s="311" t="s">
        <v>6</v>
      </c>
      <c r="D2" s="312" t="s">
        <v>7</v>
      </c>
      <c r="E2" s="311" t="s">
        <v>8</v>
      </c>
      <c r="F2" s="312" t="s">
        <v>9</v>
      </c>
      <c r="G2" s="312" t="s">
        <v>10</v>
      </c>
      <c r="H2" s="313" t="s">
        <v>11</v>
      </c>
      <c r="I2" s="311" t="s">
        <v>12</v>
      </c>
      <c r="J2" s="313" t="s">
        <v>13</v>
      </c>
      <c r="K2" s="311" t="s">
        <v>14</v>
      </c>
      <c r="L2" s="311" t="s">
        <v>15</v>
      </c>
      <c r="M2" s="311" t="s">
        <v>16</v>
      </c>
      <c r="N2" s="311" t="s">
        <v>17</v>
      </c>
      <c r="O2" s="311" t="s">
        <v>18</v>
      </c>
      <c r="P2" s="311" t="s">
        <v>19</v>
      </c>
      <c r="Q2" s="314" t="s">
        <v>20</v>
      </c>
      <c r="R2" s="312" t="s">
        <v>21</v>
      </c>
      <c r="S2" s="311" t="s">
        <v>22</v>
      </c>
      <c r="T2" s="311" t="s">
        <v>23</v>
      </c>
      <c r="U2" s="312" t="s">
        <v>24</v>
      </c>
      <c r="V2" s="312" t="s">
        <v>25</v>
      </c>
      <c r="W2" s="311" t="s">
        <v>26</v>
      </c>
      <c r="X2" s="311" t="s">
        <v>27</v>
      </c>
      <c r="Y2" s="311" t="s">
        <v>28</v>
      </c>
      <c r="Z2" s="312" t="s">
        <v>29</v>
      </c>
      <c r="AA2" s="311" t="s">
        <v>30</v>
      </c>
      <c r="AB2" s="311" t="s">
        <v>31</v>
      </c>
      <c r="AC2" s="311" t="s">
        <v>32</v>
      </c>
      <c r="AD2" s="311" t="s">
        <v>33</v>
      </c>
      <c r="AE2" s="311" t="s">
        <v>34</v>
      </c>
      <c r="AF2" s="311" t="s">
        <v>35</v>
      </c>
      <c r="AG2" s="312" t="s">
        <v>36</v>
      </c>
      <c r="AH2" s="312" t="s">
        <v>37</v>
      </c>
      <c r="AI2" s="311" t="s">
        <v>38</v>
      </c>
      <c r="AJ2" s="311" t="s">
        <v>39</v>
      </c>
      <c r="AK2" s="311" t="s">
        <v>40</v>
      </c>
      <c r="AL2" s="312" t="s">
        <v>41</v>
      </c>
      <c r="AM2" s="314" t="s">
        <v>42</v>
      </c>
      <c r="AN2" s="309" t="s">
        <v>43</v>
      </c>
      <c r="AR2" s="307"/>
      <c r="AS2" s="307"/>
      <c r="AT2" s="307"/>
      <c r="AU2" s="543"/>
      <c r="AV2" s="544"/>
      <c r="AW2" s="544"/>
      <c r="AX2" s="545"/>
      <c r="AY2" s="521"/>
      <c r="AZ2" s="308"/>
      <c r="BA2" s="307"/>
      <c r="BB2" s="307"/>
      <c r="BC2" s="307"/>
      <c r="BD2" s="307"/>
    </row>
    <row r="3" spans="1:58" s="114" customFormat="1" ht="154">
      <c r="A3" s="122"/>
      <c r="B3" s="120" t="s">
        <v>44</v>
      </c>
      <c r="C3" s="120"/>
      <c r="D3" s="117">
        <v>10096012</v>
      </c>
      <c r="E3" s="120"/>
      <c r="F3" s="117" t="s">
        <v>45</v>
      </c>
      <c r="G3" s="118">
        <v>44186</v>
      </c>
      <c r="H3" s="130">
        <v>44200</v>
      </c>
      <c r="I3" s="118">
        <v>44214</v>
      </c>
      <c r="J3" s="119">
        <v>44215</v>
      </c>
      <c r="K3" s="118">
        <v>44270</v>
      </c>
      <c r="L3" s="118">
        <v>44271</v>
      </c>
      <c r="M3" s="118" t="s">
        <v>46</v>
      </c>
      <c r="N3" s="118" t="s">
        <v>46</v>
      </c>
      <c r="O3" s="118"/>
      <c r="P3" s="118"/>
      <c r="Q3" s="120" t="s">
        <v>47</v>
      </c>
      <c r="R3" s="120" t="s">
        <v>48</v>
      </c>
      <c r="S3" s="120">
        <f t="shared" ref="S3:S15" si="0">U3+V3</f>
        <v>79</v>
      </c>
      <c r="T3" s="120">
        <v>79</v>
      </c>
      <c r="U3" s="120">
        <v>0</v>
      </c>
      <c r="V3" s="120">
        <v>79</v>
      </c>
      <c r="W3" s="120"/>
      <c r="X3" s="120" t="s">
        <v>49</v>
      </c>
      <c r="Y3" s="120"/>
      <c r="Z3" s="120" t="s">
        <v>50</v>
      </c>
      <c r="AA3" s="120" t="s">
        <v>51</v>
      </c>
      <c r="AB3" s="120" t="s">
        <v>50</v>
      </c>
      <c r="AC3" s="120" t="s">
        <v>46</v>
      </c>
      <c r="AD3" s="120" t="s">
        <v>52</v>
      </c>
      <c r="AE3" s="120" t="s">
        <v>52</v>
      </c>
      <c r="AF3" s="120" t="s">
        <v>52</v>
      </c>
      <c r="AG3" s="120" t="s">
        <v>53</v>
      </c>
      <c r="AH3" s="120" t="s">
        <v>54</v>
      </c>
      <c r="AI3" s="120" t="s">
        <v>46</v>
      </c>
      <c r="AJ3" s="120"/>
      <c r="AK3" s="120"/>
      <c r="AL3" s="120" t="s">
        <v>55</v>
      </c>
      <c r="AM3" s="120"/>
      <c r="AN3" s="120"/>
      <c r="AR3" s="121">
        <f t="shared" ref="AR3:AR66" si="1">COUNTIF(B:B,B3)</f>
        <v>1</v>
      </c>
      <c r="AS3" s="121" t="str">
        <f t="shared" ref="AS3" si="2">IFERROR(RIGHT(B3,16-SEARCH("_", B3)),0)</f>
        <v>2021_01_04_a</v>
      </c>
      <c r="AT3" s="122"/>
      <c r="AU3" s="121" t="str">
        <f t="shared" ref="AU3" si="3">LEFT(AS3,4)</f>
        <v>2021</v>
      </c>
      <c r="AV3" s="121" t="str">
        <f t="shared" ref="AV3" si="4">MID(AS3,6,2)</f>
        <v>01</v>
      </c>
      <c r="AW3" s="121" t="str">
        <f t="shared" ref="AW3" si="5">MID(AS3,9,2)</f>
        <v>04</v>
      </c>
      <c r="AX3" s="121">
        <f t="shared" ref="AX3" si="6">IFERROR(DATE(AU3,AV3,AW3)," ")</f>
        <v>44200</v>
      </c>
      <c r="AY3" s="123"/>
      <c r="AZ3" s="124">
        <f t="shared" ref="AZ3" si="7">H3</f>
        <v>44200</v>
      </c>
      <c r="BA3" s="121" t="b">
        <f t="shared" ref="BA3" si="8">IF(AX3=" "," ",AX3=AZ3)</f>
        <v>1</v>
      </c>
      <c r="BB3" s="121">
        <f t="shared" ref="BB3" si="9">IF(BC3="YES"," ",AZ3)</f>
        <v>44200</v>
      </c>
      <c r="BC3" s="121" t="str">
        <f t="shared" ref="BC3" si="10">IF(AM3="Apprentice","yes","no")</f>
        <v>no</v>
      </c>
      <c r="BD3" s="121" t="b">
        <f t="shared" ref="BD3" si="11">IF(OR(U3&lt;&gt;"0", V3&lt;&gt;"0"),U3=V3," ")</f>
        <v>0</v>
      </c>
      <c r="BE3" s="125" t="s">
        <v>56</v>
      </c>
      <c r="BF3" s="122"/>
    </row>
    <row r="4" spans="1:58" s="114" customFormat="1" ht="154">
      <c r="A4" s="122"/>
      <c r="B4" s="120" t="s">
        <v>57</v>
      </c>
      <c r="C4" s="120"/>
      <c r="D4" s="131" t="s">
        <v>58</v>
      </c>
      <c r="E4" s="120"/>
      <c r="F4" s="117" t="s">
        <v>45</v>
      </c>
      <c r="G4" s="118" t="s">
        <v>59</v>
      </c>
      <c r="H4" s="130">
        <v>44207</v>
      </c>
      <c r="I4" s="118">
        <v>44221</v>
      </c>
      <c r="J4" s="119">
        <v>44223</v>
      </c>
      <c r="K4" s="118"/>
      <c r="L4" s="118"/>
      <c r="M4" s="118"/>
      <c r="N4" s="118"/>
      <c r="O4" s="118"/>
      <c r="P4" s="118"/>
      <c r="Q4" s="120" t="s">
        <v>47</v>
      </c>
      <c r="R4" s="120" t="s">
        <v>48</v>
      </c>
      <c r="S4" s="120">
        <f t="shared" si="0"/>
        <v>124</v>
      </c>
      <c r="T4" s="120">
        <v>124</v>
      </c>
      <c r="U4" s="120">
        <v>0</v>
      </c>
      <c r="V4" s="120">
        <v>124</v>
      </c>
      <c r="W4" s="120"/>
      <c r="X4" s="120"/>
      <c r="Y4" s="120"/>
      <c r="Z4" s="120" t="s">
        <v>50</v>
      </c>
      <c r="AA4" s="120" t="s">
        <v>51</v>
      </c>
      <c r="AB4" s="120"/>
      <c r="AC4" s="120"/>
      <c r="AD4" s="120"/>
      <c r="AE4" s="120"/>
      <c r="AF4" s="120"/>
      <c r="AG4" s="120" t="s">
        <v>53</v>
      </c>
      <c r="AH4" s="120" t="s">
        <v>54</v>
      </c>
      <c r="AI4" s="120"/>
      <c r="AJ4" s="120"/>
      <c r="AK4" s="120"/>
      <c r="AL4" s="120" t="s">
        <v>55</v>
      </c>
      <c r="AM4" s="120"/>
      <c r="AN4" s="120"/>
      <c r="AR4" s="121">
        <f t="shared" si="1"/>
        <v>1</v>
      </c>
      <c r="AS4" s="121" t="str">
        <f t="shared" ref="AS4:AS67" si="12">IFERROR(RIGHT(B4,16-SEARCH("_", B4)),0)</f>
        <v>2021_01_11_a</v>
      </c>
      <c r="AT4" s="122"/>
      <c r="AU4" s="121" t="str">
        <f t="shared" ref="AU4:AU67" si="13">LEFT(AS4,4)</f>
        <v>2021</v>
      </c>
      <c r="AV4" s="121" t="str">
        <f t="shared" ref="AV4:AV67" si="14">MID(AS4,6,2)</f>
        <v>01</v>
      </c>
      <c r="AW4" s="121" t="str">
        <f t="shared" ref="AW4:AW67" si="15">MID(AS4,9,2)</f>
        <v>11</v>
      </c>
      <c r="AX4" s="121">
        <f t="shared" ref="AX4:AX67" si="16">IFERROR(DATE(AU4,AV4,AW4)," ")</f>
        <v>44207</v>
      </c>
      <c r="AY4" s="123"/>
      <c r="AZ4" s="124">
        <f t="shared" ref="AZ4:AZ67" si="17">H4</f>
        <v>44207</v>
      </c>
      <c r="BA4" s="121" t="b">
        <f t="shared" ref="BA4:BA67" si="18">IF(AX4=" "," ",AX4=AZ4)</f>
        <v>1</v>
      </c>
      <c r="BB4" s="121">
        <f t="shared" ref="BB4:BB67" si="19">IF(BC4="YES"," ",AZ4)</f>
        <v>44207</v>
      </c>
      <c r="BC4" s="121" t="str">
        <f t="shared" ref="BC4:BC67" si="20">IF(AM4="Apprentice","yes","no")</f>
        <v>no</v>
      </c>
      <c r="BD4" s="121" t="b">
        <f t="shared" ref="BD4:BD67" si="21">IF(OR(U4&lt;&gt;"0", V4&lt;&gt;"0"),U4=V4," ")</f>
        <v>0</v>
      </c>
      <c r="BE4" s="125" t="s">
        <v>56</v>
      </c>
      <c r="BF4" s="122"/>
    </row>
    <row r="5" spans="1:58" s="114" customFormat="1" ht="154">
      <c r="A5" s="122"/>
      <c r="B5" s="120" t="s">
        <v>60</v>
      </c>
      <c r="C5" s="120"/>
      <c r="D5" s="117">
        <v>10096668</v>
      </c>
      <c r="E5" s="120"/>
      <c r="F5" s="117" t="s">
        <v>45</v>
      </c>
      <c r="G5" s="118" t="s">
        <v>61</v>
      </c>
      <c r="H5" s="130">
        <v>44214</v>
      </c>
      <c r="I5" s="118">
        <v>44228</v>
      </c>
      <c r="J5" s="119">
        <v>44229</v>
      </c>
      <c r="K5" s="118"/>
      <c r="L5" s="118"/>
      <c r="M5" s="118"/>
      <c r="N5" s="118"/>
      <c r="O5" s="118"/>
      <c r="P5" s="118"/>
      <c r="Q5" s="120" t="s">
        <v>47</v>
      </c>
      <c r="R5" s="120" t="s">
        <v>48</v>
      </c>
      <c r="S5" s="120">
        <f t="shared" si="0"/>
        <v>96</v>
      </c>
      <c r="T5" s="120">
        <v>96</v>
      </c>
      <c r="U5" s="120">
        <v>0</v>
      </c>
      <c r="V5" s="120">
        <v>96</v>
      </c>
      <c r="W5" s="120"/>
      <c r="X5" s="120"/>
      <c r="Y5" s="120"/>
      <c r="Z5" s="120" t="s">
        <v>50</v>
      </c>
      <c r="AA5" s="120" t="s">
        <v>51</v>
      </c>
      <c r="AB5" s="120"/>
      <c r="AC5" s="120"/>
      <c r="AD5" s="120"/>
      <c r="AE5" s="120"/>
      <c r="AF5" s="120"/>
      <c r="AG5" s="120" t="s">
        <v>53</v>
      </c>
      <c r="AH5" s="120" t="s">
        <v>54</v>
      </c>
      <c r="AI5" s="120"/>
      <c r="AJ5" s="120"/>
      <c r="AK5" s="120"/>
      <c r="AL5" s="120" t="s">
        <v>55</v>
      </c>
      <c r="AM5" s="120"/>
      <c r="AN5" s="120"/>
      <c r="AR5" s="121">
        <f t="shared" si="1"/>
        <v>1</v>
      </c>
      <c r="AS5" s="121" t="str">
        <f t="shared" si="12"/>
        <v>2021_01_18_a</v>
      </c>
      <c r="AT5" s="122"/>
      <c r="AU5" s="121" t="str">
        <f t="shared" si="13"/>
        <v>2021</v>
      </c>
      <c r="AV5" s="121" t="str">
        <f t="shared" si="14"/>
        <v>01</v>
      </c>
      <c r="AW5" s="121" t="str">
        <f t="shared" si="15"/>
        <v>18</v>
      </c>
      <c r="AX5" s="121">
        <f t="shared" si="16"/>
        <v>44214</v>
      </c>
      <c r="AY5" s="123"/>
      <c r="AZ5" s="124">
        <f t="shared" si="17"/>
        <v>44214</v>
      </c>
      <c r="BA5" s="121" t="b">
        <f t="shared" si="18"/>
        <v>1</v>
      </c>
      <c r="BB5" s="121">
        <f t="shared" si="19"/>
        <v>44214</v>
      </c>
      <c r="BC5" s="121" t="str">
        <f t="shared" si="20"/>
        <v>no</v>
      </c>
      <c r="BD5" s="121" t="b">
        <f t="shared" si="21"/>
        <v>0</v>
      </c>
      <c r="BE5" s="125" t="s">
        <v>56</v>
      </c>
      <c r="BF5" s="122"/>
    </row>
    <row r="6" spans="1:58" s="114" customFormat="1" ht="154">
      <c r="A6" s="122"/>
      <c r="B6" s="120" t="s">
        <v>62</v>
      </c>
      <c r="C6" s="120"/>
      <c r="D6" s="117">
        <v>10096952</v>
      </c>
      <c r="E6" s="120"/>
      <c r="F6" s="117" t="s">
        <v>45</v>
      </c>
      <c r="G6" s="118" t="s">
        <v>63</v>
      </c>
      <c r="H6" s="130">
        <v>44223</v>
      </c>
      <c r="I6" s="118">
        <v>44236</v>
      </c>
      <c r="J6" s="119">
        <v>44237</v>
      </c>
      <c r="K6" s="118"/>
      <c r="L6" s="118"/>
      <c r="M6" s="118"/>
      <c r="N6" s="118"/>
      <c r="O6" s="118"/>
      <c r="P6" s="118"/>
      <c r="Q6" s="120" t="s">
        <v>47</v>
      </c>
      <c r="R6" s="120" t="s">
        <v>48</v>
      </c>
      <c r="S6" s="120">
        <f t="shared" si="0"/>
        <v>128</v>
      </c>
      <c r="T6" s="120">
        <v>128</v>
      </c>
      <c r="U6" s="120">
        <v>0</v>
      </c>
      <c r="V6" s="120">
        <v>128</v>
      </c>
      <c r="W6" s="120"/>
      <c r="X6" s="120"/>
      <c r="Y6" s="120"/>
      <c r="Z6" s="120" t="s">
        <v>50</v>
      </c>
      <c r="AA6" s="120" t="s">
        <v>51</v>
      </c>
      <c r="AB6" s="120"/>
      <c r="AC6" s="120"/>
      <c r="AD6" s="120"/>
      <c r="AE6" s="120"/>
      <c r="AF6" s="120"/>
      <c r="AG6" s="120" t="s">
        <v>53</v>
      </c>
      <c r="AH6" s="120" t="s">
        <v>54</v>
      </c>
      <c r="AI6" s="120"/>
      <c r="AJ6" s="120"/>
      <c r="AK6" s="120"/>
      <c r="AL6" s="120" t="s">
        <v>55</v>
      </c>
      <c r="AM6" s="120"/>
      <c r="AN6" s="120"/>
      <c r="AR6" s="121">
        <f t="shared" si="1"/>
        <v>1</v>
      </c>
      <c r="AS6" s="121" t="str">
        <f t="shared" si="12"/>
        <v>2021_01_27_a</v>
      </c>
      <c r="AT6" s="122"/>
      <c r="AU6" s="121" t="str">
        <f t="shared" si="13"/>
        <v>2021</v>
      </c>
      <c r="AV6" s="121" t="str">
        <f t="shared" si="14"/>
        <v>01</v>
      </c>
      <c r="AW6" s="121" t="str">
        <f t="shared" si="15"/>
        <v>27</v>
      </c>
      <c r="AX6" s="121">
        <f t="shared" si="16"/>
        <v>44223</v>
      </c>
      <c r="AY6" s="123"/>
      <c r="AZ6" s="124">
        <f t="shared" si="17"/>
        <v>44223</v>
      </c>
      <c r="BA6" s="121" t="b">
        <f t="shared" si="18"/>
        <v>1</v>
      </c>
      <c r="BB6" s="121">
        <f t="shared" si="19"/>
        <v>44223</v>
      </c>
      <c r="BC6" s="121" t="str">
        <f t="shared" si="20"/>
        <v>no</v>
      </c>
      <c r="BD6" s="121" t="b">
        <f t="shared" si="21"/>
        <v>0</v>
      </c>
      <c r="BE6" s="125" t="s">
        <v>56</v>
      </c>
      <c r="BF6" s="122"/>
    </row>
    <row r="7" spans="1:58" s="114" customFormat="1" ht="154">
      <c r="A7" s="122"/>
      <c r="B7" s="120" t="s">
        <v>64</v>
      </c>
      <c r="C7" s="120"/>
      <c r="D7" s="117">
        <v>10096984</v>
      </c>
      <c r="E7" s="120"/>
      <c r="F7" s="117" t="s">
        <v>45</v>
      </c>
      <c r="G7" s="118" t="s">
        <v>65</v>
      </c>
      <c r="H7" s="130">
        <v>44228</v>
      </c>
      <c r="I7" s="118">
        <v>44239</v>
      </c>
      <c r="J7" s="119">
        <v>44242</v>
      </c>
      <c r="K7" s="118"/>
      <c r="L7" s="118"/>
      <c r="M7" s="118"/>
      <c r="N7" s="118"/>
      <c r="O7" s="118"/>
      <c r="P7" s="118"/>
      <c r="Q7" s="120" t="s">
        <v>47</v>
      </c>
      <c r="R7" s="120" t="s">
        <v>48</v>
      </c>
      <c r="S7" s="120">
        <f t="shared" si="0"/>
        <v>111</v>
      </c>
      <c r="T7" s="120">
        <v>111</v>
      </c>
      <c r="U7" s="120">
        <v>0</v>
      </c>
      <c r="V7" s="120">
        <v>111</v>
      </c>
      <c r="W7" s="120"/>
      <c r="X7" s="120"/>
      <c r="Y7" s="120"/>
      <c r="Z7" s="120" t="s">
        <v>50</v>
      </c>
      <c r="AA7" s="120" t="s">
        <v>51</v>
      </c>
      <c r="AB7" s="120"/>
      <c r="AC7" s="120"/>
      <c r="AD7" s="120"/>
      <c r="AE7" s="120"/>
      <c r="AF7" s="120"/>
      <c r="AG7" s="120" t="s">
        <v>53</v>
      </c>
      <c r="AH7" s="120" t="s">
        <v>54</v>
      </c>
      <c r="AI7" s="120"/>
      <c r="AJ7" s="120"/>
      <c r="AK7" s="120"/>
      <c r="AL7" s="120" t="s">
        <v>55</v>
      </c>
      <c r="AM7" s="120"/>
      <c r="AN7" s="120"/>
      <c r="AR7" s="121">
        <f t="shared" si="1"/>
        <v>1</v>
      </c>
      <c r="AS7" s="121" t="str">
        <f t="shared" si="12"/>
        <v>2021_02_01_a</v>
      </c>
      <c r="AT7" s="122"/>
      <c r="AU7" s="121" t="str">
        <f t="shared" si="13"/>
        <v>2021</v>
      </c>
      <c r="AV7" s="121" t="str">
        <f t="shared" si="14"/>
        <v>02</v>
      </c>
      <c r="AW7" s="121" t="str">
        <f t="shared" si="15"/>
        <v>01</v>
      </c>
      <c r="AX7" s="121">
        <f t="shared" si="16"/>
        <v>44228</v>
      </c>
      <c r="AY7" s="123"/>
      <c r="AZ7" s="124">
        <f t="shared" si="17"/>
        <v>44228</v>
      </c>
      <c r="BA7" s="121" t="b">
        <f t="shared" si="18"/>
        <v>1</v>
      </c>
      <c r="BB7" s="121">
        <f t="shared" si="19"/>
        <v>44228</v>
      </c>
      <c r="BC7" s="121" t="str">
        <f t="shared" si="20"/>
        <v>no</v>
      </c>
      <c r="BD7" s="121" t="b">
        <f t="shared" si="21"/>
        <v>0</v>
      </c>
      <c r="BE7" s="125" t="s">
        <v>56</v>
      </c>
      <c r="BF7" s="122"/>
    </row>
    <row r="8" spans="1:58" s="114" customFormat="1" ht="154">
      <c r="A8" s="122"/>
      <c r="B8" s="120" t="s">
        <v>66</v>
      </c>
      <c r="C8" s="120"/>
      <c r="D8" s="117">
        <v>10097345</v>
      </c>
      <c r="E8" s="120"/>
      <c r="F8" s="117" t="s">
        <v>45</v>
      </c>
      <c r="G8" s="118" t="s">
        <v>67</v>
      </c>
      <c r="H8" s="130">
        <v>44235</v>
      </c>
      <c r="I8" s="118"/>
      <c r="J8" s="119">
        <v>44249</v>
      </c>
      <c r="K8" s="118"/>
      <c r="L8" s="118"/>
      <c r="M8" s="118"/>
      <c r="N8" s="118"/>
      <c r="O8" s="118"/>
      <c r="P8" s="118"/>
      <c r="Q8" s="120" t="s">
        <v>47</v>
      </c>
      <c r="R8" s="120" t="s">
        <v>48</v>
      </c>
      <c r="S8" s="120">
        <f t="shared" si="0"/>
        <v>133</v>
      </c>
      <c r="T8" s="120">
        <v>133</v>
      </c>
      <c r="U8" s="120">
        <v>0</v>
      </c>
      <c r="V8" s="120">
        <v>133</v>
      </c>
      <c r="W8" s="120"/>
      <c r="X8" s="120"/>
      <c r="Y8" s="120"/>
      <c r="Z8" s="120" t="s">
        <v>50</v>
      </c>
      <c r="AA8" s="120"/>
      <c r="AB8" s="120"/>
      <c r="AC8" s="120"/>
      <c r="AD8" s="120"/>
      <c r="AE8" s="120"/>
      <c r="AF8" s="120"/>
      <c r="AG8" s="120" t="s">
        <v>53</v>
      </c>
      <c r="AH8" s="120" t="s">
        <v>54</v>
      </c>
      <c r="AI8" s="120"/>
      <c r="AJ8" s="120"/>
      <c r="AK8" s="120"/>
      <c r="AL8" s="120" t="s">
        <v>55</v>
      </c>
      <c r="AM8" s="120"/>
      <c r="AN8" s="120"/>
      <c r="AR8" s="121">
        <f t="shared" si="1"/>
        <v>1</v>
      </c>
      <c r="AS8" s="121" t="str">
        <f t="shared" si="12"/>
        <v>2021_02_08_a</v>
      </c>
      <c r="AT8" s="122"/>
      <c r="AU8" s="121" t="str">
        <f t="shared" si="13"/>
        <v>2021</v>
      </c>
      <c r="AV8" s="121" t="str">
        <f t="shared" si="14"/>
        <v>02</v>
      </c>
      <c r="AW8" s="121" t="str">
        <f t="shared" si="15"/>
        <v>08</v>
      </c>
      <c r="AX8" s="121">
        <f t="shared" si="16"/>
        <v>44235</v>
      </c>
      <c r="AY8" s="123"/>
      <c r="AZ8" s="124">
        <f t="shared" si="17"/>
        <v>44235</v>
      </c>
      <c r="BA8" s="121" t="b">
        <f t="shared" si="18"/>
        <v>1</v>
      </c>
      <c r="BB8" s="121">
        <f t="shared" si="19"/>
        <v>44235</v>
      </c>
      <c r="BC8" s="121" t="str">
        <f t="shared" si="20"/>
        <v>no</v>
      </c>
      <c r="BD8" s="121" t="b">
        <f t="shared" si="21"/>
        <v>0</v>
      </c>
      <c r="BE8" s="125" t="s">
        <v>56</v>
      </c>
      <c r="BF8" s="122"/>
    </row>
    <row r="9" spans="1:58" s="114" customFormat="1" ht="154">
      <c r="A9" s="122"/>
      <c r="B9" s="120" t="s">
        <v>68</v>
      </c>
      <c r="C9" s="120"/>
      <c r="D9" s="117">
        <v>10097485</v>
      </c>
      <c r="E9" s="120"/>
      <c r="F9" s="117" t="s">
        <v>45</v>
      </c>
      <c r="G9" s="118" t="s">
        <v>69</v>
      </c>
      <c r="H9" s="130">
        <v>44242</v>
      </c>
      <c r="I9" s="118"/>
      <c r="J9" s="119">
        <v>44256</v>
      </c>
      <c r="K9" s="118"/>
      <c r="L9" s="118"/>
      <c r="M9" s="118"/>
      <c r="N9" s="118"/>
      <c r="O9" s="118"/>
      <c r="P9" s="118"/>
      <c r="Q9" s="120" t="s">
        <v>47</v>
      </c>
      <c r="R9" s="120" t="s">
        <v>48</v>
      </c>
      <c r="S9" s="120">
        <f t="shared" si="0"/>
        <v>125</v>
      </c>
      <c r="T9" s="120">
        <v>125</v>
      </c>
      <c r="U9" s="120">
        <v>0</v>
      </c>
      <c r="V9" s="120">
        <v>125</v>
      </c>
      <c r="W9" s="120"/>
      <c r="X9" s="120"/>
      <c r="Y9" s="120"/>
      <c r="Z9" s="120" t="s">
        <v>50</v>
      </c>
      <c r="AA9" s="120"/>
      <c r="AB9" s="120"/>
      <c r="AC9" s="120"/>
      <c r="AD9" s="120"/>
      <c r="AE9" s="120"/>
      <c r="AF9" s="120"/>
      <c r="AG9" s="120" t="s">
        <v>53</v>
      </c>
      <c r="AH9" s="120" t="s">
        <v>54</v>
      </c>
      <c r="AI9" s="120"/>
      <c r="AJ9" s="120"/>
      <c r="AK9" s="120"/>
      <c r="AL9" s="120" t="s">
        <v>55</v>
      </c>
      <c r="AM9" s="120"/>
      <c r="AN9" s="120"/>
      <c r="AR9" s="121">
        <f t="shared" si="1"/>
        <v>1</v>
      </c>
      <c r="AS9" s="121" t="str">
        <f t="shared" si="12"/>
        <v>2021_02_15_a</v>
      </c>
      <c r="AT9" s="122"/>
      <c r="AU9" s="121" t="str">
        <f t="shared" si="13"/>
        <v>2021</v>
      </c>
      <c r="AV9" s="121" t="str">
        <f t="shared" si="14"/>
        <v>02</v>
      </c>
      <c r="AW9" s="121" t="str">
        <f t="shared" si="15"/>
        <v>15</v>
      </c>
      <c r="AX9" s="121">
        <f t="shared" si="16"/>
        <v>44242</v>
      </c>
      <c r="AY9" s="123"/>
      <c r="AZ9" s="124">
        <f t="shared" si="17"/>
        <v>44242</v>
      </c>
      <c r="BA9" s="121" t="b">
        <f t="shared" si="18"/>
        <v>1</v>
      </c>
      <c r="BB9" s="121">
        <f t="shared" si="19"/>
        <v>44242</v>
      </c>
      <c r="BC9" s="121" t="str">
        <f t="shared" si="20"/>
        <v>no</v>
      </c>
      <c r="BD9" s="121" t="b">
        <f t="shared" si="21"/>
        <v>0</v>
      </c>
      <c r="BE9" s="125" t="s">
        <v>56</v>
      </c>
      <c r="BF9" s="122"/>
    </row>
    <row r="10" spans="1:58" s="114" customFormat="1" ht="154">
      <c r="A10" s="122"/>
      <c r="B10" s="120" t="s">
        <v>70</v>
      </c>
      <c r="C10" s="120"/>
      <c r="D10" s="117">
        <v>10097706</v>
      </c>
      <c r="E10" s="120"/>
      <c r="F10" s="117" t="s">
        <v>45</v>
      </c>
      <c r="G10" s="118" t="s">
        <v>71</v>
      </c>
      <c r="H10" s="130">
        <v>44249</v>
      </c>
      <c r="I10" s="118"/>
      <c r="J10" s="119">
        <v>44263</v>
      </c>
      <c r="K10" s="118"/>
      <c r="L10" s="118"/>
      <c r="M10" s="118"/>
      <c r="N10" s="118"/>
      <c r="O10" s="118"/>
      <c r="P10" s="118"/>
      <c r="Q10" s="120" t="s">
        <v>47</v>
      </c>
      <c r="R10" s="120" t="s">
        <v>48</v>
      </c>
      <c r="S10" s="120">
        <f t="shared" si="0"/>
        <v>95</v>
      </c>
      <c r="T10" s="120">
        <v>95</v>
      </c>
      <c r="U10" s="120">
        <v>0</v>
      </c>
      <c r="V10" s="120">
        <v>95</v>
      </c>
      <c r="W10" s="120"/>
      <c r="X10" s="120"/>
      <c r="Y10" s="120"/>
      <c r="Z10" s="120" t="s">
        <v>50</v>
      </c>
      <c r="AA10" s="120"/>
      <c r="AB10" s="120"/>
      <c r="AC10" s="120"/>
      <c r="AD10" s="120"/>
      <c r="AE10" s="120"/>
      <c r="AF10" s="120"/>
      <c r="AG10" s="120" t="s">
        <v>53</v>
      </c>
      <c r="AH10" s="120" t="s">
        <v>54</v>
      </c>
      <c r="AI10" s="120"/>
      <c r="AJ10" s="120"/>
      <c r="AK10" s="120"/>
      <c r="AL10" s="120" t="s">
        <v>55</v>
      </c>
      <c r="AM10" s="120"/>
      <c r="AN10" s="120"/>
      <c r="AR10" s="121">
        <f t="shared" si="1"/>
        <v>1</v>
      </c>
      <c r="AS10" s="121" t="str">
        <f t="shared" si="12"/>
        <v>2021_02_22_a</v>
      </c>
      <c r="AT10" s="122"/>
      <c r="AU10" s="121" t="str">
        <f t="shared" si="13"/>
        <v>2021</v>
      </c>
      <c r="AV10" s="121" t="str">
        <f t="shared" si="14"/>
        <v>02</v>
      </c>
      <c r="AW10" s="121" t="str">
        <f t="shared" si="15"/>
        <v>22</v>
      </c>
      <c r="AX10" s="121">
        <f t="shared" si="16"/>
        <v>44249</v>
      </c>
      <c r="AY10" s="123"/>
      <c r="AZ10" s="124">
        <f t="shared" si="17"/>
        <v>44249</v>
      </c>
      <c r="BA10" s="121" t="b">
        <f t="shared" si="18"/>
        <v>1</v>
      </c>
      <c r="BB10" s="121">
        <f t="shared" si="19"/>
        <v>44249</v>
      </c>
      <c r="BC10" s="121" t="str">
        <f t="shared" si="20"/>
        <v>no</v>
      </c>
      <c r="BD10" s="121" t="b">
        <f t="shared" si="21"/>
        <v>0</v>
      </c>
      <c r="BE10" s="125" t="s">
        <v>56</v>
      </c>
      <c r="BF10" s="122"/>
    </row>
    <row r="11" spans="1:58" s="114" customFormat="1" ht="154">
      <c r="A11" s="122"/>
      <c r="B11" s="120" t="s">
        <v>72</v>
      </c>
      <c r="C11" s="120"/>
      <c r="D11" s="117">
        <v>10098220</v>
      </c>
      <c r="E11" s="120"/>
      <c r="F11" s="117" t="s">
        <v>45</v>
      </c>
      <c r="G11" s="118" t="s">
        <v>73</v>
      </c>
      <c r="H11" s="130">
        <v>44263</v>
      </c>
      <c r="I11" s="118"/>
      <c r="J11" s="119">
        <v>44277</v>
      </c>
      <c r="K11" s="118"/>
      <c r="L11" s="118"/>
      <c r="M11" s="118"/>
      <c r="N11" s="118"/>
      <c r="O11" s="118"/>
      <c r="P11" s="118"/>
      <c r="Q11" s="120" t="s">
        <v>47</v>
      </c>
      <c r="R11" s="120" t="s">
        <v>48</v>
      </c>
      <c r="S11" s="120">
        <f t="shared" si="0"/>
        <v>92</v>
      </c>
      <c r="T11" s="120">
        <v>92</v>
      </c>
      <c r="U11" s="120">
        <v>0</v>
      </c>
      <c r="V11" s="120">
        <v>92</v>
      </c>
      <c r="W11" s="120"/>
      <c r="X11" s="120"/>
      <c r="Y11" s="120"/>
      <c r="Z11" s="120" t="s">
        <v>50</v>
      </c>
      <c r="AA11" s="120"/>
      <c r="AB11" s="120"/>
      <c r="AC11" s="120"/>
      <c r="AD11" s="120"/>
      <c r="AE11" s="120"/>
      <c r="AF11" s="120"/>
      <c r="AG11" s="120" t="s">
        <v>53</v>
      </c>
      <c r="AH11" s="120" t="s">
        <v>54</v>
      </c>
      <c r="AI11" s="120"/>
      <c r="AJ11" s="120"/>
      <c r="AK11" s="120"/>
      <c r="AL11" s="120" t="s">
        <v>55</v>
      </c>
      <c r="AM11" s="120"/>
      <c r="AN11" s="120"/>
      <c r="AR11" s="121">
        <f t="shared" si="1"/>
        <v>1</v>
      </c>
      <c r="AS11" s="121" t="str">
        <f t="shared" si="12"/>
        <v>2021_03_08_a</v>
      </c>
      <c r="AT11" s="122"/>
      <c r="AU11" s="121" t="str">
        <f t="shared" si="13"/>
        <v>2021</v>
      </c>
      <c r="AV11" s="121" t="str">
        <f t="shared" si="14"/>
        <v>03</v>
      </c>
      <c r="AW11" s="121" t="str">
        <f t="shared" si="15"/>
        <v>08</v>
      </c>
      <c r="AX11" s="121">
        <f t="shared" si="16"/>
        <v>44263</v>
      </c>
      <c r="AY11" s="123"/>
      <c r="AZ11" s="124">
        <f t="shared" si="17"/>
        <v>44263</v>
      </c>
      <c r="BA11" s="121" t="b">
        <f t="shared" si="18"/>
        <v>1</v>
      </c>
      <c r="BB11" s="121">
        <f t="shared" si="19"/>
        <v>44263</v>
      </c>
      <c r="BC11" s="121" t="str">
        <f t="shared" si="20"/>
        <v>no</v>
      </c>
      <c r="BD11" s="121" t="b">
        <f t="shared" si="21"/>
        <v>0</v>
      </c>
      <c r="BE11" s="125" t="s">
        <v>56</v>
      </c>
      <c r="BF11" s="122"/>
    </row>
    <row r="12" spans="1:58" s="114" customFormat="1" ht="154">
      <c r="A12" s="122"/>
      <c r="B12" s="120" t="s">
        <v>74</v>
      </c>
      <c r="C12" s="120"/>
      <c r="D12" s="117">
        <v>10099380</v>
      </c>
      <c r="E12" s="120"/>
      <c r="F12" s="117" t="s">
        <v>45</v>
      </c>
      <c r="G12" s="118" t="s">
        <v>75</v>
      </c>
      <c r="H12" s="130">
        <v>44277</v>
      </c>
      <c r="I12" s="118"/>
      <c r="J12" s="119">
        <v>44292</v>
      </c>
      <c r="K12" s="118"/>
      <c r="L12" s="118"/>
      <c r="M12" s="118"/>
      <c r="N12" s="118"/>
      <c r="O12" s="118"/>
      <c r="P12" s="118"/>
      <c r="Q12" s="120" t="s">
        <v>47</v>
      </c>
      <c r="R12" s="120" t="s">
        <v>48</v>
      </c>
      <c r="S12" s="120">
        <f t="shared" si="0"/>
        <v>132</v>
      </c>
      <c r="T12" s="120">
        <v>132</v>
      </c>
      <c r="U12" s="120">
        <v>0</v>
      </c>
      <c r="V12" s="120">
        <v>132</v>
      </c>
      <c r="W12" s="120"/>
      <c r="X12" s="120"/>
      <c r="Y12" s="120"/>
      <c r="Z12" s="120" t="s">
        <v>50</v>
      </c>
      <c r="AA12" s="120"/>
      <c r="AB12" s="120"/>
      <c r="AC12" s="120"/>
      <c r="AD12" s="120"/>
      <c r="AE12" s="120"/>
      <c r="AF12" s="120"/>
      <c r="AG12" s="120" t="s">
        <v>53</v>
      </c>
      <c r="AH12" s="120" t="s">
        <v>54</v>
      </c>
      <c r="AI12" s="120"/>
      <c r="AJ12" s="120"/>
      <c r="AK12" s="120"/>
      <c r="AL12" s="120" t="s">
        <v>55</v>
      </c>
      <c r="AM12" s="120"/>
      <c r="AN12" s="120"/>
      <c r="AR12" s="121">
        <f t="shared" si="1"/>
        <v>1</v>
      </c>
      <c r="AS12" s="121" t="str">
        <f t="shared" si="12"/>
        <v>2021_03_22_a</v>
      </c>
      <c r="AT12" s="122"/>
      <c r="AU12" s="121" t="str">
        <f t="shared" si="13"/>
        <v>2021</v>
      </c>
      <c r="AV12" s="121" t="str">
        <f t="shared" si="14"/>
        <v>03</v>
      </c>
      <c r="AW12" s="121" t="str">
        <f t="shared" si="15"/>
        <v>22</v>
      </c>
      <c r="AX12" s="121">
        <f t="shared" si="16"/>
        <v>44277</v>
      </c>
      <c r="AY12" s="123"/>
      <c r="AZ12" s="124">
        <f t="shared" si="17"/>
        <v>44277</v>
      </c>
      <c r="BA12" s="121" t="b">
        <f t="shared" si="18"/>
        <v>1</v>
      </c>
      <c r="BB12" s="121">
        <f t="shared" si="19"/>
        <v>44277</v>
      </c>
      <c r="BC12" s="121" t="str">
        <f t="shared" si="20"/>
        <v>no</v>
      </c>
      <c r="BD12" s="121" t="b">
        <f t="shared" si="21"/>
        <v>0</v>
      </c>
      <c r="BE12" s="125" t="s">
        <v>56</v>
      </c>
      <c r="BF12" s="122"/>
    </row>
    <row r="13" spans="1:58" s="114" customFormat="1" ht="154">
      <c r="A13" s="122"/>
      <c r="B13" s="120" t="s">
        <v>76</v>
      </c>
      <c r="C13" s="120"/>
      <c r="D13" s="117">
        <v>10100305</v>
      </c>
      <c r="E13" s="120"/>
      <c r="F13" s="117" t="s">
        <v>45</v>
      </c>
      <c r="G13" s="118" t="s">
        <v>77</v>
      </c>
      <c r="H13" s="130">
        <v>44298</v>
      </c>
      <c r="I13" s="118"/>
      <c r="J13" s="119">
        <v>44312</v>
      </c>
      <c r="K13" s="118"/>
      <c r="L13" s="118"/>
      <c r="M13" s="118"/>
      <c r="N13" s="118"/>
      <c r="O13" s="118"/>
      <c r="P13" s="118"/>
      <c r="Q13" s="120" t="s">
        <v>78</v>
      </c>
      <c r="R13" s="120" t="s">
        <v>48</v>
      </c>
      <c r="S13" s="120">
        <f t="shared" si="0"/>
        <v>164</v>
      </c>
      <c r="T13" s="120">
        <v>164</v>
      </c>
      <c r="U13" s="120">
        <v>0</v>
      </c>
      <c r="V13" s="120">
        <v>164</v>
      </c>
      <c r="W13" s="120"/>
      <c r="X13" s="120"/>
      <c r="Y13" s="120"/>
      <c r="Z13" s="120" t="s">
        <v>50</v>
      </c>
      <c r="AA13" s="120"/>
      <c r="AB13" s="120"/>
      <c r="AC13" s="120"/>
      <c r="AD13" s="120"/>
      <c r="AE13" s="120"/>
      <c r="AF13" s="120"/>
      <c r="AG13" s="120" t="s">
        <v>53</v>
      </c>
      <c r="AH13" s="120" t="s">
        <v>54</v>
      </c>
      <c r="AI13" s="120"/>
      <c r="AJ13" s="120"/>
      <c r="AK13" s="120"/>
      <c r="AL13" s="120" t="s">
        <v>55</v>
      </c>
      <c r="AM13" s="120"/>
      <c r="AN13" s="120"/>
      <c r="AR13" s="121">
        <f t="shared" si="1"/>
        <v>1</v>
      </c>
      <c r="AS13" s="121" t="str">
        <f t="shared" si="12"/>
        <v>2021_04_12_a</v>
      </c>
      <c r="AT13" s="122"/>
      <c r="AU13" s="121" t="str">
        <f t="shared" si="13"/>
        <v>2021</v>
      </c>
      <c r="AV13" s="121" t="str">
        <f t="shared" si="14"/>
        <v>04</v>
      </c>
      <c r="AW13" s="121" t="str">
        <f t="shared" si="15"/>
        <v>12</v>
      </c>
      <c r="AX13" s="121">
        <f t="shared" si="16"/>
        <v>44298</v>
      </c>
      <c r="AY13" s="123"/>
      <c r="AZ13" s="124">
        <f t="shared" si="17"/>
        <v>44298</v>
      </c>
      <c r="BA13" s="121" t="b">
        <f t="shared" si="18"/>
        <v>1</v>
      </c>
      <c r="BB13" s="121">
        <f t="shared" si="19"/>
        <v>44298</v>
      </c>
      <c r="BC13" s="121" t="str">
        <f t="shared" si="20"/>
        <v>no</v>
      </c>
      <c r="BD13" s="121" t="b">
        <f t="shared" si="21"/>
        <v>0</v>
      </c>
      <c r="BE13" s="125" t="s">
        <v>56</v>
      </c>
      <c r="BF13" s="122"/>
    </row>
    <row r="14" spans="1:58" s="114" customFormat="1" ht="154">
      <c r="A14" s="122"/>
      <c r="B14" s="120" t="s">
        <v>79</v>
      </c>
      <c r="C14" s="120"/>
      <c r="D14" s="117">
        <v>10100811</v>
      </c>
      <c r="E14" s="120"/>
      <c r="F14" s="117" t="s">
        <v>45</v>
      </c>
      <c r="G14" s="118" t="s">
        <v>80</v>
      </c>
      <c r="H14" s="130">
        <v>44305</v>
      </c>
      <c r="I14" s="118"/>
      <c r="J14" s="119">
        <v>44316</v>
      </c>
      <c r="K14" s="118"/>
      <c r="L14" s="118"/>
      <c r="M14" s="118"/>
      <c r="N14" s="118"/>
      <c r="O14" s="118"/>
      <c r="P14" s="118"/>
      <c r="Q14" s="120" t="s">
        <v>78</v>
      </c>
      <c r="R14" s="120" t="s">
        <v>48</v>
      </c>
      <c r="S14" s="120">
        <f t="shared" si="0"/>
        <v>74</v>
      </c>
      <c r="T14" s="120">
        <v>74</v>
      </c>
      <c r="U14" s="120">
        <v>0</v>
      </c>
      <c r="V14" s="120">
        <v>74</v>
      </c>
      <c r="W14" s="120"/>
      <c r="X14" s="120"/>
      <c r="Y14" s="120"/>
      <c r="Z14" s="120" t="s">
        <v>50</v>
      </c>
      <c r="AA14" s="120"/>
      <c r="AB14" s="120"/>
      <c r="AC14" s="120"/>
      <c r="AD14" s="120"/>
      <c r="AE14" s="120"/>
      <c r="AF14" s="120"/>
      <c r="AG14" s="120" t="s">
        <v>53</v>
      </c>
      <c r="AH14" s="120" t="s">
        <v>54</v>
      </c>
      <c r="AI14" s="120"/>
      <c r="AJ14" s="120"/>
      <c r="AK14" s="120"/>
      <c r="AL14" s="120" t="s">
        <v>55</v>
      </c>
      <c r="AM14" s="120"/>
      <c r="AN14" s="120"/>
      <c r="AR14" s="121">
        <f t="shared" si="1"/>
        <v>1</v>
      </c>
      <c r="AS14" s="121" t="str">
        <f t="shared" si="12"/>
        <v>2021_04_19_a</v>
      </c>
      <c r="AT14" s="122"/>
      <c r="AU14" s="121" t="str">
        <f t="shared" si="13"/>
        <v>2021</v>
      </c>
      <c r="AV14" s="121" t="str">
        <f t="shared" si="14"/>
        <v>04</v>
      </c>
      <c r="AW14" s="121" t="str">
        <f t="shared" si="15"/>
        <v>19</v>
      </c>
      <c r="AX14" s="121">
        <f t="shared" si="16"/>
        <v>44305</v>
      </c>
      <c r="AY14" s="123"/>
      <c r="AZ14" s="124">
        <f t="shared" si="17"/>
        <v>44305</v>
      </c>
      <c r="BA14" s="121" t="b">
        <f t="shared" si="18"/>
        <v>1</v>
      </c>
      <c r="BB14" s="121">
        <f t="shared" si="19"/>
        <v>44305</v>
      </c>
      <c r="BC14" s="121" t="str">
        <f t="shared" si="20"/>
        <v>no</v>
      </c>
      <c r="BD14" s="121" t="b">
        <f t="shared" si="21"/>
        <v>0</v>
      </c>
      <c r="BE14" s="125" t="s">
        <v>56</v>
      </c>
      <c r="BF14" s="122"/>
    </row>
    <row r="15" spans="1:58" s="114" customFormat="1" ht="154">
      <c r="A15" s="122"/>
      <c r="B15" s="120" t="s">
        <v>81</v>
      </c>
      <c r="C15" s="120"/>
      <c r="D15" s="117">
        <v>10100918</v>
      </c>
      <c r="E15" s="120"/>
      <c r="F15" s="117" t="s">
        <v>45</v>
      </c>
      <c r="G15" s="118" t="s">
        <v>82</v>
      </c>
      <c r="H15" s="130">
        <v>44312</v>
      </c>
      <c r="I15" s="118"/>
      <c r="J15" s="119">
        <v>44326</v>
      </c>
      <c r="K15" s="118"/>
      <c r="L15" s="118"/>
      <c r="M15" s="118"/>
      <c r="N15" s="118"/>
      <c r="O15" s="118"/>
      <c r="P15" s="118"/>
      <c r="Q15" s="120" t="s">
        <v>78</v>
      </c>
      <c r="R15" s="120" t="s">
        <v>48</v>
      </c>
      <c r="S15" s="120">
        <f t="shared" si="0"/>
        <v>90</v>
      </c>
      <c r="T15" s="120">
        <v>90</v>
      </c>
      <c r="U15" s="120">
        <v>0</v>
      </c>
      <c r="V15" s="120">
        <v>90</v>
      </c>
      <c r="W15" s="120"/>
      <c r="X15" s="120"/>
      <c r="Y15" s="120"/>
      <c r="Z15" s="120" t="s">
        <v>50</v>
      </c>
      <c r="AA15" s="120"/>
      <c r="AB15" s="120"/>
      <c r="AC15" s="120"/>
      <c r="AD15" s="120"/>
      <c r="AE15" s="120"/>
      <c r="AF15" s="120"/>
      <c r="AG15" s="120" t="s">
        <v>53</v>
      </c>
      <c r="AH15" s="120" t="s">
        <v>54</v>
      </c>
      <c r="AI15" s="120"/>
      <c r="AJ15" s="120"/>
      <c r="AK15" s="120"/>
      <c r="AL15" s="120" t="s">
        <v>55</v>
      </c>
      <c r="AM15" s="120"/>
      <c r="AN15" s="120"/>
      <c r="AR15" s="121">
        <f t="shared" si="1"/>
        <v>1</v>
      </c>
      <c r="AS15" s="121" t="str">
        <f t="shared" si="12"/>
        <v>2021_04_26_a</v>
      </c>
      <c r="AT15" s="122"/>
      <c r="AU15" s="121" t="str">
        <f t="shared" si="13"/>
        <v>2021</v>
      </c>
      <c r="AV15" s="121" t="str">
        <f t="shared" si="14"/>
        <v>04</v>
      </c>
      <c r="AW15" s="121" t="str">
        <f t="shared" si="15"/>
        <v>26</v>
      </c>
      <c r="AX15" s="121">
        <f t="shared" si="16"/>
        <v>44312</v>
      </c>
      <c r="AY15" s="123"/>
      <c r="AZ15" s="124">
        <f t="shared" si="17"/>
        <v>44312</v>
      </c>
      <c r="BA15" s="121" t="b">
        <f t="shared" si="18"/>
        <v>1</v>
      </c>
      <c r="BB15" s="121">
        <f t="shared" si="19"/>
        <v>44312</v>
      </c>
      <c r="BC15" s="121" t="str">
        <f t="shared" si="20"/>
        <v>no</v>
      </c>
      <c r="BD15" s="121" t="b">
        <f t="shared" si="21"/>
        <v>0</v>
      </c>
      <c r="BE15" s="125" t="s">
        <v>56</v>
      </c>
      <c r="BF15" s="122"/>
    </row>
    <row r="16" spans="1:58" s="114" customFormat="1" ht="154">
      <c r="A16" s="122"/>
      <c r="B16" s="120" t="s">
        <v>83</v>
      </c>
      <c r="C16" s="120"/>
      <c r="D16" s="117">
        <v>10101156</v>
      </c>
      <c r="E16" s="120"/>
      <c r="F16" s="117" t="s">
        <v>45</v>
      </c>
      <c r="G16" s="118" t="s">
        <v>84</v>
      </c>
      <c r="H16" s="130">
        <v>44319</v>
      </c>
      <c r="I16" s="118"/>
      <c r="J16" s="119">
        <v>44334</v>
      </c>
      <c r="K16" s="118"/>
      <c r="L16" s="118"/>
      <c r="M16" s="118"/>
      <c r="N16" s="118"/>
      <c r="O16" s="118"/>
      <c r="P16" s="118"/>
      <c r="Q16" s="120" t="s">
        <v>78</v>
      </c>
      <c r="R16" s="120" t="s">
        <v>48</v>
      </c>
      <c r="S16" s="120">
        <f t="shared" ref="S16:S32" si="22">U16+V16</f>
        <v>98</v>
      </c>
      <c r="T16" s="120">
        <v>98</v>
      </c>
      <c r="U16" s="120">
        <v>0</v>
      </c>
      <c r="V16" s="120">
        <v>98</v>
      </c>
      <c r="W16" s="120"/>
      <c r="X16" s="120"/>
      <c r="Y16" s="120"/>
      <c r="Z16" s="120" t="s">
        <v>50</v>
      </c>
      <c r="AA16" s="120"/>
      <c r="AB16" s="120"/>
      <c r="AC16" s="120"/>
      <c r="AD16" s="120"/>
      <c r="AE16" s="120"/>
      <c r="AF16" s="120"/>
      <c r="AG16" s="120" t="s">
        <v>53</v>
      </c>
      <c r="AH16" s="120" t="s">
        <v>54</v>
      </c>
      <c r="AI16" s="120"/>
      <c r="AJ16" s="120"/>
      <c r="AK16" s="120"/>
      <c r="AL16" s="120" t="s">
        <v>55</v>
      </c>
      <c r="AM16" s="120"/>
      <c r="AN16" s="120"/>
      <c r="AR16" s="121">
        <f t="shared" si="1"/>
        <v>1</v>
      </c>
      <c r="AS16" s="121" t="str">
        <f t="shared" si="12"/>
        <v>2021_05_03_a</v>
      </c>
      <c r="AT16" s="122"/>
      <c r="AU16" s="121" t="str">
        <f t="shared" si="13"/>
        <v>2021</v>
      </c>
      <c r="AV16" s="121" t="str">
        <f t="shared" si="14"/>
        <v>05</v>
      </c>
      <c r="AW16" s="121" t="str">
        <f t="shared" si="15"/>
        <v>03</v>
      </c>
      <c r="AX16" s="121">
        <f t="shared" si="16"/>
        <v>44319</v>
      </c>
      <c r="AY16" s="123"/>
      <c r="AZ16" s="124">
        <f t="shared" si="17"/>
        <v>44319</v>
      </c>
      <c r="BA16" s="121" t="b">
        <f t="shared" si="18"/>
        <v>1</v>
      </c>
      <c r="BB16" s="121">
        <f t="shared" si="19"/>
        <v>44319</v>
      </c>
      <c r="BC16" s="121" t="str">
        <f t="shared" si="20"/>
        <v>no</v>
      </c>
      <c r="BD16" s="121" t="b">
        <f t="shared" si="21"/>
        <v>0</v>
      </c>
      <c r="BE16" s="125" t="s">
        <v>56</v>
      </c>
      <c r="BF16" s="122"/>
    </row>
    <row r="17" spans="1:58" s="114" customFormat="1" ht="154">
      <c r="A17" s="122"/>
      <c r="B17" s="120" t="s">
        <v>85</v>
      </c>
      <c r="C17" s="120"/>
      <c r="D17" s="117">
        <v>10102082</v>
      </c>
      <c r="E17" s="120"/>
      <c r="F17" s="117" t="s">
        <v>45</v>
      </c>
      <c r="G17" s="118" t="s">
        <v>86</v>
      </c>
      <c r="H17" s="130">
        <v>44340</v>
      </c>
      <c r="I17" s="118"/>
      <c r="J17" s="119">
        <v>44354</v>
      </c>
      <c r="K17" s="118"/>
      <c r="L17" s="118"/>
      <c r="M17" s="118"/>
      <c r="N17" s="118"/>
      <c r="O17" s="118"/>
      <c r="P17" s="118"/>
      <c r="Q17" s="120" t="s">
        <v>78</v>
      </c>
      <c r="R17" s="120" t="s">
        <v>48</v>
      </c>
      <c r="S17" s="120">
        <f t="shared" si="22"/>
        <v>154</v>
      </c>
      <c r="T17" s="120">
        <v>154</v>
      </c>
      <c r="U17" s="120">
        <v>0</v>
      </c>
      <c r="V17" s="120">
        <v>154</v>
      </c>
      <c r="W17" s="120"/>
      <c r="X17" s="120"/>
      <c r="Y17" s="120"/>
      <c r="Z17" s="120" t="s">
        <v>50</v>
      </c>
      <c r="AA17" s="120"/>
      <c r="AB17" s="120"/>
      <c r="AC17" s="120"/>
      <c r="AD17" s="120"/>
      <c r="AE17" s="120"/>
      <c r="AF17" s="120"/>
      <c r="AG17" s="120" t="s">
        <v>53</v>
      </c>
      <c r="AH17" s="120" t="s">
        <v>54</v>
      </c>
      <c r="AI17" s="120"/>
      <c r="AJ17" s="120"/>
      <c r="AK17" s="120"/>
      <c r="AL17" s="120" t="s">
        <v>55</v>
      </c>
      <c r="AM17" s="120"/>
      <c r="AN17" s="120"/>
      <c r="AR17" s="121">
        <f t="shared" si="1"/>
        <v>1</v>
      </c>
      <c r="AS17" s="121" t="str">
        <f t="shared" si="12"/>
        <v>2021_05_24_a</v>
      </c>
      <c r="AT17" s="122"/>
      <c r="AU17" s="121" t="str">
        <f t="shared" si="13"/>
        <v>2021</v>
      </c>
      <c r="AV17" s="121" t="str">
        <f t="shared" si="14"/>
        <v>05</v>
      </c>
      <c r="AW17" s="121" t="str">
        <f t="shared" si="15"/>
        <v>24</v>
      </c>
      <c r="AX17" s="121">
        <f t="shared" si="16"/>
        <v>44340</v>
      </c>
      <c r="AY17" s="123"/>
      <c r="AZ17" s="124">
        <f t="shared" si="17"/>
        <v>44340</v>
      </c>
      <c r="BA17" s="121" t="b">
        <f t="shared" si="18"/>
        <v>1</v>
      </c>
      <c r="BB17" s="121">
        <f t="shared" si="19"/>
        <v>44340</v>
      </c>
      <c r="BC17" s="121" t="str">
        <f t="shared" si="20"/>
        <v>no</v>
      </c>
      <c r="BD17" s="121" t="b">
        <f t="shared" si="21"/>
        <v>0</v>
      </c>
      <c r="BE17" s="125" t="s">
        <v>56</v>
      </c>
      <c r="BF17" s="122"/>
    </row>
    <row r="18" spans="1:58" s="114" customFormat="1" ht="154">
      <c r="A18" s="122"/>
      <c r="B18" s="120" t="s">
        <v>87</v>
      </c>
      <c r="C18" s="120"/>
      <c r="D18" s="117" t="s">
        <v>88</v>
      </c>
      <c r="E18" s="120"/>
      <c r="F18" s="117" t="s">
        <v>45</v>
      </c>
      <c r="G18" s="118" t="s">
        <v>89</v>
      </c>
      <c r="H18" s="130">
        <v>44347</v>
      </c>
      <c r="I18" s="118"/>
      <c r="J18" s="119">
        <v>44361</v>
      </c>
      <c r="K18" s="118"/>
      <c r="L18" s="118"/>
      <c r="M18" s="118"/>
      <c r="N18" s="118"/>
      <c r="O18" s="118"/>
      <c r="P18" s="118"/>
      <c r="Q18" s="120" t="s">
        <v>78</v>
      </c>
      <c r="R18" s="120" t="s">
        <v>48</v>
      </c>
      <c r="S18" s="120">
        <f t="shared" si="22"/>
        <v>194</v>
      </c>
      <c r="T18" s="120">
        <v>194</v>
      </c>
      <c r="U18" s="120">
        <v>0</v>
      </c>
      <c r="V18" s="120">
        <v>194</v>
      </c>
      <c r="W18" s="120"/>
      <c r="X18" s="120"/>
      <c r="Y18" s="120"/>
      <c r="Z18" s="120" t="s">
        <v>50</v>
      </c>
      <c r="AA18" s="120"/>
      <c r="AB18" s="120"/>
      <c r="AC18" s="120"/>
      <c r="AD18" s="120"/>
      <c r="AE18" s="120"/>
      <c r="AF18" s="120"/>
      <c r="AG18" s="120" t="s">
        <v>53</v>
      </c>
      <c r="AH18" s="120" t="s">
        <v>54</v>
      </c>
      <c r="AI18" s="120"/>
      <c r="AJ18" s="120"/>
      <c r="AK18" s="120"/>
      <c r="AL18" s="120" t="s">
        <v>55</v>
      </c>
      <c r="AM18" s="120"/>
      <c r="AN18" s="120"/>
      <c r="AR18" s="121">
        <f t="shared" si="1"/>
        <v>1</v>
      </c>
      <c r="AS18" s="121" t="str">
        <f t="shared" si="12"/>
        <v>2021_05_31_a</v>
      </c>
      <c r="AT18" s="122"/>
      <c r="AU18" s="121" t="str">
        <f t="shared" si="13"/>
        <v>2021</v>
      </c>
      <c r="AV18" s="121" t="str">
        <f t="shared" si="14"/>
        <v>05</v>
      </c>
      <c r="AW18" s="121" t="str">
        <f t="shared" si="15"/>
        <v>31</v>
      </c>
      <c r="AX18" s="121">
        <f t="shared" si="16"/>
        <v>44347</v>
      </c>
      <c r="AY18" s="123"/>
      <c r="AZ18" s="124">
        <f t="shared" si="17"/>
        <v>44347</v>
      </c>
      <c r="BA18" s="121" t="b">
        <f t="shared" si="18"/>
        <v>1</v>
      </c>
      <c r="BB18" s="121">
        <f t="shared" si="19"/>
        <v>44347</v>
      </c>
      <c r="BC18" s="121" t="str">
        <f t="shared" si="20"/>
        <v>no</v>
      </c>
      <c r="BD18" s="121" t="b">
        <f t="shared" si="21"/>
        <v>0</v>
      </c>
      <c r="BE18" s="125" t="s">
        <v>56</v>
      </c>
      <c r="BF18" s="122"/>
    </row>
    <row r="19" spans="1:58" s="114" customFormat="1" ht="154">
      <c r="A19" s="122"/>
      <c r="B19" s="120" t="s">
        <v>90</v>
      </c>
      <c r="C19" s="120"/>
      <c r="D19" s="117" t="s">
        <v>91</v>
      </c>
      <c r="E19" s="120"/>
      <c r="F19" s="117" t="s">
        <v>45</v>
      </c>
      <c r="G19" s="118" t="s">
        <v>92</v>
      </c>
      <c r="H19" s="130">
        <v>44361</v>
      </c>
      <c r="I19" s="118"/>
      <c r="J19" s="119">
        <v>44375</v>
      </c>
      <c r="K19" s="118"/>
      <c r="L19" s="118"/>
      <c r="M19" s="118"/>
      <c r="N19" s="118"/>
      <c r="O19" s="118"/>
      <c r="P19" s="118"/>
      <c r="Q19" s="120" t="s">
        <v>78</v>
      </c>
      <c r="R19" s="120" t="s">
        <v>48</v>
      </c>
      <c r="S19" s="120">
        <f t="shared" si="22"/>
        <v>208</v>
      </c>
      <c r="T19" s="120">
        <v>208</v>
      </c>
      <c r="U19" s="120">
        <v>0</v>
      </c>
      <c r="V19" s="120">
        <v>208</v>
      </c>
      <c r="W19" s="120"/>
      <c r="X19" s="120"/>
      <c r="Y19" s="120"/>
      <c r="Z19" s="120" t="s">
        <v>50</v>
      </c>
      <c r="AA19" s="120"/>
      <c r="AB19" s="120"/>
      <c r="AC19" s="120"/>
      <c r="AD19" s="120"/>
      <c r="AE19" s="120"/>
      <c r="AF19" s="120"/>
      <c r="AG19" s="120" t="s">
        <v>53</v>
      </c>
      <c r="AH19" s="120" t="s">
        <v>54</v>
      </c>
      <c r="AI19" s="120"/>
      <c r="AJ19" s="120"/>
      <c r="AK19" s="120"/>
      <c r="AL19" s="120" t="s">
        <v>55</v>
      </c>
      <c r="AM19" s="120"/>
      <c r="AN19" s="120"/>
      <c r="AR19" s="121">
        <f t="shared" si="1"/>
        <v>1</v>
      </c>
      <c r="AS19" s="121" t="str">
        <f t="shared" si="12"/>
        <v>2021_06_14_a</v>
      </c>
      <c r="AT19" s="122"/>
      <c r="AU19" s="121" t="str">
        <f t="shared" si="13"/>
        <v>2021</v>
      </c>
      <c r="AV19" s="121" t="str">
        <f t="shared" si="14"/>
        <v>06</v>
      </c>
      <c r="AW19" s="121" t="str">
        <f t="shared" si="15"/>
        <v>14</v>
      </c>
      <c r="AX19" s="121">
        <f t="shared" si="16"/>
        <v>44361</v>
      </c>
      <c r="AY19" s="123"/>
      <c r="AZ19" s="124">
        <f t="shared" si="17"/>
        <v>44361</v>
      </c>
      <c r="BA19" s="121" t="b">
        <f t="shared" si="18"/>
        <v>1</v>
      </c>
      <c r="BB19" s="121">
        <f t="shared" si="19"/>
        <v>44361</v>
      </c>
      <c r="BC19" s="121" t="str">
        <f t="shared" si="20"/>
        <v>no</v>
      </c>
      <c r="BD19" s="121" t="b">
        <f t="shared" si="21"/>
        <v>0</v>
      </c>
      <c r="BE19" s="125" t="s">
        <v>56</v>
      </c>
      <c r="BF19" s="122"/>
    </row>
    <row r="20" spans="1:58" s="114" customFormat="1" ht="154">
      <c r="A20" s="122"/>
      <c r="B20" s="120" t="s">
        <v>93</v>
      </c>
      <c r="C20" s="120"/>
      <c r="D20" s="117" t="s">
        <v>94</v>
      </c>
      <c r="E20" s="120"/>
      <c r="F20" s="117" t="s">
        <v>45</v>
      </c>
      <c r="G20" s="118" t="s">
        <v>95</v>
      </c>
      <c r="H20" s="130">
        <v>44375</v>
      </c>
      <c r="I20" s="118"/>
      <c r="J20" s="119">
        <v>44389</v>
      </c>
      <c r="K20" s="118"/>
      <c r="L20" s="118"/>
      <c r="M20" s="118"/>
      <c r="N20" s="118"/>
      <c r="O20" s="118"/>
      <c r="P20" s="118"/>
      <c r="Q20" s="120" t="s">
        <v>78</v>
      </c>
      <c r="R20" s="120" t="s">
        <v>48</v>
      </c>
      <c r="S20" s="120">
        <f t="shared" si="22"/>
        <v>204</v>
      </c>
      <c r="T20" s="120">
        <v>204</v>
      </c>
      <c r="U20" s="120">
        <v>0</v>
      </c>
      <c r="V20" s="120">
        <v>204</v>
      </c>
      <c r="W20" s="120"/>
      <c r="X20" s="120"/>
      <c r="Y20" s="120"/>
      <c r="Z20" s="120" t="s">
        <v>50</v>
      </c>
      <c r="AA20" s="120"/>
      <c r="AB20" s="120"/>
      <c r="AC20" s="120"/>
      <c r="AD20" s="120"/>
      <c r="AE20" s="120"/>
      <c r="AF20" s="120"/>
      <c r="AG20" s="120" t="s">
        <v>53</v>
      </c>
      <c r="AH20" s="120" t="s">
        <v>54</v>
      </c>
      <c r="AI20" s="120"/>
      <c r="AJ20" s="120"/>
      <c r="AK20" s="120"/>
      <c r="AL20" s="120" t="s">
        <v>55</v>
      </c>
      <c r="AM20" s="120"/>
      <c r="AN20" s="120"/>
      <c r="AR20" s="121">
        <f t="shared" si="1"/>
        <v>1</v>
      </c>
      <c r="AS20" s="121" t="str">
        <f t="shared" si="12"/>
        <v>2021_06_28_a</v>
      </c>
      <c r="AT20" s="122"/>
      <c r="AU20" s="121" t="str">
        <f t="shared" si="13"/>
        <v>2021</v>
      </c>
      <c r="AV20" s="121" t="str">
        <f t="shared" si="14"/>
        <v>06</v>
      </c>
      <c r="AW20" s="121" t="str">
        <f t="shared" si="15"/>
        <v>28</v>
      </c>
      <c r="AX20" s="121">
        <f t="shared" si="16"/>
        <v>44375</v>
      </c>
      <c r="AY20" s="123"/>
      <c r="AZ20" s="124">
        <f t="shared" si="17"/>
        <v>44375</v>
      </c>
      <c r="BA20" s="121" t="b">
        <f t="shared" si="18"/>
        <v>1</v>
      </c>
      <c r="BB20" s="121">
        <f t="shared" si="19"/>
        <v>44375</v>
      </c>
      <c r="BC20" s="121" t="str">
        <f t="shared" si="20"/>
        <v>no</v>
      </c>
      <c r="BD20" s="121" t="b">
        <f t="shared" si="21"/>
        <v>0</v>
      </c>
      <c r="BE20" s="125" t="s">
        <v>56</v>
      </c>
      <c r="BF20" s="122"/>
    </row>
    <row r="21" spans="1:58" s="114" customFormat="1" ht="154">
      <c r="A21" s="122"/>
      <c r="B21" s="12" t="s">
        <v>96</v>
      </c>
      <c r="C21" s="120"/>
      <c r="D21" s="117" t="s">
        <v>97</v>
      </c>
      <c r="E21" s="120"/>
      <c r="F21" s="117" t="s">
        <v>45</v>
      </c>
      <c r="G21" s="118" t="s">
        <v>98</v>
      </c>
      <c r="H21" s="130">
        <v>44389</v>
      </c>
      <c r="I21" s="118"/>
      <c r="J21" s="119">
        <v>44403</v>
      </c>
      <c r="K21" s="118"/>
      <c r="L21" s="118"/>
      <c r="M21" s="118"/>
      <c r="N21" s="118"/>
      <c r="O21" s="118"/>
      <c r="P21" s="118"/>
      <c r="Q21" s="120" t="s">
        <v>99</v>
      </c>
      <c r="R21" s="120" t="s">
        <v>48</v>
      </c>
      <c r="S21" s="120">
        <f t="shared" si="22"/>
        <v>245</v>
      </c>
      <c r="T21" s="120">
        <v>245</v>
      </c>
      <c r="U21" s="120">
        <v>0</v>
      </c>
      <c r="V21" s="120">
        <v>245</v>
      </c>
      <c r="W21" s="120"/>
      <c r="X21" s="120"/>
      <c r="Y21" s="120"/>
      <c r="Z21" s="120" t="s">
        <v>50</v>
      </c>
      <c r="AA21" s="120"/>
      <c r="AB21" s="120"/>
      <c r="AC21" s="120"/>
      <c r="AD21" s="120"/>
      <c r="AE21" s="120"/>
      <c r="AF21" s="120"/>
      <c r="AG21" s="120" t="s">
        <v>53</v>
      </c>
      <c r="AH21" s="120" t="s">
        <v>54</v>
      </c>
      <c r="AI21" s="120"/>
      <c r="AJ21" s="120"/>
      <c r="AK21" s="120"/>
      <c r="AL21" s="120" t="s">
        <v>55</v>
      </c>
      <c r="AM21" s="120"/>
      <c r="AN21" s="120"/>
      <c r="AR21" s="121">
        <f t="shared" si="1"/>
        <v>1</v>
      </c>
      <c r="AS21" s="121" t="str">
        <f t="shared" si="12"/>
        <v>2021_07_12_a</v>
      </c>
      <c r="AT21" s="122"/>
      <c r="AU21" s="121" t="str">
        <f t="shared" si="13"/>
        <v>2021</v>
      </c>
      <c r="AV21" s="121" t="str">
        <f t="shared" si="14"/>
        <v>07</v>
      </c>
      <c r="AW21" s="121" t="str">
        <f t="shared" si="15"/>
        <v>12</v>
      </c>
      <c r="AX21" s="121">
        <f t="shared" si="16"/>
        <v>44389</v>
      </c>
      <c r="AY21" s="123"/>
      <c r="AZ21" s="124">
        <f t="shared" si="17"/>
        <v>44389</v>
      </c>
      <c r="BA21" s="121" t="b">
        <f t="shared" si="18"/>
        <v>1</v>
      </c>
      <c r="BB21" s="121">
        <f t="shared" si="19"/>
        <v>44389</v>
      </c>
      <c r="BC21" s="121" t="str">
        <f t="shared" si="20"/>
        <v>no</v>
      </c>
      <c r="BD21" s="121" t="b">
        <f t="shared" si="21"/>
        <v>0</v>
      </c>
      <c r="BE21" s="125" t="s">
        <v>56</v>
      </c>
      <c r="BF21" s="122"/>
    </row>
    <row r="22" spans="1:58" s="114" customFormat="1" ht="154">
      <c r="A22" s="122"/>
      <c r="B22" s="120" t="s">
        <v>100</v>
      </c>
      <c r="C22" s="120"/>
      <c r="D22" s="117" t="s">
        <v>101</v>
      </c>
      <c r="E22" s="120"/>
      <c r="F22" s="117" t="s">
        <v>45</v>
      </c>
      <c r="G22" s="118" t="s">
        <v>102</v>
      </c>
      <c r="H22" s="130">
        <v>44403</v>
      </c>
      <c r="I22" s="118"/>
      <c r="J22" s="119">
        <v>44417</v>
      </c>
      <c r="K22" s="118"/>
      <c r="L22" s="118"/>
      <c r="M22" s="118"/>
      <c r="N22" s="118"/>
      <c r="O22" s="118"/>
      <c r="P22" s="118"/>
      <c r="Q22" s="120" t="s">
        <v>99</v>
      </c>
      <c r="R22" s="120" t="s">
        <v>48</v>
      </c>
      <c r="S22" s="120">
        <f t="shared" si="22"/>
        <v>164</v>
      </c>
      <c r="T22" s="120">
        <v>164</v>
      </c>
      <c r="U22" s="120">
        <v>0</v>
      </c>
      <c r="V22" s="120">
        <v>164</v>
      </c>
      <c r="W22" s="120"/>
      <c r="X22" s="120"/>
      <c r="Y22" s="120"/>
      <c r="Z22" s="120" t="s">
        <v>50</v>
      </c>
      <c r="AA22" s="120"/>
      <c r="AB22" s="120"/>
      <c r="AC22" s="120"/>
      <c r="AD22" s="120"/>
      <c r="AE22" s="120"/>
      <c r="AF22" s="120"/>
      <c r="AG22" s="120" t="s">
        <v>53</v>
      </c>
      <c r="AH22" s="120" t="s">
        <v>54</v>
      </c>
      <c r="AI22" s="120"/>
      <c r="AJ22" s="120"/>
      <c r="AK22" s="120"/>
      <c r="AL22" s="120" t="s">
        <v>55</v>
      </c>
      <c r="AM22" s="120"/>
      <c r="AN22" s="120"/>
      <c r="AR22" s="121">
        <f t="shared" si="1"/>
        <v>1</v>
      </c>
      <c r="AS22" s="121" t="str">
        <f t="shared" si="12"/>
        <v>2021_07_26_a</v>
      </c>
      <c r="AT22" s="122"/>
      <c r="AU22" s="121" t="str">
        <f t="shared" si="13"/>
        <v>2021</v>
      </c>
      <c r="AV22" s="121" t="str">
        <f t="shared" si="14"/>
        <v>07</v>
      </c>
      <c r="AW22" s="121" t="str">
        <f t="shared" si="15"/>
        <v>26</v>
      </c>
      <c r="AX22" s="121">
        <f t="shared" si="16"/>
        <v>44403</v>
      </c>
      <c r="AY22" s="123"/>
      <c r="AZ22" s="124">
        <f t="shared" si="17"/>
        <v>44403</v>
      </c>
      <c r="BA22" s="121" t="b">
        <f t="shared" si="18"/>
        <v>1</v>
      </c>
      <c r="BB22" s="121">
        <f t="shared" si="19"/>
        <v>44403</v>
      </c>
      <c r="BC22" s="121" t="str">
        <f t="shared" si="20"/>
        <v>no</v>
      </c>
      <c r="BD22" s="121" t="b">
        <f t="shared" si="21"/>
        <v>0</v>
      </c>
      <c r="BE22" s="125" t="s">
        <v>56</v>
      </c>
      <c r="BF22" s="122"/>
    </row>
    <row r="23" spans="1:58" s="114" customFormat="1" ht="154">
      <c r="A23" s="122"/>
      <c r="B23" s="120" t="s">
        <v>103</v>
      </c>
      <c r="C23" s="120"/>
      <c r="D23" s="117" t="s">
        <v>104</v>
      </c>
      <c r="E23" s="120"/>
      <c r="F23" s="117" t="s">
        <v>45</v>
      </c>
      <c r="G23" s="118" t="s">
        <v>105</v>
      </c>
      <c r="H23" s="130">
        <v>44417</v>
      </c>
      <c r="I23" s="118"/>
      <c r="J23" s="119">
        <v>44431</v>
      </c>
      <c r="K23" s="118"/>
      <c r="L23" s="118"/>
      <c r="M23" s="118"/>
      <c r="N23" s="118"/>
      <c r="O23" s="118"/>
      <c r="P23" s="118"/>
      <c r="Q23" s="120" t="s">
        <v>99</v>
      </c>
      <c r="R23" s="120" t="s">
        <v>48</v>
      </c>
      <c r="S23" s="120">
        <f>U23+V23</f>
        <v>21</v>
      </c>
      <c r="T23" s="120">
        <v>21</v>
      </c>
      <c r="U23" s="120">
        <v>0</v>
      </c>
      <c r="V23" s="120">
        <v>21</v>
      </c>
      <c r="W23" s="120"/>
      <c r="X23" s="120"/>
      <c r="Y23" s="120"/>
      <c r="Z23" s="120" t="s">
        <v>50</v>
      </c>
      <c r="AA23" s="120"/>
      <c r="AB23" s="120"/>
      <c r="AC23" s="120"/>
      <c r="AD23" s="120"/>
      <c r="AE23" s="120"/>
      <c r="AF23" s="120"/>
      <c r="AG23" s="120" t="s">
        <v>53</v>
      </c>
      <c r="AH23" s="120" t="s">
        <v>54</v>
      </c>
      <c r="AI23" s="120"/>
      <c r="AJ23" s="120"/>
      <c r="AK23" s="120"/>
      <c r="AL23" s="120" t="s">
        <v>55</v>
      </c>
      <c r="AM23" s="120"/>
      <c r="AN23" s="120"/>
      <c r="AR23" s="121">
        <f t="shared" si="1"/>
        <v>1</v>
      </c>
      <c r="AS23" s="121" t="str">
        <f t="shared" si="12"/>
        <v>2021_08_09_a</v>
      </c>
      <c r="AT23" s="122"/>
      <c r="AU23" s="121" t="str">
        <f t="shared" si="13"/>
        <v>2021</v>
      </c>
      <c r="AV23" s="121" t="str">
        <f t="shared" si="14"/>
        <v>08</v>
      </c>
      <c r="AW23" s="121" t="str">
        <f t="shared" si="15"/>
        <v>09</v>
      </c>
      <c r="AX23" s="121">
        <f t="shared" si="16"/>
        <v>44417</v>
      </c>
      <c r="AY23" s="123"/>
      <c r="AZ23" s="124">
        <f t="shared" si="17"/>
        <v>44417</v>
      </c>
      <c r="BA23" s="121" t="b">
        <f t="shared" si="18"/>
        <v>1</v>
      </c>
      <c r="BB23" s="121">
        <f t="shared" si="19"/>
        <v>44417</v>
      </c>
      <c r="BC23" s="121" t="str">
        <f t="shared" si="20"/>
        <v>no</v>
      </c>
      <c r="BD23" s="121" t="b">
        <f t="shared" si="21"/>
        <v>0</v>
      </c>
      <c r="BE23" s="125" t="s">
        <v>56</v>
      </c>
      <c r="BF23" s="122"/>
    </row>
    <row r="24" spans="1:58" s="114" customFormat="1" ht="154">
      <c r="A24" s="122"/>
      <c r="B24" s="120" t="s">
        <v>106</v>
      </c>
      <c r="C24" s="120"/>
      <c r="D24" s="117" t="s">
        <v>107</v>
      </c>
      <c r="E24" s="120"/>
      <c r="F24" s="117" t="s">
        <v>45</v>
      </c>
      <c r="G24" s="118" t="s">
        <v>108</v>
      </c>
      <c r="H24" s="130">
        <v>44424</v>
      </c>
      <c r="I24" s="118"/>
      <c r="J24" s="119">
        <v>44439</v>
      </c>
      <c r="K24" s="118"/>
      <c r="L24" s="118"/>
      <c r="M24" s="118"/>
      <c r="N24" s="118"/>
      <c r="O24" s="118"/>
      <c r="P24" s="118"/>
      <c r="Q24" s="120" t="s">
        <v>99</v>
      </c>
      <c r="R24" s="120" t="s">
        <v>48</v>
      </c>
      <c r="S24" s="120">
        <f t="shared" si="22"/>
        <v>217</v>
      </c>
      <c r="T24" s="120">
        <v>217</v>
      </c>
      <c r="U24" s="120">
        <v>0</v>
      </c>
      <c r="V24" s="120">
        <v>217</v>
      </c>
      <c r="W24" s="120"/>
      <c r="X24" s="120"/>
      <c r="Y24" s="120"/>
      <c r="Z24" s="120" t="s">
        <v>50</v>
      </c>
      <c r="AA24" s="120"/>
      <c r="AB24" s="120"/>
      <c r="AC24" s="120"/>
      <c r="AD24" s="120"/>
      <c r="AE24" s="120"/>
      <c r="AF24" s="120"/>
      <c r="AG24" s="120" t="s">
        <v>53</v>
      </c>
      <c r="AH24" s="120" t="s">
        <v>54</v>
      </c>
      <c r="AI24" s="120"/>
      <c r="AJ24" s="120"/>
      <c r="AK24" s="120"/>
      <c r="AL24" s="120" t="s">
        <v>55</v>
      </c>
      <c r="AM24" s="120"/>
      <c r="AN24" s="120"/>
      <c r="AR24" s="121">
        <f t="shared" si="1"/>
        <v>1</v>
      </c>
      <c r="AS24" s="121" t="str">
        <f t="shared" si="12"/>
        <v>2021_08_16_a</v>
      </c>
      <c r="AT24" s="122"/>
      <c r="AU24" s="121" t="str">
        <f t="shared" si="13"/>
        <v>2021</v>
      </c>
      <c r="AV24" s="121" t="str">
        <f t="shared" si="14"/>
        <v>08</v>
      </c>
      <c r="AW24" s="121" t="str">
        <f t="shared" si="15"/>
        <v>16</v>
      </c>
      <c r="AX24" s="121">
        <f t="shared" si="16"/>
        <v>44424</v>
      </c>
      <c r="AY24" s="123"/>
      <c r="AZ24" s="124">
        <f t="shared" si="17"/>
        <v>44424</v>
      </c>
      <c r="BA24" s="121" t="b">
        <f t="shared" si="18"/>
        <v>1</v>
      </c>
      <c r="BB24" s="121">
        <f t="shared" si="19"/>
        <v>44424</v>
      </c>
      <c r="BC24" s="121" t="str">
        <f t="shared" si="20"/>
        <v>no</v>
      </c>
      <c r="BD24" s="121" t="b">
        <f t="shared" si="21"/>
        <v>0</v>
      </c>
      <c r="BE24" s="125" t="s">
        <v>56</v>
      </c>
      <c r="BF24" s="122"/>
    </row>
    <row r="25" spans="1:58" s="114" customFormat="1" ht="154">
      <c r="A25" s="122"/>
      <c r="B25" s="120" t="s">
        <v>109</v>
      </c>
      <c r="C25" s="120"/>
      <c r="D25" s="117" t="s">
        <v>110</v>
      </c>
      <c r="E25" s="120"/>
      <c r="F25" s="117" t="s">
        <v>45</v>
      </c>
      <c r="G25" s="118" t="s">
        <v>111</v>
      </c>
      <c r="H25" s="130">
        <v>44431</v>
      </c>
      <c r="I25" s="118"/>
      <c r="J25" s="119">
        <v>44446</v>
      </c>
      <c r="K25" s="118"/>
      <c r="L25" s="118"/>
      <c r="M25" s="118"/>
      <c r="N25" s="118"/>
      <c r="O25" s="118"/>
      <c r="P25" s="118"/>
      <c r="Q25" s="120" t="s">
        <v>99</v>
      </c>
      <c r="R25" s="120" t="s">
        <v>48</v>
      </c>
      <c r="S25" s="120">
        <f t="shared" si="22"/>
        <v>215</v>
      </c>
      <c r="T25" s="120">
        <v>215</v>
      </c>
      <c r="U25" s="120">
        <v>0</v>
      </c>
      <c r="V25" s="120">
        <v>215</v>
      </c>
      <c r="W25" s="120"/>
      <c r="X25" s="120"/>
      <c r="Y25" s="120"/>
      <c r="Z25" s="120" t="s">
        <v>50</v>
      </c>
      <c r="AA25" s="120"/>
      <c r="AB25" s="120"/>
      <c r="AC25" s="120"/>
      <c r="AD25" s="120"/>
      <c r="AE25" s="120"/>
      <c r="AF25" s="120"/>
      <c r="AG25" s="120" t="s">
        <v>53</v>
      </c>
      <c r="AH25" s="120" t="s">
        <v>54</v>
      </c>
      <c r="AI25" s="120"/>
      <c r="AJ25" s="120"/>
      <c r="AK25" s="120"/>
      <c r="AL25" s="120" t="s">
        <v>55</v>
      </c>
      <c r="AM25" s="120"/>
      <c r="AN25" s="120"/>
      <c r="AR25" s="121">
        <f t="shared" si="1"/>
        <v>1</v>
      </c>
      <c r="AS25" s="121" t="str">
        <f t="shared" si="12"/>
        <v>2021_08_23_a</v>
      </c>
      <c r="AT25" s="122"/>
      <c r="AU25" s="121" t="str">
        <f t="shared" si="13"/>
        <v>2021</v>
      </c>
      <c r="AV25" s="121" t="str">
        <f t="shared" si="14"/>
        <v>08</v>
      </c>
      <c r="AW25" s="121" t="str">
        <f t="shared" si="15"/>
        <v>23</v>
      </c>
      <c r="AX25" s="121">
        <f t="shared" si="16"/>
        <v>44431</v>
      </c>
      <c r="AY25" s="123"/>
      <c r="AZ25" s="124">
        <f t="shared" si="17"/>
        <v>44431</v>
      </c>
      <c r="BA25" s="121" t="b">
        <f t="shared" si="18"/>
        <v>1</v>
      </c>
      <c r="BB25" s="121">
        <f t="shared" si="19"/>
        <v>44431</v>
      </c>
      <c r="BC25" s="121" t="str">
        <f t="shared" si="20"/>
        <v>no</v>
      </c>
      <c r="BD25" s="121" t="b">
        <f t="shared" si="21"/>
        <v>0</v>
      </c>
      <c r="BE25" s="125" t="s">
        <v>56</v>
      </c>
      <c r="BF25" s="122"/>
    </row>
    <row r="26" spans="1:58" s="114" customFormat="1" ht="154">
      <c r="A26" s="122"/>
      <c r="B26" s="120" t="s">
        <v>112</v>
      </c>
      <c r="C26" s="120"/>
      <c r="D26" s="117" t="s">
        <v>113</v>
      </c>
      <c r="E26" s="120"/>
      <c r="F26" s="117" t="s">
        <v>45</v>
      </c>
      <c r="G26" s="118" t="s">
        <v>114</v>
      </c>
      <c r="H26" s="130">
        <v>44439</v>
      </c>
      <c r="I26" s="118"/>
      <c r="J26" s="119">
        <v>44454</v>
      </c>
      <c r="K26" s="118"/>
      <c r="L26" s="118"/>
      <c r="M26" s="118"/>
      <c r="N26" s="118"/>
      <c r="O26" s="118"/>
      <c r="P26" s="118"/>
      <c r="Q26" s="120" t="s">
        <v>99</v>
      </c>
      <c r="R26" s="120" t="s">
        <v>48</v>
      </c>
      <c r="S26" s="120">
        <f t="shared" si="22"/>
        <v>186</v>
      </c>
      <c r="T26" s="120">
        <v>186</v>
      </c>
      <c r="U26" s="120">
        <v>0</v>
      </c>
      <c r="V26" s="120">
        <v>186</v>
      </c>
      <c r="W26" s="120"/>
      <c r="X26" s="120"/>
      <c r="Y26" s="120"/>
      <c r="Z26" s="120" t="s">
        <v>50</v>
      </c>
      <c r="AA26" s="120"/>
      <c r="AB26" s="120"/>
      <c r="AC26" s="120"/>
      <c r="AD26" s="120"/>
      <c r="AE26" s="120"/>
      <c r="AF26" s="120"/>
      <c r="AG26" s="120" t="s">
        <v>53</v>
      </c>
      <c r="AH26" s="120" t="s">
        <v>54</v>
      </c>
      <c r="AI26" s="120"/>
      <c r="AJ26" s="120"/>
      <c r="AK26" s="120"/>
      <c r="AL26" s="120" t="s">
        <v>55</v>
      </c>
      <c r="AM26" s="120"/>
      <c r="AN26" s="120"/>
      <c r="AR26" s="121">
        <f t="shared" si="1"/>
        <v>1</v>
      </c>
      <c r="AS26" s="121" t="str">
        <f t="shared" si="12"/>
        <v>2021_08_31_a</v>
      </c>
      <c r="AT26" s="122"/>
      <c r="AU26" s="121" t="str">
        <f t="shared" si="13"/>
        <v>2021</v>
      </c>
      <c r="AV26" s="121" t="str">
        <f t="shared" si="14"/>
        <v>08</v>
      </c>
      <c r="AW26" s="121" t="str">
        <f t="shared" si="15"/>
        <v>31</v>
      </c>
      <c r="AX26" s="121">
        <f t="shared" si="16"/>
        <v>44439</v>
      </c>
      <c r="AY26" s="123"/>
      <c r="AZ26" s="124">
        <f t="shared" si="17"/>
        <v>44439</v>
      </c>
      <c r="BA26" s="121" t="b">
        <f t="shared" si="18"/>
        <v>1</v>
      </c>
      <c r="BB26" s="121">
        <f t="shared" si="19"/>
        <v>44439</v>
      </c>
      <c r="BC26" s="121" t="str">
        <f t="shared" si="20"/>
        <v>no</v>
      </c>
      <c r="BD26" s="121" t="b">
        <f t="shared" si="21"/>
        <v>0</v>
      </c>
      <c r="BE26" s="125" t="s">
        <v>56</v>
      </c>
      <c r="BF26" s="122"/>
    </row>
    <row r="27" spans="1:58" s="114" customFormat="1" ht="154">
      <c r="A27" s="122"/>
      <c r="B27" s="120" t="s">
        <v>115</v>
      </c>
      <c r="C27" s="120"/>
      <c r="D27" s="117" t="s">
        <v>116</v>
      </c>
      <c r="E27" s="120"/>
      <c r="F27" s="117" t="s">
        <v>45</v>
      </c>
      <c r="G27" s="118" t="s">
        <v>117</v>
      </c>
      <c r="H27" s="130">
        <v>44459</v>
      </c>
      <c r="I27" s="118"/>
      <c r="J27" s="119">
        <v>44473</v>
      </c>
      <c r="K27" s="118"/>
      <c r="L27" s="118"/>
      <c r="M27" s="118"/>
      <c r="N27" s="118"/>
      <c r="O27" s="118"/>
      <c r="P27" s="118"/>
      <c r="Q27" s="120" t="s">
        <v>99</v>
      </c>
      <c r="R27" s="120" t="s">
        <v>48</v>
      </c>
      <c r="S27" s="120">
        <f t="shared" si="22"/>
        <v>182</v>
      </c>
      <c r="T27" s="120">
        <v>182</v>
      </c>
      <c r="U27" s="120">
        <v>0</v>
      </c>
      <c r="V27" s="120">
        <v>182</v>
      </c>
      <c r="W27" s="120"/>
      <c r="X27" s="120"/>
      <c r="Y27" s="120"/>
      <c r="Z27" s="120" t="s">
        <v>50</v>
      </c>
      <c r="AA27" s="120"/>
      <c r="AB27" s="120"/>
      <c r="AC27" s="120"/>
      <c r="AD27" s="120"/>
      <c r="AE27" s="120"/>
      <c r="AF27" s="120"/>
      <c r="AG27" s="120" t="s">
        <v>53</v>
      </c>
      <c r="AH27" s="120" t="s">
        <v>54</v>
      </c>
      <c r="AI27" s="120"/>
      <c r="AJ27" s="120"/>
      <c r="AK27" s="120"/>
      <c r="AL27" s="120" t="s">
        <v>55</v>
      </c>
      <c r="AM27" s="120"/>
      <c r="AN27" s="120"/>
      <c r="AR27" s="121">
        <f t="shared" si="1"/>
        <v>1</v>
      </c>
      <c r="AS27" s="121" t="str">
        <f t="shared" si="12"/>
        <v>2021_09_20_a</v>
      </c>
      <c r="AT27" s="122"/>
      <c r="AU27" s="121" t="str">
        <f t="shared" si="13"/>
        <v>2021</v>
      </c>
      <c r="AV27" s="121" t="str">
        <f t="shared" si="14"/>
        <v>09</v>
      </c>
      <c r="AW27" s="121" t="str">
        <f t="shared" si="15"/>
        <v>20</v>
      </c>
      <c r="AX27" s="121">
        <f t="shared" si="16"/>
        <v>44459</v>
      </c>
      <c r="AY27" s="123"/>
      <c r="AZ27" s="124">
        <f t="shared" si="17"/>
        <v>44459</v>
      </c>
      <c r="BA27" s="121" t="b">
        <f t="shared" si="18"/>
        <v>1</v>
      </c>
      <c r="BB27" s="121">
        <f t="shared" si="19"/>
        <v>44459</v>
      </c>
      <c r="BC27" s="121" t="str">
        <f t="shared" si="20"/>
        <v>no</v>
      </c>
      <c r="BD27" s="121" t="b">
        <f t="shared" si="21"/>
        <v>0</v>
      </c>
      <c r="BE27" s="125" t="s">
        <v>56</v>
      </c>
      <c r="BF27" s="122"/>
    </row>
    <row r="28" spans="1:58" s="114" customFormat="1" ht="154">
      <c r="A28" s="122"/>
      <c r="B28" s="120" t="s">
        <v>118</v>
      </c>
      <c r="C28" s="120"/>
      <c r="D28" s="117" t="s">
        <v>119</v>
      </c>
      <c r="E28" s="120"/>
      <c r="F28" s="117" t="s">
        <v>45</v>
      </c>
      <c r="G28" s="118" t="s">
        <v>120</v>
      </c>
      <c r="H28" s="130">
        <v>44473</v>
      </c>
      <c r="I28" s="118"/>
      <c r="J28" s="119">
        <v>44488</v>
      </c>
      <c r="K28" s="118"/>
      <c r="L28" s="118"/>
      <c r="M28" s="118"/>
      <c r="N28" s="118"/>
      <c r="O28" s="118"/>
      <c r="P28" s="118"/>
      <c r="Q28" s="120" t="s">
        <v>121</v>
      </c>
      <c r="R28" s="120" t="s">
        <v>48</v>
      </c>
      <c r="S28" s="120">
        <f t="shared" si="22"/>
        <v>151</v>
      </c>
      <c r="T28" s="120">
        <v>151</v>
      </c>
      <c r="U28" s="120">
        <v>0</v>
      </c>
      <c r="V28" s="120">
        <v>151</v>
      </c>
      <c r="W28" s="120"/>
      <c r="X28" s="120"/>
      <c r="Y28" s="120"/>
      <c r="Z28" s="120" t="s">
        <v>50</v>
      </c>
      <c r="AA28" s="120"/>
      <c r="AB28" s="120"/>
      <c r="AC28" s="120"/>
      <c r="AD28" s="120"/>
      <c r="AE28" s="120"/>
      <c r="AF28" s="120"/>
      <c r="AG28" s="120" t="s">
        <v>53</v>
      </c>
      <c r="AH28" s="120" t="s">
        <v>54</v>
      </c>
      <c r="AI28" s="120"/>
      <c r="AJ28" s="120"/>
      <c r="AK28" s="120"/>
      <c r="AL28" s="120" t="s">
        <v>55</v>
      </c>
      <c r="AM28" s="120"/>
      <c r="AN28" s="120"/>
      <c r="AR28" s="121">
        <f t="shared" si="1"/>
        <v>1</v>
      </c>
      <c r="AS28" s="121" t="str">
        <f t="shared" si="12"/>
        <v>2021_10_04_a</v>
      </c>
      <c r="AT28" s="122"/>
      <c r="AU28" s="121" t="str">
        <f t="shared" si="13"/>
        <v>2021</v>
      </c>
      <c r="AV28" s="121" t="str">
        <f t="shared" si="14"/>
        <v>10</v>
      </c>
      <c r="AW28" s="121" t="str">
        <f t="shared" si="15"/>
        <v>04</v>
      </c>
      <c r="AX28" s="121">
        <f t="shared" si="16"/>
        <v>44473</v>
      </c>
      <c r="AY28" s="123"/>
      <c r="AZ28" s="124">
        <f t="shared" si="17"/>
        <v>44473</v>
      </c>
      <c r="BA28" s="121" t="b">
        <f t="shared" si="18"/>
        <v>1</v>
      </c>
      <c r="BB28" s="121">
        <f t="shared" si="19"/>
        <v>44473</v>
      </c>
      <c r="BC28" s="121" t="str">
        <f t="shared" si="20"/>
        <v>no</v>
      </c>
      <c r="BD28" s="121" t="b">
        <f t="shared" si="21"/>
        <v>0</v>
      </c>
      <c r="BE28" s="125" t="s">
        <v>56</v>
      </c>
      <c r="BF28" s="122"/>
    </row>
    <row r="29" spans="1:58" s="114" customFormat="1" ht="154">
      <c r="A29" s="122"/>
      <c r="B29" s="120" t="s">
        <v>122</v>
      </c>
      <c r="C29" s="120"/>
      <c r="D29" s="117" t="s">
        <v>123</v>
      </c>
      <c r="E29" s="120"/>
      <c r="F29" s="117" t="s">
        <v>45</v>
      </c>
      <c r="G29" s="118" t="s">
        <v>124</v>
      </c>
      <c r="H29" s="130">
        <v>44487</v>
      </c>
      <c r="I29" s="118"/>
      <c r="J29" s="119">
        <v>44502</v>
      </c>
      <c r="K29" s="118"/>
      <c r="L29" s="118"/>
      <c r="M29" s="118"/>
      <c r="N29" s="118"/>
      <c r="O29" s="118"/>
      <c r="P29" s="118"/>
      <c r="Q29" s="120" t="s">
        <v>121</v>
      </c>
      <c r="R29" s="120" t="s">
        <v>48</v>
      </c>
      <c r="S29" s="120">
        <f t="shared" si="22"/>
        <v>194</v>
      </c>
      <c r="T29" s="120">
        <v>194</v>
      </c>
      <c r="U29" s="120">
        <v>0</v>
      </c>
      <c r="V29" s="120">
        <v>194</v>
      </c>
      <c r="W29" s="120"/>
      <c r="X29" s="120"/>
      <c r="Y29" s="120"/>
      <c r="Z29" s="120" t="s">
        <v>50</v>
      </c>
      <c r="AA29" s="120"/>
      <c r="AB29" s="120"/>
      <c r="AC29" s="120"/>
      <c r="AD29" s="120"/>
      <c r="AE29" s="120"/>
      <c r="AF29" s="120"/>
      <c r="AG29" s="120" t="s">
        <v>53</v>
      </c>
      <c r="AH29" s="120" t="s">
        <v>54</v>
      </c>
      <c r="AI29" s="120"/>
      <c r="AJ29" s="120"/>
      <c r="AK29" s="120"/>
      <c r="AL29" s="120" t="s">
        <v>55</v>
      </c>
      <c r="AM29" s="120"/>
      <c r="AN29" s="120"/>
      <c r="AR29" s="121">
        <f t="shared" si="1"/>
        <v>1</v>
      </c>
      <c r="AS29" s="121" t="str">
        <f t="shared" si="12"/>
        <v>2021_10_18_a</v>
      </c>
      <c r="AT29" s="122"/>
      <c r="AU29" s="121" t="str">
        <f t="shared" si="13"/>
        <v>2021</v>
      </c>
      <c r="AV29" s="121" t="str">
        <f t="shared" si="14"/>
        <v>10</v>
      </c>
      <c r="AW29" s="121" t="str">
        <f t="shared" si="15"/>
        <v>18</v>
      </c>
      <c r="AX29" s="121">
        <f t="shared" si="16"/>
        <v>44487</v>
      </c>
      <c r="AY29" s="123"/>
      <c r="AZ29" s="124">
        <f t="shared" si="17"/>
        <v>44487</v>
      </c>
      <c r="BA29" s="121" t="b">
        <f t="shared" si="18"/>
        <v>1</v>
      </c>
      <c r="BB29" s="121">
        <f t="shared" si="19"/>
        <v>44487</v>
      </c>
      <c r="BC29" s="121" t="str">
        <f t="shared" si="20"/>
        <v>no</v>
      </c>
      <c r="BD29" s="121" t="b">
        <f t="shared" si="21"/>
        <v>0</v>
      </c>
      <c r="BE29" s="125" t="s">
        <v>56</v>
      </c>
      <c r="BF29" s="122"/>
    </row>
    <row r="30" spans="1:58" s="114" customFormat="1" ht="154">
      <c r="A30" s="122"/>
      <c r="B30" s="120" t="s">
        <v>125</v>
      </c>
      <c r="C30" s="120"/>
      <c r="D30" s="117">
        <v>10226045</v>
      </c>
      <c r="E30" s="120"/>
      <c r="F30" s="117" t="s">
        <v>45</v>
      </c>
      <c r="G30" s="118" t="s">
        <v>126</v>
      </c>
      <c r="H30" s="130">
        <v>44494</v>
      </c>
      <c r="I30" s="118"/>
      <c r="J30" s="119">
        <v>44509</v>
      </c>
      <c r="K30" s="118"/>
      <c r="L30" s="118"/>
      <c r="M30" s="118"/>
      <c r="N30" s="118"/>
      <c r="O30" s="118"/>
      <c r="P30" s="118"/>
      <c r="Q30" s="120" t="s">
        <v>121</v>
      </c>
      <c r="R30" s="120" t="s">
        <v>48</v>
      </c>
      <c r="S30" s="120">
        <f t="shared" si="22"/>
        <v>128</v>
      </c>
      <c r="T30" s="120">
        <v>128</v>
      </c>
      <c r="U30" s="120">
        <v>0</v>
      </c>
      <c r="V30" s="120">
        <v>128</v>
      </c>
      <c r="W30" s="120"/>
      <c r="X30" s="120"/>
      <c r="Y30" s="120"/>
      <c r="Z30" s="120" t="s">
        <v>50</v>
      </c>
      <c r="AA30" s="120"/>
      <c r="AB30" s="120"/>
      <c r="AC30" s="120"/>
      <c r="AD30" s="120"/>
      <c r="AE30" s="120"/>
      <c r="AF30" s="120"/>
      <c r="AG30" s="120" t="s">
        <v>53</v>
      </c>
      <c r="AH30" s="120" t="s">
        <v>54</v>
      </c>
      <c r="AI30" s="120"/>
      <c r="AJ30" s="120"/>
      <c r="AK30" s="120"/>
      <c r="AL30" s="120" t="s">
        <v>55</v>
      </c>
      <c r="AM30" s="120"/>
      <c r="AN30" s="120"/>
      <c r="AR30" s="121">
        <f t="shared" si="1"/>
        <v>1</v>
      </c>
      <c r="AS30" s="121" t="str">
        <f t="shared" si="12"/>
        <v>2021_10_25_a</v>
      </c>
      <c r="AT30" s="122"/>
      <c r="AU30" s="121" t="str">
        <f t="shared" si="13"/>
        <v>2021</v>
      </c>
      <c r="AV30" s="121" t="str">
        <f t="shared" si="14"/>
        <v>10</v>
      </c>
      <c r="AW30" s="121" t="str">
        <f t="shared" si="15"/>
        <v>25</v>
      </c>
      <c r="AX30" s="121">
        <f t="shared" si="16"/>
        <v>44494</v>
      </c>
      <c r="AY30" s="123"/>
      <c r="AZ30" s="124">
        <f t="shared" si="17"/>
        <v>44494</v>
      </c>
      <c r="BA30" s="121" t="b">
        <f t="shared" si="18"/>
        <v>1</v>
      </c>
      <c r="BB30" s="121">
        <f t="shared" si="19"/>
        <v>44494</v>
      </c>
      <c r="BC30" s="121" t="str">
        <f t="shared" si="20"/>
        <v>no</v>
      </c>
      <c r="BD30" s="121" t="b">
        <f t="shared" si="21"/>
        <v>0</v>
      </c>
      <c r="BE30" s="125" t="s">
        <v>56</v>
      </c>
      <c r="BF30" s="122"/>
    </row>
    <row r="31" spans="1:58" s="114" customFormat="1" ht="154">
      <c r="A31" s="122"/>
      <c r="B31" s="120" t="s">
        <v>127</v>
      </c>
      <c r="C31" s="120"/>
      <c r="D31" s="117" t="s">
        <v>128</v>
      </c>
      <c r="E31" s="120"/>
      <c r="F31" s="117" t="s">
        <v>45</v>
      </c>
      <c r="G31" s="118" t="s">
        <v>129</v>
      </c>
      <c r="H31" s="130">
        <v>44515</v>
      </c>
      <c r="I31" s="118"/>
      <c r="J31" s="119">
        <v>44529</v>
      </c>
      <c r="K31" s="118"/>
      <c r="L31" s="118"/>
      <c r="M31" s="118"/>
      <c r="N31" s="118"/>
      <c r="O31" s="118"/>
      <c r="P31" s="118"/>
      <c r="Q31" s="120" t="s">
        <v>121</v>
      </c>
      <c r="R31" s="120" t="s">
        <v>48</v>
      </c>
      <c r="S31" s="120">
        <f>U31+V31</f>
        <v>183</v>
      </c>
      <c r="T31" s="120">
        <v>183</v>
      </c>
      <c r="U31" s="120">
        <v>0</v>
      </c>
      <c r="V31" s="120">
        <v>183</v>
      </c>
      <c r="W31" s="120"/>
      <c r="X31" s="120"/>
      <c r="Y31" s="120"/>
      <c r="Z31" s="120" t="s">
        <v>50</v>
      </c>
      <c r="AA31" s="120"/>
      <c r="AB31" s="120"/>
      <c r="AC31" s="120"/>
      <c r="AD31" s="120"/>
      <c r="AE31" s="120"/>
      <c r="AF31" s="120"/>
      <c r="AG31" s="120" t="s">
        <v>53</v>
      </c>
      <c r="AH31" s="120" t="s">
        <v>54</v>
      </c>
      <c r="AI31" s="120"/>
      <c r="AJ31" s="120"/>
      <c r="AK31" s="120"/>
      <c r="AL31" s="120" t="s">
        <v>55</v>
      </c>
      <c r="AM31" s="120"/>
      <c r="AN31" s="120"/>
      <c r="AR31" s="121">
        <f t="shared" si="1"/>
        <v>1</v>
      </c>
      <c r="AS31" s="121" t="str">
        <f t="shared" si="12"/>
        <v>2021_11_15_a</v>
      </c>
      <c r="AT31" s="122"/>
      <c r="AU31" s="121" t="str">
        <f t="shared" si="13"/>
        <v>2021</v>
      </c>
      <c r="AV31" s="121" t="str">
        <f t="shared" si="14"/>
        <v>11</v>
      </c>
      <c r="AW31" s="121" t="str">
        <f t="shared" si="15"/>
        <v>15</v>
      </c>
      <c r="AX31" s="121">
        <f t="shared" si="16"/>
        <v>44515</v>
      </c>
      <c r="AY31" s="123"/>
      <c r="AZ31" s="124">
        <f t="shared" si="17"/>
        <v>44515</v>
      </c>
      <c r="BA31" s="121" t="b">
        <f t="shared" si="18"/>
        <v>1</v>
      </c>
      <c r="BB31" s="121">
        <f t="shared" si="19"/>
        <v>44515</v>
      </c>
      <c r="BC31" s="121" t="str">
        <f t="shared" si="20"/>
        <v>no</v>
      </c>
      <c r="BD31" s="121" t="b">
        <f t="shared" si="21"/>
        <v>0</v>
      </c>
      <c r="BE31" s="125" t="s">
        <v>56</v>
      </c>
      <c r="BF31" s="122"/>
    </row>
    <row r="32" spans="1:58" s="114" customFormat="1" ht="154">
      <c r="A32" s="122"/>
      <c r="B32" s="120" t="s">
        <v>130</v>
      </c>
      <c r="C32" s="120"/>
      <c r="D32" s="117" t="s">
        <v>131</v>
      </c>
      <c r="E32" s="120"/>
      <c r="F32" s="117" t="s">
        <v>45</v>
      </c>
      <c r="G32" s="118" t="s">
        <v>132</v>
      </c>
      <c r="H32" s="130">
        <v>44522</v>
      </c>
      <c r="I32" s="118"/>
      <c r="J32" s="119">
        <v>44536</v>
      </c>
      <c r="K32" s="118"/>
      <c r="L32" s="118"/>
      <c r="M32" s="118"/>
      <c r="N32" s="118"/>
      <c r="O32" s="118"/>
      <c r="P32" s="118"/>
      <c r="Q32" s="120" t="s">
        <v>121</v>
      </c>
      <c r="R32" s="120" t="s">
        <v>48</v>
      </c>
      <c r="S32" s="120">
        <f t="shared" si="22"/>
        <v>146</v>
      </c>
      <c r="T32" s="120">
        <v>146</v>
      </c>
      <c r="U32" s="120">
        <v>0</v>
      </c>
      <c r="V32" s="120">
        <v>146</v>
      </c>
      <c r="W32" s="120"/>
      <c r="X32" s="120"/>
      <c r="Y32" s="120"/>
      <c r="Z32" s="120" t="s">
        <v>50</v>
      </c>
      <c r="AA32" s="120"/>
      <c r="AB32" s="120"/>
      <c r="AC32" s="120"/>
      <c r="AD32" s="120"/>
      <c r="AE32" s="120"/>
      <c r="AF32" s="120"/>
      <c r="AG32" s="120" t="s">
        <v>53</v>
      </c>
      <c r="AH32" s="120" t="s">
        <v>54</v>
      </c>
      <c r="AI32" s="120"/>
      <c r="AJ32" s="120"/>
      <c r="AK32" s="120"/>
      <c r="AL32" s="120" t="s">
        <v>55</v>
      </c>
      <c r="AM32" s="120"/>
      <c r="AN32" s="120"/>
      <c r="AR32" s="121">
        <f t="shared" si="1"/>
        <v>1</v>
      </c>
      <c r="AS32" s="121" t="str">
        <f t="shared" si="12"/>
        <v>2021_11_22_a</v>
      </c>
      <c r="AT32" s="122"/>
      <c r="AU32" s="121" t="str">
        <f t="shared" si="13"/>
        <v>2021</v>
      </c>
      <c r="AV32" s="121" t="str">
        <f t="shared" si="14"/>
        <v>11</v>
      </c>
      <c r="AW32" s="121" t="str">
        <f t="shared" si="15"/>
        <v>22</v>
      </c>
      <c r="AX32" s="121">
        <f t="shared" si="16"/>
        <v>44522</v>
      </c>
      <c r="AY32" s="123"/>
      <c r="AZ32" s="124">
        <f t="shared" si="17"/>
        <v>44522</v>
      </c>
      <c r="BA32" s="121" t="b">
        <f t="shared" si="18"/>
        <v>1</v>
      </c>
      <c r="BB32" s="121">
        <f t="shared" si="19"/>
        <v>44522</v>
      </c>
      <c r="BC32" s="121" t="str">
        <f t="shared" si="20"/>
        <v>no</v>
      </c>
      <c r="BD32" s="121" t="b">
        <f t="shared" si="21"/>
        <v>0</v>
      </c>
      <c r="BE32" s="125" t="s">
        <v>56</v>
      </c>
      <c r="BF32" s="122"/>
    </row>
    <row r="33" spans="1:58" s="114" customFormat="1" ht="154">
      <c r="A33" s="122"/>
      <c r="B33" s="120" t="s">
        <v>133</v>
      </c>
      <c r="C33" s="120"/>
      <c r="D33" s="117">
        <v>10245016</v>
      </c>
      <c r="E33" s="120"/>
      <c r="F33" s="117" t="s">
        <v>45</v>
      </c>
      <c r="G33" s="118" t="s">
        <v>134</v>
      </c>
      <c r="H33" s="130">
        <v>44585</v>
      </c>
      <c r="I33" s="118"/>
      <c r="J33" s="119">
        <v>44600</v>
      </c>
      <c r="K33" s="118"/>
      <c r="L33" s="118"/>
      <c r="M33" s="118"/>
      <c r="N33" s="118"/>
      <c r="O33" s="118"/>
      <c r="P33" s="118"/>
      <c r="Q33" s="120" t="s">
        <v>47</v>
      </c>
      <c r="R33" s="120" t="s">
        <v>48</v>
      </c>
      <c r="S33" s="120">
        <f t="shared" ref="S33" si="23">U33+V33</f>
        <v>144</v>
      </c>
      <c r="T33" s="120">
        <v>144</v>
      </c>
      <c r="U33" s="120">
        <v>0</v>
      </c>
      <c r="V33" s="120">
        <v>144</v>
      </c>
      <c r="W33" s="120"/>
      <c r="X33" s="120"/>
      <c r="Y33" s="120"/>
      <c r="Z33" s="120" t="s">
        <v>50</v>
      </c>
      <c r="AA33" s="120"/>
      <c r="AB33" s="120"/>
      <c r="AC33" s="120"/>
      <c r="AD33" s="120"/>
      <c r="AE33" s="120"/>
      <c r="AF33" s="120"/>
      <c r="AG33" s="120" t="s">
        <v>53</v>
      </c>
      <c r="AH33" s="120" t="s">
        <v>54</v>
      </c>
      <c r="AI33" s="120"/>
      <c r="AJ33" s="120"/>
      <c r="AK33" s="120"/>
      <c r="AL33" s="120" t="s">
        <v>55</v>
      </c>
      <c r="AM33" s="120"/>
      <c r="AN33" s="120"/>
      <c r="AR33" s="121">
        <f t="shared" si="1"/>
        <v>1</v>
      </c>
      <c r="AS33" s="121" t="str">
        <f t="shared" si="12"/>
        <v>2022_01_24_a</v>
      </c>
      <c r="AT33" s="122"/>
      <c r="AU33" s="121" t="str">
        <f t="shared" si="13"/>
        <v>2022</v>
      </c>
      <c r="AV33" s="121" t="str">
        <f t="shared" si="14"/>
        <v>01</v>
      </c>
      <c r="AW33" s="121" t="str">
        <f t="shared" si="15"/>
        <v>24</v>
      </c>
      <c r="AX33" s="121">
        <f t="shared" si="16"/>
        <v>44585</v>
      </c>
      <c r="AY33" s="123"/>
      <c r="AZ33" s="124">
        <f t="shared" si="17"/>
        <v>44585</v>
      </c>
      <c r="BA33" s="121" t="b">
        <f t="shared" si="18"/>
        <v>1</v>
      </c>
      <c r="BB33" s="121">
        <f t="shared" si="19"/>
        <v>44585</v>
      </c>
      <c r="BC33" s="121" t="str">
        <f t="shared" si="20"/>
        <v>no</v>
      </c>
      <c r="BD33" s="121" t="b">
        <f t="shared" si="21"/>
        <v>0</v>
      </c>
      <c r="BE33" s="125" t="s">
        <v>56</v>
      </c>
      <c r="BF33" s="122"/>
    </row>
    <row r="34" spans="1:58" s="114" customFormat="1" ht="154">
      <c r="A34" s="122"/>
      <c r="B34" s="120" t="s">
        <v>135</v>
      </c>
      <c r="C34" s="120"/>
      <c r="D34" s="117">
        <v>10250289</v>
      </c>
      <c r="E34" s="120"/>
      <c r="F34" s="117" t="s">
        <v>45</v>
      </c>
      <c r="G34" s="118" t="s">
        <v>136</v>
      </c>
      <c r="H34" s="130">
        <v>44606</v>
      </c>
      <c r="I34" s="118"/>
      <c r="J34" s="119">
        <v>44620</v>
      </c>
      <c r="K34" s="118"/>
      <c r="L34" s="118"/>
      <c r="M34" s="118"/>
      <c r="N34" s="118"/>
      <c r="O34" s="118"/>
      <c r="P34" s="118"/>
      <c r="Q34" s="120" t="s">
        <v>47</v>
      </c>
      <c r="R34" s="120" t="s">
        <v>48</v>
      </c>
      <c r="S34" s="120">
        <f t="shared" ref="S34:S35" si="24">U34+V34</f>
        <v>202</v>
      </c>
      <c r="T34" s="120"/>
      <c r="U34" s="120">
        <v>0</v>
      </c>
      <c r="V34" s="120">
        <v>202</v>
      </c>
      <c r="W34" s="120"/>
      <c r="X34" s="120"/>
      <c r="Y34" s="120"/>
      <c r="Z34" s="120" t="s">
        <v>50</v>
      </c>
      <c r="AA34" s="120"/>
      <c r="AB34" s="120"/>
      <c r="AC34" s="120"/>
      <c r="AD34" s="120"/>
      <c r="AE34" s="120"/>
      <c r="AF34" s="120"/>
      <c r="AG34" s="120" t="s">
        <v>53</v>
      </c>
      <c r="AH34" s="120" t="s">
        <v>54</v>
      </c>
      <c r="AI34" s="120"/>
      <c r="AJ34" s="120"/>
      <c r="AK34" s="120"/>
      <c r="AL34" s="120" t="s">
        <v>55</v>
      </c>
      <c r="AM34" s="120"/>
      <c r="AN34" s="120"/>
      <c r="AR34" s="121">
        <f t="shared" si="1"/>
        <v>1</v>
      </c>
      <c r="AS34" s="121" t="str">
        <f t="shared" si="12"/>
        <v>2022_02_14_a</v>
      </c>
      <c r="AT34" s="122"/>
      <c r="AU34" s="121" t="str">
        <f t="shared" si="13"/>
        <v>2022</v>
      </c>
      <c r="AV34" s="121" t="str">
        <f t="shared" si="14"/>
        <v>02</v>
      </c>
      <c r="AW34" s="121" t="str">
        <f t="shared" si="15"/>
        <v>14</v>
      </c>
      <c r="AX34" s="121">
        <f t="shared" si="16"/>
        <v>44606</v>
      </c>
      <c r="AY34" s="123"/>
      <c r="AZ34" s="124">
        <f t="shared" si="17"/>
        <v>44606</v>
      </c>
      <c r="BA34" s="121" t="b">
        <f t="shared" si="18"/>
        <v>1</v>
      </c>
      <c r="BB34" s="121">
        <f t="shared" si="19"/>
        <v>44606</v>
      </c>
      <c r="BC34" s="121" t="str">
        <f t="shared" si="20"/>
        <v>no</v>
      </c>
      <c r="BD34" s="121" t="b">
        <f t="shared" si="21"/>
        <v>0</v>
      </c>
      <c r="BE34" s="125" t="s">
        <v>56</v>
      </c>
      <c r="BF34" s="122"/>
    </row>
    <row r="35" spans="1:58" s="114" customFormat="1" ht="154">
      <c r="A35" s="122"/>
      <c r="B35" s="120" t="s">
        <v>137</v>
      </c>
      <c r="C35" s="120"/>
      <c r="D35" s="117">
        <v>10261300</v>
      </c>
      <c r="E35" s="120"/>
      <c r="F35" s="117" t="s">
        <v>45</v>
      </c>
      <c r="G35" s="119">
        <v>44648</v>
      </c>
      <c r="H35" s="130">
        <v>44648</v>
      </c>
      <c r="I35" s="118"/>
      <c r="J35" s="119">
        <v>44662</v>
      </c>
      <c r="K35" s="118"/>
      <c r="L35" s="118"/>
      <c r="M35" s="118"/>
      <c r="N35" s="118"/>
      <c r="O35" s="118"/>
      <c r="P35" s="118"/>
      <c r="Q35" s="120" t="s">
        <v>47</v>
      </c>
      <c r="R35" s="120" t="s">
        <v>48</v>
      </c>
      <c r="S35" s="120">
        <f t="shared" si="24"/>
        <v>163</v>
      </c>
      <c r="T35" s="120"/>
      <c r="U35" s="120">
        <v>0</v>
      </c>
      <c r="V35" s="120">
        <v>163</v>
      </c>
      <c r="W35" s="120"/>
      <c r="X35" s="120"/>
      <c r="Y35" s="120"/>
      <c r="Z35" s="120" t="s">
        <v>50</v>
      </c>
      <c r="AA35" s="120"/>
      <c r="AB35" s="120"/>
      <c r="AC35" s="120"/>
      <c r="AD35" s="120"/>
      <c r="AE35" s="120"/>
      <c r="AF35" s="120"/>
      <c r="AG35" s="120" t="s">
        <v>53</v>
      </c>
      <c r="AH35" s="120" t="s">
        <v>54</v>
      </c>
      <c r="AI35" s="120"/>
      <c r="AJ35" s="120"/>
      <c r="AK35" s="120"/>
      <c r="AL35" s="120" t="s">
        <v>55</v>
      </c>
      <c r="AM35" s="120"/>
      <c r="AN35" s="120"/>
      <c r="AR35" s="121">
        <f t="shared" si="1"/>
        <v>1</v>
      </c>
      <c r="AS35" s="121" t="str">
        <f t="shared" si="12"/>
        <v>2022_03_28_a</v>
      </c>
      <c r="AT35" s="122"/>
      <c r="AU35" s="121" t="str">
        <f t="shared" si="13"/>
        <v>2022</v>
      </c>
      <c r="AV35" s="121" t="str">
        <f t="shared" si="14"/>
        <v>03</v>
      </c>
      <c r="AW35" s="121" t="str">
        <f t="shared" si="15"/>
        <v>28</v>
      </c>
      <c r="AX35" s="121">
        <f t="shared" si="16"/>
        <v>44648</v>
      </c>
      <c r="AY35" s="123"/>
      <c r="AZ35" s="124">
        <f t="shared" si="17"/>
        <v>44648</v>
      </c>
      <c r="BA35" s="121" t="b">
        <f t="shared" si="18"/>
        <v>1</v>
      </c>
      <c r="BB35" s="121">
        <f t="shared" si="19"/>
        <v>44648</v>
      </c>
      <c r="BC35" s="121" t="str">
        <f t="shared" si="20"/>
        <v>no</v>
      </c>
      <c r="BD35" s="121" t="b">
        <f t="shared" si="21"/>
        <v>0</v>
      </c>
      <c r="BE35" s="125" t="s">
        <v>56</v>
      </c>
      <c r="BF35" s="122"/>
    </row>
    <row r="36" spans="1:58" s="114" customFormat="1" ht="154">
      <c r="A36" s="122"/>
      <c r="B36" s="120" t="s">
        <v>138</v>
      </c>
      <c r="C36" s="120"/>
      <c r="D36" s="117">
        <v>10263165</v>
      </c>
      <c r="E36" s="120"/>
      <c r="F36" s="117" t="s">
        <v>45</v>
      </c>
      <c r="G36" s="119">
        <v>44655</v>
      </c>
      <c r="H36" s="130">
        <v>44655</v>
      </c>
      <c r="I36" s="118"/>
      <c r="J36" s="119">
        <v>44670</v>
      </c>
      <c r="K36" s="118"/>
      <c r="L36" s="118"/>
      <c r="M36" s="118"/>
      <c r="N36" s="118"/>
      <c r="O36" s="118"/>
      <c r="P36" s="118"/>
      <c r="Q36" s="120" t="s">
        <v>78</v>
      </c>
      <c r="R36" s="120" t="s">
        <v>48</v>
      </c>
      <c r="S36" s="120">
        <f t="shared" ref="S36:S38" si="25">U36+V36</f>
        <v>130</v>
      </c>
      <c r="T36" s="120"/>
      <c r="U36" s="120">
        <v>0</v>
      </c>
      <c r="V36" s="120">
        <v>130</v>
      </c>
      <c r="W36" s="120"/>
      <c r="X36" s="120"/>
      <c r="Y36" s="120"/>
      <c r="Z36" s="120" t="s">
        <v>50</v>
      </c>
      <c r="AA36" s="120"/>
      <c r="AB36" s="120"/>
      <c r="AC36" s="120"/>
      <c r="AD36" s="120"/>
      <c r="AE36" s="120"/>
      <c r="AF36" s="120"/>
      <c r="AG36" s="120" t="s">
        <v>53</v>
      </c>
      <c r="AH36" s="120" t="s">
        <v>54</v>
      </c>
      <c r="AI36" s="120"/>
      <c r="AJ36" s="120"/>
      <c r="AK36" s="120"/>
      <c r="AL36" s="120" t="s">
        <v>55</v>
      </c>
      <c r="AM36" s="120"/>
      <c r="AN36" s="120"/>
      <c r="AR36" s="121">
        <f t="shared" si="1"/>
        <v>1</v>
      </c>
      <c r="AS36" s="121" t="str">
        <f t="shared" si="12"/>
        <v>2022_04_04_a</v>
      </c>
      <c r="AT36" s="122"/>
      <c r="AU36" s="121" t="str">
        <f t="shared" si="13"/>
        <v>2022</v>
      </c>
      <c r="AV36" s="121" t="str">
        <f t="shared" si="14"/>
        <v>04</v>
      </c>
      <c r="AW36" s="121" t="str">
        <f t="shared" si="15"/>
        <v>04</v>
      </c>
      <c r="AX36" s="121">
        <f t="shared" si="16"/>
        <v>44655</v>
      </c>
      <c r="AY36" s="123"/>
      <c r="AZ36" s="124">
        <f t="shared" si="17"/>
        <v>44655</v>
      </c>
      <c r="BA36" s="121" t="b">
        <f t="shared" si="18"/>
        <v>1</v>
      </c>
      <c r="BB36" s="121">
        <f t="shared" si="19"/>
        <v>44655</v>
      </c>
      <c r="BC36" s="121" t="str">
        <f t="shared" si="20"/>
        <v>no</v>
      </c>
      <c r="BD36" s="121" t="b">
        <f t="shared" si="21"/>
        <v>0</v>
      </c>
      <c r="BE36" s="125" t="s">
        <v>56</v>
      </c>
      <c r="BF36" s="122"/>
    </row>
    <row r="37" spans="1:58" s="114" customFormat="1" ht="154">
      <c r="A37" s="122"/>
      <c r="B37" s="120" t="s">
        <v>139</v>
      </c>
      <c r="C37" s="120"/>
      <c r="D37" s="117">
        <v>10269125</v>
      </c>
      <c r="E37" s="120"/>
      <c r="F37" s="117" t="s">
        <v>45</v>
      </c>
      <c r="G37" s="119">
        <v>44676</v>
      </c>
      <c r="H37" s="130">
        <v>44676</v>
      </c>
      <c r="I37" s="118"/>
      <c r="J37" s="119">
        <v>44692</v>
      </c>
      <c r="K37" s="118"/>
      <c r="L37" s="118"/>
      <c r="M37" s="118"/>
      <c r="N37" s="118"/>
      <c r="O37" s="118"/>
      <c r="P37" s="118"/>
      <c r="Q37" s="120" t="s">
        <v>78</v>
      </c>
      <c r="R37" s="120" t="s">
        <v>48</v>
      </c>
      <c r="S37" s="120">
        <f t="shared" si="25"/>
        <v>183</v>
      </c>
      <c r="T37" s="120"/>
      <c r="U37" s="120">
        <v>0</v>
      </c>
      <c r="V37" s="120">
        <v>183</v>
      </c>
      <c r="W37" s="120"/>
      <c r="X37" s="120"/>
      <c r="Y37" s="120"/>
      <c r="Z37" s="120" t="s">
        <v>50</v>
      </c>
      <c r="AA37" s="120"/>
      <c r="AB37" s="120"/>
      <c r="AC37" s="120"/>
      <c r="AD37" s="120"/>
      <c r="AE37" s="120"/>
      <c r="AF37" s="120"/>
      <c r="AG37" s="120" t="s">
        <v>53</v>
      </c>
      <c r="AH37" s="120" t="s">
        <v>54</v>
      </c>
      <c r="AI37" s="120"/>
      <c r="AJ37" s="120"/>
      <c r="AK37" s="120"/>
      <c r="AL37" s="120" t="s">
        <v>55</v>
      </c>
      <c r="AM37" s="120"/>
      <c r="AN37" s="120"/>
      <c r="AR37" s="121">
        <f t="shared" si="1"/>
        <v>1</v>
      </c>
      <c r="AS37" s="121" t="str">
        <f t="shared" si="12"/>
        <v>2022_04_25_a</v>
      </c>
      <c r="AT37" s="122"/>
      <c r="AU37" s="121" t="str">
        <f t="shared" si="13"/>
        <v>2022</v>
      </c>
      <c r="AV37" s="121" t="str">
        <f t="shared" si="14"/>
        <v>04</v>
      </c>
      <c r="AW37" s="121" t="str">
        <f t="shared" si="15"/>
        <v>25</v>
      </c>
      <c r="AX37" s="121">
        <f t="shared" si="16"/>
        <v>44676</v>
      </c>
      <c r="AY37" s="123"/>
      <c r="AZ37" s="124">
        <f t="shared" si="17"/>
        <v>44676</v>
      </c>
      <c r="BA37" s="121" t="b">
        <f t="shared" si="18"/>
        <v>1</v>
      </c>
      <c r="BB37" s="121">
        <f t="shared" si="19"/>
        <v>44676</v>
      </c>
      <c r="BC37" s="121" t="str">
        <f t="shared" si="20"/>
        <v>no</v>
      </c>
      <c r="BD37" s="121" t="b">
        <f t="shared" si="21"/>
        <v>0</v>
      </c>
      <c r="BE37" s="125" t="s">
        <v>56</v>
      </c>
      <c r="BF37" s="122"/>
    </row>
    <row r="38" spans="1:58" s="114" customFormat="1" ht="154">
      <c r="A38" s="122"/>
      <c r="B38" s="120" t="s">
        <v>140</v>
      </c>
      <c r="C38" s="120"/>
      <c r="D38" s="117">
        <v>10270542</v>
      </c>
      <c r="E38" s="120"/>
      <c r="F38" s="117" t="s">
        <v>45</v>
      </c>
      <c r="G38" s="119">
        <v>44683</v>
      </c>
      <c r="H38" s="130">
        <v>44683</v>
      </c>
      <c r="I38" s="118"/>
      <c r="J38" s="119">
        <v>44698</v>
      </c>
      <c r="K38" s="118"/>
      <c r="L38" s="118"/>
      <c r="M38" s="118"/>
      <c r="N38" s="118"/>
      <c r="O38" s="118"/>
      <c r="P38" s="118"/>
      <c r="Q38" s="120" t="s">
        <v>78</v>
      </c>
      <c r="R38" s="120" t="s">
        <v>48</v>
      </c>
      <c r="S38" s="120">
        <f t="shared" si="25"/>
        <v>233</v>
      </c>
      <c r="T38" s="120"/>
      <c r="U38" s="120">
        <v>0</v>
      </c>
      <c r="V38" s="120">
        <v>233</v>
      </c>
      <c r="W38" s="120"/>
      <c r="X38" s="120"/>
      <c r="Y38" s="120"/>
      <c r="Z38" s="120" t="s">
        <v>50</v>
      </c>
      <c r="AA38" s="120"/>
      <c r="AB38" s="120"/>
      <c r="AC38" s="120"/>
      <c r="AD38" s="120"/>
      <c r="AE38" s="120"/>
      <c r="AF38" s="120"/>
      <c r="AG38" s="120" t="s">
        <v>53</v>
      </c>
      <c r="AH38" s="120" t="s">
        <v>54</v>
      </c>
      <c r="AI38" s="120"/>
      <c r="AJ38" s="120"/>
      <c r="AK38" s="120"/>
      <c r="AL38" s="120" t="s">
        <v>55</v>
      </c>
      <c r="AM38" s="120"/>
      <c r="AN38" s="120"/>
      <c r="AR38" s="121">
        <f t="shared" si="1"/>
        <v>1</v>
      </c>
      <c r="AS38" s="121" t="str">
        <f t="shared" si="12"/>
        <v>2022_05_02_a</v>
      </c>
      <c r="AT38" s="122"/>
      <c r="AU38" s="121" t="str">
        <f t="shared" si="13"/>
        <v>2022</v>
      </c>
      <c r="AV38" s="121" t="str">
        <f t="shared" si="14"/>
        <v>05</v>
      </c>
      <c r="AW38" s="121" t="str">
        <f t="shared" si="15"/>
        <v>02</v>
      </c>
      <c r="AX38" s="121">
        <f t="shared" si="16"/>
        <v>44683</v>
      </c>
      <c r="AY38" s="123"/>
      <c r="AZ38" s="124">
        <f t="shared" si="17"/>
        <v>44683</v>
      </c>
      <c r="BA38" s="121" t="b">
        <f t="shared" si="18"/>
        <v>1</v>
      </c>
      <c r="BB38" s="121">
        <f t="shared" si="19"/>
        <v>44683</v>
      </c>
      <c r="BC38" s="121" t="str">
        <f t="shared" si="20"/>
        <v>no</v>
      </c>
      <c r="BD38" s="121" t="b">
        <f t="shared" si="21"/>
        <v>0</v>
      </c>
      <c r="BE38" s="125" t="s">
        <v>56</v>
      </c>
      <c r="BF38" s="122"/>
    </row>
    <row r="39" spans="1:58" s="114" customFormat="1" ht="154">
      <c r="A39" s="122"/>
      <c r="B39" s="120" t="s">
        <v>141</v>
      </c>
      <c r="C39" s="120"/>
      <c r="D39" s="117">
        <v>10274322</v>
      </c>
      <c r="E39" s="120"/>
      <c r="F39" s="117" t="s">
        <v>45</v>
      </c>
      <c r="G39" s="119">
        <v>44697</v>
      </c>
      <c r="H39" s="130">
        <v>44697</v>
      </c>
      <c r="I39" s="118"/>
      <c r="J39" s="119">
        <v>44711</v>
      </c>
      <c r="K39" s="118"/>
      <c r="L39" s="118"/>
      <c r="M39" s="118"/>
      <c r="N39" s="118"/>
      <c r="O39" s="118"/>
      <c r="P39" s="118"/>
      <c r="Q39" s="120" t="s">
        <v>78</v>
      </c>
      <c r="R39" s="120" t="s">
        <v>48</v>
      </c>
      <c r="S39" s="120">
        <f t="shared" ref="S39" si="26">U39+V39</f>
        <v>213</v>
      </c>
      <c r="T39" s="120"/>
      <c r="U39" s="120">
        <v>0</v>
      </c>
      <c r="V39" s="120">
        <v>213</v>
      </c>
      <c r="W39" s="120"/>
      <c r="X39" s="120"/>
      <c r="Y39" s="120"/>
      <c r="Z39" s="120" t="s">
        <v>50</v>
      </c>
      <c r="AA39" s="120"/>
      <c r="AB39" s="120"/>
      <c r="AC39" s="120"/>
      <c r="AD39" s="120"/>
      <c r="AE39" s="120"/>
      <c r="AF39" s="120"/>
      <c r="AG39" s="120" t="s">
        <v>53</v>
      </c>
      <c r="AH39" s="120" t="s">
        <v>54</v>
      </c>
      <c r="AI39" s="120"/>
      <c r="AJ39" s="120"/>
      <c r="AK39" s="120"/>
      <c r="AL39" s="120" t="s">
        <v>55</v>
      </c>
      <c r="AM39" s="120"/>
      <c r="AN39" s="120"/>
      <c r="AR39" s="121">
        <f t="shared" si="1"/>
        <v>1</v>
      </c>
      <c r="AS39" s="121" t="str">
        <f t="shared" si="12"/>
        <v>2022_05_16_a</v>
      </c>
      <c r="AT39" s="122"/>
      <c r="AU39" s="121" t="str">
        <f t="shared" si="13"/>
        <v>2022</v>
      </c>
      <c r="AV39" s="121" t="str">
        <f t="shared" si="14"/>
        <v>05</v>
      </c>
      <c r="AW39" s="121" t="str">
        <f t="shared" si="15"/>
        <v>16</v>
      </c>
      <c r="AX39" s="121">
        <f t="shared" si="16"/>
        <v>44697</v>
      </c>
      <c r="AY39" s="123"/>
      <c r="AZ39" s="124">
        <f t="shared" si="17"/>
        <v>44697</v>
      </c>
      <c r="BA39" s="121" t="b">
        <f t="shared" si="18"/>
        <v>1</v>
      </c>
      <c r="BB39" s="121">
        <f t="shared" si="19"/>
        <v>44697</v>
      </c>
      <c r="BC39" s="121" t="str">
        <f t="shared" si="20"/>
        <v>no</v>
      </c>
      <c r="BD39" s="121" t="b">
        <f t="shared" si="21"/>
        <v>0</v>
      </c>
      <c r="BE39" s="125" t="s">
        <v>56</v>
      </c>
      <c r="BF39" s="122"/>
    </row>
    <row r="40" spans="1:58" s="114" customFormat="1" ht="154">
      <c r="A40" s="122"/>
      <c r="B40" s="120" t="s">
        <v>142</v>
      </c>
      <c r="C40" s="120"/>
      <c r="D40" s="117">
        <v>10276208</v>
      </c>
      <c r="E40" s="120"/>
      <c r="F40" s="117" t="s">
        <v>45</v>
      </c>
      <c r="G40" s="119">
        <v>44704</v>
      </c>
      <c r="H40" s="130">
        <v>44704</v>
      </c>
      <c r="I40" s="118"/>
      <c r="J40" s="119">
        <v>44718</v>
      </c>
      <c r="K40" s="118"/>
      <c r="L40" s="118"/>
      <c r="M40" s="118"/>
      <c r="N40" s="118"/>
      <c r="O40" s="118"/>
      <c r="P40" s="118"/>
      <c r="Q40" s="120" t="s">
        <v>78</v>
      </c>
      <c r="R40" s="120" t="s">
        <v>48</v>
      </c>
      <c r="S40" s="120">
        <f t="shared" ref="S40" si="27">U40+V40</f>
        <v>164</v>
      </c>
      <c r="T40" s="120"/>
      <c r="U40" s="120">
        <v>0</v>
      </c>
      <c r="V40" s="120">
        <v>164</v>
      </c>
      <c r="W40" s="120"/>
      <c r="X40" s="120"/>
      <c r="Y40" s="120"/>
      <c r="Z40" s="120" t="s">
        <v>50</v>
      </c>
      <c r="AA40" s="120"/>
      <c r="AB40" s="120"/>
      <c r="AC40" s="120"/>
      <c r="AD40" s="120"/>
      <c r="AE40" s="120"/>
      <c r="AF40" s="120"/>
      <c r="AG40" s="120" t="s">
        <v>53</v>
      </c>
      <c r="AH40" s="120" t="s">
        <v>54</v>
      </c>
      <c r="AI40" s="120"/>
      <c r="AJ40" s="120"/>
      <c r="AK40" s="120"/>
      <c r="AL40" s="120" t="s">
        <v>55</v>
      </c>
      <c r="AM40" s="120"/>
      <c r="AN40" s="120"/>
      <c r="AR40" s="121">
        <f t="shared" si="1"/>
        <v>1</v>
      </c>
      <c r="AS40" s="121" t="str">
        <f t="shared" si="12"/>
        <v>2022_05_23_a</v>
      </c>
      <c r="AT40" s="122"/>
      <c r="AU40" s="121" t="str">
        <f t="shared" si="13"/>
        <v>2022</v>
      </c>
      <c r="AV40" s="121" t="str">
        <f t="shared" si="14"/>
        <v>05</v>
      </c>
      <c r="AW40" s="121" t="str">
        <f t="shared" si="15"/>
        <v>23</v>
      </c>
      <c r="AX40" s="121">
        <f t="shared" si="16"/>
        <v>44704</v>
      </c>
      <c r="AY40" s="123"/>
      <c r="AZ40" s="124">
        <f t="shared" si="17"/>
        <v>44704</v>
      </c>
      <c r="BA40" s="121" t="b">
        <f t="shared" si="18"/>
        <v>1</v>
      </c>
      <c r="BB40" s="121">
        <f t="shared" si="19"/>
        <v>44704</v>
      </c>
      <c r="BC40" s="121" t="str">
        <f t="shared" si="20"/>
        <v>no</v>
      </c>
      <c r="BD40" s="121" t="b">
        <f t="shared" si="21"/>
        <v>0</v>
      </c>
      <c r="BE40" s="125" t="s">
        <v>56</v>
      </c>
      <c r="BF40" s="122"/>
    </row>
    <row r="41" spans="1:58" s="114" customFormat="1" ht="154">
      <c r="A41" s="122"/>
      <c r="B41" s="120" t="s">
        <v>143</v>
      </c>
      <c r="C41" s="120"/>
      <c r="D41" s="117">
        <v>10278409</v>
      </c>
      <c r="E41" s="120"/>
      <c r="F41" s="117" t="s">
        <v>45</v>
      </c>
      <c r="G41" s="119">
        <v>44711</v>
      </c>
      <c r="H41" s="130">
        <v>44711</v>
      </c>
      <c r="I41" s="118"/>
      <c r="J41" s="119">
        <v>44725</v>
      </c>
      <c r="K41" s="118"/>
      <c r="L41" s="118"/>
      <c r="M41" s="118"/>
      <c r="N41" s="118"/>
      <c r="O41" s="118"/>
      <c r="P41" s="118"/>
      <c r="Q41" s="120" t="s">
        <v>78</v>
      </c>
      <c r="R41" s="120" t="s">
        <v>48</v>
      </c>
      <c r="S41" s="120">
        <f t="shared" ref="S41:S44" si="28">U41+V41</f>
        <v>135</v>
      </c>
      <c r="T41" s="120"/>
      <c r="U41" s="120">
        <v>0</v>
      </c>
      <c r="V41" s="120">
        <v>135</v>
      </c>
      <c r="W41" s="120"/>
      <c r="X41" s="120"/>
      <c r="Y41" s="120"/>
      <c r="Z41" s="120" t="s">
        <v>50</v>
      </c>
      <c r="AA41" s="120"/>
      <c r="AB41" s="120"/>
      <c r="AC41" s="120"/>
      <c r="AD41" s="120"/>
      <c r="AE41" s="120"/>
      <c r="AF41" s="120"/>
      <c r="AG41" s="120" t="s">
        <v>53</v>
      </c>
      <c r="AH41" s="120" t="s">
        <v>54</v>
      </c>
      <c r="AI41" s="120"/>
      <c r="AJ41" s="120"/>
      <c r="AK41" s="120"/>
      <c r="AL41" s="120" t="s">
        <v>55</v>
      </c>
      <c r="AM41" s="120"/>
      <c r="AN41" s="120"/>
      <c r="AR41" s="121">
        <f t="shared" si="1"/>
        <v>1</v>
      </c>
      <c r="AS41" s="121" t="str">
        <f t="shared" si="12"/>
        <v>2022_05_30_a</v>
      </c>
      <c r="AT41" s="122"/>
      <c r="AU41" s="121" t="str">
        <f t="shared" si="13"/>
        <v>2022</v>
      </c>
      <c r="AV41" s="121" t="str">
        <f t="shared" si="14"/>
        <v>05</v>
      </c>
      <c r="AW41" s="121" t="str">
        <f t="shared" si="15"/>
        <v>30</v>
      </c>
      <c r="AX41" s="121">
        <f t="shared" si="16"/>
        <v>44711</v>
      </c>
      <c r="AY41" s="123"/>
      <c r="AZ41" s="124">
        <f t="shared" si="17"/>
        <v>44711</v>
      </c>
      <c r="BA41" s="121" t="b">
        <f t="shared" si="18"/>
        <v>1</v>
      </c>
      <c r="BB41" s="121">
        <f t="shared" si="19"/>
        <v>44711</v>
      </c>
      <c r="BC41" s="121" t="str">
        <f t="shared" si="20"/>
        <v>no</v>
      </c>
      <c r="BD41" s="121" t="b">
        <f t="shared" si="21"/>
        <v>0</v>
      </c>
      <c r="BE41" s="125" t="s">
        <v>56</v>
      </c>
      <c r="BF41" s="122"/>
    </row>
    <row r="42" spans="1:58" s="114" customFormat="1" ht="154">
      <c r="A42" s="122"/>
      <c r="B42" s="120" t="s">
        <v>144</v>
      </c>
      <c r="C42" s="120"/>
      <c r="D42" s="117">
        <v>10280350</v>
      </c>
      <c r="E42" s="120"/>
      <c r="F42" s="117" t="s">
        <v>45</v>
      </c>
      <c r="G42" s="119">
        <v>44718</v>
      </c>
      <c r="H42" s="119">
        <v>44718</v>
      </c>
      <c r="I42" s="118"/>
      <c r="J42" s="119">
        <v>44732</v>
      </c>
      <c r="K42" s="118"/>
      <c r="L42" s="118"/>
      <c r="M42" s="118"/>
      <c r="N42" s="118"/>
      <c r="O42" s="118"/>
      <c r="P42" s="118"/>
      <c r="Q42" s="120" t="s">
        <v>78</v>
      </c>
      <c r="R42" s="120" t="s">
        <v>48</v>
      </c>
      <c r="S42" s="120">
        <f t="shared" si="28"/>
        <v>229</v>
      </c>
      <c r="T42" s="120">
        <v>204</v>
      </c>
      <c r="U42" s="120">
        <v>0</v>
      </c>
      <c r="V42" s="120">
        <v>229</v>
      </c>
      <c r="W42" s="120"/>
      <c r="X42" s="120"/>
      <c r="Y42" s="120"/>
      <c r="Z42" s="120" t="s">
        <v>50</v>
      </c>
      <c r="AA42" s="120"/>
      <c r="AB42" s="120"/>
      <c r="AC42" s="120"/>
      <c r="AD42" s="120"/>
      <c r="AE42" s="120"/>
      <c r="AF42" s="120"/>
      <c r="AG42" s="120" t="s">
        <v>53</v>
      </c>
      <c r="AH42" s="120" t="s">
        <v>54</v>
      </c>
      <c r="AI42" s="120"/>
      <c r="AJ42" s="120"/>
      <c r="AK42" s="120"/>
      <c r="AL42" s="120" t="s">
        <v>55</v>
      </c>
      <c r="AM42" s="120"/>
      <c r="AN42" s="120"/>
      <c r="AR42" s="121">
        <f t="shared" si="1"/>
        <v>1</v>
      </c>
      <c r="AS42" s="121" t="str">
        <f t="shared" si="12"/>
        <v>2022_06_06_a</v>
      </c>
      <c r="AT42" s="122"/>
      <c r="AU42" s="121" t="str">
        <f t="shared" si="13"/>
        <v>2022</v>
      </c>
      <c r="AV42" s="121" t="str">
        <f t="shared" si="14"/>
        <v>06</v>
      </c>
      <c r="AW42" s="121" t="str">
        <f t="shared" si="15"/>
        <v>06</v>
      </c>
      <c r="AX42" s="121">
        <f t="shared" si="16"/>
        <v>44718</v>
      </c>
      <c r="AY42" s="123"/>
      <c r="AZ42" s="124">
        <f t="shared" si="17"/>
        <v>44718</v>
      </c>
      <c r="BA42" s="121" t="b">
        <f t="shared" si="18"/>
        <v>1</v>
      </c>
      <c r="BB42" s="121">
        <f t="shared" si="19"/>
        <v>44718</v>
      </c>
      <c r="BC42" s="121" t="str">
        <f t="shared" si="20"/>
        <v>no</v>
      </c>
      <c r="BD42" s="121" t="b">
        <f t="shared" si="21"/>
        <v>0</v>
      </c>
      <c r="BE42" s="125" t="s">
        <v>56</v>
      </c>
      <c r="BF42" s="122"/>
    </row>
    <row r="43" spans="1:58" s="114" customFormat="1" ht="154">
      <c r="A43" s="122"/>
      <c r="B43" s="120" t="s">
        <v>145</v>
      </c>
      <c r="C43" s="120"/>
      <c r="D43" s="117">
        <v>10281689</v>
      </c>
      <c r="E43" s="120"/>
      <c r="F43" s="117" t="s">
        <v>45</v>
      </c>
      <c r="G43" s="119">
        <v>44725</v>
      </c>
      <c r="H43" s="119">
        <v>44725</v>
      </c>
      <c r="I43" s="118"/>
      <c r="J43" s="119">
        <v>44739</v>
      </c>
      <c r="K43" s="118"/>
      <c r="L43" s="118"/>
      <c r="M43" s="118"/>
      <c r="N43" s="118"/>
      <c r="O43" s="118"/>
      <c r="P43" s="118"/>
      <c r="Q43" s="120" t="s">
        <v>78</v>
      </c>
      <c r="R43" s="120" t="s">
        <v>48</v>
      </c>
      <c r="S43" s="120">
        <f t="shared" si="28"/>
        <v>122</v>
      </c>
      <c r="T43" s="120">
        <v>245</v>
      </c>
      <c r="U43" s="120">
        <v>0</v>
      </c>
      <c r="V43" s="120">
        <v>122</v>
      </c>
      <c r="W43" s="120"/>
      <c r="X43" s="120"/>
      <c r="Y43" s="120"/>
      <c r="Z43" s="120" t="s">
        <v>50</v>
      </c>
      <c r="AA43" s="120"/>
      <c r="AB43" s="120"/>
      <c r="AC43" s="120"/>
      <c r="AD43" s="120"/>
      <c r="AE43" s="120"/>
      <c r="AF43" s="120"/>
      <c r="AG43" s="120" t="s">
        <v>53</v>
      </c>
      <c r="AH43" s="120" t="s">
        <v>54</v>
      </c>
      <c r="AI43" s="120"/>
      <c r="AJ43" s="120"/>
      <c r="AK43" s="120"/>
      <c r="AL43" s="120" t="s">
        <v>55</v>
      </c>
      <c r="AM43" s="120"/>
      <c r="AN43" s="120"/>
      <c r="AR43" s="121">
        <f t="shared" si="1"/>
        <v>1</v>
      </c>
      <c r="AS43" s="121" t="str">
        <f t="shared" si="12"/>
        <v>2022_06_13_a</v>
      </c>
      <c r="AT43" s="122"/>
      <c r="AU43" s="121" t="str">
        <f t="shared" si="13"/>
        <v>2022</v>
      </c>
      <c r="AV43" s="121" t="str">
        <f t="shared" si="14"/>
        <v>06</v>
      </c>
      <c r="AW43" s="121" t="str">
        <f t="shared" si="15"/>
        <v>13</v>
      </c>
      <c r="AX43" s="121">
        <f t="shared" si="16"/>
        <v>44725</v>
      </c>
      <c r="AY43" s="123"/>
      <c r="AZ43" s="124">
        <f t="shared" si="17"/>
        <v>44725</v>
      </c>
      <c r="BA43" s="121" t="b">
        <f t="shared" si="18"/>
        <v>1</v>
      </c>
      <c r="BB43" s="121">
        <f t="shared" si="19"/>
        <v>44725</v>
      </c>
      <c r="BC43" s="121" t="str">
        <f t="shared" si="20"/>
        <v>no</v>
      </c>
      <c r="BD43" s="121" t="b">
        <f t="shared" si="21"/>
        <v>0</v>
      </c>
      <c r="BE43" s="125" t="s">
        <v>56</v>
      </c>
      <c r="BF43" s="122"/>
    </row>
    <row r="44" spans="1:58" s="114" customFormat="1" ht="154">
      <c r="A44" s="122"/>
      <c r="B44" s="120" t="s">
        <v>146</v>
      </c>
      <c r="C44" s="120"/>
      <c r="D44" s="117">
        <v>10283216</v>
      </c>
      <c r="E44" s="120"/>
      <c r="F44" s="117" t="s">
        <v>45</v>
      </c>
      <c r="G44" s="119">
        <v>44732</v>
      </c>
      <c r="H44" s="119">
        <v>44732</v>
      </c>
      <c r="I44" s="118"/>
      <c r="J44" s="119">
        <v>44746</v>
      </c>
      <c r="K44" s="118"/>
      <c r="L44" s="118"/>
      <c r="M44" s="118"/>
      <c r="N44" s="118"/>
      <c r="O44" s="118"/>
      <c r="P44" s="118"/>
      <c r="Q44" s="120" t="s">
        <v>78</v>
      </c>
      <c r="R44" s="120" t="s">
        <v>48</v>
      </c>
      <c r="S44" s="120">
        <f t="shared" si="28"/>
        <v>93</v>
      </c>
      <c r="T44" s="120">
        <v>164</v>
      </c>
      <c r="U44" s="120">
        <v>0</v>
      </c>
      <c r="V44" s="120">
        <v>93</v>
      </c>
      <c r="W44" s="120"/>
      <c r="X44" s="120"/>
      <c r="Y44" s="120"/>
      <c r="Z44" s="120" t="s">
        <v>50</v>
      </c>
      <c r="AA44" s="120"/>
      <c r="AB44" s="120"/>
      <c r="AC44" s="120"/>
      <c r="AD44" s="120"/>
      <c r="AE44" s="120"/>
      <c r="AF44" s="120"/>
      <c r="AG44" s="120" t="s">
        <v>53</v>
      </c>
      <c r="AH44" s="120" t="s">
        <v>54</v>
      </c>
      <c r="AI44" s="120"/>
      <c r="AJ44" s="120"/>
      <c r="AK44" s="120"/>
      <c r="AL44" s="120" t="s">
        <v>55</v>
      </c>
      <c r="AM44" s="120"/>
      <c r="AN44" s="120"/>
      <c r="AR44" s="121">
        <f t="shared" si="1"/>
        <v>1</v>
      </c>
      <c r="AS44" s="121" t="str">
        <f t="shared" si="12"/>
        <v>2022_06_20_a</v>
      </c>
      <c r="AT44" s="122"/>
      <c r="AU44" s="121" t="str">
        <f t="shared" si="13"/>
        <v>2022</v>
      </c>
      <c r="AV44" s="121" t="str">
        <f t="shared" si="14"/>
        <v>06</v>
      </c>
      <c r="AW44" s="121" t="str">
        <f t="shared" si="15"/>
        <v>20</v>
      </c>
      <c r="AX44" s="121">
        <f t="shared" si="16"/>
        <v>44732</v>
      </c>
      <c r="AY44" s="123"/>
      <c r="AZ44" s="124">
        <f t="shared" si="17"/>
        <v>44732</v>
      </c>
      <c r="BA44" s="121" t="b">
        <f t="shared" si="18"/>
        <v>1</v>
      </c>
      <c r="BB44" s="121">
        <f t="shared" si="19"/>
        <v>44732</v>
      </c>
      <c r="BC44" s="121" t="str">
        <f t="shared" si="20"/>
        <v>no</v>
      </c>
      <c r="BD44" s="121" t="b">
        <f t="shared" si="21"/>
        <v>0</v>
      </c>
      <c r="BE44" s="125" t="s">
        <v>56</v>
      </c>
      <c r="BF44" s="122"/>
    </row>
    <row r="45" spans="1:58" s="114" customFormat="1" ht="154">
      <c r="A45" s="122"/>
      <c r="B45" s="120" t="s">
        <v>147</v>
      </c>
      <c r="C45" s="120"/>
      <c r="D45" s="117">
        <v>10285242</v>
      </c>
      <c r="E45" s="120"/>
      <c r="F45" s="117" t="s">
        <v>45</v>
      </c>
      <c r="G45" s="119">
        <v>44739</v>
      </c>
      <c r="H45" s="119">
        <v>44739</v>
      </c>
      <c r="I45" s="118"/>
      <c r="J45" s="119">
        <v>44753</v>
      </c>
      <c r="K45" s="118"/>
      <c r="L45" s="118"/>
      <c r="M45" s="118"/>
      <c r="N45" s="118"/>
      <c r="O45" s="118"/>
      <c r="P45" s="118"/>
      <c r="Q45" s="120" t="s">
        <v>78</v>
      </c>
      <c r="R45" s="120" t="s">
        <v>48</v>
      </c>
      <c r="S45" s="120">
        <f t="shared" ref="S45" si="29">U45+V45</f>
        <v>255</v>
      </c>
      <c r="T45" s="120">
        <v>164</v>
      </c>
      <c r="U45" s="120">
        <v>0</v>
      </c>
      <c r="V45" s="120">
        <v>255</v>
      </c>
      <c r="W45" s="120"/>
      <c r="X45" s="120"/>
      <c r="Y45" s="120"/>
      <c r="Z45" s="120" t="s">
        <v>50</v>
      </c>
      <c r="AA45" s="120"/>
      <c r="AB45" s="120"/>
      <c r="AC45" s="120"/>
      <c r="AD45" s="120"/>
      <c r="AE45" s="120"/>
      <c r="AF45" s="120"/>
      <c r="AG45" s="120" t="s">
        <v>53</v>
      </c>
      <c r="AH45" s="120" t="s">
        <v>54</v>
      </c>
      <c r="AI45" s="120"/>
      <c r="AJ45" s="120"/>
      <c r="AK45" s="120"/>
      <c r="AL45" s="120" t="s">
        <v>55</v>
      </c>
      <c r="AM45" s="120"/>
      <c r="AN45" s="120"/>
      <c r="AR45" s="121">
        <f t="shared" si="1"/>
        <v>1</v>
      </c>
      <c r="AS45" s="121" t="str">
        <f t="shared" si="12"/>
        <v>2022_06_27_a</v>
      </c>
      <c r="AT45" s="122"/>
      <c r="AU45" s="121" t="str">
        <f t="shared" si="13"/>
        <v>2022</v>
      </c>
      <c r="AV45" s="121" t="str">
        <f t="shared" si="14"/>
        <v>06</v>
      </c>
      <c r="AW45" s="121" t="str">
        <f t="shared" si="15"/>
        <v>27</v>
      </c>
      <c r="AX45" s="121">
        <f t="shared" si="16"/>
        <v>44739</v>
      </c>
      <c r="AY45" s="123"/>
      <c r="AZ45" s="124">
        <f t="shared" si="17"/>
        <v>44739</v>
      </c>
      <c r="BA45" s="121" t="b">
        <f t="shared" si="18"/>
        <v>1</v>
      </c>
      <c r="BB45" s="121">
        <f t="shared" si="19"/>
        <v>44739</v>
      </c>
      <c r="BC45" s="121" t="str">
        <f t="shared" si="20"/>
        <v>no</v>
      </c>
      <c r="BD45" s="121" t="b">
        <f t="shared" si="21"/>
        <v>0</v>
      </c>
      <c r="BE45" s="125" t="s">
        <v>56</v>
      </c>
      <c r="BF45" s="122"/>
    </row>
    <row r="46" spans="1:58" s="114" customFormat="1" ht="154">
      <c r="A46" s="122"/>
      <c r="B46" s="120" t="s">
        <v>148</v>
      </c>
      <c r="C46" s="120"/>
      <c r="D46" s="117">
        <v>10289241</v>
      </c>
      <c r="E46" s="120"/>
      <c r="F46" s="117" t="s">
        <v>45</v>
      </c>
      <c r="G46" s="119">
        <v>44753</v>
      </c>
      <c r="H46" s="119">
        <v>44753</v>
      </c>
      <c r="I46" s="118"/>
      <c r="J46" s="119">
        <v>44767</v>
      </c>
      <c r="K46" s="118"/>
      <c r="L46" s="118"/>
      <c r="M46" s="118"/>
      <c r="N46" s="118"/>
      <c r="O46" s="118"/>
      <c r="P46" s="118"/>
      <c r="Q46" s="120" t="s">
        <v>99</v>
      </c>
      <c r="R46" s="120" t="s">
        <v>48</v>
      </c>
      <c r="S46" s="120">
        <f t="shared" ref="S46" si="30">U46+V46</f>
        <v>188</v>
      </c>
      <c r="T46" s="120">
        <v>164</v>
      </c>
      <c r="U46" s="120">
        <v>0</v>
      </c>
      <c r="V46" s="120">
        <v>188</v>
      </c>
      <c r="W46" s="120"/>
      <c r="X46" s="120"/>
      <c r="Y46" s="120"/>
      <c r="Z46" s="120" t="s">
        <v>50</v>
      </c>
      <c r="AA46" s="120"/>
      <c r="AB46" s="120"/>
      <c r="AC46" s="120"/>
      <c r="AD46" s="120"/>
      <c r="AE46" s="120"/>
      <c r="AF46" s="120"/>
      <c r="AG46" s="120" t="s">
        <v>53</v>
      </c>
      <c r="AH46" s="120" t="s">
        <v>54</v>
      </c>
      <c r="AI46" s="120"/>
      <c r="AJ46" s="120"/>
      <c r="AK46" s="120"/>
      <c r="AL46" s="120" t="s">
        <v>55</v>
      </c>
      <c r="AM46" s="120"/>
      <c r="AN46" s="120"/>
      <c r="AR46" s="121">
        <f t="shared" si="1"/>
        <v>1</v>
      </c>
      <c r="AS46" s="121" t="str">
        <f t="shared" si="12"/>
        <v>2022_07_11_a</v>
      </c>
      <c r="AT46" s="122"/>
      <c r="AU46" s="121" t="str">
        <f t="shared" si="13"/>
        <v>2022</v>
      </c>
      <c r="AV46" s="121" t="str">
        <f t="shared" si="14"/>
        <v>07</v>
      </c>
      <c r="AW46" s="121" t="str">
        <f t="shared" si="15"/>
        <v>11</v>
      </c>
      <c r="AX46" s="121">
        <f t="shared" si="16"/>
        <v>44753</v>
      </c>
      <c r="AY46" s="123"/>
      <c r="AZ46" s="124">
        <f t="shared" si="17"/>
        <v>44753</v>
      </c>
      <c r="BA46" s="121" t="b">
        <f t="shared" si="18"/>
        <v>1</v>
      </c>
      <c r="BB46" s="121">
        <f t="shared" si="19"/>
        <v>44753</v>
      </c>
      <c r="BC46" s="121" t="str">
        <f t="shared" si="20"/>
        <v>no</v>
      </c>
      <c r="BD46" s="121" t="b">
        <f t="shared" si="21"/>
        <v>0</v>
      </c>
      <c r="BE46" s="125" t="s">
        <v>56</v>
      </c>
      <c r="BF46" s="122"/>
    </row>
    <row r="47" spans="1:58" s="114" customFormat="1" ht="154">
      <c r="A47" s="122"/>
      <c r="B47" s="120" t="s">
        <v>149</v>
      </c>
      <c r="C47" s="120"/>
      <c r="D47" s="117">
        <v>10292111</v>
      </c>
      <c r="E47" s="120"/>
      <c r="F47" s="117" t="s">
        <v>45</v>
      </c>
      <c r="G47" s="119">
        <v>44767</v>
      </c>
      <c r="H47" s="119">
        <v>44767</v>
      </c>
      <c r="I47" s="118"/>
      <c r="J47" s="119">
        <v>44781</v>
      </c>
      <c r="K47" s="118"/>
      <c r="L47" s="118"/>
      <c r="M47" s="118"/>
      <c r="N47" s="118"/>
      <c r="O47" s="118"/>
      <c r="P47" s="118"/>
      <c r="Q47" s="120" t="s">
        <v>99</v>
      </c>
      <c r="R47" s="120" t="s">
        <v>48</v>
      </c>
      <c r="S47" s="120">
        <f t="shared" ref="S47" si="31">U47+V47</f>
        <v>104</v>
      </c>
      <c r="T47" s="120">
        <v>164</v>
      </c>
      <c r="U47" s="120">
        <v>0</v>
      </c>
      <c r="V47" s="120">
        <v>104</v>
      </c>
      <c r="W47" s="120"/>
      <c r="X47" s="120"/>
      <c r="Y47" s="120"/>
      <c r="Z47" s="120" t="s">
        <v>50</v>
      </c>
      <c r="AA47" s="120"/>
      <c r="AB47" s="120"/>
      <c r="AC47" s="120"/>
      <c r="AD47" s="120"/>
      <c r="AE47" s="120"/>
      <c r="AF47" s="120"/>
      <c r="AG47" s="120" t="s">
        <v>53</v>
      </c>
      <c r="AH47" s="120" t="s">
        <v>54</v>
      </c>
      <c r="AI47" s="120"/>
      <c r="AJ47" s="120"/>
      <c r="AK47" s="120"/>
      <c r="AL47" s="120" t="s">
        <v>55</v>
      </c>
      <c r="AM47" s="120"/>
      <c r="AN47" s="120"/>
      <c r="AR47" s="121">
        <f t="shared" si="1"/>
        <v>1</v>
      </c>
      <c r="AS47" s="121" t="str">
        <f t="shared" si="12"/>
        <v>2022_07_25_a</v>
      </c>
      <c r="AT47" s="122"/>
      <c r="AU47" s="121" t="str">
        <f t="shared" si="13"/>
        <v>2022</v>
      </c>
      <c r="AV47" s="121" t="str">
        <f t="shared" si="14"/>
        <v>07</v>
      </c>
      <c r="AW47" s="121" t="str">
        <f t="shared" si="15"/>
        <v>25</v>
      </c>
      <c r="AX47" s="121">
        <f t="shared" si="16"/>
        <v>44767</v>
      </c>
      <c r="AY47" s="123"/>
      <c r="AZ47" s="124">
        <f t="shared" si="17"/>
        <v>44767</v>
      </c>
      <c r="BA47" s="121" t="b">
        <f t="shared" si="18"/>
        <v>1</v>
      </c>
      <c r="BB47" s="121">
        <f t="shared" si="19"/>
        <v>44767</v>
      </c>
      <c r="BC47" s="121" t="str">
        <f t="shared" si="20"/>
        <v>no</v>
      </c>
      <c r="BD47" s="121" t="b">
        <f t="shared" si="21"/>
        <v>0</v>
      </c>
      <c r="BE47" s="125" t="s">
        <v>56</v>
      </c>
      <c r="BF47" s="122"/>
    </row>
    <row r="48" spans="1:58" s="114" customFormat="1" ht="154">
      <c r="A48" s="122"/>
      <c r="B48" s="120" t="s">
        <v>150</v>
      </c>
      <c r="C48" s="120"/>
      <c r="D48" s="117">
        <v>10296447</v>
      </c>
      <c r="E48" s="120"/>
      <c r="F48" s="117" t="s">
        <v>45</v>
      </c>
      <c r="G48" s="119">
        <v>44781</v>
      </c>
      <c r="H48" s="119">
        <v>44781</v>
      </c>
      <c r="I48" s="118"/>
      <c r="J48" s="119" t="s">
        <v>151</v>
      </c>
      <c r="K48" s="118"/>
      <c r="L48" s="118"/>
      <c r="M48" s="118"/>
      <c r="N48" s="118"/>
      <c r="O48" s="118"/>
      <c r="P48" s="118"/>
      <c r="Q48" s="120" t="s">
        <v>99</v>
      </c>
      <c r="R48" s="120" t="s">
        <v>48</v>
      </c>
      <c r="S48" s="120">
        <f t="shared" ref="S48:S50" si="32">U48+V48</f>
        <v>68</v>
      </c>
      <c r="T48" s="120">
        <v>215</v>
      </c>
      <c r="U48" s="120">
        <v>0</v>
      </c>
      <c r="V48" s="120">
        <v>68</v>
      </c>
      <c r="W48" s="120"/>
      <c r="X48" s="120"/>
      <c r="Y48" s="120"/>
      <c r="Z48" s="120" t="s">
        <v>50</v>
      </c>
      <c r="AA48" s="120"/>
      <c r="AB48" s="120"/>
      <c r="AC48" s="120"/>
      <c r="AD48" s="120"/>
      <c r="AE48" s="120"/>
      <c r="AF48" s="120"/>
      <c r="AG48" s="120" t="s">
        <v>53</v>
      </c>
      <c r="AH48" s="120" t="s">
        <v>54</v>
      </c>
      <c r="AI48" s="120"/>
      <c r="AJ48" s="120"/>
      <c r="AK48" s="120"/>
      <c r="AL48" s="120" t="s">
        <v>55</v>
      </c>
      <c r="AM48" s="120"/>
      <c r="AN48" s="120"/>
      <c r="AR48" s="121">
        <f t="shared" si="1"/>
        <v>1</v>
      </c>
      <c r="AS48" s="121" t="str">
        <f t="shared" si="12"/>
        <v>2022_08_08_a</v>
      </c>
      <c r="AT48" s="122"/>
      <c r="AU48" s="121" t="str">
        <f t="shared" si="13"/>
        <v>2022</v>
      </c>
      <c r="AV48" s="121" t="str">
        <f t="shared" si="14"/>
        <v>08</v>
      </c>
      <c r="AW48" s="121" t="str">
        <f t="shared" si="15"/>
        <v>08</v>
      </c>
      <c r="AX48" s="121">
        <f t="shared" si="16"/>
        <v>44781</v>
      </c>
      <c r="AY48" s="123"/>
      <c r="AZ48" s="124">
        <f t="shared" si="17"/>
        <v>44781</v>
      </c>
      <c r="BA48" s="121" t="b">
        <f t="shared" si="18"/>
        <v>1</v>
      </c>
      <c r="BB48" s="121">
        <f t="shared" si="19"/>
        <v>44781</v>
      </c>
      <c r="BC48" s="121" t="str">
        <f t="shared" si="20"/>
        <v>no</v>
      </c>
      <c r="BD48" s="121" t="b">
        <f t="shared" si="21"/>
        <v>0</v>
      </c>
      <c r="BE48" s="125" t="s">
        <v>56</v>
      </c>
      <c r="BF48" s="122"/>
    </row>
    <row r="49" spans="1:58" s="114" customFormat="1" ht="154">
      <c r="A49" s="122"/>
      <c r="B49" s="120" t="s">
        <v>152</v>
      </c>
      <c r="C49" s="120"/>
      <c r="D49" s="117">
        <v>10298318</v>
      </c>
      <c r="E49" s="120"/>
      <c r="F49" s="117" t="s">
        <v>45</v>
      </c>
      <c r="G49" s="119">
        <v>44795</v>
      </c>
      <c r="H49" s="119">
        <v>44795</v>
      </c>
      <c r="I49" s="118"/>
      <c r="J49" s="119" t="s">
        <v>151</v>
      </c>
      <c r="K49" s="118"/>
      <c r="L49" s="118"/>
      <c r="M49" s="118"/>
      <c r="N49" s="118"/>
      <c r="O49" s="118"/>
      <c r="P49" s="118"/>
      <c r="Q49" s="120" t="s">
        <v>99</v>
      </c>
      <c r="R49" s="120" t="s">
        <v>48</v>
      </c>
      <c r="S49" s="120">
        <f t="shared" ref="S49" si="33">U49+V49</f>
        <v>39</v>
      </c>
      <c r="T49" s="120">
        <v>215</v>
      </c>
      <c r="U49" s="120">
        <v>0</v>
      </c>
      <c r="V49" s="120">
        <v>39</v>
      </c>
      <c r="W49" s="120"/>
      <c r="X49" s="120"/>
      <c r="Y49" s="120"/>
      <c r="Z49" s="120" t="s">
        <v>50</v>
      </c>
      <c r="AA49" s="120"/>
      <c r="AB49" s="120"/>
      <c r="AC49" s="120"/>
      <c r="AD49" s="120"/>
      <c r="AE49" s="120"/>
      <c r="AF49" s="120"/>
      <c r="AG49" s="120" t="s">
        <v>53</v>
      </c>
      <c r="AH49" s="120" t="s">
        <v>54</v>
      </c>
      <c r="AI49" s="120"/>
      <c r="AJ49" s="120"/>
      <c r="AK49" s="120"/>
      <c r="AL49" s="120" t="s">
        <v>55</v>
      </c>
      <c r="AM49" s="120"/>
      <c r="AN49" s="120"/>
      <c r="AR49" s="121">
        <f t="shared" si="1"/>
        <v>1</v>
      </c>
      <c r="AS49" s="121" t="str">
        <f t="shared" si="12"/>
        <v>2022_08_22_a</v>
      </c>
      <c r="AT49" s="122"/>
      <c r="AU49" s="121" t="str">
        <f t="shared" si="13"/>
        <v>2022</v>
      </c>
      <c r="AV49" s="121" t="str">
        <f t="shared" si="14"/>
        <v>08</v>
      </c>
      <c r="AW49" s="121" t="str">
        <f t="shared" si="15"/>
        <v>22</v>
      </c>
      <c r="AX49" s="121">
        <f t="shared" si="16"/>
        <v>44795</v>
      </c>
      <c r="AY49" s="123"/>
      <c r="AZ49" s="124">
        <f t="shared" si="17"/>
        <v>44795</v>
      </c>
      <c r="BA49" s="121" t="b">
        <f t="shared" si="18"/>
        <v>1</v>
      </c>
      <c r="BB49" s="121">
        <f t="shared" si="19"/>
        <v>44795</v>
      </c>
      <c r="BC49" s="121" t="str">
        <f t="shared" si="20"/>
        <v>no</v>
      </c>
      <c r="BD49" s="121" t="b">
        <f t="shared" si="21"/>
        <v>0</v>
      </c>
      <c r="BE49" s="125" t="s">
        <v>56</v>
      </c>
      <c r="BF49" s="122"/>
    </row>
    <row r="50" spans="1:58" s="114" customFormat="1" ht="154">
      <c r="A50" s="122"/>
      <c r="B50" s="120" t="s">
        <v>153</v>
      </c>
      <c r="C50" s="120"/>
      <c r="D50" s="117">
        <v>10301447</v>
      </c>
      <c r="E50" s="120"/>
      <c r="F50" s="117" t="s">
        <v>45</v>
      </c>
      <c r="G50" s="119">
        <v>44809</v>
      </c>
      <c r="H50" s="119">
        <v>44809</v>
      </c>
      <c r="I50" s="118"/>
      <c r="J50" s="119">
        <v>44823</v>
      </c>
      <c r="K50" s="118"/>
      <c r="L50" s="118"/>
      <c r="M50" s="118"/>
      <c r="N50" s="118"/>
      <c r="O50" s="118"/>
      <c r="P50" s="118"/>
      <c r="Q50" s="120" t="s">
        <v>99</v>
      </c>
      <c r="R50" s="120" t="s">
        <v>48</v>
      </c>
      <c r="S50" s="120">
        <f t="shared" si="32"/>
        <v>36</v>
      </c>
      <c r="T50" s="120">
        <v>186</v>
      </c>
      <c r="U50" s="120">
        <v>0</v>
      </c>
      <c r="V50" s="120">
        <v>36</v>
      </c>
      <c r="W50" s="120"/>
      <c r="X50" s="120"/>
      <c r="Y50" s="120"/>
      <c r="Z50" s="120" t="s">
        <v>50</v>
      </c>
      <c r="AA50" s="120"/>
      <c r="AB50" s="120"/>
      <c r="AC50" s="120"/>
      <c r="AD50" s="120"/>
      <c r="AE50" s="120"/>
      <c r="AF50" s="120"/>
      <c r="AG50" s="120" t="s">
        <v>53</v>
      </c>
      <c r="AH50" s="120" t="s">
        <v>54</v>
      </c>
      <c r="AI50" s="120"/>
      <c r="AJ50" s="120"/>
      <c r="AK50" s="120"/>
      <c r="AL50" s="120" t="s">
        <v>55</v>
      </c>
      <c r="AM50" s="120"/>
      <c r="AN50" s="120"/>
      <c r="AR50" s="121">
        <f t="shared" si="1"/>
        <v>1</v>
      </c>
      <c r="AS50" s="121" t="str">
        <f t="shared" si="12"/>
        <v>2022_09_05_a</v>
      </c>
      <c r="AT50" s="122"/>
      <c r="AU50" s="121" t="str">
        <f t="shared" si="13"/>
        <v>2022</v>
      </c>
      <c r="AV50" s="121" t="str">
        <f t="shared" si="14"/>
        <v>09</v>
      </c>
      <c r="AW50" s="121" t="str">
        <f t="shared" si="15"/>
        <v>05</v>
      </c>
      <c r="AX50" s="121">
        <f t="shared" si="16"/>
        <v>44809</v>
      </c>
      <c r="AY50" s="123"/>
      <c r="AZ50" s="124">
        <f t="shared" si="17"/>
        <v>44809</v>
      </c>
      <c r="BA50" s="121" t="b">
        <f t="shared" si="18"/>
        <v>1</v>
      </c>
      <c r="BB50" s="121">
        <f t="shared" si="19"/>
        <v>44809</v>
      </c>
      <c r="BC50" s="121" t="str">
        <f t="shared" si="20"/>
        <v>no</v>
      </c>
      <c r="BD50" s="121" t="b">
        <f t="shared" si="21"/>
        <v>0</v>
      </c>
      <c r="BE50" s="125" t="s">
        <v>56</v>
      </c>
      <c r="BF50" s="122"/>
    </row>
    <row r="51" spans="1:58" s="114" customFormat="1" ht="154">
      <c r="A51" s="122"/>
      <c r="B51" s="120" t="s">
        <v>154</v>
      </c>
      <c r="C51" s="120"/>
      <c r="D51" s="117">
        <v>10305571</v>
      </c>
      <c r="E51" s="120"/>
      <c r="F51" s="117" t="s">
        <v>45</v>
      </c>
      <c r="G51" s="119">
        <v>44823</v>
      </c>
      <c r="H51" s="119">
        <v>44823</v>
      </c>
      <c r="I51" s="118"/>
      <c r="J51" s="119">
        <v>44837</v>
      </c>
      <c r="K51" s="118"/>
      <c r="L51" s="118"/>
      <c r="M51" s="118"/>
      <c r="N51" s="118"/>
      <c r="O51" s="118"/>
      <c r="P51" s="118"/>
      <c r="Q51" s="120" t="s">
        <v>99</v>
      </c>
      <c r="R51" s="120" t="s">
        <v>48</v>
      </c>
      <c r="S51" s="120">
        <f t="shared" ref="S51" si="34">U51+V51</f>
        <v>115</v>
      </c>
      <c r="T51" s="120">
        <v>186</v>
      </c>
      <c r="U51" s="120">
        <v>0</v>
      </c>
      <c r="V51" s="120">
        <v>115</v>
      </c>
      <c r="W51" s="120"/>
      <c r="X51" s="120"/>
      <c r="Y51" s="120"/>
      <c r="Z51" s="120" t="s">
        <v>50</v>
      </c>
      <c r="AA51" s="120"/>
      <c r="AB51" s="120"/>
      <c r="AC51" s="120"/>
      <c r="AD51" s="120"/>
      <c r="AE51" s="120"/>
      <c r="AF51" s="120"/>
      <c r="AG51" s="120" t="s">
        <v>53</v>
      </c>
      <c r="AH51" s="120" t="s">
        <v>54</v>
      </c>
      <c r="AI51" s="120"/>
      <c r="AJ51" s="120"/>
      <c r="AK51" s="120"/>
      <c r="AL51" s="120" t="s">
        <v>55</v>
      </c>
      <c r="AM51" s="120"/>
      <c r="AN51" s="120"/>
      <c r="AR51" s="121">
        <f t="shared" si="1"/>
        <v>1</v>
      </c>
      <c r="AS51" s="121" t="str">
        <f t="shared" si="12"/>
        <v>2022_09_19_a</v>
      </c>
      <c r="AT51" s="122"/>
      <c r="AU51" s="121" t="str">
        <f t="shared" si="13"/>
        <v>2022</v>
      </c>
      <c r="AV51" s="121" t="str">
        <f t="shared" si="14"/>
        <v>09</v>
      </c>
      <c r="AW51" s="121" t="str">
        <f t="shared" si="15"/>
        <v>19</v>
      </c>
      <c r="AX51" s="121">
        <f t="shared" si="16"/>
        <v>44823</v>
      </c>
      <c r="AY51" s="123"/>
      <c r="AZ51" s="124">
        <f t="shared" si="17"/>
        <v>44823</v>
      </c>
      <c r="BA51" s="121" t="b">
        <f t="shared" si="18"/>
        <v>1</v>
      </c>
      <c r="BB51" s="121">
        <f t="shared" si="19"/>
        <v>44823</v>
      </c>
      <c r="BC51" s="121" t="str">
        <f t="shared" si="20"/>
        <v>no</v>
      </c>
      <c r="BD51" s="121" t="b">
        <f t="shared" si="21"/>
        <v>0</v>
      </c>
      <c r="BE51" s="125" t="s">
        <v>56</v>
      </c>
      <c r="BF51" s="122"/>
    </row>
    <row r="52" spans="1:58" s="114" customFormat="1" ht="154">
      <c r="A52" s="122"/>
      <c r="B52" s="120" t="s">
        <v>155</v>
      </c>
      <c r="C52" s="120"/>
      <c r="D52" s="117">
        <v>10311395</v>
      </c>
      <c r="E52" s="120"/>
      <c r="F52" s="117" t="s">
        <v>45</v>
      </c>
      <c r="G52" s="119">
        <v>44844</v>
      </c>
      <c r="H52" s="119">
        <v>44844</v>
      </c>
      <c r="I52" s="118"/>
      <c r="J52" s="119">
        <v>44858</v>
      </c>
      <c r="K52" s="118"/>
      <c r="L52" s="118"/>
      <c r="M52" s="118"/>
      <c r="N52" s="118"/>
      <c r="O52" s="118"/>
      <c r="P52" s="118"/>
      <c r="Q52" s="120" t="s">
        <v>121</v>
      </c>
      <c r="R52" s="120" t="s">
        <v>48</v>
      </c>
      <c r="S52" s="120">
        <f t="shared" ref="S52" si="35">U52+V52</f>
        <v>71</v>
      </c>
      <c r="T52" s="120">
        <v>186</v>
      </c>
      <c r="U52" s="120">
        <v>0</v>
      </c>
      <c r="V52" s="120">
        <v>71</v>
      </c>
      <c r="W52" s="120"/>
      <c r="X52" s="120"/>
      <c r="Y52" s="120"/>
      <c r="Z52" s="120" t="s">
        <v>50</v>
      </c>
      <c r="AA52" s="120"/>
      <c r="AB52" s="120"/>
      <c r="AC52" s="120"/>
      <c r="AD52" s="120"/>
      <c r="AE52" s="120"/>
      <c r="AF52" s="120"/>
      <c r="AG52" s="120" t="s">
        <v>53</v>
      </c>
      <c r="AH52" s="120" t="s">
        <v>54</v>
      </c>
      <c r="AI52" s="120"/>
      <c r="AJ52" s="120"/>
      <c r="AK52" s="120"/>
      <c r="AL52" s="120" t="s">
        <v>55</v>
      </c>
      <c r="AM52" s="120"/>
      <c r="AN52" s="120"/>
      <c r="AR52" s="121">
        <f t="shared" si="1"/>
        <v>1</v>
      </c>
      <c r="AS52" s="121" t="str">
        <f t="shared" si="12"/>
        <v>2022_10_10_a</v>
      </c>
      <c r="AT52" s="122"/>
      <c r="AU52" s="121" t="str">
        <f t="shared" si="13"/>
        <v>2022</v>
      </c>
      <c r="AV52" s="121" t="str">
        <f t="shared" si="14"/>
        <v>10</v>
      </c>
      <c r="AW52" s="121" t="str">
        <f t="shared" si="15"/>
        <v>10</v>
      </c>
      <c r="AX52" s="121">
        <f t="shared" si="16"/>
        <v>44844</v>
      </c>
      <c r="AY52" s="123"/>
      <c r="AZ52" s="124">
        <f t="shared" si="17"/>
        <v>44844</v>
      </c>
      <c r="BA52" s="121" t="b">
        <f t="shared" si="18"/>
        <v>1</v>
      </c>
      <c r="BB52" s="121">
        <f t="shared" si="19"/>
        <v>44844</v>
      </c>
      <c r="BC52" s="121" t="str">
        <f t="shared" si="20"/>
        <v>no</v>
      </c>
      <c r="BD52" s="121" t="b">
        <f t="shared" si="21"/>
        <v>0</v>
      </c>
      <c r="BE52" s="125" t="s">
        <v>56</v>
      </c>
      <c r="BF52" s="122"/>
    </row>
    <row r="53" spans="1:58" s="114" customFormat="1" ht="154">
      <c r="A53" s="122"/>
      <c r="B53" s="120" t="s">
        <v>156</v>
      </c>
      <c r="C53" s="120"/>
      <c r="D53" s="117">
        <v>10317542</v>
      </c>
      <c r="E53" s="120"/>
      <c r="F53" s="117" t="s">
        <v>45</v>
      </c>
      <c r="G53" s="119">
        <v>44872</v>
      </c>
      <c r="H53" s="119">
        <v>44872</v>
      </c>
      <c r="I53" s="118"/>
      <c r="J53" s="119">
        <v>44886</v>
      </c>
      <c r="K53" s="118"/>
      <c r="L53" s="118"/>
      <c r="M53" s="118"/>
      <c r="N53" s="118"/>
      <c r="O53" s="118"/>
      <c r="P53" s="118"/>
      <c r="Q53" s="120" t="s">
        <v>121</v>
      </c>
      <c r="R53" s="120" t="s">
        <v>48</v>
      </c>
      <c r="S53" s="120">
        <f t="shared" ref="S53" si="36">U53+V53</f>
        <v>105</v>
      </c>
      <c r="T53" s="120">
        <v>186</v>
      </c>
      <c r="U53" s="120">
        <v>0</v>
      </c>
      <c r="V53" s="120">
        <v>105</v>
      </c>
      <c r="W53" s="120"/>
      <c r="X53" s="120"/>
      <c r="Y53" s="120"/>
      <c r="Z53" s="120" t="s">
        <v>50</v>
      </c>
      <c r="AA53" s="120"/>
      <c r="AB53" s="120"/>
      <c r="AC53" s="120"/>
      <c r="AD53" s="120"/>
      <c r="AE53" s="120"/>
      <c r="AF53" s="120"/>
      <c r="AG53" s="120" t="s">
        <v>53</v>
      </c>
      <c r="AH53" s="120" t="s">
        <v>54</v>
      </c>
      <c r="AI53" s="120"/>
      <c r="AJ53" s="120"/>
      <c r="AK53" s="120"/>
      <c r="AL53" s="120" t="s">
        <v>55</v>
      </c>
      <c r="AM53" s="120"/>
      <c r="AN53" s="120"/>
      <c r="AR53" s="121">
        <f t="shared" si="1"/>
        <v>1</v>
      </c>
      <c r="AS53" s="121" t="str">
        <f t="shared" si="12"/>
        <v>2022_11_07_a</v>
      </c>
      <c r="AT53" s="122"/>
      <c r="AU53" s="121" t="str">
        <f t="shared" si="13"/>
        <v>2022</v>
      </c>
      <c r="AV53" s="121" t="str">
        <f t="shared" si="14"/>
        <v>11</v>
      </c>
      <c r="AW53" s="121" t="str">
        <f t="shared" si="15"/>
        <v>07</v>
      </c>
      <c r="AX53" s="121">
        <f t="shared" si="16"/>
        <v>44872</v>
      </c>
      <c r="AY53" s="123"/>
      <c r="AZ53" s="124">
        <f t="shared" si="17"/>
        <v>44872</v>
      </c>
      <c r="BA53" s="121" t="b">
        <f t="shared" si="18"/>
        <v>1</v>
      </c>
      <c r="BB53" s="121">
        <f t="shared" si="19"/>
        <v>44872</v>
      </c>
      <c r="BC53" s="121" t="str">
        <f t="shared" si="20"/>
        <v>no</v>
      </c>
      <c r="BD53" s="121" t="b">
        <f t="shared" si="21"/>
        <v>0</v>
      </c>
      <c r="BE53" s="125" t="s">
        <v>56</v>
      </c>
      <c r="BF53" s="122"/>
    </row>
    <row r="54" spans="1:58" s="114" customFormat="1" ht="154">
      <c r="A54" s="122"/>
      <c r="B54" s="120" t="s">
        <v>157</v>
      </c>
      <c r="C54" s="120"/>
      <c r="D54" s="117">
        <v>10319316</v>
      </c>
      <c r="E54" s="120"/>
      <c r="F54" s="117" t="s">
        <v>45</v>
      </c>
      <c r="G54" s="119">
        <v>44886</v>
      </c>
      <c r="H54" s="119">
        <v>44886</v>
      </c>
      <c r="I54" s="118"/>
      <c r="J54" s="119">
        <v>44900</v>
      </c>
      <c r="K54" s="118"/>
      <c r="L54" s="118"/>
      <c r="M54" s="118"/>
      <c r="N54" s="118"/>
      <c r="O54" s="118"/>
      <c r="P54" s="118"/>
      <c r="Q54" s="120" t="s">
        <v>121</v>
      </c>
      <c r="R54" s="120" t="s">
        <v>48</v>
      </c>
      <c r="S54" s="120">
        <f t="shared" ref="S54" si="37">U54+V54</f>
        <v>70</v>
      </c>
      <c r="T54" s="120">
        <v>186</v>
      </c>
      <c r="U54" s="120">
        <v>0</v>
      </c>
      <c r="V54" s="120">
        <v>70</v>
      </c>
      <c r="W54" s="120"/>
      <c r="X54" s="120"/>
      <c r="Y54" s="120"/>
      <c r="Z54" s="120" t="s">
        <v>50</v>
      </c>
      <c r="AA54" s="120"/>
      <c r="AB54" s="120"/>
      <c r="AC54" s="120"/>
      <c r="AD54" s="120"/>
      <c r="AE54" s="120"/>
      <c r="AF54" s="120"/>
      <c r="AG54" s="120" t="s">
        <v>53</v>
      </c>
      <c r="AH54" s="120" t="s">
        <v>54</v>
      </c>
      <c r="AI54" s="120"/>
      <c r="AJ54" s="120"/>
      <c r="AK54" s="120"/>
      <c r="AL54" s="120" t="s">
        <v>55</v>
      </c>
      <c r="AM54" s="120"/>
      <c r="AN54" s="120"/>
      <c r="AR54" s="121">
        <f t="shared" si="1"/>
        <v>1</v>
      </c>
      <c r="AS54" s="121" t="str">
        <f t="shared" si="12"/>
        <v>2022_11_21_a</v>
      </c>
      <c r="AT54" s="122"/>
      <c r="AU54" s="121" t="str">
        <f t="shared" si="13"/>
        <v>2022</v>
      </c>
      <c r="AV54" s="121" t="str">
        <f t="shared" si="14"/>
        <v>11</v>
      </c>
      <c r="AW54" s="121" t="str">
        <f t="shared" si="15"/>
        <v>21</v>
      </c>
      <c r="AX54" s="121">
        <f t="shared" si="16"/>
        <v>44886</v>
      </c>
      <c r="AY54" s="123"/>
      <c r="AZ54" s="124">
        <f t="shared" si="17"/>
        <v>44886</v>
      </c>
      <c r="BA54" s="121" t="b">
        <f t="shared" si="18"/>
        <v>1</v>
      </c>
      <c r="BB54" s="121">
        <f t="shared" si="19"/>
        <v>44886</v>
      </c>
      <c r="BC54" s="121" t="str">
        <f t="shared" si="20"/>
        <v>no</v>
      </c>
      <c r="BD54" s="121" t="b">
        <f t="shared" si="21"/>
        <v>0</v>
      </c>
      <c r="BE54" s="125" t="s">
        <v>56</v>
      </c>
      <c r="BF54" s="122"/>
    </row>
    <row r="55" spans="1:58" s="114" customFormat="1" ht="154">
      <c r="A55" s="122"/>
      <c r="B55" s="120" t="s">
        <v>158</v>
      </c>
      <c r="C55" s="120"/>
      <c r="D55" s="117">
        <v>10324197</v>
      </c>
      <c r="E55" s="120"/>
      <c r="F55" s="117" t="s">
        <v>45</v>
      </c>
      <c r="G55" s="119" t="s">
        <v>159</v>
      </c>
      <c r="H55" s="119">
        <v>44907</v>
      </c>
      <c r="I55" s="118"/>
      <c r="J55" s="119">
        <v>44921</v>
      </c>
      <c r="K55" s="118"/>
      <c r="L55" s="118"/>
      <c r="M55" s="118"/>
      <c r="N55" s="118"/>
      <c r="O55" s="118"/>
      <c r="P55" s="118"/>
      <c r="Q55" s="120" t="s">
        <v>121</v>
      </c>
      <c r="R55" s="120" t="s">
        <v>48</v>
      </c>
      <c r="S55" s="120">
        <f t="shared" ref="S55" si="38">U55+V55</f>
        <v>28</v>
      </c>
      <c r="T55" s="120">
        <v>186</v>
      </c>
      <c r="U55" s="120">
        <v>0</v>
      </c>
      <c r="V55" s="120">
        <v>28</v>
      </c>
      <c r="W55" s="120"/>
      <c r="X55" s="120"/>
      <c r="Y55" s="120"/>
      <c r="Z55" s="120" t="s">
        <v>50</v>
      </c>
      <c r="AA55" s="120"/>
      <c r="AB55" s="120"/>
      <c r="AC55" s="120"/>
      <c r="AD55" s="120"/>
      <c r="AE55" s="120"/>
      <c r="AF55" s="120"/>
      <c r="AG55" s="120" t="s">
        <v>53</v>
      </c>
      <c r="AH55" s="120" t="s">
        <v>54</v>
      </c>
      <c r="AI55" s="120"/>
      <c r="AJ55" s="120"/>
      <c r="AK55" s="120"/>
      <c r="AL55" s="120" t="s">
        <v>55</v>
      </c>
      <c r="AM55" s="120"/>
      <c r="AN55" s="120"/>
      <c r="AR55" s="121">
        <f t="shared" si="1"/>
        <v>1</v>
      </c>
      <c r="AS55" s="121" t="str">
        <f t="shared" si="12"/>
        <v>2022_12_12_a</v>
      </c>
      <c r="AT55" s="122"/>
      <c r="AU55" s="121" t="str">
        <f t="shared" si="13"/>
        <v>2022</v>
      </c>
      <c r="AV55" s="121" t="str">
        <f t="shared" si="14"/>
        <v>12</v>
      </c>
      <c r="AW55" s="121" t="str">
        <f t="shared" si="15"/>
        <v>12</v>
      </c>
      <c r="AX55" s="121">
        <f t="shared" si="16"/>
        <v>44907</v>
      </c>
      <c r="AY55" s="123"/>
      <c r="AZ55" s="124">
        <f t="shared" si="17"/>
        <v>44907</v>
      </c>
      <c r="BA55" s="121" t="b">
        <f t="shared" si="18"/>
        <v>1</v>
      </c>
      <c r="BB55" s="121">
        <f t="shared" si="19"/>
        <v>44907</v>
      </c>
      <c r="BC55" s="121" t="str">
        <f t="shared" si="20"/>
        <v>no</v>
      </c>
      <c r="BD55" s="121" t="b">
        <f t="shared" si="21"/>
        <v>0</v>
      </c>
      <c r="BE55" s="125" t="s">
        <v>56</v>
      </c>
      <c r="BF55" s="122"/>
    </row>
    <row r="56" spans="1:58" s="114" customFormat="1" ht="154">
      <c r="A56" s="122"/>
      <c r="B56" s="120" t="s">
        <v>160</v>
      </c>
      <c r="C56" s="120"/>
      <c r="D56" s="117" t="s">
        <v>161</v>
      </c>
      <c r="E56" s="120"/>
      <c r="F56" s="117" t="s">
        <v>45</v>
      </c>
      <c r="G56" s="119">
        <v>44942</v>
      </c>
      <c r="H56" s="119">
        <v>44942</v>
      </c>
      <c r="I56" s="118"/>
      <c r="J56" s="119">
        <v>44949</v>
      </c>
      <c r="K56" s="118"/>
      <c r="L56" s="118"/>
      <c r="M56" s="118"/>
      <c r="N56" s="118"/>
      <c r="O56" s="118"/>
      <c r="P56" s="118"/>
      <c r="Q56" s="120" t="s">
        <v>47</v>
      </c>
      <c r="R56" s="120" t="s">
        <v>48</v>
      </c>
      <c r="S56" s="120">
        <f t="shared" ref="S56" si="39">U56+V56</f>
        <v>31</v>
      </c>
      <c r="T56" s="120"/>
      <c r="U56" s="120">
        <v>0</v>
      </c>
      <c r="V56" s="120">
        <v>31</v>
      </c>
      <c r="W56" s="120"/>
      <c r="X56" s="120"/>
      <c r="Y56" s="120"/>
      <c r="Z56" s="120" t="s">
        <v>50</v>
      </c>
      <c r="AA56" s="120"/>
      <c r="AB56" s="120"/>
      <c r="AC56" s="120"/>
      <c r="AD56" s="120"/>
      <c r="AE56" s="120"/>
      <c r="AF56" s="120"/>
      <c r="AG56" s="120" t="s">
        <v>53</v>
      </c>
      <c r="AH56" s="120" t="s">
        <v>162</v>
      </c>
      <c r="AI56" s="120"/>
      <c r="AJ56" s="120"/>
      <c r="AK56" s="120"/>
      <c r="AL56" s="120" t="s">
        <v>55</v>
      </c>
      <c r="AM56" s="120"/>
      <c r="AN56" s="120"/>
      <c r="AR56" s="121">
        <f t="shared" si="1"/>
        <v>1</v>
      </c>
      <c r="AS56" s="121" t="str">
        <f t="shared" si="12"/>
        <v>2023_01_16_a</v>
      </c>
      <c r="AT56" s="122"/>
      <c r="AU56" s="121" t="str">
        <f t="shared" si="13"/>
        <v>2023</v>
      </c>
      <c r="AV56" s="121" t="str">
        <f t="shared" si="14"/>
        <v>01</v>
      </c>
      <c r="AW56" s="121" t="str">
        <f t="shared" si="15"/>
        <v>16</v>
      </c>
      <c r="AX56" s="121">
        <f t="shared" si="16"/>
        <v>44942</v>
      </c>
      <c r="AY56" s="123"/>
      <c r="AZ56" s="124">
        <f t="shared" si="17"/>
        <v>44942</v>
      </c>
      <c r="BA56" s="121" t="b">
        <f t="shared" si="18"/>
        <v>1</v>
      </c>
      <c r="BB56" s="121">
        <f t="shared" si="19"/>
        <v>44942</v>
      </c>
      <c r="BC56" s="121" t="str">
        <f t="shared" si="20"/>
        <v>no</v>
      </c>
      <c r="BD56" s="121" t="b">
        <f t="shared" si="21"/>
        <v>0</v>
      </c>
      <c r="BE56" s="125" t="s">
        <v>56</v>
      </c>
      <c r="BF56" s="122"/>
    </row>
    <row r="57" spans="1:58" s="114" customFormat="1" ht="154">
      <c r="A57" s="122"/>
      <c r="B57" s="120" t="s">
        <v>163</v>
      </c>
      <c r="C57" s="120"/>
      <c r="D57" s="117">
        <v>10335877</v>
      </c>
      <c r="E57" s="120"/>
      <c r="F57" s="117" t="s">
        <v>45</v>
      </c>
      <c r="G57" s="119">
        <v>44949</v>
      </c>
      <c r="H57" s="119">
        <v>44949</v>
      </c>
      <c r="I57" s="118"/>
      <c r="J57" s="119">
        <v>44964</v>
      </c>
      <c r="K57" s="118"/>
      <c r="L57" s="118"/>
      <c r="M57" s="118"/>
      <c r="N57" s="118"/>
      <c r="O57" s="118"/>
      <c r="P57" s="118"/>
      <c r="Q57" s="120" t="s">
        <v>47</v>
      </c>
      <c r="R57" s="120" t="s">
        <v>48</v>
      </c>
      <c r="S57" s="120">
        <f t="shared" ref="S57" si="40">U57+V57</f>
        <v>22</v>
      </c>
      <c r="T57" s="120"/>
      <c r="U57" s="120">
        <v>0</v>
      </c>
      <c r="V57" s="120">
        <v>22</v>
      </c>
      <c r="W57" s="120"/>
      <c r="X57" s="120"/>
      <c r="Y57" s="120"/>
      <c r="Z57" s="120" t="s">
        <v>50</v>
      </c>
      <c r="AA57" s="120"/>
      <c r="AB57" s="120"/>
      <c r="AC57" s="120"/>
      <c r="AD57" s="120"/>
      <c r="AE57" s="120"/>
      <c r="AF57" s="120"/>
      <c r="AG57" s="120" t="s">
        <v>53</v>
      </c>
      <c r="AH57" s="120" t="s">
        <v>54</v>
      </c>
      <c r="AI57" s="120"/>
      <c r="AJ57" s="120"/>
      <c r="AK57" s="120"/>
      <c r="AL57" s="120" t="s">
        <v>55</v>
      </c>
      <c r="AM57" s="120"/>
      <c r="AN57" s="120"/>
      <c r="AR57" s="121">
        <f t="shared" si="1"/>
        <v>1</v>
      </c>
      <c r="AS57" s="121" t="str">
        <f t="shared" si="12"/>
        <v>2023_01_23_a</v>
      </c>
      <c r="AT57" s="122"/>
      <c r="AU57" s="121" t="str">
        <f t="shared" si="13"/>
        <v>2023</v>
      </c>
      <c r="AV57" s="121" t="str">
        <f t="shared" si="14"/>
        <v>01</v>
      </c>
      <c r="AW57" s="121" t="str">
        <f t="shared" si="15"/>
        <v>23</v>
      </c>
      <c r="AX57" s="121">
        <f t="shared" si="16"/>
        <v>44949</v>
      </c>
      <c r="AY57" s="123"/>
      <c r="AZ57" s="124">
        <f t="shared" si="17"/>
        <v>44949</v>
      </c>
      <c r="BA57" s="121" t="b">
        <f t="shared" si="18"/>
        <v>1</v>
      </c>
      <c r="BB57" s="121">
        <f t="shared" si="19"/>
        <v>44949</v>
      </c>
      <c r="BC57" s="121" t="str">
        <f t="shared" si="20"/>
        <v>no</v>
      </c>
      <c r="BD57" s="121" t="b">
        <f t="shared" si="21"/>
        <v>0</v>
      </c>
      <c r="BE57" s="125" t="s">
        <v>56</v>
      </c>
      <c r="BF57" s="122"/>
    </row>
    <row r="58" spans="1:58" s="114" customFormat="1" ht="154">
      <c r="A58" s="122"/>
      <c r="B58" s="120" t="s">
        <v>164</v>
      </c>
      <c r="C58" s="120"/>
      <c r="D58" s="117">
        <v>10335877</v>
      </c>
      <c r="E58" s="120"/>
      <c r="F58" s="117" t="s">
        <v>45</v>
      </c>
      <c r="G58" s="119">
        <v>44963</v>
      </c>
      <c r="H58" s="119">
        <v>44963</v>
      </c>
      <c r="I58" s="118"/>
      <c r="J58" s="119">
        <v>44977</v>
      </c>
      <c r="K58" s="118"/>
      <c r="L58" s="118"/>
      <c r="M58" s="118"/>
      <c r="N58" s="118"/>
      <c r="O58" s="118"/>
      <c r="P58" s="118"/>
      <c r="Q58" s="120" t="s">
        <v>47</v>
      </c>
      <c r="R58" s="120" t="s">
        <v>48</v>
      </c>
      <c r="S58" s="120">
        <f t="shared" ref="S58" si="41">U58+V58</f>
        <v>133</v>
      </c>
      <c r="T58" s="120"/>
      <c r="U58" s="120">
        <v>0</v>
      </c>
      <c r="V58" s="120">
        <v>133</v>
      </c>
      <c r="W58" s="120"/>
      <c r="X58" s="120"/>
      <c r="Y58" s="120"/>
      <c r="Z58" s="120" t="s">
        <v>50</v>
      </c>
      <c r="AA58" s="120"/>
      <c r="AB58" s="120"/>
      <c r="AC58" s="120"/>
      <c r="AD58" s="120"/>
      <c r="AE58" s="120"/>
      <c r="AF58" s="120"/>
      <c r="AG58" s="120" t="s">
        <v>53</v>
      </c>
      <c r="AH58" s="120" t="s">
        <v>54</v>
      </c>
      <c r="AI58" s="120"/>
      <c r="AJ58" s="120"/>
      <c r="AK58" s="120"/>
      <c r="AL58" s="120" t="s">
        <v>55</v>
      </c>
      <c r="AM58" s="120"/>
      <c r="AN58" s="120"/>
      <c r="AR58" s="121">
        <f t="shared" si="1"/>
        <v>1</v>
      </c>
      <c r="AS58" s="121" t="str">
        <f t="shared" si="12"/>
        <v>2023_02_06_a</v>
      </c>
      <c r="AT58" s="122"/>
      <c r="AU58" s="121" t="str">
        <f t="shared" si="13"/>
        <v>2023</v>
      </c>
      <c r="AV58" s="121" t="str">
        <f t="shared" si="14"/>
        <v>02</v>
      </c>
      <c r="AW58" s="121" t="str">
        <f t="shared" si="15"/>
        <v>06</v>
      </c>
      <c r="AX58" s="121">
        <f t="shared" si="16"/>
        <v>44963</v>
      </c>
      <c r="AY58" s="123"/>
      <c r="AZ58" s="124">
        <f t="shared" si="17"/>
        <v>44963</v>
      </c>
      <c r="BA58" s="121" t="b">
        <f t="shared" si="18"/>
        <v>1</v>
      </c>
      <c r="BB58" s="121">
        <f t="shared" si="19"/>
        <v>44963</v>
      </c>
      <c r="BC58" s="121" t="str">
        <f t="shared" si="20"/>
        <v>no</v>
      </c>
      <c r="BD58" s="121" t="b">
        <f t="shared" si="21"/>
        <v>0</v>
      </c>
      <c r="BE58" s="125" t="s">
        <v>56</v>
      </c>
      <c r="BF58" s="122"/>
    </row>
    <row r="59" spans="1:58" s="114" customFormat="1" ht="154">
      <c r="A59" s="122"/>
      <c r="B59" s="120" t="s">
        <v>165</v>
      </c>
      <c r="C59" s="120"/>
      <c r="D59" s="117">
        <v>10342988</v>
      </c>
      <c r="E59" s="120"/>
      <c r="F59" s="117" t="s">
        <v>45</v>
      </c>
      <c r="G59" s="119">
        <v>44991</v>
      </c>
      <c r="H59" s="119">
        <v>44991</v>
      </c>
      <c r="I59" s="118"/>
      <c r="J59" s="119">
        <v>45005</v>
      </c>
      <c r="K59" s="118"/>
      <c r="L59" s="118"/>
      <c r="M59" s="118"/>
      <c r="N59" s="118"/>
      <c r="O59" s="118"/>
      <c r="P59" s="118"/>
      <c r="Q59" s="120" t="s">
        <v>47</v>
      </c>
      <c r="R59" s="120" t="s">
        <v>48</v>
      </c>
      <c r="S59" s="120">
        <f t="shared" ref="S59" si="42">U59+V59</f>
        <v>190</v>
      </c>
      <c r="T59" s="120"/>
      <c r="U59" s="120">
        <v>0</v>
      </c>
      <c r="V59" s="120">
        <v>190</v>
      </c>
      <c r="W59" s="120"/>
      <c r="X59" s="120"/>
      <c r="Y59" s="120"/>
      <c r="Z59" s="120" t="s">
        <v>50</v>
      </c>
      <c r="AA59" s="120"/>
      <c r="AB59" s="120"/>
      <c r="AC59" s="120"/>
      <c r="AD59" s="120"/>
      <c r="AE59" s="120"/>
      <c r="AF59" s="120"/>
      <c r="AG59" s="120" t="s">
        <v>53</v>
      </c>
      <c r="AH59" s="120" t="s">
        <v>54</v>
      </c>
      <c r="AI59" s="120"/>
      <c r="AJ59" s="120"/>
      <c r="AK59" s="120"/>
      <c r="AL59" s="120" t="s">
        <v>55</v>
      </c>
      <c r="AM59" s="120"/>
      <c r="AN59" s="120"/>
      <c r="AR59" s="121">
        <f t="shared" si="1"/>
        <v>1</v>
      </c>
      <c r="AS59" s="121" t="str">
        <f t="shared" si="12"/>
        <v>2023_03_06_a</v>
      </c>
      <c r="AT59" s="122"/>
      <c r="AU59" s="121" t="str">
        <f t="shared" si="13"/>
        <v>2023</v>
      </c>
      <c r="AV59" s="121" t="str">
        <f t="shared" si="14"/>
        <v>03</v>
      </c>
      <c r="AW59" s="121" t="str">
        <f t="shared" si="15"/>
        <v>06</v>
      </c>
      <c r="AX59" s="121">
        <f t="shared" si="16"/>
        <v>44991</v>
      </c>
      <c r="AY59" s="123"/>
      <c r="AZ59" s="124">
        <f t="shared" si="17"/>
        <v>44991</v>
      </c>
      <c r="BA59" s="121" t="b">
        <f t="shared" si="18"/>
        <v>1</v>
      </c>
      <c r="BB59" s="121">
        <f t="shared" si="19"/>
        <v>44991</v>
      </c>
      <c r="BC59" s="121" t="str">
        <f t="shared" si="20"/>
        <v>no</v>
      </c>
      <c r="BD59" s="121" t="b">
        <f t="shared" si="21"/>
        <v>0</v>
      </c>
      <c r="BE59" s="125" t="s">
        <v>56</v>
      </c>
      <c r="BF59" s="122"/>
    </row>
    <row r="60" spans="1:58" s="114" customFormat="1" ht="154">
      <c r="A60" s="122"/>
      <c r="B60" s="120" t="s">
        <v>166</v>
      </c>
      <c r="C60" s="120"/>
      <c r="D60" s="117">
        <v>10348768</v>
      </c>
      <c r="E60" s="120"/>
      <c r="F60" s="117" t="s">
        <v>45</v>
      </c>
      <c r="G60" s="119">
        <v>45012</v>
      </c>
      <c r="H60" s="119">
        <v>45012</v>
      </c>
      <c r="I60" s="118"/>
      <c r="J60" s="119">
        <v>45026</v>
      </c>
      <c r="K60" s="118"/>
      <c r="L60" s="118"/>
      <c r="M60" s="118"/>
      <c r="N60" s="118"/>
      <c r="O60" s="118"/>
      <c r="P60" s="118"/>
      <c r="Q60" s="120" t="s">
        <v>47</v>
      </c>
      <c r="R60" s="120" t="s">
        <v>48</v>
      </c>
      <c r="S60" s="120">
        <f t="shared" ref="S60" si="43">U60+V60</f>
        <v>28</v>
      </c>
      <c r="T60" s="120"/>
      <c r="U60" s="120">
        <v>0</v>
      </c>
      <c r="V60" s="120">
        <v>28</v>
      </c>
      <c r="W60" s="120"/>
      <c r="X60" s="120"/>
      <c r="Y60" s="120"/>
      <c r="Z60" s="120" t="s">
        <v>50</v>
      </c>
      <c r="AA60" s="120"/>
      <c r="AB60" s="120"/>
      <c r="AC60" s="120"/>
      <c r="AD60" s="120"/>
      <c r="AE60" s="120"/>
      <c r="AF60" s="120"/>
      <c r="AG60" s="120" t="s">
        <v>53</v>
      </c>
      <c r="AH60" s="120" t="s">
        <v>54</v>
      </c>
      <c r="AI60" s="120"/>
      <c r="AJ60" s="120"/>
      <c r="AK60" s="120"/>
      <c r="AL60" s="120" t="s">
        <v>55</v>
      </c>
      <c r="AM60" s="120"/>
      <c r="AN60" s="120"/>
      <c r="AR60" s="121">
        <f t="shared" si="1"/>
        <v>1</v>
      </c>
      <c r="AS60" s="121" t="str">
        <f t="shared" si="12"/>
        <v>2023_03_27_a</v>
      </c>
      <c r="AT60" s="122"/>
      <c r="AU60" s="121" t="str">
        <f t="shared" si="13"/>
        <v>2023</v>
      </c>
      <c r="AV60" s="121" t="str">
        <f t="shared" si="14"/>
        <v>03</v>
      </c>
      <c r="AW60" s="121" t="str">
        <f t="shared" si="15"/>
        <v>27</v>
      </c>
      <c r="AX60" s="121">
        <f t="shared" si="16"/>
        <v>45012</v>
      </c>
      <c r="AY60" s="123"/>
      <c r="AZ60" s="124">
        <f t="shared" si="17"/>
        <v>45012</v>
      </c>
      <c r="BA60" s="121" t="b">
        <f t="shared" si="18"/>
        <v>1</v>
      </c>
      <c r="BB60" s="121">
        <f t="shared" si="19"/>
        <v>45012</v>
      </c>
      <c r="BC60" s="121" t="str">
        <f t="shared" si="20"/>
        <v>no</v>
      </c>
      <c r="BD60" s="121" t="b">
        <f t="shared" si="21"/>
        <v>0</v>
      </c>
      <c r="BE60" s="125" t="s">
        <v>56</v>
      </c>
      <c r="BF60" s="122"/>
    </row>
    <row r="61" spans="1:58" s="114" customFormat="1" ht="154">
      <c r="A61" s="122"/>
      <c r="B61" s="120" t="s">
        <v>167</v>
      </c>
      <c r="C61" s="120"/>
      <c r="D61" s="117" t="s">
        <v>168</v>
      </c>
      <c r="E61" s="120"/>
      <c r="F61" s="117" t="s">
        <v>45</v>
      </c>
      <c r="G61" s="119">
        <v>45019</v>
      </c>
      <c r="H61" s="119">
        <v>45019</v>
      </c>
      <c r="I61" s="118"/>
      <c r="J61" s="119">
        <v>45033</v>
      </c>
      <c r="K61" s="118"/>
      <c r="L61" s="118"/>
      <c r="M61" s="118"/>
      <c r="N61" s="118"/>
      <c r="O61" s="118"/>
      <c r="P61" s="118"/>
      <c r="Q61" s="120" t="s">
        <v>78</v>
      </c>
      <c r="R61" s="120" t="s">
        <v>48</v>
      </c>
      <c r="S61" s="120">
        <f t="shared" ref="S61" si="44">U61+V61</f>
        <v>87</v>
      </c>
      <c r="T61" s="120"/>
      <c r="U61" s="120">
        <v>0</v>
      </c>
      <c r="V61" s="120">
        <v>87</v>
      </c>
      <c r="W61" s="120"/>
      <c r="X61" s="120"/>
      <c r="Y61" s="120"/>
      <c r="Z61" s="120" t="s">
        <v>50</v>
      </c>
      <c r="AA61" s="120"/>
      <c r="AB61" s="120"/>
      <c r="AC61" s="120"/>
      <c r="AD61" s="120"/>
      <c r="AE61" s="120"/>
      <c r="AF61" s="120"/>
      <c r="AG61" s="120" t="s">
        <v>53</v>
      </c>
      <c r="AH61" s="120" t="s">
        <v>54</v>
      </c>
      <c r="AI61" s="120"/>
      <c r="AJ61" s="120"/>
      <c r="AK61" s="120"/>
      <c r="AL61" s="120" t="s">
        <v>55</v>
      </c>
      <c r="AM61" s="120"/>
      <c r="AN61" s="120"/>
      <c r="AR61" s="121">
        <f t="shared" si="1"/>
        <v>1</v>
      </c>
      <c r="AS61" s="121" t="str">
        <f t="shared" si="12"/>
        <v>2023_04_03_a</v>
      </c>
      <c r="AT61" s="122"/>
      <c r="AU61" s="121" t="str">
        <f t="shared" si="13"/>
        <v>2023</v>
      </c>
      <c r="AV61" s="121" t="str">
        <f t="shared" si="14"/>
        <v>04</v>
      </c>
      <c r="AW61" s="121" t="str">
        <f t="shared" si="15"/>
        <v>03</v>
      </c>
      <c r="AX61" s="121">
        <f t="shared" si="16"/>
        <v>45019</v>
      </c>
      <c r="AY61" s="123"/>
      <c r="AZ61" s="124">
        <f t="shared" si="17"/>
        <v>45019</v>
      </c>
      <c r="BA61" s="121" t="b">
        <f t="shared" si="18"/>
        <v>1</v>
      </c>
      <c r="BB61" s="121">
        <f t="shared" si="19"/>
        <v>45019</v>
      </c>
      <c r="BC61" s="121" t="str">
        <f t="shared" si="20"/>
        <v>no</v>
      </c>
      <c r="BD61" s="121" t="b">
        <f t="shared" si="21"/>
        <v>0</v>
      </c>
      <c r="BE61" s="125" t="s">
        <v>56</v>
      </c>
      <c r="BF61" s="122"/>
    </row>
    <row r="62" spans="1:58" s="114" customFormat="1" ht="154">
      <c r="A62" s="122"/>
      <c r="B62" s="120" t="s">
        <v>169</v>
      </c>
      <c r="C62" s="120"/>
      <c r="D62" s="117">
        <v>10359480</v>
      </c>
      <c r="E62" s="120"/>
      <c r="F62" s="117" t="s">
        <v>45</v>
      </c>
      <c r="G62" s="119">
        <v>45033</v>
      </c>
      <c r="H62" s="119">
        <v>45033</v>
      </c>
      <c r="I62" s="118"/>
      <c r="J62" s="119">
        <v>45048</v>
      </c>
      <c r="K62" s="118"/>
      <c r="L62" s="118"/>
      <c r="M62" s="118"/>
      <c r="N62" s="118"/>
      <c r="O62" s="118"/>
      <c r="P62" s="118"/>
      <c r="Q62" s="120" t="s">
        <v>78</v>
      </c>
      <c r="R62" s="120" t="s">
        <v>48</v>
      </c>
      <c r="S62" s="120">
        <f t="shared" ref="S62" si="45">U62+V62</f>
        <v>37</v>
      </c>
      <c r="T62" s="120"/>
      <c r="U62" s="120">
        <v>0</v>
      </c>
      <c r="V62" s="120">
        <v>37</v>
      </c>
      <c r="W62" s="120"/>
      <c r="X62" s="120"/>
      <c r="Y62" s="120"/>
      <c r="Z62" s="120" t="s">
        <v>50</v>
      </c>
      <c r="AA62" s="120"/>
      <c r="AB62" s="120"/>
      <c r="AC62" s="120"/>
      <c r="AD62" s="120"/>
      <c r="AE62" s="120"/>
      <c r="AF62" s="120"/>
      <c r="AG62" s="120" t="s">
        <v>53</v>
      </c>
      <c r="AH62" s="120" t="s">
        <v>54</v>
      </c>
      <c r="AI62" s="120"/>
      <c r="AJ62" s="120"/>
      <c r="AK62" s="120"/>
      <c r="AL62" s="120" t="s">
        <v>55</v>
      </c>
      <c r="AM62" s="120"/>
      <c r="AN62" s="120"/>
      <c r="AR62" s="121">
        <f t="shared" si="1"/>
        <v>1</v>
      </c>
      <c r="AS62" s="121" t="str">
        <f t="shared" si="12"/>
        <v>2023_04_17_a</v>
      </c>
      <c r="AT62" s="122"/>
      <c r="AU62" s="121" t="str">
        <f t="shared" si="13"/>
        <v>2023</v>
      </c>
      <c r="AV62" s="121" t="str">
        <f t="shared" si="14"/>
        <v>04</v>
      </c>
      <c r="AW62" s="121" t="str">
        <f t="shared" si="15"/>
        <v>17</v>
      </c>
      <c r="AX62" s="121">
        <f t="shared" si="16"/>
        <v>45033</v>
      </c>
      <c r="AY62" s="123"/>
      <c r="AZ62" s="124">
        <f t="shared" si="17"/>
        <v>45033</v>
      </c>
      <c r="BA62" s="121" t="b">
        <f t="shared" si="18"/>
        <v>1</v>
      </c>
      <c r="BB62" s="121">
        <f t="shared" si="19"/>
        <v>45033</v>
      </c>
      <c r="BC62" s="121" t="str">
        <f t="shared" si="20"/>
        <v>no</v>
      </c>
      <c r="BD62" s="121" t="b">
        <f t="shared" si="21"/>
        <v>0</v>
      </c>
      <c r="BE62" s="125" t="s">
        <v>56</v>
      </c>
      <c r="BF62" s="122"/>
    </row>
    <row r="63" spans="1:58" s="114" customFormat="1" ht="154">
      <c r="A63" s="122"/>
      <c r="B63" s="120" t="s">
        <v>170</v>
      </c>
      <c r="C63" s="120"/>
      <c r="D63" s="117">
        <v>10361457</v>
      </c>
      <c r="E63" s="120"/>
      <c r="F63" s="117" t="s">
        <v>45</v>
      </c>
      <c r="G63" s="119">
        <v>45049</v>
      </c>
      <c r="H63" s="119">
        <v>45049</v>
      </c>
      <c r="I63" s="118"/>
      <c r="J63" s="119">
        <v>45068</v>
      </c>
      <c r="K63" s="118"/>
      <c r="L63" s="118"/>
      <c r="M63" s="118"/>
      <c r="N63" s="118"/>
      <c r="O63" s="118"/>
      <c r="P63" s="118"/>
      <c r="Q63" s="120" t="s">
        <v>78</v>
      </c>
      <c r="R63" s="120" t="s">
        <v>48</v>
      </c>
      <c r="S63" s="120">
        <f t="shared" ref="S63" si="46">U63+V63</f>
        <v>43</v>
      </c>
      <c r="T63" s="120"/>
      <c r="U63" s="120">
        <v>0</v>
      </c>
      <c r="V63" s="120">
        <v>43</v>
      </c>
      <c r="W63" s="120"/>
      <c r="X63" s="120"/>
      <c r="Y63" s="120"/>
      <c r="Z63" s="120" t="s">
        <v>50</v>
      </c>
      <c r="AA63" s="120"/>
      <c r="AB63" s="120"/>
      <c r="AC63" s="120"/>
      <c r="AD63" s="120"/>
      <c r="AE63" s="120"/>
      <c r="AF63" s="120"/>
      <c r="AG63" s="120" t="s">
        <v>53</v>
      </c>
      <c r="AH63" s="120" t="s">
        <v>54</v>
      </c>
      <c r="AI63" s="120"/>
      <c r="AJ63" s="120"/>
      <c r="AK63" s="120"/>
      <c r="AL63" s="120" t="s">
        <v>55</v>
      </c>
      <c r="AM63" s="120"/>
      <c r="AN63" s="120"/>
      <c r="AR63" s="121">
        <f t="shared" si="1"/>
        <v>1</v>
      </c>
      <c r="AS63" s="121" t="str">
        <f t="shared" si="12"/>
        <v>2023_05_03_a</v>
      </c>
      <c r="AT63" s="122"/>
      <c r="AU63" s="121" t="str">
        <f t="shared" si="13"/>
        <v>2023</v>
      </c>
      <c r="AV63" s="121" t="str">
        <f t="shared" si="14"/>
        <v>05</v>
      </c>
      <c r="AW63" s="121" t="str">
        <f t="shared" si="15"/>
        <v>03</v>
      </c>
      <c r="AX63" s="121">
        <f t="shared" si="16"/>
        <v>45049</v>
      </c>
      <c r="AY63" s="123"/>
      <c r="AZ63" s="124">
        <f t="shared" si="17"/>
        <v>45049</v>
      </c>
      <c r="BA63" s="121" t="b">
        <f t="shared" si="18"/>
        <v>1</v>
      </c>
      <c r="BB63" s="121">
        <f t="shared" si="19"/>
        <v>45049</v>
      </c>
      <c r="BC63" s="121" t="str">
        <f t="shared" si="20"/>
        <v>no</v>
      </c>
      <c r="BD63" s="121" t="b">
        <f t="shared" si="21"/>
        <v>0</v>
      </c>
      <c r="BE63" s="125" t="s">
        <v>56</v>
      </c>
      <c r="BF63" s="122"/>
    </row>
    <row r="64" spans="1:58" s="114" customFormat="1" ht="154">
      <c r="A64" s="122"/>
      <c r="B64" s="120" t="s">
        <v>171</v>
      </c>
      <c r="C64" s="120"/>
      <c r="D64" s="117"/>
      <c r="E64" s="120"/>
      <c r="F64" s="117" t="s">
        <v>45</v>
      </c>
      <c r="G64" s="119">
        <v>45061</v>
      </c>
      <c r="H64" s="119">
        <v>45061</v>
      </c>
      <c r="I64" s="118"/>
      <c r="J64" s="119">
        <v>45075</v>
      </c>
      <c r="K64" s="118"/>
      <c r="L64" s="118"/>
      <c r="M64" s="118"/>
      <c r="N64" s="118"/>
      <c r="O64" s="118"/>
      <c r="P64" s="118"/>
      <c r="Q64" s="120" t="s">
        <v>78</v>
      </c>
      <c r="R64" s="120" t="s">
        <v>48</v>
      </c>
      <c r="S64" s="120">
        <f t="shared" ref="S64" si="47">U64+V64</f>
        <v>62</v>
      </c>
      <c r="T64" s="120"/>
      <c r="U64" s="120">
        <v>0</v>
      </c>
      <c r="V64" s="120">
        <v>62</v>
      </c>
      <c r="W64" s="120"/>
      <c r="X64" s="120"/>
      <c r="Y64" s="120"/>
      <c r="Z64" s="120" t="s">
        <v>50</v>
      </c>
      <c r="AA64" s="120"/>
      <c r="AB64" s="120"/>
      <c r="AC64" s="120"/>
      <c r="AD64" s="120"/>
      <c r="AE64" s="120"/>
      <c r="AF64" s="120"/>
      <c r="AG64" s="120" t="s">
        <v>53</v>
      </c>
      <c r="AH64" s="120" t="s">
        <v>54</v>
      </c>
      <c r="AI64" s="120"/>
      <c r="AJ64" s="120"/>
      <c r="AK64" s="120"/>
      <c r="AL64" s="120" t="s">
        <v>55</v>
      </c>
      <c r="AM64" s="120"/>
      <c r="AN64" s="120"/>
      <c r="AR64" s="121">
        <f t="shared" si="1"/>
        <v>1</v>
      </c>
      <c r="AS64" s="121" t="str">
        <f t="shared" si="12"/>
        <v>2023_05_15_a</v>
      </c>
      <c r="AT64" s="122"/>
      <c r="AU64" s="121" t="str">
        <f t="shared" si="13"/>
        <v>2023</v>
      </c>
      <c r="AV64" s="121" t="str">
        <f t="shared" si="14"/>
        <v>05</v>
      </c>
      <c r="AW64" s="121" t="str">
        <f t="shared" si="15"/>
        <v>15</v>
      </c>
      <c r="AX64" s="121">
        <f t="shared" si="16"/>
        <v>45061</v>
      </c>
      <c r="AY64" s="123"/>
      <c r="AZ64" s="124">
        <f t="shared" si="17"/>
        <v>45061</v>
      </c>
      <c r="BA64" s="121" t="b">
        <f t="shared" si="18"/>
        <v>1</v>
      </c>
      <c r="BB64" s="121">
        <f t="shared" si="19"/>
        <v>45061</v>
      </c>
      <c r="BC64" s="121" t="str">
        <f t="shared" si="20"/>
        <v>no</v>
      </c>
      <c r="BD64" s="121" t="b">
        <f t="shared" si="21"/>
        <v>0</v>
      </c>
      <c r="BE64" s="125" t="s">
        <v>56</v>
      </c>
      <c r="BF64" s="122"/>
    </row>
    <row r="65" spans="2:58" s="114" customFormat="1" ht="154">
      <c r="B65" s="114" t="s">
        <v>172</v>
      </c>
      <c r="D65" s="114" t="s">
        <v>173</v>
      </c>
      <c r="F65" s="132" t="s">
        <v>174</v>
      </c>
      <c r="G65" s="133">
        <v>44123</v>
      </c>
      <c r="H65" s="84">
        <v>44265</v>
      </c>
      <c r="I65" s="133" t="s">
        <v>175</v>
      </c>
      <c r="J65" s="84">
        <v>44277</v>
      </c>
      <c r="K65" s="133" t="s">
        <v>175</v>
      </c>
      <c r="L65" s="133" t="s">
        <v>176</v>
      </c>
      <c r="M65" s="133" t="s">
        <v>46</v>
      </c>
      <c r="N65" s="133" t="s">
        <v>46</v>
      </c>
      <c r="O65" s="133"/>
      <c r="P65" s="133"/>
      <c r="Q65" s="134"/>
      <c r="R65" s="134" t="s">
        <v>177</v>
      </c>
      <c r="S65" s="135">
        <f t="shared" ref="S65:S77" si="48">U65+V65</f>
        <v>40</v>
      </c>
      <c r="T65" s="114">
        <v>40</v>
      </c>
      <c r="U65" s="114">
        <v>0</v>
      </c>
      <c r="V65" s="114">
        <v>40</v>
      </c>
      <c r="W65" s="134"/>
      <c r="Z65" s="136" t="s">
        <v>178</v>
      </c>
      <c r="AA65" s="136" t="s">
        <v>52</v>
      </c>
      <c r="AB65" s="136" t="s">
        <v>52</v>
      </c>
      <c r="AC65" s="136" t="s">
        <v>52</v>
      </c>
      <c r="AD65" s="136" t="s">
        <v>52</v>
      </c>
      <c r="AE65" s="136" t="s">
        <v>52</v>
      </c>
      <c r="AF65" s="136" t="s">
        <v>52</v>
      </c>
      <c r="AG65" s="114" t="s">
        <v>53</v>
      </c>
      <c r="AH65" s="114" t="s">
        <v>54</v>
      </c>
      <c r="AI65" s="114" t="s">
        <v>54</v>
      </c>
      <c r="AL65" s="114" t="s">
        <v>179</v>
      </c>
      <c r="AR65" s="121">
        <f t="shared" si="1"/>
        <v>1</v>
      </c>
      <c r="AS65" s="121" t="str">
        <f t="shared" si="12"/>
        <v>2021_03_10_a</v>
      </c>
      <c r="AT65" s="122"/>
      <c r="AU65" s="121" t="str">
        <f t="shared" si="13"/>
        <v>2021</v>
      </c>
      <c r="AV65" s="121" t="str">
        <f t="shared" si="14"/>
        <v>03</v>
      </c>
      <c r="AW65" s="121" t="str">
        <f t="shared" si="15"/>
        <v>10</v>
      </c>
      <c r="AX65" s="121">
        <f t="shared" si="16"/>
        <v>44265</v>
      </c>
      <c r="AY65" s="123"/>
      <c r="AZ65" s="124">
        <f t="shared" si="17"/>
        <v>44265</v>
      </c>
      <c r="BA65" s="121" t="b">
        <f t="shared" si="18"/>
        <v>1</v>
      </c>
      <c r="BB65" s="121">
        <f t="shared" si="19"/>
        <v>44265</v>
      </c>
      <c r="BC65" s="121" t="str">
        <f t="shared" si="20"/>
        <v>no</v>
      </c>
      <c r="BD65" s="121" t="b">
        <f t="shared" si="21"/>
        <v>0</v>
      </c>
      <c r="BE65" s="125" t="s">
        <v>56</v>
      </c>
      <c r="BF65" s="122"/>
    </row>
    <row r="66" spans="2:58" s="114" customFormat="1" ht="154">
      <c r="B66" s="81" t="s">
        <v>180</v>
      </c>
      <c r="D66" s="114" t="s">
        <v>181</v>
      </c>
      <c r="F66" s="132" t="s">
        <v>174</v>
      </c>
      <c r="G66" s="133">
        <v>44298</v>
      </c>
      <c r="H66" s="137">
        <v>44334</v>
      </c>
      <c r="I66" s="133" t="s">
        <v>182</v>
      </c>
      <c r="J66" s="84">
        <v>44347</v>
      </c>
      <c r="K66" s="133"/>
      <c r="L66" s="133"/>
      <c r="M66" s="133"/>
      <c r="N66" s="133"/>
      <c r="O66" s="133"/>
      <c r="P66" s="133"/>
      <c r="Q66" s="134"/>
      <c r="R66" s="134"/>
      <c r="S66" s="135">
        <f t="shared" si="48"/>
        <v>20</v>
      </c>
      <c r="T66" s="114">
        <v>20</v>
      </c>
      <c r="U66" s="114">
        <v>0</v>
      </c>
      <c r="V66" s="114">
        <v>20</v>
      </c>
      <c r="W66" s="134"/>
      <c r="Z66" s="136" t="s">
        <v>178</v>
      </c>
      <c r="AA66" s="136"/>
      <c r="AB66" s="136"/>
      <c r="AC66" s="136"/>
      <c r="AD66" s="136"/>
      <c r="AE66" s="136"/>
      <c r="AF66" s="136"/>
      <c r="AG66" s="114" t="s">
        <v>53</v>
      </c>
      <c r="AL66" s="114" t="s">
        <v>179</v>
      </c>
      <c r="AM66" s="138"/>
      <c r="AN66" s="138" t="s">
        <v>183</v>
      </c>
      <c r="AR66" s="121">
        <f t="shared" si="1"/>
        <v>1</v>
      </c>
      <c r="AS66" s="121" t="str">
        <f t="shared" si="12"/>
        <v>2021_05_18_a</v>
      </c>
      <c r="AT66" s="122"/>
      <c r="AU66" s="121" t="str">
        <f t="shared" si="13"/>
        <v>2021</v>
      </c>
      <c r="AV66" s="121" t="str">
        <f t="shared" si="14"/>
        <v>05</v>
      </c>
      <c r="AW66" s="121" t="str">
        <f t="shared" si="15"/>
        <v>18</v>
      </c>
      <c r="AX66" s="121">
        <f t="shared" si="16"/>
        <v>44334</v>
      </c>
      <c r="AY66" s="123"/>
      <c r="AZ66" s="124">
        <f t="shared" si="17"/>
        <v>44334</v>
      </c>
      <c r="BA66" s="121" t="b">
        <f t="shared" si="18"/>
        <v>1</v>
      </c>
      <c r="BB66" s="121">
        <f t="shared" si="19"/>
        <v>44334</v>
      </c>
      <c r="BC66" s="121" t="str">
        <f t="shared" si="20"/>
        <v>no</v>
      </c>
      <c r="BD66" s="121" t="b">
        <f t="shared" si="21"/>
        <v>0</v>
      </c>
      <c r="BE66" s="125" t="s">
        <v>56</v>
      </c>
      <c r="BF66" s="122"/>
    </row>
    <row r="67" spans="2:58" s="114" customFormat="1" ht="154">
      <c r="B67" s="114" t="s">
        <v>184</v>
      </c>
      <c r="D67" s="114" t="s">
        <v>185</v>
      </c>
      <c r="F67" s="132" t="s">
        <v>174</v>
      </c>
      <c r="G67" s="133">
        <v>44389</v>
      </c>
      <c r="H67" s="84">
        <v>44390</v>
      </c>
      <c r="I67" s="133"/>
      <c r="J67" s="84">
        <v>44401</v>
      </c>
      <c r="K67" s="133"/>
      <c r="L67" s="133"/>
      <c r="M67" s="133"/>
      <c r="N67" s="133"/>
      <c r="O67" s="133"/>
      <c r="P67" s="133"/>
      <c r="Q67" s="134"/>
      <c r="R67" s="134"/>
      <c r="S67" s="135">
        <f t="shared" si="48"/>
        <v>104</v>
      </c>
      <c r="T67" s="114">
        <v>104</v>
      </c>
      <c r="U67" s="114">
        <v>0</v>
      </c>
      <c r="V67" s="114">
        <v>104</v>
      </c>
      <c r="W67" s="134"/>
      <c r="Z67" s="136" t="s">
        <v>178</v>
      </c>
      <c r="AA67" s="136"/>
      <c r="AB67" s="136"/>
      <c r="AC67" s="136"/>
      <c r="AD67" s="136"/>
      <c r="AE67" s="136"/>
      <c r="AF67" s="136"/>
      <c r="AG67" s="114" t="s">
        <v>53</v>
      </c>
      <c r="AL67" s="114" t="s">
        <v>179</v>
      </c>
      <c r="AM67" s="138"/>
      <c r="AN67" s="138" t="s">
        <v>183</v>
      </c>
      <c r="AR67" s="121">
        <f t="shared" ref="AR67:AR130" si="49">COUNTIF(B:B,B67)</f>
        <v>1</v>
      </c>
      <c r="AS67" s="121" t="str">
        <f t="shared" si="12"/>
        <v>2021_07_13_a</v>
      </c>
      <c r="AT67" s="122"/>
      <c r="AU67" s="121" t="str">
        <f t="shared" si="13"/>
        <v>2021</v>
      </c>
      <c r="AV67" s="121" t="str">
        <f t="shared" si="14"/>
        <v>07</v>
      </c>
      <c r="AW67" s="121" t="str">
        <f t="shared" si="15"/>
        <v>13</v>
      </c>
      <c r="AX67" s="121">
        <f t="shared" si="16"/>
        <v>44390</v>
      </c>
      <c r="AY67" s="123"/>
      <c r="AZ67" s="124">
        <f t="shared" si="17"/>
        <v>44390</v>
      </c>
      <c r="BA67" s="121" t="b">
        <f t="shared" si="18"/>
        <v>1</v>
      </c>
      <c r="BB67" s="121">
        <f t="shared" si="19"/>
        <v>44390</v>
      </c>
      <c r="BC67" s="121" t="str">
        <f t="shared" si="20"/>
        <v>no</v>
      </c>
      <c r="BD67" s="121" t="b">
        <f t="shared" si="21"/>
        <v>0</v>
      </c>
      <c r="BE67" s="125" t="s">
        <v>56</v>
      </c>
      <c r="BF67" s="122"/>
    </row>
    <row r="68" spans="2:58" s="114" customFormat="1" ht="154">
      <c r="B68" s="114" t="s">
        <v>186</v>
      </c>
      <c r="D68" s="114" t="s">
        <v>187</v>
      </c>
      <c r="F68" s="132" t="s">
        <v>174</v>
      </c>
      <c r="G68" s="133">
        <v>44537</v>
      </c>
      <c r="H68" s="84">
        <v>44537</v>
      </c>
      <c r="I68" s="133"/>
      <c r="J68" s="84">
        <v>44548</v>
      </c>
      <c r="K68" s="133"/>
      <c r="L68" s="133"/>
      <c r="M68" s="133"/>
      <c r="N68" s="133"/>
      <c r="O68" s="133"/>
      <c r="P68" s="133"/>
      <c r="Q68" s="134"/>
      <c r="R68" s="134"/>
      <c r="S68" s="135">
        <f t="shared" si="48"/>
        <v>94</v>
      </c>
      <c r="T68" s="114">
        <v>94</v>
      </c>
      <c r="U68" s="114">
        <v>0</v>
      </c>
      <c r="V68" s="114">
        <v>94</v>
      </c>
      <c r="W68" s="134"/>
      <c r="Z68" s="136" t="s">
        <v>178</v>
      </c>
      <c r="AA68" s="136"/>
      <c r="AB68" s="136"/>
      <c r="AC68" s="136"/>
      <c r="AD68" s="136"/>
      <c r="AE68" s="136"/>
      <c r="AF68" s="136"/>
      <c r="AG68" s="114" t="s">
        <v>53</v>
      </c>
      <c r="AL68" s="114" t="s">
        <v>179</v>
      </c>
      <c r="AM68" s="138"/>
      <c r="AN68" s="138" t="s">
        <v>183</v>
      </c>
      <c r="AR68" s="121">
        <f t="shared" si="49"/>
        <v>1</v>
      </c>
      <c r="AS68" s="121" t="str">
        <f t="shared" ref="AS68:AS131" si="50">IFERROR(RIGHT(B68,16-SEARCH("_", B68)),0)</f>
        <v>2021_12_07_a</v>
      </c>
      <c r="AT68" s="122"/>
      <c r="AU68" s="121" t="str">
        <f t="shared" ref="AU68:AU131" si="51">LEFT(AS68,4)</f>
        <v>2021</v>
      </c>
      <c r="AV68" s="121" t="str">
        <f t="shared" ref="AV68:AV131" si="52">MID(AS68,6,2)</f>
        <v>12</v>
      </c>
      <c r="AW68" s="121" t="str">
        <f t="shared" ref="AW68:AW131" si="53">MID(AS68,9,2)</f>
        <v>07</v>
      </c>
      <c r="AX68" s="121">
        <f t="shared" ref="AX68:AX131" si="54">IFERROR(DATE(AU68,AV68,AW68)," ")</f>
        <v>44537</v>
      </c>
      <c r="AY68" s="123"/>
      <c r="AZ68" s="124">
        <f t="shared" ref="AZ68:AZ131" si="55">H68</f>
        <v>44537</v>
      </c>
      <c r="BA68" s="121" t="b">
        <f t="shared" ref="BA68:BA131" si="56">IF(AX68=" "," ",AX68=AZ68)</f>
        <v>1</v>
      </c>
      <c r="BB68" s="121">
        <f t="shared" ref="BB68:BB131" si="57">IF(BC68="YES"," ",AZ68)</f>
        <v>44537</v>
      </c>
      <c r="BC68" s="121" t="str">
        <f t="shared" ref="BC68:BC131" si="58">IF(AM68="Apprentice","yes","no")</f>
        <v>no</v>
      </c>
      <c r="BD68" s="121" t="b">
        <f t="shared" ref="BD68:BD131" si="59">IF(OR(U68&lt;&gt;"0", V68&lt;&gt;"0"),U68=V68," ")</f>
        <v>0</v>
      </c>
      <c r="BE68" s="125" t="s">
        <v>56</v>
      </c>
      <c r="BF68" s="122"/>
    </row>
    <row r="69" spans="2:58" s="114" customFormat="1" ht="154">
      <c r="B69" s="114" t="s">
        <v>188</v>
      </c>
      <c r="D69" s="114" t="s">
        <v>189</v>
      </c>
      <c r="F69" s="132" t="s">
        <v>174</v>
      </c>
      <c r="G69" s="133">
        <v>44620</v>
      </c>
      <c r="H69" s="84">
        <v>44621</v>
      </c>
      <c r="I69" s="133"/>
      <c r="J69" s="84">
        <v>44632</v>
      </c>
      <c r="K69" s="133"/>
      <c r="L69" s="133"/>
      <c r="M69" s="133"/>
      <c r="N69" s="133"/>
      <c r="O69" s="133"/>
      <c r="P69" s="133"/>
      <c r="Q69" s="134"/>
      <c r="R69" s="134"/>
      <c r="S69" s="135">
        <f t="shared" si="48"/>
        <v>40</v>
      </c>
      <c r="U69" s="114">
        <v>0</v>
      </c>
      <c r="V69" s="114">
        <v>40</v>
      </c>
      <c r="W69" s="134"/>
      <c r="Z69" s="136" t="s">
        <v>50</v>
      </c>
      <c r="AA69" s="136"/>
      <c r="AB69" s="136"/>
      <c r="AC69" s="136"/>
      <c r="AD69" s="136"/>
      <c r="AE69" s="136"/>
      <c r="AF69" s="136"/>
      <c r="AG69" s="114" t="s">
        <v>53</v>
      </c>
      <c r="AL69" s="114" t="s">
        <v>55</v>
      </c>
      <c r="AM69" s="138"/>
      <c r="AN69" s="138"/>
      <c r="AR69" s="121">
        <f t="shared" si="49"/>
        <v>1</v>
      </c>
      <c r="AS69" s="121" t="str">
        <f t="shared" si="50"/>
        <v>2022_03_01_a</v>
      </c>
      <c r="AT69" s="122"/>
      <c r="AU69" s="121" t="str">
        <f t="shared" si="51"/>
        <v>2022</v>
      </c>
      <c r="AV69" s="121" t="str">
        <f t="shared" si="52"/>
        <v>03</v>
      </c>
      <c r="AW69" s="121" t="str">
        <f t="shared" si="53"/>
        <v>01</v>
      </c>
      <c r="AX69" s="121">
        <f t="shared" si="54"/>
        <v>44621</v>
      </c>
      <c r="AY69" s="123"/>
      <c r="AZ69" s="124">
        <f t="shared" si="55"/>
        <v>44621</v>
      </c>
      <c r="BA69" s="121" t="b">
        <f t="shared" si="56"/>
        <v>1</v>
      </c>
      <c r="BB69" s="121">
        <f t="shared" si="57"/>
        <v>44621</v>
      </c>
      <c r="BC69" s="121" t="str">
        <f t="shared" si="58"/>
        <v>no</v>
      </c>
      <c r="BD69" s="121" t="b">
        <f t="shared" si="59"/>
        <v>0</v>
      </c>
      <c r="BE69" s="125" t="s">
        <v>56</v>
      </c>
      <c r="BF69" s="122"/>
    </row>
    <row r="70" spans="2:58" s="114" customFormat="1" ht="154">
      <c r="B70" s="114" t="s">
        <v>190</v>
      </c>
      <c r="D70" s="114" t="s">
        <v>191</v>
      </c>
      <c r="F70" s="132" t="s">
        <v>174</v>
      </c>
      <c r="G70" s="133">
        <v>44690</v>
      </c>
      <c r="H70" s="84">
        <v>44691</v>
      </c>
      <c r="I70" s="133"/>
      <c r="J70" s="84">
        <v>44702</v>
      </c>
      <c r="K70" s="133"/>
      <c r="L70" s="133"/>
      <c r="M70" s="133"/>
      <c r="N70" s="133"/>
      <c r="O70" s="133"/>
      <c r="P70" s="133"/>
      <c r="Q70" s="134"/>
      <c r="R70" s="134"/>
      <c r="S70" s="135">
        <f t="shared" si="48"/>
        <v>34</v>
      </c>
      <c r="U70" s="114">
        <v>0</v>
      </c>
      <c r="V70" s="114">
        <v>34</v>
      </c>
      <c r="W70" s="134"/>
      <c r="Z70" s="136" t="s">
        <v>50</v>
      </c>
      <c r="AA70" s="136"/>
      <c r="AB70" s="136"/>
      <c r="AC70" s="136"/>
      <c r="AD70" s="136"/>
      <c r="AE70" s="136"/>
      <c r="AF70" s="136"/>
      <c r="AG70" s="114" t="s">
        <v>53</v>
      </c>
      <c r="AL70" s="114" t="s">
        <v>55</v>
      </c>
      <c r="AM70" s="138"/>
      <c r="AN70" s="138"/>
      <c r="AR70" s="121">
        <f t="shared" si="49"/>
        <v>1</v>
      </c>
      <c r="AS70" s="121" t="str">
        <f t="shared" si="50"/>
        <v>2022_05_10_a</v>
      </c>
      <c r="AT70" s="122"/>
      <c r="AU70" s="121" t="str">
        <f t="shared" si="51"/>
        <v>2022</v>
      </c>
      <c r="AV70" s="121" t="str">
        <f t="shared" si="52"/>
        <v>05</v>
      </c>
      <c r="AW70" s="121" t="str">
        <f t="shared" si="53"/>
        <v>10</v>
      </c>
      <c r="AX70" s="121">
        <f t="shared" si="54"/>
        <v>44691</v>
      </c>
      <c r="AY70" s="123"/>
      <c r="AZ70" s="124">
        <f t="shared" si="55"/>
        <v>44691</v>
      </c>
      <c r="BA70" s="121" t="b">
        <f t="shared" si="56"/>
        <v>1</v>
      </c>
      <c r="BB70" s="121">
        <f t="shared" si="57"/>
        <v>44691</v>
      </c>
      <c r="BC70" s="121" t="str">
        <f t="shared" si="58"/>
        <v>no</v>
      </c>
      <c r="BD70" s="121" t="b">
        <f t="shared" si="59"/>
        <v>0</v>
      </c>
      <c r="BE70" s="125" t="s">
        <v>56</v>
      </c>
      <c r="BF70" s="122"/>
    </row>
    <row r="71" spans="2:58" s="114" customFormat="1" ht="154">
      <c r="B71" s="114" t="s">
        <v>192</v>
      </c>
      <c r="D71" s="114" t="s">
        <v>193</v>
      </c>
      <c r="F71" s="132" t="s">
        <v>174</v>
      </c>
      <c r="G71" s="133" t="s">
        <v>194</v>
      </c>
      <c r="H71" s="84">
        <v>44698</v>
      </c>
      <c r="I71" s="133"/>
      <c r="J71" s="84">
        <v>44709</v>
      </c>
      <c r="K71" s="133"/>
      <c r="L71" s="133"/>
      <c r="M71" s="133"/>
      <c r="N71" s="133"/>
      <c r="O71" s="133"/>
      <c r="P71" s="133"/>
      <c r="Q71" s="134"/>
      <c r="R71" s="134"/>
      <c r="S71" s="135">
        <f t="shared" si="48"/>
        <v>7</v>
      </c>
      <c r="U71" s="114">
        <v>0</v>
      </c>
      <c r="V71" s="114">
        <v>7</v>
      </c>
      <c r="W71" s="134"/>
      <c r="Z71" s="136" t="s">
        <v>178</v>
      </c>
      <c r="AA71" s="136"/>
      <c r="AB71" s="136"/>
      <c r="AC71" s="136"/>
      <c r="AD71" s="136"/>
      <c r="AE71" s="136"/>
      <c r="AF71" s="136"/>
      <c r="AG71" s="114" t="s">
        <v>53</v>
      </c>
      <c r="AL71" s="114" t="s">
        <v>55</v>
      </c>
      <c r="AM71" s="138"/>
      <c r="AN71" s="138"/>
      <c r="AR71" s="121">
        <f t="shared" si="49"/>
        <v>1</v>
      </c>
      <c r="AS71" s="121" t="str">
        <f t="shared" si="50"/>
        <v>2022_05_17_a</v>
      </c>
      <c r="AT71" s="122"/>
      <c r="AU71" s="121" t="str">
        <f t="shared" si="51"/>
        <v>2022</v>
      </c>
      <c r="AV71" s="121" t="str">
        <f t="shared" si="52"/>
        <v>05</v>
      </c>
      <c r="AW71" s="121" t="str">
        <f t="shared" si="53"/>
        <v>17</v>
      </c>
      <c r="AX71" s="121">
        <f t="shared" si="54"/>
        <v>44698</v>
      </c>
      <c r="AY71" s="123"/>
      <c r="AZ71" s="124">
        <f t="shared" si="55"/>
        <v>44698</v>
      </c>
      <c r="BA71" s="121" t="b">
        <f t="shared" si="56"/>
        <v>1</v>
      </c>
      <c r="BB71" s="121">
        <f t="shared" si="57"/>
        <v>44698</v>
      </c>
      <c r="BC71" s="121" t="str">
        <f t="shared" si="58"/>
        <v>no</v>
      </c>
      <c r="BD71" s="121" t="b">
        <f t="shared" si="59"/>
        <v>0</v>
      </c>
      <c r="BE71" s="125" t="s">
        <v>56</v>
      </c>
      <c r="BF71" s="122"/>
    </row>
    <row r="72" spans="2:58" s="114" customFormat="1" ht="154">
      <c r="B72" s="114" t="s">
        <v>195</v>
      </c>
      <c r="D72" s="114" t="s">
        <v>196</v>
      </c>
      <c r="F72" s="132" t="s">
        <v>174</v>
      </c>
      <c r="G72" s="133">
        <v>44753</v>
      </c>
      <c r="H72" s="84">
        <v>44754</v>
      </c>
      <c r="I72" s="133"/>
      <c r="J72" s="84">
        <v>44765</v>
      </c>
      <c r="K72" s="133"/>
      <c r="L72" s="133"/>
      <c r="M72" s="133"/>
      <c r="N72" s="133"/>
      <c r="O72" s="133"/>
      <c r="P72" s="133"/>
      <c r="Q72" s="134"/>
      <c r="R72" s="134"/>
      <c r="S72" s="135">
        <f t="shared" si="48"/>
        <v>79</v>
      </c>
      <c r="U72" s="114">
        <v>0</v>
      </c>
      <c r="V72" s="114">
        <v>79</v>
      </c>
      <c r="W72" s="134"/>
      <c r="Z72" s="136" t="s">
        <v>178</v>
      </c>
      <c r="AA72" s="136"/>
      <c r="AB72" s="136"/>
      <c r="AC72" s="136"/>
      <c r="AD72" s="136"/>
      <c r="AE72" s="136"/>
      <c r="AF72" s="136"/>
      <c r="AG72" s="114" t="s">
        <v>53</v>
      </c>
      <c r="AL72" s="114" t="s">
        <v>55</v>
      </c>
      <c r="AM72" s="138"/>
      <c r="AN72" s="138"/>
      <c r="AR72" s="121">
        <f t="shared" si="49"/>
        <v>1</v>
      </c>
      <c r="AS72" s="121" t="str">
        <f t="shared" si="50"/>
        <v>2022_07_12_a</v>
      </c>
      <c r="AT72" s="122"/>
      <c r="AU72" s="121" t="str">
        <f t="shared" si="51"/>
        <v>2022</v>
      </c>
      <c r="AV72" s="121" t="str">
        <f t="shared" si="52"/>
        <v>07</v>
      </c>
      <c r="AW72" s="121" t="str">
        <f t="shared" si="53"/>
        <v>12</v>
      </c>
      <c r="AX72" s="121">
        <f t="shared" si="54"/>
        <v>44754</v>
      </c>
      <c r="AY72" s="123"/>
      <c r="AZ72" s="124">
        <f t="shared" si="55"/>
        <v>44754</v>
      </c>
      <c r="BA72" s="121" t="b">
        <f t="shared" si="56"/>
        <v>1</v>
      </c>
      <c r="BB72" s="121">
        <f t="shared" si="57"/>
        <v>44754</v>
      </c>
      <c r="BC72" s="121" t="str">
        <f t="shared" si="58"/>
        <v>no</v>
      </c>
      <c r="BD72" s="121" t="b">
        <f t="shared" si="59"/>
        <v>0</v>
      </c>
      <c r="BE72" s="125" t="s">
        <v>56</v>
      </c>
      <c r="BF72" s="122"/>
    </row>
    <row r="73" spans="2:58" s="114" customFormat="1" ht="154">
      <c r="B73" s="114" t="s">
        <v>197</v>
      </c>
      <c r="D73" s="114" t="s">
        <v>198</v>
      </c>
      <c r="F73" s="132" t="s">
        <v>174</v>
      </c>
      <c r="G73" s="133">
        <v>44781</v>
      </c>
      <c r="H73" s="84">
        <v>44782</v>
      </c>
      <c r="I73" s="133"/>
      <c r="J73" s="84">
        <v>44793</v>
      </c>
      <c r="K73" s="133"/>
      <c r="L73" s="133"/>
      <c r="M73" s="133"/>
      <c r="N73" s="133"/>
      <c r="O73" s="133"/>
      <c r="P73" s="133"/>
      <c r="Q73" s="134"/>
      <c r="R73" s="134"/>
      <c r="S73" s="135">
        <f t="shared" si="48"/>
        <v>138</v>
      </c>
      <c r="U73" s="114">
        <v>0</v>
      </c>
      <c r="V73" s="114">
        <v>138</v>
      </c>
      <c r="W73" s="134"/>
      <c r="Z73" s="136" t="s">
        <v>178</v>
      </c>
      <c r="AA73" s="136"/>
      <c r="AB73" s="136"/>
      <c r="AC73" s="136"/>
      <c r="AD73" s="136"/>
      <c r="AE73" s="136"/>
      <c r="AF73" s="136"/>
      <c r="AG73" s="114" t="s">
        <v>53</v>
      </c>
      <c r="AL73" s="114" t="s">
        <v>55</v>
      </c>
      <c r="AM73" s="138"/>
      <c r="AN73" s="138"/>
      <c r="AR73" s="121">
        <f t="shared" si="49"/>
        <v>1</v>
      </c>
      <c r="AS73" s="121" t="str">
        <f t="shared" si="50"/>
        <v>2022_08_09_a</v>
      </c>
      <c r="AT73" s="122"/>
      <c r="AU73" s="121" t="str">
        <f t="shared" si="51"/>
        <v>2022</v>
      </c>
      <c r="AV73" s="121" t="str">
        <f t="shared" si="52"/>
        <v>08</v>
      </c>
      <c r="AW73" s="121" t="str">
        <f t="shared" si="53"/>
        <v>09</v>
      </c>
      <c r="AX73" s="121">
        <f t="shared" si="54"/>
        <v>44782</v>
      </c>
      <c r="AY73" s="123"/>
      <c r="AZ73" s="124">
        <f t="shared" si="55"/>
        <v>44782</v>
      </c>
      <c r="BA73" s="121" t="b">
        <f t="shared" si="56"/>
        <v>1</v>
      </c>
      <c r="BB73" s="121">
        <f t="shared" si="57"/>
        <v>44782</v>
      </c>
      <c r="BC73" s="121" t="str">
        <f t="shared" si="58"/>
        <v>no</v>
      </c>
      <c r="BD73" s="121" t="b">
        <f t="shared" si="59"/>
        <v>0</v>
      </c>
      <c r="BE73" s="125" t="s">
        <v>56</v>
      </c>
      <c r="BF73" s="122"/>
    </row>
    <row r="74" spans="2:58" s="114" customFormat="1" ht="154">
      <c r="B74" s="114" t="s">
        <v>199</v>
      </c>
      <c r="D74" s="114" t="s">
        <v>200</v>
      </c>
      <c r="F74" s="132" t="s">
        <v>174</v>
      </c>
      <c r="G74" s="133">
        <v>44893</v>
      </c>
      <c r="H74" s="84">
        <v>44894</v>
      </c>
      <c r="I74" s="133"/>
      <c r="J74" s="84">
        <v>44905</v>
      </c>
      <c r="K74" s="133"/>
      <c r="L74" s="133"/>
      <c r="M74" s="133"/>
      <c r="N74" s="133"/>
      <c r="O74" s="133"/>
      <c r="P74" s="133"/>
      <c r="Q74" s="134"/>
      <c r="R74" s="134" t="s">
        <v>201</v>
      </c>
      <c r="S74" s="135">
        <f t="shared" si="48"/>
        <v>31</v>
      </c>
      <c r="U74" s="114">
        <v>0</v>
      </c>
      <c r="V74" s="114">
        <v>31</v>
      </c>
      <c r="W74" s="134"/>
      <c r="Z74" s="136" t="s">
        <v>178</v>
      </c>
      <c r="AA74" s="136"/>
      <c r="AB74" s="136"/>
      <c r="AC74" s="136"/>
      <c r="AD74" s="136"/>
      <c r="AE74" s="136"/>
      <c r="AF74" s="136"/>
      <c r="AG74" s="114" t="s">
        <v>53</v>
      </c>
      <c r="AH74" s="114" t="s">
        <v>202</v>
      </c>
      <c r="AL74" s="114" t="s">
        <v>55</v>
      </c>
      <c r="AM74" s="138"/>
      <c r="AN74" s="138"/>
      <c r="AR74" s="121">
        <f t="shared" si="49"/>
        <v>1</v>
      </c>
      <c r="AS74" s="121" t="str">
        <f t="shared" si="50"/>
        <v>2022_11_29_a</v>
      </c>
      <c r="AT74" s="122"/>
      <c r="AU74" s="121" t="str">
        <f t="shared" si="51"/>
        <v>2022</v>
      </c>
      <c r="AV74" s="121" t="str">
        <f t="shared" si="52"/>
        <v>11</v>
      </c>
      <c r="AW74" s="121" t="str">
        <f t="shared" si="53"/>
        <v>29</v>
      </c>
      <c r="AX74" s="121">
        <f t="shared" si="54"/>
        <v>44894</v>
      </c>
      <c r="AY74" s="123"/>
      <c r="AZ74" s="124">
        <f t="shared" si="55"/>
        <v>44894</v>
      </c>
      <c r="BA74" s="121" t="b">
        <f t="shared" si="56"/>
        <v>1</v>
      </c>
      <c r="BB74" s="121">
        <f t="shared" si="57"/>
        <v>44894</v>
      </c>
      <c r="BC74" s="121" t="str">
        <f t="shared" si="58"/>
        <v>no</v>
      </c>
      <c r="BD74" s="121" t="b">
        <f t="shared" si="59"/>
        <v>0</v>
      </c>
      <c r="BE74" s="125" t="s">
        <v>56</v>
      </c>
      <c r="BF74" s="122"/>
    </row>
    <row r="75" spans="2:58" s="114" customFormat="1" ht="154">
      <c r="B75" s="114" t="s">
        <v>203</v>
      </c>
      <c r="D75" s="114" t="s">
        <v>204</v>
      </c>
      <c r="F75" s="132" t="s">
        <v>174</v>
      </c>
      <c r="G75" s="133" t="s">
        <v>205</v>
      </c>
      <c r="H75" s="84">
        <v>44986</v>
      </c>
      <c r="I75" s="133"/>
      <c r="J75" s="84">
        <v>44997</v>
      </c>
      <c r="K75" s="133"/>
      <c r="L75" s="133"/>
      <c r="M75" s="133"/>
      <c r="N75" s="133"/>
      <c r="O75" s="133"/>
      <c r="P75" s="133"/>
      <c r="Q75" s="134"/>
      <c r="R75" s="134" t="s">
        <v>206</v>
      </c>
      <c r="S75" s="135">
        <f t="shared" si="48"/>
        <v>3</v>
      </c>
      <c r="U75" s="114">
        <v>0</v>
      </c>
      <c r="V75" s="114">
        <v>3</v>
      </c>
      <c r="W75" s="134"/>
      <c r="Z75" s="136"/>
      <c r="AA75" s="136"/>
      <c r="AB75" s="136"/>
      <c r="AC75" s="136"/>
      <c r="AD75" s="136"/>
      <c r="AE75" s="136"/>
      <c r="AF75" s="136"/>
      <c r="AG75" s="114" t="s">
        <v>53</v>
      </c>
      <c r="AH75" s="114" t="s">
        <v>54</v>
      </c>
      <c r="AL75" s="114" t="s">
        <v>55</v>
      </c>
      <c r="AR75" s="121">
        <f t="shared" si="49"/>
        <v>1</v>
      </c>
      <c r="AS75" s="121" t="str">
        <f t="shared" si="50"/>
        <v>2023_03_01_a</v>
      </c>
      <c r="AT75" s="122"/>
      <c r="AU75" s="121" t="str">
        <f t="shared" si="51"/>
        <v>2023</v>
      </c>
      <c r="AV75" s="121" t="str">
        <f t="shared" si="52"/>
        <v>03</v>
      </c>
      <c r="AW75" s="121" t="str">
        <f t="shared" si="53"/>
        <v>01</v>
      </c>
      <c r="AX75" s="121">
        <f t="shared" si="54"/>
        <v>44986</v>
      </c>
      <c r="AY75" s="123"/>
      <c r="AZ75" s="124">
        <f t="shared" si="55"/>
        <v>44986</v>
      </c>
      <c r="BA75" s="121" t="b">
        <f t="shared" si="56"/>
        <v>1</v>
      </c>
      <c r="BB75" s="121">
        <f t="shared" si="57"/>
        <v>44986</v>
      </c>
      <c r="BC75" s="121" t="str">
        <f t="shared" si="58"/>
        <v>no</v>
      </c>
      <c r="BD75" s="121" t="b">
        <f t="shared" si="59"/>
        <v>0</v>
      </c>
      <c r="BE75" s="125" t="s">
        <v>56</v>
      </c>
    </row>
    <row r="76" spans="2:58" s="114" customFormat="1" ht="154">
      <c r="B76" s="114" t="s">
        <v>207</v>
      </c>
      <c r="D76" s="114" t="s">
        <v>208</v>
      </c>
      <c r="F76" s="132" t="s">
        <v>209</v>
      </c>
      <c r="G76" s="133">
        <v>44075</v>
      </c>
      <c r="H76" s="84">
        <v>44265</v>
      </c>
      <c r="I76" s="133" t="s">
        <v>175</v>
      </c>
      <c r="J76" s="84">
        <v>44277</v>
      </c>
      <c r="K76" s="133" t="s">
        <v>175</v>
      </c>
      <c r="L76" s="133" t="s">
        <v>176</v>
      </c>
      <c r="M76" s="133" t="s">
        <v>46</v>
      </c>
      <c r="N76" s="133" t="s">
        <v>46</v>
      </c>
      <c r="O76" s="133"/>
      <c r="P76" s="133"/>
      <c r="Q76" s="134"/>
      <c r="R76" s="134" t="s">
        <v>210</v>
      </c>
      <c r="S76" s="135">
        <f t="shared" si="48"/>
        <v>31</v>
      </c>
      <c r="T76" s="138">
        <v>31</v>
      </c>
      <c r="U76" s="138">
        <v>31</v>
      </c>
      <c r="V76" s="114">
        <v>0</v>
      </c>
      <c r="W76" s="134"/>
      <c r="Z76" s="114" t="s">
        <v>50</v>
      </c>
      <c r="AA76" s="136" t="s">
        <v>52</v>
      </c>
      <c r="AB76" s="136" t="s">
        <v>52</v>
      </c>
      <c r="AC76" s="136" t="s">
        <v>52</v>
      </c>
      <c r="AD76" s="136" t="s">
        <v>52</v>
      </c>
      <c r="AE76" s="136" t="s">
        <v>52</v>
      </c>
      <c r="AF76" s="136" t="s">
        <v>52</v>
      </c>
      <c r="AG76" s="114" t="s">
        <v>53</v>
      </c>
      <c r="AH76" s="114" t="s">
        <v>54</v>
      </c>
      <c r="AI76" s="114" t="s">
        <v>54</v>
      </c>
      <c r="AL76" s="114" t="s">
        <v>179</v>
      </c>
      <c r="AR76" s="121">
        <f t="shared" si="49"/>
        <v>1</v>
      </c>
      <c r="AS76" s="121" t="str">
        <f t="shared" si="50"/>
        <v>2021_03_10_a</v>
      </c>
      <c r="AT76" s="122"/>
      <c r="AU76" s="121" t="str">
        <f t="shared" si="51"/>
        <v>2021</v>
      </c>
      <c r="AV76" s="121" t="str">
        <f t="shared" si="52"/>
        <v>03</v>
      </c>
      <c r="AW76" s="121" t="str">
        <f t="shared" si="53"/>
        <v>10</v>
      </c>
      <c r="AX76" s="121">
        <f t="shared" si="54"/>
        <v>44265</v>
      </c>
      <c r="AY76" s="123"/>
      <c r="AZ76" s="124">
        <f t="shared" si="55"/>
        <v>44265</v>
      </c>
      <c r="BA76" s="121" t="b">
        <f t="shared" si="56"/>
        <v>1</v>
      </c>
      <c r="BB76" s="121">
        <f t="shared" si="57"/>
        <v>44265</v>
      </c>
      <c r="BC76" s="121" t="str">
        <f t="shared" si="58"/>
        <v>no</v>
      </c>
      <c r="BD76" s="121" t="b">
        <f t="shared" si="59"/>
        <v>0</v>
      </c>
      <c r="BE76" s="125" t="s">
        <v>56</v>
      </c>
      <c r="BF76" s="122"/>
    </row>
    <row r="77" spans="2:58" s="114" customFormat="1" ht="154">
      <c r="B77" s="114" t="s">
        <v>211</v>
      </c>
      <c r="D77" s="114" t="s">
        <v>212</v>
      </c>
      <c r="F77" s="132" t="s">
        <v>213</v>
      </c>
      <c r="G77" s="133">
        <v>44298</v>
      </c>
      <c r="H77" s="137">
        <v>44299</v>
      </c>
      <c r="I77" s="133"/>
      <c r="J77" s="84">
        <v>44279</v>
      </c>
      <c r="K77" s="133"/>
      <c r="L77" s="133"/>
      <c r="M77" s="133"/>
      <c r="N77" s="133"/>
      <c r="O77" s="133"/>
      <c r="P77" s="133"/>
      <c r="Q77" s="134"/>
      <c r="R77" s="134"/>
      <c r="S77" s="135">
        <f t="shared" si="48"/>
        <v>37</v>
      </c>
      <c r="T77" s="138">
        <v>37</v>
      </c>
      <c r="U77" s="138">
        <v>37</v>
      </c>
      <c r="V77" s="114">
        <v>0</v>
      </c>
      <c r="W77" s="134"/>
      <c r="Z77" s="114" t="s">
        <v>50</v>
      </c>
      <c r="AA77" s="136"/>
      <c r="AB77" s="136"/>
      <c r="AC77" s="136"/>
      <c r="AD77" s="136"/>
      <c r="AE77" s="136"/>
      <c r="AF77" s="136"/>
      <c r="AG77" s="114" t="s">
        <v>53</v>
      </c>
      <c r="AL77" s="114" t="s">
        <v>179</v>
      </c>
      <c r="AR77" s="121">
        <f t="shared" si="49"/>
        <v>1</v>
      </c>
      <c r="AS77" s="121" t="str">
        <f t="shared" si="50"/>
        <v>2021_04_13_a</v>
      </c>
      <c r="AT77" s="122"/>
      <c r="AU77" s="121" t="str">
        <f t="shared" si="51"/>
        <v>2021</v>
      </c>
      <c r="AV77" s="121" t="str">
        <f t="shared" si="52"/>
        <v>04</v>
      </c>
      <c r="AW77" s="121" t="str">
        <f t="shared" si="53"/>
        <v>13</v>
      </c>
      <c r="AX77" s="121">
        <f t="shared" si="54"/>
        <v>44299</v>
      </c>
      <c r="AY77" s="123"/>
      <c r="AZ77" s="124">
        <f t="shared" si="55"/>
        <v>44299</v>
      </c>
      <c r="BA77" s="121" t="b">
        <f t="shared" si="56"/>
        <v>1</v>
      </c>
      <c r="BB77" s="121">
        <f t="shared" si="57"/>
        <v>44299</v>
      </c>
      <c r="BC77" s="121" t="str">
        <f t="shared" si="58"/>
        <v>no</v>
      </c>
      <c r="BD77" s="121" t="b">
        <f t="shared" si="59"/>
        <v>0</v>
      </c>
      <c r="BE77" s="125" t="s">
        <v>56</v>
      </c>
      <c r="BF77" s="122"/>
    </row>
    <row r="78" spans="2:58" s="114" customFormat="1" ht="154">
      <c r="B78" s="81" t="s">
        <v>214</v>
      </c>
      <c r="D78" s="114" t="s">
        <v>215</v>
      </c>
      <c r="F78" s="132" t="s">
        <v>213</v>
      </c>
      <c r="G78" s="133">
        <v>44172</v>
      </c>
      <c r="H78" s="137">
        <v>44305</v>
      </c>
      <c r="I78" s="133"/>
      <c r="J78" s="84">
        <v>44319</v>
      </c>
      <c r="K78" s="133"/>
      <c r="L78" s="133"/>
      <c r="M78" s="133"/>
      <c r="N78" s="133"/>
      <c r="O78" s="133"/>
      <c r="P78" s="133"/>
      <c r="Q78" s="134"/>
      <c r="R78" s="134"/>
      <c r="S78" s="135">
        <f t="shared" ref="S78:S94" si="60">U78+V78</f>
        <v>1</v>
      </c>
      <c r="T78" s="114">
        <v>1</v>
      </c>
      <c r="U78" s="114">
        <v>1</v>
      </c>
      <c r="V78" s="114">
        <v>0</v>
      </c>
      <c r="W78" s="134"/>
      <c r="Z78" s="114" t="s">
        <v>50</v>
      </c>
      <c r="AA78" s="136"/>
      <c r="AB78" s="136"/>
      <c r="AC78" s="136"/>
      <c r="AD78" s="136"/>
      <c r="AE78" s="136"/>
      <c r="AF78" s="136"/>
      <c r="AG78" s="114" t="s">
        <v>53</v>
      </c>
      <c r="AL78" s="114" t="s">
        <v>179</v>
      </c>
      <c r="AR78" s="121">
        <f t="shared" si="49"/>
        <v>1</v>
      </c>
      <c r="AS78" s="121" t="str">
        <f t="shared" si="50"/>
        <v>2021_04_19_a</v>
      </c>
      <c r="AT78" s="122"/>
      <c r="AU78" s="121" t="str">
        <f t="shared" si="51"/>
        <v>2021</v>
      </c>
      <c r="AV78" s="121" t="str">
        <f t="shared" si="52"/>
        <v>04</v>
      </c>
      <c r="AW78" s="121" t="str">
        <f t="shared" si="53"/>
        <v>19</v>
      </c>
      <c r="AX78" s="121">
        <f t="shared" si="54"/>
        <v>44305</v>
      </c>
      <c r="AY78" s="123"/>
      <c r="AZ78" s="124">
        <f t="shared" si="55"/>
        <v>44305</v>
      </c>
      <c r="BA78" s="121" t="b">
        <f t="shared" si="56"/>
        <v>1</v>
      </c>
      <c r="BB78" s="121">
        <f t="shared" si="57"/>
        <v>44305</v>
      </c>
      <c r="BC78" s="121" t="str">
        <f t="shared" si="58"/>
        <v>no</v>
      </c>
      <c r="BD78" s="121" t="b">
        <f t="shared" si="59"/>
        <v>0</v>
      </c>
      <c r="BE78" s="125" t="s">
        <v>56</v>
      </c>
      <c r="BF78" s="122"/>
    </row>
    <row r="79" spans="2:58" s="114" customFormat="1" ht="154">
      <c r="B79" s="12" t="s">
        <v>216</v>
      </c>
      <c r="D79" s="114" t="s">
        <v>217</v>
      </c>
      <c r="F79" s="132" t="s">
        <v>213</v>
      </c>
      <c r="G79" s="133">
        <v>44389</v>
      </c>
      <c r="H79" s="137">
        <v>44392</v>
      </c>
      <c r="I79" s="133"/>
      <c r="J79" s="137">
        <v>44404</v>
      </c>
      <c r="K79" s="133"/>
      <c r="L79" s="133"/>
      <c r="M79" s="133"/>
      <c r="N79" s="133"/>
      <c r="O79" s="133"/>
      <c r="P79" s="133"/>
      <c r="Q79" s="134"/>
      <c r="R79" s="134"/>
      <c r="S79" s="135">
        <f t="shared" si="60"/>
        <v>60</v>
      </c>
      <c r="T79" s="138">
        <v>60</v>
      </c>
      <c r="U79" s="138">
        <v>60</v>
      </c>
      <c r="V79" s="114">
        <v>0</v>
      </c>
      <c r="W79" s="134"/>
      <c r="Z79" s="114" t="s">
        <v>50</v>
      </c>
      <c r="AA79" s="136"/>
      <c r="AB79" s="136"/>
      <c r="AC79" s="136"/>
      <c r="AD79" s="136"/>
      <c r="AE79" s="136"/>
      <c r="AF79" s="136"/>
      <c r="AG79" s="114" t="s">
        <v>53</v>
      </c>
      <c r="AL79" s="114" t="s">
        <v>179</v>
      </c>
      <c r="AR79" s="121">
        <f t="shared" si="49"/>
        <v>1</v>
      </c>
      <c r="AS79" s="121" t="str">
        <f t="shared" si="50"/>
        <v>2021_07_15_a</v>
      </c>
      <c r="AT79" s="122"/>
      <c r="AU79" s="121" t="str">
        <f t="shared" si="51"/>
        <v>2021</v>
      </c>
      <c r="AV79" s="121" t="str">
        <f t="shared" si="52"/>
        <v>07</v>
      </c>
      <c r="AW79" s="121" t="str">
        <f t="shared" si="53"/>
        <v>15</v>
      </c>
      <c r="AX79" s="121">
        <f t="shared" si="54"/>
        <v>44392</v>
      </c>
      <c r="AY79" s="123"/>
      <c r="AZ79" s="124">
        <f t="shared" si="55"/>
        <v>44392</v>
      </c>
      <c r="BA79" s="121" t="b">
        <f t="shared" si="56"/>
        <v>1</v>
      </c>
      <c r="BB79" s="121">
        <f t="shared" si="57"/>
        <v>44392</v>
      </c>
      <c r="BC79" s="121" t="str">
        <f t="shared" si="58"/>
        <v>no</v>
      </c>
      <c r="BD79" s="121" t="b">
        <f t="shared" si="59"/>
        <v>0</v>
      </c>
      <c r="BE79" s="125" t="s">
        <v>56</v>
      </c>
      <c r="BF79" s="122"/>
    </row>
    <row r="80" spans="2:58" s="114" customFormat="1" ht="154">
      <c r="B80" s="114" t="s">
        <v>218</v>
      </c>
      <c r="D80" s="114" t="s">
        <v>219</v>
      </c>
      <c r="F80" s="132" t="s">
        <v>213</v>
      </c>
      <c r="G80" s="133">
        <v>44480</v>
      </c>
      <c r="H80" s="84">
        <v>44481</v>
      </c>
      <c r="I80" s="133"/>
      <c r="J80" s="84">
        <v>44492</v>
      </c>
      <c r="K80" s="133"/>
      <c r="L80" s="133"/>
      <c r="M80" s="133"/>
      <c r="N80" s="133"/>
      <c r="O80" s="133"/>
      <c r="P80" s="133"/>
      <c r="Q80" s="134"/>
      <c r="R80" s="134"/>
      <c r="S80" s="135">
        <f t="shared" si="60"/>
        <v>77</v>
      </c>
      <c r="T80" s="114">
        <v>77</v>
      </c>
      <c r="U80" s="114">
        <v>77</v>
      </c>
      <c r="V80" s="114">
        <v>0</v>
      </c>
      <c r="W80" s="134"/>
      <c r="Z80" s="114" t="s">
        <v>50</v>
      </c>
      <c r="AA80" s="136"/>
      <c r="AB80" s="136"/>
      <c r="AC80" s="136"/>
      <c r="AD80" s="136"/>
      <c r="AE80" s="136"/>
      <c r="AF80" s="136"/>
      <c r="AG80" s="114" t="s">
        <v>53</v>
      </c>
      <c r="AL80" s="114" t="s">
        <v>179</v>
      </c>
      <c r="AR80" s="121">
        <f t="shared" si="49"/>
        <v>1</v>
      </c>
      <c r="AS80" s="121" t="str">
        <f t="shared" si="50"/>
        <v>2021_10_12_a</v>
      </c>
      <c r="AT80" s="122"/>
      <c r="AU80" s="121" t="str">
        <f t="shared" si="51"/>
        <v>2021</v>
      </c>
      <c r="AV80" s="121" t="str">
        <f t="shared" si="52"/>
        <v>10</v>
      </c>
      <c r="AW80" s="121" t="str">
        <f t="shared" si="53"/>
        <v>12</v>
      </c>
      <c r="AX80" s="121">
        <f t="shared" si="54"/>
        <v>44481</v>
      </c>
      <c r="AY80" s="123"/>
      <c r="AZ80" s="124">
        <f t="shared" si="55"/>
        <v>44481</v>
      </c>
      <c r="BA80" s="121" t="b">
        <f t="shared" si="56"/>
        <v>1</v>
      </c>
      <c r="BB80" s="121">
        <f t="shared" si="57"/>
        <v>44481</v>
      </c>
      <c r="BC80" s="121" t="str">
        <f t="shared" si="58"/>
        <v>no</v>
      </c>
      <c r="BD80" s="121" t="b">
        <f t="shared" si="59"/>
        <v>0</v>
      </c>
      <c r="BE80" s="125" t="s">
        <v>56</v>
      </c>
      <c r="BF80" s="122"/>
    </row>
    <row r="81" spans="2:58" s="114" customFormat="1" ht="154">
      <c r="B81" s="114" t="s">
        <v>220</v>
      </c>
      <c r="D81" s="114" t="s">
        <v>221</v>
      </c>
      <c r="F81" s="132" t="s">
        <v>213</v>
      </c>
      <c r="G81" s="133">
        <v>44508</v>
      </c>
      <c r="H81" s="84">
        <v>44509</v>
      </c>
      <c r="I81" s="133"/>
      <c r="J81" s="84">
        <v>44520</v>
      </c>
      <c r="K81" s="133"/>
      <c r="L81" s="133"/>
      <c r="M81" s="133"/>
      <c r="N81" s="133"/>
      <c r="O81" s="133"/>
      <c r="P81" s="133"/>
      <c r="Q81" s="134"/>
      <c r="R81" s="134"/>
      <c r="S81" s="135">
        <f t="shared" si="60"/>
        <v>68</v>
      </c>
      <c r="T81" s="114">
        <v>68</v>
      </c>
      <c r="U81" s="114">
        <v>68</v>
      </c>
      <c r="V81" s="114">
        <v>0</v>
      </c>
      <c r="W81" s="134"/>
      <c r="Z81" s="114" t="s">
        <v>50</v>
      </c>
      <c r="AA81" s="136"/>
      <c r="AB81" s="136"/>
      <c r="AC81" s="136"/>
      <c r="AD81" s="136"/>
      <c r="AE81" s="136"/>
      <c r="AF81" s="136"/>
      <c r="AG81" s="114" t="s">
        <v>53</v>
      </c>
      <c r="AL81" s="114" t="s">
        <v>179</v>
      </c>
      <c r="AR81" s="121">
        <f t="shared" si="49"/>
        <v>1</v>
      </c>
      <c r="AS81" s="121" t="str">
        <f t="shared" si="50"/>
        <v>2021_11_09_a</v>
      </c>
      <c r="AT81" s="122"/>
      <c r="AU81" s="121" t="str">
        <f t="shared" si="51"/>
        <v>2021</v>
      </c>
      <c r="AV81" s="121" t="str">
        <f t="shared" si="52"/>
        <v>11</v>
      </c>
      <c r="AW81" s="121" t="str">
        <f t="shared" si="53"/>
        <v>09</v>
      </c>
      <c r="AX81" s="121">
        <f t="shared" si="54"/>
        <v>44509</v>
      </c>
      <c r="AY81" s="123"/>
      <c r="AZ81" s="124">
        <f t="shared" si="55"/>
        <v>44509</v>
      </c>
      <c r="BA81" s="121" t="b">
        <f t="shared" si="56"/>
        <v>1</v>
      </c>
      <c r="BB81" s="121">
        <f t="shared" si="57"/>
        <v>44509</v>
      </c>
      <c r="BC81" s="121" t="str">
        <f t="shared" si="58"/>
        <v>no</v>
      </c>
      <c r="BD81" s="121" t="b">
        <f t="shared" si="59"/>
        <v>0</v>
      </c>
      <c r="BE81" s="125" t="s">
        <v>56</v>
      </c>
      <c r="BF81" s="122"/>
    </row>
    <row r="82" spans="2:58" s="114" customFormat="1" ht="154">
      <c r="B82" s="114" t="s">
        <v>222</v>
      </c>
      <c r="D82" s="114" t="s">
        <v>223</v>
      </c>
      <c r="F82" s="132" t="s">
        <v>209</v>
      </c>
      <c r="G82" s="133" t="s">
        <v>224</v>
      </c>
      <c r="H82" s="84">
        <v>44515</v>
      </c>
      <c r="I82" s="133"/>
      <c r="J82" s="84">
        <v>44673</v>
      </c>
      <c r="K82" s="133"/>
      <c r="L82" s="133"/>
      <c r="M82" s="133"/>
      <c r="N82" s="133"/>
      <c r="O82" s="133"/>
      <c r="P82" s="133"/>
      <c r="Q82" s="134"/>
      <c r="R82" s="134"/>
      <c r="S82" s="135">
        <f t="shared" si="60"/>
        <v>1</v>
      </c>
      <c r="U82" s="114">
        <v>1</v>
      </c>
      <c r="V82" s="114">
        <v>0</v>
      </c>
      <c r="W82" s="134"/>
      <c r="Z82" s="114" t="s">
        <v>50</v>
      </c>
      <c r="AA82" s="136"/>
      <c r="AB82" s="136"/>
      <c r="AC82" s="136"/>
      <c r="AD82" s="136"/>
      <c r="AE82" s="136"/>
      <c r="AF82" s="136"/>
      <c r="AG82" s="114" t="s">
        <v>53</v>
      </c>
      <c r="AL82" s="114" t="s">
        <v>55</v>
      </c>
      <c r="AN82" s="114" t="s">
        <v>225</v>
      </c>
      <c r="AR82" s="121">
        <f t="shared" si="49"/>
        <v>1</v>
      </c>
      <c r="AS82" s="121" t="str">
        <f t="shared" si="50"/>
        <v>2021_11_15_a</v>
      </c>
      <c r="AT82" s="122"/>
      <c r="AU82" s="121" t="str">
        <f t="shared" si="51"/>
        <v>2021</v>
      </c>
      <c r="AV82" s="121" t="str">
        <f t="shared" si="52"/>
        <v>11</v>
      </c>
      <c r="AW82" s="121" t="str">
        <f t="shared" si="53"/>
        <v>15</v>
      </c>
      <c r="AX82" s="121">
        <f t="shared" si="54"/>
        <v>44515</v>
      </c>
      <c r="AY82" s="123"/>
      <c r="AZ82" s="124">
        <f t="shared" si="55"/>
        <v>44515</v>
      </c>
      <c r="BA82" s="121" t="b">
        <f t="shared" si="56"/>
        <v>1</v>
      </c>
      <c r="BB82" s="121">
        <f t="shared" si="57"/>
        <v>44515</v>
      </c>
      <c r="BC82" s="121" t="str">
        <f t="shared" si="58"/>
        <v>no</v>
      </c>
      <c r="BD82" s="121" t="b">
        <f t="shared" si="59"/>
        <v>0</v>
      </c>
      <c r="BE82" s="125" t="s">
        <v>56</v>
      </c>
      <c r="BF82" s="122"/>
    </row>
    <row r="83" spans="2:58" s="114" customFormat="1" ht="154">
      <c r="B83" s="114" t="s">
        <v>226</v>
      </c>
      <c r="D83" s="114" t="s">
        <v>227</v>
      </c>
      <c r="F83" s="132" t="s">
        <v>213</v>
      </c>
      <c r="G83" s="133">
        <v>44627</v>
      </c>
      <c r="H83" s="84">
        <v>44628</v>
      </c>
      <c r="I83" s="133"/>
      <c r="J83" s="84">
        <v>44639</v>
      </c>
      <c r="K83" s="133"/>
      <c r="L83" s="133"/>
      <c r="M83" s="133"/>
      <c r="N83" s="133"/>
      <c r="O83" s="133"/>
      <c r="P83" s="133"/>
      <c r="Q83" s="134"/>
      <c r="R83" s="134"/>
      <c r="S83" s="135">
        <f t="shared" si="60"/>
        <v>60</v>
      </c>
      <c r="U83" s="114">
        <v>60</v>
      </c>
      <c r="V83" s="114">
        <v>0</v>
      </c>
      <c r="W83" s="134"/>
      <c r="Z83" s="114" t="s">
        <v>50</v>
      </c>
      <c r="AA83" s="136"/>
      <c r="AB83" s="136"/>
      <c r="AC83" s="136"/>
      <c r="AD83" s="136"/>
      <c r="AE83" s="136"/>
      <c r="AF83" s="136"/>
      <c r="AG83" s="114" t="s">
        <v>53</v>
      </c>
      <c r="AL83" s="114" t="s">
        <v>179</v>
      </c>
      <c r="AR83" s="121">
        <f t="shared" si="49"/>
        <v>1</v>
      </c>
      <c r="AS83" s="121" t="str">
        <f t="shared" si="50"/>
        <v>2022_03_08_a</v>
      </c>
      <c r="AT83" s="122"/>
      <c r="AU83" s="121" t="str">
        <f t="shared" si="51"/>
        <v>2022</v>
      </c>
      <c r="AV83" s="121" t="str">
        <f t="shared" si="52"/>
        <v>03</v>
      </c>
      <c r="AW83" s="121" t="str">
        <f t="shared" si="53"/>
        <v>08</v>
      </c>
      <c r="AX83" s="121">
        <f t="shared" si="54"/>
        <v>44628</v>
      </c>
      <c r="AY83" s="123"/>
      <c r="AZ83" s="124">
        <f t="shared" si="55"/>
        <v>44628</v>
      </c>
      <c r="BA83" s="121" t="b">
        <f t="shared" si="56"/>
        <v>1</v>
      </c>
      <c r="BB83" s="121">
        <f t="shared" si="57"/>
        <v>44628</v>
      </c>
      <c r="BC83" s="121" t="str">
        <f t="shared" si="58"/>
        <v>no</v>
      </c>
      <c r="BD83" s="121" t="b">
        <f t="shared" si="59"/>
        <v>0</v>
      </c>
      <c r="BE83" s="125" t="s">
        <v>56</v>
      </c>
      <c r="BF83" s="122"/>
    </row>
    <row r="84" spans="2:58" s="114" customFormat="1" ht="154">
      <c r="B84" s="114" t="s">
        <v>228</v>
      </c>
      <c r="D84" s="114" t="s">
        <v>229</v>
      </c>
      <c r="F84" s="132" t="s">
        <v>209</v>
      </c>
      <c r="G84" s="133">
        <v>44501</v>
      </c>
      <c r="H84" s="84">
        <v>44650</v>
      </c>
      <c r="I84" s="133"/>
      <c r="J84" s="84">
        <v>44666</v>
      </c>
      <c r="K84" s="133"/>
      <c r="L84" s="133"/>
      <c r="M84" s="133"/>
      <c r="N84" s="133"/>
      <c r="O84" s="133"/>
      <c r="P84" s="133"/>
      <c r="Q84" s="134"/>
      <c r="R84" s="134"/>
      <c r="S84" s="135">
        <f t="shared" si="60"/>
        <v>5</v>
      </c>
      <c r="U84" s="114">
        <v>5</v>
      </c>
      <c r="V84" s="114">
        <v>0</v>
      </c>
      <c r="W84" s="134"/>
      <c r="Z84" s="114" t="s">
        <v>50</v>
      </c>
      <c r="AA84" s="136"/>
      <c r="AB84" s="136"/>
      <c r="AC84" s="136"/>
      <c r="AD84" s="136"/>
      <c r="AE84" s="136"/>
      <c r="AF84" s="136"/>
      <c r="AG84" s="114" t="s">
        <v>53</v>
      </c>
      <c r="AL84" s="114" t="s">
        <v>179</v>
      </c>
      <c r="AN84" s="114" t="s">
        <v>225</v>
      </c>
      <c r="AR84" s="121">
        <f t="shared" si="49"/>
        <v>1</v>
      </c>
      <c r="AS84" s="121" t="str">
        <f t="shared" si="50"/>
        <v>2022_03_30_a</v>
      </c>
      <c r="AT84" s="122"/>
      <c r="AU84" s="121" t="str">
        <f t="shared" si="51"/>
        <v>2022</v>
      </c>
      <c r="AV84" s="121" t="str">
        <f t="shared" si="52"/>
        <v>03</v>
      </c>
      <c r="AW84" s="121" t="str">
        <f t="shared" si="53"/>
        <v>30</v>
      </c>
      <c r="AX84" s="121">
        <f t="shared" si="54"/>
        <v>44650</v>
      </c>
      <c r="AY84" s="123"/>
      <c r="AZ84" s="124">
        <f t="shared" si="55"/>
        <v>44650</v>
      </c>
      <c r="BA84" s="121" t="b">
        <f t="shared" si="56"/>
        <v>1</v>
      </c>
      <c r="BB84" s="121">
        <f t="shared" si="57"/>
        <v>44650</v>
      </c>
      <c r="BC84" s="121" t="str">
        <f t="shared" si="58"/>
        <v>no</v>
      </c>
      <c r="BD84" s="121" t="b">
        <f t="shared" si="59"/>
        <v>0</v>
      </c>
      <c r="BE84" s="125" t="s">
        <v>56</v>
      </c>
      <c r="BF84" s="122"/>
    </row>
    <row r="85" spans="2:58" s="114" customFormat="1" ht="154">
      <c r="B85" s="114" t="s">
        <v>230</v>
      </c>
      <c r="D85" s="114" t="s">
        <v>231</v>
      </c>
      <c r="F85" s="132" t="s">
        <v>209</v>
      </c>
      <c r="G85" s="133" t="s">
        <v>232</v>
      </c>
      <c r="H85" s="84">
        <v>44678</v>
      </c>
      <c r="I85" s="133"/>
      <c r="J85" s="84">
        <v>44690</v>
      </c>
      <c r="K85" s="133"/>
      <c r="L85" s="133"/>
      <c r="M85" s="133"/>
      <c r="N85" s="133"/>
      <c r="O85" s="133"/>
      <c r="P85" s="133"/>
      <c r="Q85" s="134"/>
      <c r="R85" s="134"/>
      <c r="S85" s="135">
        <f t="shared" si="60"/>
        <v>1</v>
      </c>
      <c r="U85" s="114">
        <v>1</v>
      </c>
      <c r="V85" s="114">
        <v>0</v>
      </c>
      <c r="W85" s="134"/>
      <c r="Z85" s="114" t="s">
        <v>50</v>
      </c>
      <c r="AA85" s="136"/>
      <c r="AB85" s="136"/>
      <c r="AC85" s="136"/>
      <c r="AD85" s="136"/>
      <c r="AE85" s="136"/>
      <c r="AF85" s="136"/>
      <c r="AG85" s="114" t="s">
        <v>53</v>
      </c>
      <c r="AL85" s="114" t="s">
        <v>55</v>
      </c>
      <c r="AN85" s="114" t="s">
        <v>225</v>
      </c>
      <c r="AR85" s="121">
        <f t="shared" si="49"/>
        <v>1</v>
      </c>
      <c r="AS85" s="121" t="str">
        <f t="shared" si="50"/>
        <v>2022_04_27_a</v>
      </c>
      <c r="AT85" s="122"/>
      <c r="AU85" s="121" t="str">
        <f t="shared" si="51"/>
        <v>2022</v>
      </c>
      <c r="AV85" s="121" t="str">
        <f t="shared" si="52"/>
        <v>04</v>
      </c>
      <c r="AW85" s="121" t="str">
        <f t="shared" si="53"/>
        <v>27</v>
      </c>
      <c r="AX85" s="121">
        <f t="shared" si="54"/>
        <v>44678</v>
      </c>
      <c r="AY85" s="123"/>
      <c r="AZ85" s="124">
        <f t="shared" si="55"/>
        <v>44678</v>
      </c>
      <c r="BA85" s="121" t="b">
        <f t="shared" si="56"/>
        <v>1</v>
      </c>
      <c r="BB85" s="121">
        <f t="shared" si="57"/>
        <v>44678</v>
      </c>
      <c r="BC85" s="121" t="str">
        <f t="shared" si="58"/>
        <v>no</v>
      </c>
      <c r="BD85" s="121" t="b">
        <f t="shared" si="59"/>
        <v>0</v>
      </c>
      <c r="BE85" s="125" t="s">
        <v>56</v>
      </c>
      <c r="BF85" s="122"/>
    </row>
    <row r="86" spans="2:58" s="114" customFormat="1" ht="154">
      <c r="B86" s="114" t="s">
        <v>233</v>
      </c>
      <c r="D86" s="114" t="s">
        <v>234</v>
      </c>
      <c r="F86" s="132" t="s">
        <v>213</v>
      </c>
      <c r="G86" s="133">
        <v>44697</v>
      </c>
      <c r="H86" s="84">
        <v>44698</v>
      </c>
      <c r="I86" s="133"/>
      <c r="J86" s="84">
        <v>44709</v>
      </c>
      <c r="K86" s="133"/>
      <c r="L86" s="133"/>
      <c r="M86" s="133"/>
      <c r="N86" s="133"/>
      <c r="O86" s="133"/>
      <c r="P86" s="133"/>
      <c r="Q86" s="134"/>
      <c r="R86" s="134"/>
      <c r="S86" s="135">
        <f t="shared" si="60"/>
        <v>28</v>
      </c>
      <c r="U86" s="114">
        <v>28</v>
      </c>
      <c r="V86" s="114">
        <v>0</v>
      </c>
      <c r="W86" s="134"/>
      <c r="Z86" s="114" t="s">
        <v>50</v>
      </c>
      <c r="AA86" s="136"/>
      <c r="AB86" s="136"/>
      <c r="AC86" s="136"/>
      <c r="AD86" s="136"/>
      <c r="AE86" s="136"/>
      <c r="AF86" s="136"/>
      <c r="AG86" s="114" t="s">
        <v>53</v>
      </c>
      <c r="AL86" s="114" t="s">
        <v>55</v>
      </c>
      <c r="AR86" s="121">
        <f t="shared" si="49"/>
        <v>1</v>
      </c>
      <c r="AS86" s="121" t="str">
        <f t="shared" si="50"/>
        <v>2022_05_17_a</v>
      </c>
      <c r="AT86" s="122"/>
      <c r="AU86" s="121" t="str">
        <f t="shared" si="51"/>
        <v>2022</v>
      </c>
      <c r="AV86" s="121" t="str">
        <f t="shared" si="52"/>
        <v>05</v>
      </c>
      <c r="AW86" s="121" t="str">
        <f t="shared" si="53"/>
        <v>17</v>
      </c>
      <c r="AX86" s="121">
        <f t="shared" si="54"/>
        <v>44698</v>
      </c>
      <c r="AY86" s="123"/>
      <c r="AZ86" s="124">
        <f t="shared" si="55"/>
        <v>44698</v>
      </c>
      <c r="BA86" s="121" t="b">
        <f t="shared" si="56"/>
        <v>1</v>
      </c>
      <c r="BB86" s="121">
        <f t="shared" si="57"/>
        <v>44698</v>
      </c>
      <c r="BC86" s="121" t="str">
        <f t="shared" si="58"/>
        <v>no</v>
      </c>
      <c r="BD86" s="121" t="b">
        <f t="shared" si="59"/>
        <v>0</v>
      </c>
      <c r="BE86" s="125" t="s">
        <v>56</v>
      </c>
      <c r="BF86" s="122"/>
    </row>
    <row r="87" spans="2:58" s="114" customFormat="1" ht="154">
      <c r="B87" s="114" t="s">
        <v>235</v>
      </c>
      <c r="D87" s="114" t="s">
        <v>236</v>
      </c>
      <c r="F87" s="132" t="s">
        <v>213</v>
      </c>
      <c r="G87" s="133" t="s">
        <v>237</v>
      </c>
      <c r="H87" s="84">
        <v>44761</v>
      </c>
      <c r="I87" s="133"/>
      <c r="J87" s="84">
        <v>44772</v>
      </c>
      <c r="K87" s="133"/>
      <c r="L87" s="133"/>
      <c r="M87" s="133"/>
      <c r="N87" s="133"/>
      <c r="O87" s="133"/>
      <c r="P87" s="133"/>
      <c r="Q87" s="134"/>
      <c r="R87" s="134"/>
      <c r="S87" s="135">
        <f t="shared" si="60"/>
        <v>47</v>
      </c>
      <c r="U87" s="114">
        <v>47</v>
      </c>
      <c r="V87" s="114">
        <v>0</v>
      </c>
      <c r="W87" s="134"/>
      <c r="Z87" s="114" t="s">
        <v>50</v>
      </c>
      <c r="AA87" s="136"/>
      <c r="AB87" s="136"/>
      <c r="AC87" s="136"/>
      <c r="AD87" s="136"/>
      <c r="AE87" s="136"/>
      <c r="AF87" s="136"/>
      <c r="AG87" s="114" t="s">
        <v>53</v>
      </c>
      <c r="AH87" s="114" t="s">
        <v>202</v>
      </c>
      <c r="AL87" s="114" t="s">
        <v>55</v>
      </c>
      <c r="AR87" s="121">
        <f t="shared" si="49"/>
        <v>1</v>
      </c>
      <c r="AS87" s="121" t="str">
        <f t="shared" si="50"/>
        <v>2022_07_19_a</v>
      </c>
      <c r="AT87" s="122"/>
      <c r="AU87" s="121" t="str">
        <f t="shared" si="51"/>
        <v>2022</v>
      </c>
      <c r="AV87" s="121" t="str">
        <f t="shared" si="52"/>
        <v>07</v>
      </c>
      <c r="AW87" s="121" t="str">
        <f t="shared" si="53"/>
        <v>19</v>
      </c>
      <c r="AX87" s="121">
        <f t="shared" si="54"/>
        <v>44761</v>
      </c>
      <c r="AY87" s="123"/>
      <c r="AZ87" s="124">
        <f t="shared" si="55"/>
        <v>44761</v>
      </c>
      <c r="BA87" s="121" t="b">
        <f t="shared" si="56"/>
        <v>1</v>
      </c>
      <c r="BB87" s="121">
        <f t="shared" si="57"/>
        <v>44761</v>
      </c>
      <c r="BC87" s="121" t="str">
        <f t="shared" si="58"/>
        <v>no</v>
      </c>
      <c r="BD87" s="121" t="b">
        <f t="shared" si="59"/>
        <v>0</v>
      </c>
      <c r="BE87" s="125" t="s">
        <v>56</v>
      </c>
      <c r="BF87" s="122"/>
    </row>
    <row r="88" spans="2:58" s="114" customFormat="1" ht="154">
      <c r="B88" s="114" t="s">
        <v>238</v>
      </c>
      <c r="D88" s="114" t="s">
        <v>239</v>
      </c>
      <c r="F88" s="132" t="s">
        <v>213</v>
      </c>
      <c r="G88" s="133">
        <v>44790</v>
      </c>
      <c r="H88" s="84">
        <v>44791</v>
      </c>
      <c r="I88" s="133"/>
      <c r="J88" s="84">
        <v>44803</v>
      </c>
      <c r="K88" s="133"/>
      <c r="L88" s="133"/>
      <c r="M88" s="133"/>
      <c r="N88" s="133"/>
      <c r="O88" s="133"/>
      <c r="P88" s="133"/>
      <c r="Q88" s="134"/>
      <c r="R88" s="134"/>
      <c r="S88" s="135">
        <f t="shared" si="60"/>
        <v>64</v>
      </c>
      <c r="U88" s="114">
        <v>64</v>
      </c>
      <c r="V88" s="114">
        <v>0</v>
      </c>
      <c r="W88" s="134"/>
      <c r="Z88" s="114" t="s">
        <v>50</v>
      </c>
      <c r="AA88" s="136"/>
      <c r="AB88" s="136"/>
      <c r="AC88" s="136"/>
      <c r="AD88" s="136"/>
      <c r="AE88" s="136"/>
      <c r="AF88" s="136"/>
      <c r="AG88" s="114" t="s">
        <v>53</v>
      </c>
      <c r="AH88" s="114" t="s">
        <v>202</v>
      </c>
      <c r="AL88" s="114" t="s">
        <v>55</v>
      </c>
      <c r="AR88" s="121">
        <f t="shared" si="49"/>
        <v>1</v>
      </c>
      <c r="AS88" s="121" t="str">
        <f t="shared" si="50"/>
        <v>2022_08_18_a</v>
      </c>
      <c r="AT88" s="122"/>
      <c r="AU88" s="121" t="str">
        <f t="shared" si="51"/>
        <v>2022</v>
      </c>
      <c r="AV88" s="121" t="str">
        <f t="shared" si="52"/>
        <v>08</v>
      </c>
      <c r="AW88" s="121" t="str">
        <f t="shared" si="53"/>
        <v>18</v>
      </c>
      <c r="AX88" s="121">
        <f t="shared" si="54"/>
        <v>44791</v>
      </c>
      <c r="AY88" s="123"/>
      <c r="AZ88" s="124">
        <f t="shared" si="55"/>
        <v>44791</v>
      </c>
      <c r="BA88" s="121" t="b">
        <f t="shared" si="56"/>
        <v>1</v>
      </c>
      <c r="BB88" s="121">
        <f t="shared" si="57"/>
        <v>44791</v>
      </c>
      <c r="BC88" s="121" t="str">
        <f t="shared" si="58"/>
        <v>no</v>
      </c>
      <c r="BD88" s="121" t="b">
        <f t="shared" si="59"/>
        <v>0</v>
      </c>
      <c r="BE88" s="125" t="s">
        <v>56</v>
      </c>
      <c r="BF88" s="122"/>
    </row>
    <row r="89" spans="2:58" s="114" customFormat="1" ht="93.75" customHeight="1">
      <c r="B89" s="114" t="s">
        <v>240</v>
      </c>
      <c r="D89" s="114" t="s">
        <v>241</v>
      </c>
      <c r="F89" s="132" t="s">
        <v>209</v>
      </c>
      <c r="G89" s="133">
        <v>44837</v>
      </c>
      <c r="H89" s="84">
        <v>44838</v>
      </c>
      <c r="I89" s="133"/>
      <c r="J89" s="84">
        <v>44849</v>
      </c>
      <c r="K89" s="133"/>
      <c r="L89" s="133"/>
      <c r="M89" s="133"/>
      <c r="N89" s="133"/>
      <c r="O89" s="133"/>
      <c r="P89" s="133"/>
      <c r="Q89" s="134"/>
      <c r="R89" s="134" t="s">
        <v>242</v>
      </c>
      <c r="S89" s="135">
        <f t="shared" si="60"/>
        <v>5</v>
      </c>
      <c r="U89" s="114">
        <v>5</v>
      </c>
      <c r="V89" s="114">
        <v>0</v>
      </c>
      <c r="W89" s="134"/>
      <c r="Z89" s="114" t="s">
        <v>50</v>
      </c>
      <c r="AA89" s="136"/>
      <c r="AB89" s="136"/>
      <c r="AC89" s="136"/>
      <c r="AD89" s="136"/>
      <c r="AE89" s="136"/>
      <c r="AF89" s="136"/>
      <c r="AG89" s="114" t="s">
        <v>53</v>
      </c>
      <c r="AH89" s="114" t="s">
        <v>54</v>
      </c>
      <c r="AL89" s="114" t="s">
        <v>55</v>
      </c>
      <c r="AN89" s="114" t="s">
        <v>243</v>
      </c>
      <c r="AR89" s="121">
        <f t="shared" si="49"/>
        <v>1</v>
      </c>
      <c r="AS89" s="121" t="str">
        <f t="shared" si="50"/>
        <v>2022_10_04_a</v>
      </c>
      <c r="AT89" s="122"/>
      <c r="AU89" s="121" t="str">
        <f t="shared" si="51"/>
        <v>2022</v>
      </c>
      <c r="AV89" s="121" t="str">
        <f t="shared" si="52"/>
        <v>10</v>
      </c>
      <c r="AW89" s="121" t="str">
        <f t="shared" si="53"/>
        <v>04</v>
      </c>
      <c r="AX89" s="121">
        <f t="shared" si="54"/>
        <v>44838</v>
      </c>
      <c r="AY89" s="123"/>
      <c r="AZ89" s="124">
        <f t="shared" si="55"/>
        <v>44838</v>
      </c>
      <c r="BA89" s="121" t="b">
        <f t="shared" si="56"/>
        <v>1</v>
      </c>
      <c r="BB89" s="121">
        <f t="shared" si="57"/>
        <v>44838</v>
      </c>
      <c r="BC89" s="121" t="str">
        <f t="shared" si="58"/>
        <v>no</v>
      </c>
      <c r="BD89" s="121" t="b">
        <f t="shared" si="59"/>
        <v>0</v>
      </c>
      <c r="BE89" s="125" t="s">
        <v>56</v>
      </c>
      <c r="BF89" s="122"/>
    </row>
    <row r="90" spans="2:58" s="114" customFormat="1" ht="154">
      <c r="B90" s="114" t="s">
        <v>244</v>
      </c>
      <c r="D90" s="114" t="s">
        <v>245</v>
      </c>
      <c r="F90" s="132" t="s">
        <v>209</v>
      </c>
      <c r="G90" s="133">
        <v>44865</v>
      </c>
      <c r="H90" s="84">
        <v>44866</v>
      </c>
      <c r="I90" s="133"/>
      <c r="J90" s="84">
        <v>44877</v>
      </c>
      <c r="K90" s="133"/>
      <c r="L90" s="133"/>
      <c r="M90" s="133"/>
      <c r="N90" s="133"/>
      <c r="O90" s="133"/>
      <c r="P90" s="133"/>
      <c r="Q90" s="134"/>
      <c r="R90" s="134" t="s">
        <v>246</v>
      </c>
      <c r="S90" s="135">
        <f t="shared" si="60"/>
        <v>53</v>
      </c>
      <c r="U90" s="114">
        <v>53</v>
      </c>
      <c r="V90" s="114">
        <v>0</v>
      </c>
      <c r="W90" s="134"/>
      <c r="Z90" s="114" t="s">
        <v>50</v>
      </c>
      <c r="AA90" s="136"/>
      <c r="AB90" s="136"/>
      <c r="AC90" s="136"/>
      <c r="AD90" s="136"/>
      <c r="AE90" s="136"/>
      <c r="AF90" s="136"/>
      <c r="AG90" s="114" t="s">
        <v>53</v>
      </c>
      <c r="AH90" s="114" t="s">
        <v>202</v>
      </c>
      <c r="AL90" s="114" t="s">
        <v>55</v>
      </c>
      <c r="AR90" s="121">
        <f t="shared" si="49"/>
        <v>1</v>
      </c>
      <c r="AS90" s="121" t="str">
        <f t="shared" si="50"/>
        <v>2022_11_01_a</v>
      </c>
      <c r="AT90" s="122"/>
      <c r="AU90" s="121" t="str">
        <f t="shared" si="51"/>
        <v>2022</v>
      </c>
      <c r="AV90" s="121" t="str">
        <f t="shared" si="52"/>
        <v>11</v>
      </c>
      <c r="AW90" s="121" t="str">
        <f t="shared" si="53"/>
        <v>01</v>
      </c>
      <c r="AX90" s="121">
        <f t="shared" si="54"/>
        <v>44866</v>
      </c>
      <c r="AY90" s="123"/>
      <c r="AZ90" s="124">
        <f t="shared" si="55"/>
        <v>44866</v>
      </c>
      <c r="BA90" s="121" t="b">
        <f t="shared" si="56"/>
        <v>1</v>
      </c>
      <c r="BB90" s="121">
        <f t="shared" si="57"/>
        <v>44866</v>
      </c>
      <c r="BC90" s="121" t="str">
        <f t="shared" si="58"/>
        <v>no</v>
      </c>
      <c r="BD90" s="121" t="b">
        <f t="shared" si="59"/>
        <v>0</v>
      </c>
      <c r="BE90" s="125" t="s">
        <v>56</v>
      </c>
      <c r="BF90" s="122"/>
    </row>
    <row r="91" spans="2:58" s="114" customFormat="1" ht="154">
      <c r="B91" s="114" t="s">
        <v>247</v>
      </c>
      <c r="D91" s="114" t="s">
        <v>200</v>
      </c>
      <c r="F91" s="132" t="s">
        <v>209</v>
      </c>
      <c r="G91" s="133">
        <v>44872</v>
      </c>
      <c r="H91" s="84">
        <v>44894</v>
      </c>
      <c r="I91" s="133"/>
      <c r="J91" s="84">
        <v>44905</v>
      </c>
      <c r="K91" s="133"/>
      <c r="L91" s="133"/>
      <c r="M91" s="133"/>
      <c r="N91" s="133"/>
      <c r="O91" s="133"/>
      <c r="P91" s="133"/>
      <c r="Q91" s="134"/>
      <c r="R91" s="134" t="s">
        <v>248</v>
      </c>
      <c r="S91" s="135">
        <f t="shared" si="60"/>
        <v>6</v>
      </c>
      <c r="U91" s="114">
        <v>6</v>
      </c>
      <c r="V91" s="114">
        <v>0</v>
      </c>
      <c r="W91" s="134"/>
      <c r="Z91" s="114" t="s">
        <v>50</v>
      </c>
      <c r="AA91" s="136"/>
      <c r="AB91" s="136"/>
      <c r="AC91" s="136"/>
      <c r="AD91" s="136"/>
      <c r="AE91" s="136"/>
      <c r="AF91" s="136"/>
      <c r="AG91" s="114" t="s">
        <v>53</v>
      </c>
      <c r="AH91" s="114" t="s">
        <v>202</v>
      </c>
      <c r="AL91" s="114" t="s">
        <v>55</v>
      </c>
      <c r="AN91" s="114" t="s">
        <v>249</v>
      </c>
      <c r="AR91" s="121">
        <f t="shared" si="49"/>
        <v>1</v>
      </c>
      <c r="AS91" s="121" t="str">
        <f t="shared" si="50"/>
        <v>2022_11_29_a</v>
      </c>
      <c r="AT91" s="122"/>
      <c r="AU91" s="121" t="str">
        <f t="shared" si="51"/>
        <v>2022</v>
      </c>
      <c r="AV91" s="121" t="str">
        <f t="shared" si="52"/>
        <v>11</v>
      </c>
      <c r="AW91" s="121" t="str">
        <f t="shared" si="53"/>
        <v>29</v>
      </c>
      <c r="AX91" s="121">
        <f t="shared" si="54"/>
        <v>44894</v>
      </c>
      <c r="AY91" s="123"/>
      <c r="AZ91" s="124">
        <f t="shared" si="55"/>
        <v>44894</v>
      </c>
      <c r="BA91" s="121" t="b">
        <f t="shared" si="56"/>
        <v>1</v>
      </c>
      <c r="BB91" s="121">
        <f t="shared" si="57"/>
        <v>44894</v>
      </c>
      <c r="BC91" s="121" t="str">
        <f t="shared" si="58"/>
        <v>no</v>
      </c>
      <c r="BD91" s="121" t="b">
        <f t="shared" si="59"/>
        <v>0</v>
      </c>
      <c r="BE91" s="125" t="s">
        <v>56</v>
      </c>
      <c r="BF91" s="122"/>
    </row>
    <row r="92" spans="2:58" s="114" customFormat="1" ht="84.75" customHeight="1">
      <c r="B92" s="114" t="s">
        <v>250</v>
      </c>
      <c r="D92" s="114" t="s">
        <v>251</v>
      </c>
      <c r="F92" s="132" t="s">
        <v>209</v>
      </c>
      <c r="G92" s="133">
        <v>44895</v>
      </c>
      <c r="H92" s="84">
        <v>44963</v>
      </c>
      <c r="I92" s="133"/>
      <c r="J92" s="84">
        <v>44975</v>
      </c>
      <c r="K92" s="133"/>
      <c r="L92" s="133"/>
      <c r="M92" s="133"/>
      <c r="N92" s="133"/>
      <c r="O92" s="133"/>
      <c r="P92" s="133"/>
      <c r="Q92" s="134"/>
      <c r="R92" s="134" t="s">
        <v>252</v>
      </c>
      <c r="S92" s="135">
        <f t="shared" si="60"/>
        <v>1</v>
      </c>
      <c r="U92" s="114">
        <v>1</v>
      </c>
      <c r="V92" s="114">
        <v>0</v>
      </c>
      <c r="W92" s="134"/>
      <c r="Z92" s="114" t="s">
        <v>50</v>
      </c>
      <c r="AA92" s="136"/>
      <c r="AB92" s="136"/>
      <c r="AC92" s="136"/>
      <c r="AD92" s="136"/>
      <c r="AE92" s="136"/>
      <c r="AF92" s="136"/>
      <c r="AG92" s="114" t="s">
        <v>53</v>
      </c>
      <c r="AH92" s="114" t="s">
        <v>54</v>
      </c>
      <c r="AL92" s="114" t="s">
        <v>55</v>
      </c>
      <c r="AN92" s="114" t="s">
        <v>253</v>
      </c>
      <c r="AR92" s="121">
        <f t="shared" si="49"/>
        <v>1</v>
      </c>
      <c r="AS92" s="121" t="str">
        <f t="shared" si="50"/>
        <v>2023_02_06_a</v>
      </c>
      <c r="AT92" s="122"/>
      <c r="AU92" s="121" t="str">
        <f t="shared" si="51"/>
        <v>2023</v>
      </c>
      <c r="AV92" s="121" t="str">
        <f t="shared" si="52"/>
        <v>02</v>
      </c>
      <c r="AW92" s="121" t="str">
        <f t="shared" si="53"/>
        <v>06</v>
      </c>
      <c r="AX92" s="121">
        <f t="shared" si="54"/>
        <v>44963</v>
      </c>
      <c r="AY92" s="123"/>
      <c r="AZ92" s="124">
        <f t="shared" si="55"/>
        <v>44963</v>
      </c>
      <c r="BA92" s="121" t="b">
        <f t="shared" si="56"/>
        <v>1</v>
      </c>
      <c r="BB92" s="121">
        <f t="shared" si="57"/>
        <v>44963</v>
      </c>
      <c r="BC92" s="121" t="str">
        <f t="shared" si="58"/>
        <v>no</v>
      </c>
      <c r="BD92" s="121" t="b">
        <f t="shared" si="59"/>
        <v>0</v>
      </c>
      <c r="BE92" s="125" t="s">
        <v>56</v>
      </c>
      <c r="BF92" s="122"/>
    </row>
    <row r="93" spans="2:58" s="114" customFormat="1" ht="84.75" customHeight="1">
      <c r="B93" s="114" t="s">
        <v>254</v>
      </c>
      <c r="D93" s="114" t="s">
        <v>255</v>
      </c>
      <c r="F93" s="132" t="s">
        <v>209</v>
      </c>
      <c r="G93" s="133">
        <v>44984</v>
      </c>
      <c r="H93" s="84">
        <v>44986</v>
      </c>
      <c r="I93" s="133"/>
      <c r="J93" s="84">
        <v>44997</v>
      </c>
      <c r="K93" s="133"/>
      <c r="L93" s="133"/>
      <c r="M93" s="133"/>
      <c r="N93" s="133"/>
      <c r="O93" s="133"/>
      <c r="P93" s="133"/>
      <c r="Q93" s="134"/>
      <c r="R93" s="134" t="s">
        <v>256</v>
      </c>
      <c r="S93" s="135">
        <f t="shared" si="60"/>
        <v>40</v>
      </c>
      <c r="U93" s="114">
        <v>37</v>
      </c>
      <c r="V93" s="114">
        <v>3</v>
      </c>
      <c r="W93" s="134"/>
      <c r="Z93" s="114" t="s">
        <v>50</v>
      </c>
      <c r="AA93" s="136"/>
      <c r="AB93" s="136"/>
      <c r="AC93" s="136"/>
      <c r="AD93" s="136"/>
      <c r="AE93" s="136"/>
      <c r="AF93" s="136"/>
      <c r="AG93" s="114" t="s">
        <v>53</v>
      </c>
      <c r="AH93" s="114" t="s">
        <v>54</v>
      </c>
      <c r="AL93" s="114" t="s">
        <v>55</v>
      </c>
      <c r="AR93" s="121">
        <f t="shared" si="49"/>
        <v>1</v>
      </c>
      <c r="AS93" s="121" t="str">
        <f t="shared" si="50"/>
        <v>2023_03_01_a</v>
      </c>
      <c r="AT93" s="122"/>
      <c r="AU93" s="121" t="str">
        <f t="shared" si="51"/>
        <v>2023</v>
      </c>
      <c r="AV93" s="121" t="str">
        <f t="shared" si="52"/>
        <v>03</v>
      </c>
      <c r="AW93" s="121" t="str">
        <f t="shared" si="53"/>
        <v>01</v>
      </c>
      <c r="AX93" s="121">
        <f t="shared" si="54"/>
        <v>44986</v>
      </c>
      <c r="AY93" s="123"/>
      <c r="AZ93" s="124">
        <f t="shared" si="55"/>
        <v>44986</v>
      </c>
      <c r="BA93" s="121" t="b">
        <f t="shared" si="56"/>
        <v>1</v>
      </c>
      <c r="BB93" s="121">
        <f t="shared" si="57"/>
        <v>44986</v>
      </c>
      <c r="BC93" s="121" t="str">
        <f t="shared" si="58"/>
        <v>no</v>
      </c>
      <c r="BD93" s="121" t="b">
        <f t="shared" si="59"/>
        <v>0</v>
      </c>
      <c r="BE93" s="125" t="s">
        <v>56</v>
      </c>
      <c r="BF93" s="122"/>
    </row>
    <row r="94" spans="2:58" s="114" customFormat="1" ht="84.75" customHeight="1">
      <c r="B94" s="114" t="s">
        <v>257</v>
      </c>
      <c r="D94" s="114" t="s">
        <v>258</v>
      </c>
      <c r="F94" s="132" t="s">
        <v>209</v>
      </c>
      <c r="G94" s="133">
        <v>45054</v>
      </c>
      <c r="H94" s="84">
        <v>45062</v>
      </c>
      <c r="I94" s="133"/>
      <c r="J94" s="84">
        <v>45073</v>
      </c>
      <c r="K94" s="133"/>
      <c r="L94" s="133"/>
      <c r="M94" s="133"/>
      <c r="N94" s="133"/>
      <c r="O94" s="133"/>
      <c r="P94" s="133"/>
      <c r="Q94" s="134"/>
      <c r="R94" s="134" t="s">
        <v>259</v>
      </c>
      <c r="S94" s="135">
        <f t="shared" si="60"/>
        <v>19</v>
      </c>
      <c r="U94" s="114">
        <v>19</v>
      </c>
      <c r="V94" s="114">
        <v>0</v>
      </c>
      <c r="W94" s="134"/>
      <c r="Z94" s="114" t="s">
        <v>50</v>
      </c>
      <c r="AA94" s="136"/>
      <c r="AB94" s="136"/>
      <c r="AC94" s="136"/>
      <c r="AD94" s="136"/>
      <c r="AE94" s="136"/>
      <c r="AF94" s="136"/>
      <c r="AG94" s="114" t="s">
        <v>53</v>
      </c>
      <c r="AH94" s="114" t="s">
        <v>260</v>
      </c>
      <c r="AL94" s="114" t="s">
        <v>55</v>
      </c>
      <c r="AR94" s="121">
        <f t="shared" si="49"/>
        <v>1</v>
      </c>
      <c r="AS94" s="121" t="str">
        <f t="shared" si="50"/>
        <v>2023_05_16_a</v>
      </c>
      <c r="AT94" s="122"/>
      <c r="AU94" s="121" t="str">
        <f t="shared" si="51"/>
        <v>2023</v>
      </c>
      <c r="AV94" s="121" t="str">
        <f t="shared" si="52"/>
        <v>05</v>
      </c>
      <c r="AW94" s="121" t="str">
        <f t="shared" si="53"/>
        <v>16</v>
      </c>
      <c r="AX94" s="121">
        <f t="shared" si="54"/>
        <v>45062</v>
      </c>
      <c r="AY94" s="123"/>
      <c r="AZ94" s="124">
        <f t="shared" si="55"/>
        <v>45062</v>
      </c>
      <c r="BA94" s="121" t="b">
        <f t="shared" si="56"/>
        <v>1</v>
      </c>
      <c r="BB94" s="121">
        <f t="shared" si="57"/>
        <v>45062</v>
      </c>
      <c r="BC94" s="121" t="str">
        <f t="shared" si="58"/>
        <v>no</v>
      </c>
      <c r="BD94" s="121" t="b">
        <f t="shared" si="59"/>
        <v>0</v>
      </c>
      <c r="BE94" s="125" t="s">
        <v>56</v>
      </c>
      <c r="BF94" s="122"/>
    </row>
    <row r="95" spans="2:58" s="114" customFormat="1" ht="84.75" customHeight="1">
      <c r="B95" s="114" t="s">
        <v>261</v>
      </c>
      <c r="F95" s="132" t="s">
        <v>209</v>
      </c>
      <c r="G95" s="133">
        <v>45131</v>
      </c>
      <c r="H95" s="84">
        <v>45132</v>
      </c>
      <c r="I95" s="133"/>
      <c r="J95" s="84">
        <v>45143</v>
      </c>
      <c r="K95" s="133"/>
      <c r="L95" s="133"/>
      <c r="M95" s="133"/>
      <c r="N95" s="133"/>
      <c r="O95" s="133"/>
      <c r="P95" s="133"/>
      <c r="Q95" s="134"/>
      <c r="R95" s="134"/>
      <c r="S95" s="135"/>
      <c r="W95" s="134"/>
      <c r="AA95" s="136"/>
      <c r="AB95" s="136"/>
      <c r="AC95" s="136"/>
      <c r="AD95" s="136"/>
      <c r="AE95" s="136"/>
      <c r="AF95" s="136"/>
      <c r="AG95" s="114" t="s">
        <v>53</v>
      </c>
      <c r="AR95" s="121">
        <f t="shared" si="49"/>
        <v>1</v>
      </c>
      <c r="AS95" s="121" t="str">
        <f t="shared" si="50"/>
        <v>2023_07_25_a</v>
      </c>
      <c r="AT95" s="122"/>
      <c r="AU95" s="121" t="str">
        <f t="shared" si="51"/>
        <v>2023</v>
      </c>
      <c r="AV95" s="121" t="str">
        <f t="shared" si="52"/>
        <v>07</v>
      </c>
      <c r="AW95" s="121" t="str">
        <f t="shared" si="53"/>
        <v>25</v>
      </c>
      <c r="AX95" s="121">
        <f t="shared" si="54"/>
        <v>45132</v>
      </c>
      <c r="AY95" s="123"/>
      <c r="AZ95" s="124">
        <f t="shared" si="55"/>
        <v>45132</v>
      </c>
      <c r="BA95" s="121" t="b">
        <f t="shared" si="56"/>
        <v>1</v>
      </c>
      <c r="BB95" s="121">
        <f t="shared" si="57"/>
        <v>45132</v>
      </c>
      <c r="BC95" s="121" t="str">
        <f t="shared" si="58"/>
        <v>no</v>
      </c>
      <c r="BD95" s="121" t="b">
        <f t="shared" si="59"/>
        <v>1</v>
      </c>
      <c r="BE95" s="125" t="s">
        <v>56</v>
      </c>
      <c r="BF95" s="122"/>
    </row>
    <row r="96" spans="2:58" s="114" customFormat="1" ht="84.75" customHeight="1">
      <c r="B96" s="114" t="s">
        <v>262</v>
      </c>
      <c r="F96" s="132" t="s">
        <v>209</v>
      </c>
      <c r="G96" s="133">
        <v>45215</v>
      </c>
      <c r="H96" s="84">
        <v>45216</v>
      </c>
      <c r="I96" s="133"/>
      <c r="J96" s="84">
        <v>45227</v>
      </c>
      <c r="K96" s="133"/>
      <c r="L96" s="133"/>
      <c r="M96" s="133"/>
      <c r="N96" s="133"/>
      <c r="O96" s="133"/>
      <c r="P96" s="133"/>
      <c r="Q96" s="134"/>
      <c r="R96" s="134"/>
      <c r="S96" s="135"/>
      <c r="W96" s="134"/>
      <c r="AA96" s="136"/>
      <c r="AB96" s="136"/>
      <c r="AC96" s="136"/>
      <c r="AD96" s="136"/>
      <c r="AE96" s="136"/>
      <c r="AF96" s="136"/>
      <c r="AG96" s="114" t="s">
        <v>53</v>
      </c>
      <c r="AR96" s="121">
        <f t="shared" si="49"/>
        <v>1</v>
      </c>
      <c r="AS96" s="121" t="str">
        <f t="shared" si="50"/>
        <v>2023_10_17_a</v>
      </c>
      <c r="AT96" s="122"/>
      <c r="AU96" s="121" t="str">
        <f t="shared" si="51"/>
        <v>2023</v>
      </c>
      <c r="AV96" s="121" t="str">
        <f t="shared" si="52"/>
        <v>10</v>
      </c>
      <c r="AW96" s="121" t="str">
        <f t="shared" si="53"/>
        <v>17</v>
      </c>
      <c r="AX96" s="121">
        <f t="shared" si="54"/>
        <v>45216</v>
      </c>
      <c r="AY96" s="123"/>
      <c r="AZ96" s="124">
        <f t="shared" si="55"/>
        <v>45216</v>
      </c>
      <c r="BA96" s="121" t="b">
        <f t="shared" si="56"/>
        <v>1</v>
      </c>
      <c r="BB96" s="121">
        <f t="shared" si="57"/>
        <v>45216</v>
      </c>
      <c r="BC96" s="121" t="str">
        <f t="shared" si="58"/>
        <v>no</v>
      </c>
      <c r="BD96" s="121" t="b">
        <f t="shared" si="59"/>
        <v>1</v>
      </c>
      <c r="BE96" s="125" t="s">
        <v>56</v>
      </c>
      <c r="BF96" s="122"/>
    </row>
    <row r="97" spans="1:58" s="139" customFormat="1" ht="154.5" customHeight="1">
      <c r="A97" s="12"/>
      <c r="B97" s="114"/>
      <c r="C97" s="12"/>
      <c r="D97" s="12"/>
      <c r="E97" s="12"/>
      <c r="F97" s="533" t="s">
        <v>263</v>
      </c>
      <c r="G97" s="534"/>
      <c r="H97" s="534"/>
      <c r="I97" s="534"/>
      <c r="J97" s="534"/>
      <c r="K97" s="534"/>
      <c r="L97" s="534"/>
      <c r="M97" s="534"/>
      <c r="N97" s="534"/>
      <c r="O97" s="534"/>
      <c r="P97" s="534"/>
      <c r="Q97" s="534"/>
      <c r="R97" s="534"/>
      <c r="S97" s="114">
        <v>123</v>
      </c>
      <c r="T97" s="114">
        <v>123</v>
      </c>
      <c r="U97" s="114">
        <f>SUMIFS(U65:U75, Z65:Z75, "=Complete")</f>
        <v>0</v>
      </c>
      <c r="V97" s="114">
        <f>SUMIFS(V65:V75, Z65:Z75, "=Complete")</f>
        <v>587</v>
      </c>
      <c r="W97" s="114"/>
      <c r="X97" s="114"/>
      <c r="Y97" s="114"/>
      <c r="Z97" s="114"/>
      <c r="AA97" s="114">
        <f>COUNTIFS(AA65:AA75, "=Complete")</f>
        <v>0</v>
      </c>
      <c r="AB97" s="114"/>
      <c r="AC97" s="114"/>
      <c r="AD97" s="114"/>
      <c r="AE97" s="114"/>
      <c r="AF97" s="114"/>
      <c r="AG97" s="114">
        <f>COUNTIFS(AG65:AG75, "=Legacy")</f>
        <v>0</v>
      </c>
      <c r="AH97" s="114">
        <f>COUNTIFS(AH65:AH75, "=Virtual")</f>
        <v>2</v>
      </c>
      <c r="AI97" s="114"/>
      <c r="AJ97" s="114"/>
      <c r="AK97" s="114"/>
      <c r="AL97" s="114"/>
      <c r="AM97" s="114"/>
      <c r="AN97" s="114"/>
      <c r="AO97" s="82"/>
      <c r="AP97" s="82"/>
      <c r="AQ97" s="82"/>
      <c r="AR97" s="121">
        <f t="shared" si="49"/>
        <v>0</v>
      </c>
      <c r="AS97" s="121">
        <f t="shared" si="50"/>
        <v>0</v>
      </c>
      <c r="AT97" s="122"/>
      <c r="AU97" s="121" t="str">
        <f t="shared" si="51"/>
        <v>0</v>
      </c>
      <c r="AV97" s="121" t="str">
        <f t="shared" si="52"/>
        <v/>
      </c>
      <c r="AW97" s="121" t="str">
        <f t="shared" si="53"/>
        <v/>
      </c>
      <c r="AX97" s="121" t="str">
        <f t="shared" si="54"/>
        <v xml:space="preserve"> </v>
      </c>
      <c r="AY97" s="123"/>
      <c r="AZ97" s="124">
        <f t="shared" si="55"/>
        <v>0</v>
      </c>
      <c r="BA97" s="121" t="str">
        <f t="shared" si="56"/>
        <v xml:space="preserve"> </v>
      </c>
      <c r="BB97" s="121">
        <f t="shared" si="57"/>
        <v>0</v>
      </c>
      <c r="BC97" s="121" t="str">
        <f t="shared" si="58"/>
        <v>no</v>
      </c>
      <c r="BD97" s="121" t="b">
        <f t="shared" si="59"/>
        <v>0</v>
      </c>
      <c r="BE97" s="125" t="s">
        <v>56</v>
      </c>
      <c r="BF97" s="122"/>
    </row>
    <row r="98" spans="1:58" s="114" customFormat="1" ht="154">
      <c r="F98" s="533" t="s">
        <v>264</v>
      </c>
      <c r="G98" s="533"/>
      <c r="H98" s="533"/>
      <c r="I98" s="533"/>
      <c r="J98" s="533"/>
      <c r="K98" s="533"/>
      <c r="L98" s="533"/>
      <c r="M98" s="533"/>
      <c r="N98" s="533"/>
      <c r="O98" s="533"/>
      <c r="P98" s="533"/>
      <c r="Q98" s="533"/>
      <c r="R98" s="533"/>
      <c r="S98" s="114">
        <v>216</v>
      </c>
      <c r="T98" s="114">
        <v>216</v>
      </c>
      <c r="U98" s="114">
        <f>SUMIFS(U65:U75, Z65:Z75, "=In Progress")</f>
        <v>0</v>
      </c>
      <c r="V98" s="114">
        <f>SUMIFS(V65:V75, Z65:Z75, "=In Progress")</f>
        <v>0</v>
      </c>
      <c r="AA98" s="114">
        <f>COUNTIFS(AA65:AA75, "=In Progress")</f>
        <v>0</v>
      </c>
      <c r="AR98" s="121">
        <f t="shared" si="49"/>
        <v>0</v>
      </c>
      <c r="AS98" s="121">
        <f t="shared" si="50"/>
        <v>0</v>
      </c>
      <c r="AT98" s="122"/>
      <c r="AU98" s="121" t="str">
        <f t="shared" si="51"/>
        <v>0</v>
      </c>
      <c r="AV98" s="121" t="str">
        <f t="shared" si="52"/>
        <v/>
      </c>
      <c r="AW98" s="121" t="str">
        <f t="shared" si="53"/>
        <v/>
      </c>
      <c r="AX98" s="121" t="str">
        <f t="shared" si="54"/>
        <v xml:space="preserve"> </v>
      </c>
      <c r="AY98" s="123"/>
      <c r="AZ98" s="124">
        <f t="shared" si="55"/>
        <v>0</v>
      </c>
      <c r="BA98" s="121" t="str">
        <f t="shared" si="56"/>
        <v xml:space="preserve"> </v>
      </c>
      <c r="BB98" s="121">
        <f t="shared" si="57"/>
        <v>0</v>
      </c>
      <c r="BC98" s="121" t="str">
        <f t="shared" si="58"/>
        <v>no</v>
      </c>
      <c r="BD98" s="121" t="b">
        <f t="shared" si="59"/>
        <v>1</v>
      </c>
      <c r="BE98" s="125" t="s">
        <v>56</v>
      </c>
      <c r="BF98" s="122"/>
    </row>
    <row r="99" spans="1:58" s="139" customFormat="1" ht="154">
      <c r="A99" s="12"/>
      <c r="B99" s="12"/>
      <c r="C99" s="12"/>
      <c r="D99" s="12"/>
      <c r="E99" s="12"/>
      <c r="F99" s="533" t="s">
        <v>265</v>
      </c>
      <c r="G99" s="534"/>
      <c r="H99" s="534"/>
      <c r="I99" s="534"/>
      <c r="J99" s="534"/>
      <c r="K99" s="534"/>
      <c r="L99" s="534"/>
      <c r="M99" s="534"/>
      <c r="N99" s="534"/>
      <c r="O99" s="534"/>
      <c r="P99" s="534"/>
      <c r="Q99" s="534"/>
      <c r="R99" s="534"/>
      <c r="S99" s="114">
        <v>339</v>
      </c>
      <c r="T99" s="114">
        <v>339</v>
      </c>
      <c r="U99" s="114">
        <f>SUMIFS(U65:U75, Z65:Z75, "=Planned")</f>
        <v>0</v>
      </c>
      <c r="V99" s="114">
        <f>SUMIFS(V65:V75, Z65:Z75, "=Planned")</f>
        <v>0</v>
      </c>
      <c r="W99" s="114"/>
      <c r="X99" s="114"/>
      <c r="Y99" s="114"/>
      <c r="Z99" s="114"/>
      <c r="AA99" s="114">
        <f>COUNTIFS(AA65:AA75, "=Planned")</f>
        <v>1</v>
      </c>
      <c r="AB99" s="114"/>
      <c r="AC99" s="114"/>
      <c r="AD99" s="114"/>
      <c r="AE99" s="114"/>
      <c r="AF99" s="114"/>
      <c r="AG99" s="114">
        <f>COUNTIFS(AG65:AG75, "=New")</f>
        <v>0</v>
      </c>
      <c r="AH99" s="114">
        <f>COUNTIFS(AH65:AH75, "=F2F")</f>
        <v>0</v>
      </c>
      <c r="AI99" s="114"/>
      <c r="AJ99" s="114"/>
      <c r="AK99" s="114"/>
      <c r="AL99" s="114"/>
      <c r="AM99" s="114"/>
      <c r="AN99" s="114"/>
      <c r="AO99" s="82"/>
      <c r="AP99" s="82"/>
      <c r="AQ99" s="82"/>
      <c r="AR99" s="121">
        <f t="shared" si="49"/>
        <v>0</v>
      </c>
      <c r="AS99" s="121">
        <f t="shared" si="50"/>
        <v>0</v>
      </c>
      <c r="AT99" s="122"/>
      <c r="AU99" s="121" t="str">
        <f t="shared" si="51"/>
        <v>0</v>
      </c>
      <c r="AV99" s="121" t="str">
        <f t="shared" si="52"/>
        <v/>
      </c>
      <c r="AW99" s="121" t="str">
        <f t="shared" si="53"/>
        <v/>
      </c>
      <c r="AX99" s="121" t="str">
        <f t="shared" si="54"/>
        <v xml:space="preserve"> </v>
      </c>
      <c r="AY99" s="123"/>
      <c r="AZ99" s="124">
        <f t="shared" si="55"/>
        <v>0</v>
      </c>
      <c r="BA99" s="121" t="str">
        <f t="shared" si="56"/>
        <v xml:space="preserve"> </v>
      </c>
      <c r="BB99" s="121">
        <f t="shared" si="57"/>
        <v>0</v>
      </c>
      <c r="BC99" s="121" t="str">
        <f t="shared" si="58"/>
        <v>no</v>
      </c>
      <c r="BD99" s="121" t="b">
        <f t="shared" si="59"/>
        <v>1</v>
      </c>
      <c r="BE99" s="125" t="s">
        <v>56</v>
      </c>
      <c r="BF99" s="122"/>
    </row>
    <row r="100" spans="1:58" s="114" customFormat="1" ht="154">
      <c r="F100" s="533" t="s">
        <v>266</v>
      </c>
      <c r="G100" s="533"/>
      <c r="H100" s="533"/>
      <c r="I100" s="533"/>
      <c r="J100" s="533"/>
      <c r="K100" s="533"/>
      <c r="L100" s="533"/>
      <c r="M100" s="533"/>
      <c r="N100" s="533"/>
      <c r="O100" s="533"/>
      <c r="P100" s="533"/>
      <c r="Q100" s="533"/>
      <c r="R100" s="533"/>
      <c r="S100" s="114">
        <f>SUMIFS(S65:S75, AA65:AA75, "=Tentative")</f>
        <v>0</v>
      </c>
      <c r="U100" s="114">
        <f>SUMIFS(U65:U75, Z65:Z75, "=Tentative")</f>
        <v>0</v>
      </c>
      <c r="V100" s="114">
        <f>SUMIFS(V65:V75, Z65:Z75, "=Tentative")</f>
        <v>0</v>
      </c>
      <c r="AA100" s="114">
        <f>COUNTIFS(AA65:AA75, "=Tentative")</f>
        <v>0</v>
      </c>
      <c r="AR100" s="121">
        <f t="shared" si="49"/>
        <v>0</v>
      </c>
      <c r="AS100" s="121">
        <f t="shared" si="50"/>
        <v>0</v>
      </c>
      <c r="AT100" s="122"/>
      <c r="AU100" s="121" t="str">
        <f t="shared" si="51"/>
        <v>0</v>
      </c>
      <c r="AV100" s="121" t="str">
        <f t="shared" si="52"/>
        <v/>
      </c>
      <c r="AW100" s="121" t="str">
        <f t="shared" si="53"/>
        <v/>
      </c>
      <c r="AX100" s="121" t="str">
        <f t="shared" si="54"/>
        <v xml:space="preserve"> </v>
      </c>
      <c r="AY100" s="123"/>
      <c r="AZ100" s="124">
        <f t="shared" si="55"/>
        <v>0</v>
      </c>
      <c r="BA100" s="121" t="str">
        <f t="shared" si="56"/>
        <v xml:space="preserve"> </v>
      </c>
      <c r="BB100" s="121">
        <f t="shared" si="57"/>
        <v>0</v>
      </c>
      <c r="BC100" s="121" t="str">
        <f t="shared" si="58"/>
        <v>no</v>
      </c>
      <c r="BD100" s="121" t="b">
        <f t="shared" si="59"/>
        <v>1</v>
      </c>
      <c r="BE100" s="125" t="s">
        <v>56</v>
      </c>
      <c r="BF100" s="122"/>
    </row>
    <row r="101" spans="1:58" s="139" customFormat="1" ht="154">
      <c r="A101" s="12"/>
      <c r="B101" s="12"/>
      <c r="C101" s="12"/>
      <c r="D101" s="12"/>
      <c r="E101" s="12"/>
      <c r="F101" s="538" t="s">
        <v>267</v>
      </c>
      <c r="G101" s="534"/>
      <c r="H101" s="534"/>
      <c r="I101" s="534"/>
      <c r="J101" s="534"/>
      <c r="K101" s="534"/>
      <c r="L101" s="534"/>
      <c r="M101" s="534"/>
      <c r="N101" s="534"/>
      <c r="O101" s="534"/>
      <c r="P101" s="534"/>
      <c r="Q101" s="534"/>
      <c r="R101" s="534"/>
      <c r="S101" s="523">
        <v>340</v>
      </c>
      <c r="T101" s="114"/>
      <c r="U101" s="523">
        <f>SUM(U65:U75)</f>
        <v>0</v>
      </c>
      <c r="V101" s="523">
        <f>SUM(V65:V75)</f>
        <v>590</v>
      </c>
      <c r="W101" s="523"/>
      <c r="X101" s="114"/>
      <c r="Y101" s="114"/>
      <c r="Z101" s="114"/>
      <c r="AA101" s="114"/>
      <c r="AB101" s="114"/>
      <c r="AC101" s="114"/>
      <c r="AD101" s="114"/>
      <c r="AE101" s="114"/>
      <c r="AF101" s="114"/>
      <c r="AG101" s="114"/>
      <c r="AH101" s="114"/>
      <c r="AI101" s="114"/>
      <c r="AJ101" s="114"/>
      <c r="AK101" s="114"/>
      <c r="AL101" s="114"/>
      <c r="AM101" s="114"/>
      <c r="AN101" s="114"/>
      <c r="AO101" s="82"/>
      <c r="AP101" s="82"/>
      <c r="AQ101" s="82"/>
      <c r="AR101" s="121">
        <f t="shared" si="49"/>
        <v>0</v>
      </c>
      <c r="AS101" s="121">
        <f t="shared" si="50"/>
        <v>0</v>
      </c>
      <c r="AT101" s="122"/>
      <c r="AU101" s="121" t="str">
        <f t="shared" si="51"/>
        <v>0</v>
      </c>
      <c r="AV101" s="121" t="str">
        <f t="shared" si="52"/>
        <v/>
      </c>
      <c r="AW101" s="121" t="str">
        <f t="shared" si="53"/>
        <v/>
      </c>
      <c r="AX101" s="121" t="str">
        <f t="shared" si="54"/>
        <v xml:space="preserve"> </v>
      </c>
      <c r="AY101" s="123"/>
      <c r="AZ101" s="124">
        <f t="shared" si="55"/>
        <v>0</v>
      </c>
      <c r="BA101" s="121" t="str">
        <f t="shared" si="56"/>
        <v xml:space="preserve"> </v>
      </c>
      <c r="BB101" s="121">
        <f t="shared" si="57"/>
        <v>0</v>
      </c>
      <c r="BC101" s="121" t="str">
        <f t="shared" si="58"/>
        <v>no</v>
      </c>
      <c r="BD101" s="121" t="b">
        <f t="shared" si="59"/>
        <v>0</v>
      </c>
      <c r="BE101" s="125" t="s">
        <v>56</v>
      </c>
      <c r="BF101" s="122"/>
    </row>
    <row r="102" spans="1:58" s="128" customFormat="1" ht="154">
      <c r="A102" s="140"/>
      <c r="B102" s="38" t="s">
        <v>268</v>
      </c>
      <c r="C102" s="114"/>
      <c r="D102" s="141">
        <v>10097147</v>
      </c>
      <c r="E102" s="522" t="s">
        <v>269</v>
      </c>
      <c r="F102" s="522" t="s">
        <v>270</v>
      </c>
      <c r="G102" s="142" t="s">
        <v>271</v>
      </c>
      <c r="H102" s="143">
        <v>44228</v>
      </c>
      <c r="I102" s="144" t="s">
        <v>272</v>
      </c>
      <c r="J102" s="143">
        <v>43876</v>
      </c>
      <c r="K102" s="142" t="s">
        <v>273</v>
      </c>
      <c r="L102" s="142" t="s">
        <v>271</v>
      </c>
      <c r="M102" s="144" t="s">
        <v>274</v>
      </c>
      <c r="N102" s="144" t="s">
        <v>275</v>
      </c>
      <c r="O102" s="144" t="s">
        <v>46</v>
      </c>
      <c r="P102" s="144" t="s">
        <v>46</v>
      </c>
      <c r="Q102" s="114" t="s">
        <v>47</v>
      </c>
      <c r="R102" s="114" t="s">
        <v>276</v>
      </c>
      <c r="S102" s="81">
        <f t="shared" ref="S102:S122" si="61">U102+V102</f>
        <v>42</v>
      </c>
      <c r="T102" s="114" t="s">
        <v>277</v>
      </c>
      <c r="U102" s="114">
        <v>0</v>
      </c>
      <c r="V102" s="114">
        <v>42</v>
      </c>
      <c r="W102" s="114" t="s">
        <v>278</v>
      </c>
      <c r="X102" s="114"/>
      <c r="Y102" s="114"/>
      <c r="Z102" s="144" t="s">
        <v>50</v>
      </c>
      <c r="AA102" s="144" t="s">
        <v>50</v>
      </c>
      <c r="AB102" s="144" t="s">
        <v>50</v>
      </c>
      <c r="AC102" s="144" t="s">
        <v>46</v>
      </c>
      <c r="AD102" s="114" t="s">
        <v>50</v>
      </c>
      <c r="AE102" s="114" t="s">
        <v>279</v>
      </c>
      <c r="AF102" s="114" t="s">
        <v>279</v>
      </c>
      <c r="AG102" s="114" t="s">
        <v>53</v>
      </c>
      <c r="AH102" s="114" t="s">
        <v>54</v>
      </c>
      <c r="AI102" s="114" t="s">
        <v>46</v>
      </c>
      <c r="AJ102" s="114" t="s">
        <v>54</v>
      </c>
      <c r="AK102" s="114"/>
      <c r="AL102" s="114" t="s">
        <v>280</v>
      </c>
      <c r="AM102" s="114"/>
      <c r="AN102" s="114" t="s">
        <v>281</v>
      </c>
      <c r="AO102" s="114"/>
      <c r="AP102" s="114"/>
      <c r="AQ102" s="114"/>
      <c r="AR102" s="121">
        <f t="shared" si="49"/>
        <v>1</v>
      </c>
      <c r="AS102" s="121" t="str">
        <f t="shared" si="50"/>
        <v>2021_02_01_a</v>
      </c>
      <c r="AT102" s="122"/>
      <c r="AU102" s="121" t="str">
        <f t="shared" si="51"/>
        <v>2021</v>
      </c>
      <c r="AV102" s="121" t="str">
        <f t="shared" si="52"/>
        <v>02</v>
      </c>
      <c r="AW102" s="121" t="str">
        <f t="shared" si="53"/>
        <v>01</v>
      </c>
      <c r="AX102" s="121">
        <f t="shared" si="54"/>
        <v>44228</v>
      </c>
      <c r="AY102" s="123"/>
      <c r="AZ102" s="124">
        <f t="shared" si="55"/>
        <v>44228</v>
      </c>
      <c r="BA102" s="121" t="b">
        <f t="shared" si="56"/>
        <v>1</v>
      </c>
      <c r="BB102" s="121">
        <f t="shared" si="57"/>
        <v>44228</v>
      </c>
      <c r="BC102" s="121" t="str">
        <f t="shared" si="58"/>
        <v>no</v>
      </c>
      <c r="BD102" s="121" t="b">
        <f t="shared" si="59"/>
        <v>0</v>
      </c>
      <c r="BE102" s="125" t="s">
        <v>56</v>
      </c>
      <c r="BF102" s="122"/>
    </row>
    <row r="103" spans="1:58" s="128" customFormat="1" ht="154">
      <c r="A103" s="140"/>
      <c r="B103" s="38" t="s">
        <v>282</v>
      </c>
      <c r="C103" s="114"/>
      <c r="D103" s="141">
        <v>10097147</v>
      </c>
      <c r="E103" s="522" t="s">
        <v>269</v>
      </c>
      <c r="F103" s="522" t="s">
        <v>270</v>
      </c>
      <c r="G103" s="142" t="s">
        <v>283</v>
      </c>
      <c r="H103" s="143">
        <v>44263</v>
      </c>
      <c r="I103" s="144" t="s">
        <v>284</v>
      </c>
      <c r="J103" s="143">
        <v>44277</v>
      </c>
      <c r="K103" s="142">
        <v>44531</v>
      </c>
      <c r="L103" s="142" t="s">
        <v>283</v>
      </c>
      <c r="M103" s="144" t="s">
        <v>285</v>
      </c>
      <c r="N103" s="144" t="s">
        <v>286</v>
      </c>
      <c r="O103" s="144" t="s">
        <v>46</v>
      </c>
      <c r="P103" s="144" t="s">
        <v>46</v>
      </c>
      <c r="Q103" s="114" t="s">
        <v>47</v>
      </c>
      <c r="R103" s="114" t="s">
        <v>276</v>
      </c>
      <c r="S103" s="81">
        <f t="shared" si="61"/>
        <v>37</v>
      </c>
      <c r="T103" s="114" t="s">
        <v>277</v>
      </c>
      <c r="U103" s="114">
        <v>0</v>
      </c>
      <c r="V103" s="114">
        <v>37</v>
      </c>
      <c r="W103" s="114" t="s">
        <v>278</v>
      </c>
      <c r="X103" s="114"/>
      <c r="Y103" s="114"/>
      <c r="Z103" s="144" t="s">
        <v>50</v>
      </c>
      <c r="AA103" s="144" t="s">
        <v>50</v>
      </c>
      <c r="AB103" s="144" t="s">
        <v>50</v>
      </c>
      <c r="AC103" s="144" t="s">
        <v>50</v>
      </c>
      <c r="AD103" s="114" t="s">
        <v>50</v>
      </c>
      <c r="AE103" s="114" t="s">
        <v>52</v>
      </c>
      <c r="AF103" s="114" t="s">
        <v>52</v>
      </c>
      <c r="AG103" s="114" t="s">
        <v>53</v>
      </c>
      <c r="AH103" s="114" t="s">
        <v>54</v>
      </c>
      <c r="AI103" s="114" t="s">
        <v>46</v>
      </c>
      <c r="AJ103" s="114" t="s">
        <v>54</v>
      </c>
      <c r="AK103" s="114"/>
      <c r="AL103" s="114" t="s">
        <v>280</v>
      </c>
      <c r="AM103" s="114"/>
      <c r="AN103" s="114" t="s">
        <v>287</v>
      </c>
      <c r="AO103" s="114"/>
      <c r="AP103" s="114"/>
      <c r="AQ103" s="114"/>
      <c r="AR103" s="121">
        <f t="shared" si="49"/>
        <v>1</v>
      </c>
      <c r="AS103" s="121" t="str">
        <f t="shared" si="50"/>
        <v>2021_03_08_a</v>
      </c>
      <c r="AT103" s="122"/>
      <c r="AU103" s="121" t="str">
        <f t="shared" si="51"/>
        <v>2021</v>
      </c>
      <c r="AV103" s="121" t="str">
        <f t="shared" si="52"/>
        <v>03</v>
      </c>
      <c r="AW103" s="121" t="str">
        <f t="shared" si="53"/>
        <v>08</v>
      </c>
      <c r="AX103" s="121">
        <f t="shared" si="54"/>
        <v>44263</v>
      </c>
      <c r="AY103" s="123"/>
      <c r="AZ103" s="124">
        <f t="shared" si="55"/>
        <v>44263</v>
      </c>
      <c r="BA103" s="121" t="b">
        <f t="shared" si="56"/>
        <v>1</v>
      </c>
      <c r="BB103" s="121">
        <f t="shared" si="57"/>
        <v>44263</v>
      </c>
      <c r="BC103" s="121" t="str">
        <f t="shared" si="58"/>
        <v>no</v>
      </c>
      <c r="BD103" s="121" t="b">
        <f t="shared" si="59"/>
        <v>0</v>
      </c>
      <c r="BE103" s="125" t="s">
        <v>56</v>
      </c>
      <c r="BF103" s="122"/>
    </row>
    <row r="104" spans="1:58" s="128" customFormat="1" ht="154">
      <c r="A104" s="140"/>
      <c r="B104" s="38" t="s">
        <v>288</v>
      </c>
      <c r="C104" s="114"/>
      <c r="D104" s="141">
        <v>10097147</v>
      </c>
      <c r="E104" s="522" t="s">
        <v>269</v>
      </c>
      <c r="F104" s="522" t="s">
        <v>270</v>
      </c>
      <c r="G104" s="142" t="s">
        <v>289</v>
      </c>
      <c r="H104" s="143">
        <v>44410</v>
      </c>
      <c r="I104" s="144" t="s">
        <v>290</v>
      </c>
      <c r="J104" s="143">
        <v>44466</v>
      </c>
      <c r="K104" s="142">
        <v>44831</v>
      </c>
      <c r="L104" s="142" t="s">
        <v>289</v>
      </c>
      <c r="M104" s="144" t="s">
        <v>291</v>
      </c>
      <c r="N104" s="144" t="s">
        <v>292</v>
      </c>
      <c r="O104" s="144" t="s">
        <v>46</v>
      </c>
      <c r="P104" s="144" t="s">
        <v>46</v>
      </c>
      <c r="Q104" s="114" t="s">
        <v>99</v>
      </c>
      <c r="R104" s="114" t="s">
        <v>276</v>
      </c>
      <c r="S104" s="81">
        <f t="shared" si="61"/>
        <v>31</v>
      </c>
      <c r="T104" s="114" t="s">
        <v>277</v>
      </c>
      <c r="U104" s="114">
        <v>0</v>
      </c>
      <c r="V104" s="114">
        <v>31</v>
      </c>
      <c r="W104" s="114" t="s">
        <v>278</v>
      </c>
      <c r="X104" s="114"/>
      <c r="Y104" s="114"/>
      <c r="Z104" s="144" t="s">
        <v>50</v>
      </c>
      <c r="AA104" s="144" t="s">
        <v>50</v>
      </c>
      <c r="AB104" s="144" t="s">
        <v>50</v>
      </c>
      <c r="AC104" s="144" t="s">
        <v>50</v>
      </c>
      <c r="AD104" s="114" t="s">
        <v>50</v>
      </c>
      <c r="AE104" s="114" t="s">
        <v>52</v>
      </c>
      <c r="AF104" s="114" t="s">
        <v>52</v>
      </c>
      <c r="AG104" s="114" t="s">
        <v>53</v>
      </c>
      <c r="AH104" s="114" t="s">
        <v>54</v>
      </c>
      <c r="AI104" s="114" t="s">
        <v>46</v>
      </c>
      <c r="AJ104" s="114" t="s">
        <v>54</v>
      </c>
      <c r="AK104" s="114"/>
      <c r="AL104" s="114" t="s">
        <v>280</v>
      </c>
      <c r="AM104" s="114"/>
      <c r="AN104" s="114" t="s">
        <v>287</v>
      </c>
      <c r="AO104" s="114"/>
      <c r="AP104" s="114"/>
      <c r="AQ104" s="114"/>
      <c r="AR104" s="121">
        <f t="shared" si="49"/>
        <v>1</v>
      </c>
      <c r="AS104" s="121" t="str">
        <f t="shared" si="50"/>
        <v>2021_08_02_a</v>
      </c>
      <c r="AT104" s="122"/>
      <c r="AU104" s="121" t="str">
        <f t="shared" si="51"/>
        <v>2021</v>
      </c>
      <c r="AV104" s="121" t="str">
        <f t="shared" si="52"/>
        <v>08</v>
      </c>
      <c r="AW104" s="121" t="str">
        <f t="shared" si="53"/>
        <v>02</v>
      </c>
      <c r="AX104" s="121">
        <f t="shared" si="54"/>
        <v>44410</v>
      </c>
      <c r="AY104" s="123"/>
      <c r="AZ104" s="124">
        <f t="shared" si="55"/>
        <v>44410</v>
      </c>
      <c r="BA104" s="121" t="b">
        <f t="shared" si="56"/>
        <v>1</v>
      </c>
      <c r="BB104" s="121">
        <f t="shared" si="57"/>
        <v>44410</v>
      </c>
      <c r="BC104" s="121" t="str">
        <f t="shared" si="58"/>
        <v>no</v>
      </c>
      <c r="BD104" s="121" t="b">
        <f t="shared" si="59"/>
        <v>0</v>
      </c>
      <c r="BE104" s="125" t="s">
        <v>56</v>
      </c>
      <c r="BF104" s="122"/>
    </row>
    <row r="105" spans="1:58" s="128" customFormat="1" ht="154">
      <c r="A105" s="140"/>
      <c r="B105" s="38" t="s">
        <v>293</v>
      </c>
      <c r="C105" s="114"/>
      <c r="D105" s="141">
        <v>10224122</v>
      </c>
      <c r="E105" s="522" t="s">
        <v>269</v>
      </c>
      <c r="F105" s="522" t="s">
        <v>270</v>
      </c>
      <c r="G105" s="142" t="s">
        <v>294</v>
      </c>
      <c r="H105" s="143">
        <v>44480</v>
      </c>
      <c r="I105" s="144" t="s">
        <v>295</v>
      </c>
      <c r="J105" s="143">
        <v>44494</v>
      </c>
      <c r="K105" s="142">
        <v>44859</v>
      </c>
      <c r="L105" s="142" t="s">
        <v>294</v>
      </c>
      <c r="M105" s="144" t="s">
        <v>296</v>
      </c>
      <c r="N105" s="144" t="s">
        <v>297</v>
      </c>
      <c r="O105" s="144" t="s">
        <v>46</v>
      </c>
      <c r="P105" s="144" t="s">
        <v>46</v>
      </c>
      <c r="Q105" s="114" t="s">
        <v>121</v>
      </c>
      <c r="R105" s="114" t="s">
        <v>276</v>
      </c>
      <c r="S105" s="81">
        <f t="shared" si="61"/>
        <v>40</v>
      </c>
      <c r="T105" s="114" t="s">
        <v>277</v>
      </c>
      <c r="U105" s="114">
        <v>0</v>
      </c>
      <c r="V105" s="114">
        <v>40</v>
      </c>
      <c r="W105" s="114" t="s">
        <v>278</v>
      </c>
      <c r="X105" s="114"/>
      <c r="Y105" s="114"/>
      <c r="Z105" s="144" t="s">
        <v>50</v>
      </c>
      <c r="AA105" s="144" t="s">
        <v>50</v>
      </c>
      <c r="AB105" s="144" t="s">
        <v>50</v>
      </c>
      <c r="AC105" s="144" t="s">
        <v>50</v>
      </c>
      <c r="AD105" s="144" t="s">
        <v>50</v>
      </c>
      <c r="AE105" s="144" t="s">
        <v>279</v>
      </c>
      <c r="AF105" s="144" t="s">
        <v>279</v>
      </c>
      <c r="AG105" s="114" t="s">
        <v>53</v>
      </c>
      <c r="AH105" s="114" t="s">
        <v>54</v>
      </c>
      <c r="AI105" s="114" t="s">
        <v>46</v>
      </c>
      <c r="AJ105" s="114" t="s">
        <v>54</v>
      </c>
      <c r="AK105" s="114"/>
      <c r="AL105" s="114" t="s">
        <v>280</v>
      </c>
      <c r="AM105" s="114"/>
      <c r="AN105" s="114" t="s">
        <v>287</v>
      </c>
      <c r="AO105" s="114"/>
      <c r="AP105" s="114"/>
      <c r="AQ105" s="114"/>
      <c r="AR105" s="121">
        <f t="shared" si="49"/>
        <v>1</v>
      </c>
      <c r="AS105" s="121" t="str">
        <f t="shared" si="50"/>
        <v>2021_10_11_a</v>
      </c>
      <c r="AT105" s="122"/>
      <c r="AU105" s="121" t="str">
        <f t="shared" si="51"/>
        <v>2021</v>
      </c>
      <c r="AV105" s="121" t="str">
        <f t="shared" si="52"/>
        <v>10</v>
      </c>
      <c r="AW105" s="121" t="str">
        <f t="shared" si="53"/>
        <v>11</v>
      </c>
      <c r="AX105" s="121">
        <f t="shared" si="54"/>
        <v>44480</v>
      </c>
      <c r="AY105" s="123"/>
      <c r="AZ105" s="124">
        <f t="shared" si="55"/>
        <v>44480</v>
      </c>
      <c r="BA105" s="121" t="b">
        <f t="shared" si="56"/>
        <v>1</v>
      </c>
      <c r="BB105" s="121">
        <f t="shared" si="57"/>
        <v>44480</v>
      </c>
      <c r="BC105" s="121" t="str">
        <f t="shared" si="58"/>
        <v>no</v>
      </c>
      <c r="BD105" s="121" t="b">
        <f t="shared" si="59"/>
        <v>0</v>
      </c>
      <c r="BE105" s="125" t="s">
        <v>56</v>
      </c>
      <c r="BF105" s="122"/>
    </row>
    <row r="106" spans="1:58" s="128" customFormat="1" ht="154">
      <c r="A106" s="140"/>
      <c r="B106" s="38" t="s">
        <v>298</v>
      </c>
      <c r="C106" s="114"/>
      <c r="D106" s="141">
        <v>10230169</v>
      </c>
      <c r="E106" s="522" t="s">
        <v>269</v>
      </c>
      <c r="F106" s="522" t="s">
        <v>270</v>
      </c>
      <c r="G106" s="142" t="s">
        <v>299</v>
      </c>
      <c r="H106" s="143">
        <v>44508</v>
      </c>
      <c r="I106" s="144">
        <v>44512</v>
      </c>
      <c r="J106" s="143">
        <v>44522</v>
      </c>
      <c r="K106" s="142">
        <v>44887</v>
      </c>
      <c r="L106" s="142" t="s">
        <v>299</v>
      </c>
      <c r="M106" s="144">
        <v>44515</v>
      </c>
      <c r="N106" s="144">
        <v>44519</v>
      </c>
      <c r="O106" s="144" t="s">
        <v>46</v>
      </c>
      <c r="P106" s="144" t="s">
        <v>46</v>
      </c>
      <c r="Q106" s="114" t="s">
        <v>121</v>
      </c>
      <c r="R106" s="114" t="s">
        <v>276</v>
      </c>
      <c r="S106" s="81">
        <f t="shared" si="61"/>
        <v>48</v>
      </c>
      <c r="T106" s="114">
        <v>50</v>
      </c>
      <c r="U106" s="114">
        <v>0</v>
      </c>
      <c r="V106" s="114">
        <v>48</v>
      </c>
      <c r="W106" s="114" t="s">
        <v>278</v>
      </c>
      <c r="X106" s="114"/>
      <c r="Y106" s="114"/>
      <c r="Z106" s="144" t="s">
        <v>50</v>
      </c>
      <c r="AA106" s="144" t="s">
        <v>50</v>
      </c>
      <c r="AB106" s="144" t="s">
        <v>50</v>
      </c>
      <c r="AC106" s="144" t="s">
        <v>50</v>
      </c>
      <c r="AD106" s="144" t="s">
        <v>50</v>
      </c>
      <c r="AE106" s="144" t="s">
        <v>279</v>
      </c>
      <c r="AF106" s="144" t="s">
        <v>279</v>
      </c>
      <c r="AG106" s="114" t="s">
        <v>53</v>
      </c>
      <c r="AH106" s="114" t="s">
        <v>54</v>
      </c>
      <c r="AI106" s="114" t="s">
        <v>46</v>
      </c>
      <c r="AJ106" s="114" t="s">
        <v>54</v>
      </c>
      <c r="AK106" s="114"/>
      <c r="AL106" s="114" t="s">
        <v>280</v>
      </c>
      <c r="AM106" s="114"/>
      <c r="AN106" s="114" t="s">
        <v>287</v>
      </c>
      <c r="AO106" s="114"/>
      <c r="AP106" s="114"/>
      <c r="AQ106" s="114"/>
      <c r="AR106" s="121">
        <f t="shared" si="49"/>
        <v>1</v>
      </c>
      <c r="AS106" s="121" t="str">
        <f t="shared" si="50"/>
        <v>2021_11_08_a</v>
      </c>
      <c r="AT106" s="122"/>
      <c r="AU106" s="121" t="str">
        <f t="shared" si="51"/>
        <v>2021</v>
      </c>
      <c r="AV106" s="121" t="str">
        <f t="shared" si="52"/>
        <v>11</v>
      </c>
      <c r="AW106" s="121" t="str">
        <f t="shared" si="53"/>
        <v>08</v>
      </c>
      <c r="AX106" s="121">
        <f t="shared" si="54"/>
        <v>44508</v>
      </c>
      <c r="AY106" s="123"/>
      <c r="AZ106" s="124">
        <f t="shared" si="55"/>
        <v>44508</v>
      </c>
      <c r="BA106" s="121" t="b">
        <f t="shared" si="56"/>
        <v>1</v>
      </c>
      <c r="BB106" s="121">
        <f t="shared" si="57"/>
        <v>44508</v>
      </c>
      <c r="BC106" s="121" t="str">
        <f t="shared" si="58"/>
        <v>no</v>
      </c>
      <c r="BD106" s="121" t="b">
        <f t="shared" si="59"/>
        <v>0</v>
      </c>
      <c r="BE106" s="125" t="s">
        <v>56</v>
      </c>
      <c r="BF106" s="122"/>
    </row>
    <row r="107" spans="1:58" s="128" customFormat="1" ht="154">
      <c r="A107" s="140"/>
      <c r="B107" s="38" t="s">
        <v>300</v>
      </c>
      <c r="C107" s="114"/>
      <c r="D107" s="141" t="s">
        <v>301</v>
      </c>
      <c r="E107" s="522" t="s">
        <v>269</v>
      </c>
      <c r="F107" s="522" t="s">
        <v>270</v>
      </c>
      <c r="G107" s="142" t="s">
        <v>302</v>
      </c>
      <c r="H107" s="143">
        <v>44536</v>
      </c>
      <c r="I107" s="144">
        <v>44540</v>
      </c>
      <c r="J107" s="143">
        <v>44550</v>
      </c>
      <c r="K107" s="142">
        <v>44915</v>
      </c>
      <c r="L107" s="142" t="s">
        <v>302</v>
      </c>
      <c r="M107" s="144" t="s">
        <v>303</v>
      </c>
      <c r="N107" s="144" t="s">
        <v>304</v>
      </c>
      <c r="O107" s="144" t="s">
        <v>46</v>
      </c>
      <c r="P107" s="144" t="s">
        <v>46</v>
      </c>
      <c r="Q107" s="114" t="s">
        <v>121</v>
      </c>
      <c r="R107" s="114" t="s">
        <v>276</v>
      </c>
      <c r="S107" s="81">
        <f t="shared" si="61"/>
        <v>63</v>
      </c>
      <c r="T107" s="114">
        <v>70</v>
      </c>
      <c r="U107" s="114">
        <v>0</v>
      </c>
      <c r="V107" s="114">
        <v>63</v>
      </c>
      <c r="W107" s="114" t="s">
        <v>278</v>
      </c>
      <c r="X107" s="114"/>
      <c r="Y107" s="114"/>
      <c r="Z107" s="144" t="s">
        <v>50</v>
      </c>
      <c r="AA107" s="144" t="s">
        <v>50</v>
      </c>
      <c r="AB107" s="144" t="s">
        <v>50</v>
      </c>
      <c r="AC107" s="144" t="s">
        <v>50</v>
      </c>
      <c r="AD107" s="144" t="s">
        <v>50</v>
      </c>
      <c r="AE107" s="144" t="s">
        <v>279</v>
      </c>
      <c r="AF107" s="144" t="s">
        <v>279</v>
      </c>
      <c r="AG107" s="114" t="s">
        <v>53</v>
      </c>
      <c r="AH107" s="114" t="s">
        <v>54</v>
      </c>
      <c r="AI107" s="114" t="s">
        <v>46</v>
      </c>
      <c r="AJ107" s="114" t="s">
        <v>54</v>
      </c>
      <c r="AK107" s="114"/>
      <c r="AL107" s="114" t="s">
        <v>280</v>
      </c>
      <c r="AM107" s="114"/>
      <c r="AN107" s="114" t="s">
        <v>287</v>
      </c>
      <c r="AO107" s="114"/>
      <c r="AP107" s="114"/>
      <c r="AQ107" s="114"/>
      <c r="AR107" s="121">
        <f t="shared" si="49"/>
        <v>1</v>
      </c>
      <c r="AS107" s="121" t="str">
        <f t="shared" si="50"/>
        <v>2021_12_06_a</v>
      </c>
      <c r="AT107" s="122"/>
      <c r="AU107" s="121" t="str">
        <f t="shared" si="51"/>
        <v>2021</v>
      </c>
      <c r="AV107" s="121" t="str">
        <f t="shared" si="52"/>
        <v>12</v>
      </c>
      <c r="AW107" s="121" t="str">
        <f t="shared" si="53"/>
        <v>06</v>
      </c>
      <c r="AX107" s="121">
        <f t="shared" si="54"/>
        <v>44536</v>
      </c>
      <c r="AY107" s="123"/>
      <c r="AZ107" s="124">
        <f t="shared" si="55"/>
        <v>44536</v>
      </c>
      <c r="BA107" s="121" t="b">
        <f t="shared" si="56"/>
        <v>1</v>
      </c>
      <c r="BB107" s="121">
        <f t="shared" si="57"/>
        <v>44536</v>
      </c>
      <c r="BC107" s="121" t="str">
        <f t="shared" si="58"/>
        <v>no</v>
      </c>
      <c r="BD107" s="121" t="b">
        <f t="shared" si="59"/>
        <v>0</v>
      </c>
      <c r="BE107" s="125" t="s">
        <v>56</v>
      </c>
      <c r="BF107" s="122"/>
    </row>
    <row r="108" spans="1:58" s="128" customFormat="1" ht="154">
      <c r="A108" s="140"/>
      <c r="B108" s="38" t="s">
        <v>305</v>
      </c>
      <c r="C108" s="114"/>
      <c r="D108" s="141">
        <v>10248890</v>
      </c>
      <c r="E108" s="522" t="s">
        <v>269</v>
      </c>
      <c r="F108" s="522" t="s">
        <v>270</v>
      </c>
      <c r="G108" s="142" t="s">
        <v>306</v>
      </c>
      <c r="H108" s="143">
        <v>44592</v>
      </c>
      <c r="I108" s="144">
        <v>44596</v>
      </c>
      <c r="J108" s="143">
        <v>44606</v>
      </c>
      <c r="K108" s="142">
        <v>44971</v>
      </c>
      <c r="L108" s="142" t="s">
        <v>306</v>
      </c>
      <c r="M108" s="144">
        <v>44599</v>
      </c>
      <c r="N108" s="144" t="s">
        <v>307</v>
      </c>
      <c r="O108" s="144" t="s">
        <v>46</v>
      </c>
      <c r="P108" s="144" t="s">
        <v>46</v>
      </c>
      <c r="Q108" s="114" t="s">
        <v>47</v>
      </c>
      <c r="R108" s="114" t="s">
        <v>276</v>
      </c>
      <c r="S108" s="81">
        <f t="shared" si="61"/>
        <v>41</v>
      </c>
      <c r="T108" s="114">
        <v>50</v>
      </c>
      <c r="U108" s="114">
        <v>0</v>
      </c>
      <c r="V108" s="114">
        <v>41</v>
      </c>
      <c r="W108" s="114" t="s">
        <v>278</v>
      </c>
      <c r="X108" s="114"/>
      <c r="Y108" s="114"/>
      <c r="Z108" s="144" t="s">
        <v>50</v>
      </c>
      <c r="AA108" s="144" t="s">
        <v>50</v>
      </c>
      <c r="AB108" s="144" t="s">
        <v>50</v>
      </c>
      <c r="AC108" s="144" t="s">
        <v>50</v>
      </c>
      <c r="AD108" s="144" t="s">
        <v>50</v>
      </c>
      <c r="AE108" s="144" t="s">
        <v>279</v>
      </c>
      <c r="AF108" s="144" t="s">
        <v>279</v>
      </c>
      <c r="AG108" s="114" t="s">
        <v>53</v>
      </c>
      <c r="AH108" s="114" t="s">
        <v>54</v>
      </c>
      <c r="AI108" s="114" t="s">
        <v>46</v>
      </c>
      <c r="AJ108" s="114" t="s">
        <v>54</v>
      </c>
      <c r="AK108" s="114"/>
      <c r="AL108" s="114" t="s">
        <v>280</v>
      </c>
      <c r="AM108" s="114"/>
      <c r="AN108" s="114" t="s">
        <v>287</v>
      </c>
      <c r="AO108" s="114"/>
      <c r="AP108" s="114"/>
      <c r="AQ108" s="114"/>
      <c r="AR108" s="121">
        <f t="shared" si="49"/>
        <v>1</v>
      </c>
      <c r="AS108" s="121" t="str">
        <f t="shared" si="50"/>
        <v>2022_01_31_a</v>
      </c>
      <c r="AT108" s="122"/>
      <c r="AU108" s="121" t="str">
        <f t="shared" si="51"/>
        <v>2022</v>
      </c>
      <c r="AV108" s="121" t="str">
        <f t="shared" si="52"/>
        <v>01</v>
      </c>
      <c r="AW108" s="121" t="str">
        <f t="shared" si="53"/>
        <v>31</v>
      </c>
      <c r="AX108" s="121">
        <f t="shared" si="54"/>
        <v>44592</v>
      </c>
      <c r="AY108" s="123"/>
      <c r="AZ108" s="124">
        <f t="shared" si="55"/>
        <v>44592</v>
      </c>
      <c r="BA108" s="121" t="b">
        <f t="shared" si="56"/>
        <v>1</v>
      </c>
      <c r="BB108" s="121">
        <f t="shared" si="57"/>
        <v>44592</v>
      </c>
      <c r="BC108" s="121" t="str">
        <f t="shared" si="58"/>
        <v>no</v>
      </c>
      <c r="BD108" s="121" t="b">
        <f t="shared" si="59"/>
        <v>0</v>
      </c>
      <c r="BE108" s="125" t="s">
        <v>56</v>
      </c>
      <c r="BF108" s="122"/>
    </row>
    <row r="109" spans="1:58" s="128" customFormat="1" ht="154">
      <c r="A109" s="140"/>
      <c r="B109" s="38" t="s">
        <v>308</v>
      </c>
      <c r="C109" s="114"/>
      <c r="D109" s="141">
        <v>10248890</v>
      </c>
      <c r="E109" s="522" t="s">
        <v>269</v>
      </c>
      <c r="F109" s="522" t="s">
        <v>270</v>
      </c>
      <c r="G109" s="142" t="s">
        <v>309</v>
      </c>
      <c r="H109" s="143">
        <v>44627</v>
      </c>
      <c r="I109" s="144" t="s">
        <v>310</v>
      </c>
      <c r="J109" s="143">
        <v>44641</v>
      </c>
      <c r="K109" s="142">
        <v>45006</v>
      </c>
      <c r="L109" s="142" t="s">
        <v>309</v>
      </c>
      <c r="M109" s="144">
        <v>44634</v>
      </c>
      <c r="N109" s="144" t="s">
        <v>311</v>
      </c>
      <c r="O109" s="144" t="s">
        <v>46</v>
      </c>
      <c r="P109" s="144" t="s">
        <v>46</v>
      </c>
      <c r="Q109" s="114" t="s">
        <v>47</v>
      </c>
      <c r="R109" s="114" t="s">
        <v>276</v>
      </c>
      <c r="S109" s="81">
        <f t="shared" si="61"/>
        <v>58</v>
      </c>
      <c r="T109" s="114">
        <v>60</v>
      </c>
      <c r="U109" s="114">
        <v>0</v>
      </c>
      <c r="V109" s="114">
        <v>58</v>
      </c>
      <c r="W109" s="114" t="s">
        <v>278</v>
      </c>
      <c r="X109" s="114"/>
      <c r="Y109" s="114"/>
      <c r="Z109" s="144" t="s">
        <v>50</v>
      </c>
      <c r="AA109" s="144" t="s">
        <v>50</v>
      </c>
      <c r="AB109" s="144" t="s">
        <v>50</v>
      </c>
      <c r="AC109" s="144" t="s">
        <v>50</v>
      </c>
      <c r="AD109" s="144" t="s">
        <v>50</v>
      </c>
      <c r="AE109" s="144" t="s">
        <v>279</v>
      </c>
      <c r="AF109" s="144" t="s">
        <v>279</v>
      </c>
      <c r="AG109" s="114" t="s">
        <v>53</v>
      </c>
      <c r="AH109" s="114" t="s">
        <v>54</v>
      </c>
      <c r="AI109" s="114" t="s">
        <v>46</v>
      </c>
      <c r="AJ109" s="114" t="s">
        <v>54</v>
      </c>
      <c r="AK109" s="114"/>
      <c r="AL109" s="114" t="s">
        <v>280</v>
      </c>
      <c r="AM109" s="114"/>
      <c r="AN109" s="114" t="s">
        <v>287</v>
      </c>
      <c r="AO109" s="114"/>
      <c r="AP109" s="114"/>
      <c r="AQ109" s="114"/>
      <c r="AR109" s="121">
        <f t="shared" si="49"/>
        <v>1</v>
      </c>
      <c r="AS109" s="121" t="str">
        <f t="shared" si="50"/>
        <v>2022_03_07_a</v>
      </c>
      <c r="AT109" s="122"/>
      <c r="AU109" s="121" t="str">
        <f t="shared" si="51"/>
        <v>2022</v>
      </c>
      <c r="AV109" s="121" t="str">
        <f t="shared" si="52"/>
        <v>03</v>
      </c>
      <c r="AW109" s="121" t="str">
        <f t="shared" si="53"/>
        <v>07</v>
      </c>
      <c r="AX109" s="121">
        <f t="shared" si="54"/>
        <v>44627</v>
      </c>
      <c r="AY109" s="123"/>
      <c r="AZ109" s="124">
        <f t="shared" si="55"/>
        <v>44627</v>
      </c>
      <c r="BA109" s="121" t="b">
        <f t="shared" si="56"/>
        <v>1</v>
      </c>
      <c r="BB109" s="121">
        <f t="shared" si="57"/>
        <v>44627</v>
      </c>
      <c r="BC109" s="121" t="str">
        <f t="shared" si="58"/>
        <v>no</v>
      </c>
      <c r="BD109" s="121" t="b">
        <f t="shared" si="59"/>
        <v>0</v>
      </c>
      <c r="BE109" s="125" t="s">
        <v>56</v>
      </c>
      <c r="BF109" s="122"/>
    </row>
    <row r="110" spans="1:58" s="128" customFormat="1" ht="154">
      <c r="A110" s="140"/>
      <c r="B110" s="38" t="s">
        <v>312</v>
      </c>
      <c r="C110" s="114"/>
      <c r="D110" s="141">
        <v>10265644</v>
      </c>
      <c r="E110" s="522" t="s">
        <v>269</v>
      </c>
      <c r="F110" s="522" t="s">
        <v>270</v>
      </c>
      <c r="G110" s="142" t="s">
        <v>313</v>
      </c>
      <c r="H110" s="143">
        <v>44655</v>
      </c>
      <c r="I110" s="144" t="s">
        <v>314</v>
      </c>
      <c r="J110" s="143">
        <v>44669</v>
      </c>
      <c r="K110" s="142">
        <v>45034</v>
      </c>
      <c r="L110" s="142" t="s">
        <v>313</v>
      </c>
      <c r="M110" s="144" t="s">
        <v>315</v>
      </c>
      <c r="N110" s="144" t="s">
        <v>316</v>
      </c>
      <c r="O110" s="144" t="s">
        <v>46</v>
      </c>
      <c r="P110" s="144" t="s">
        <v>46</v>
      </c>
      <c r="Q110" s="114" t="s">
        <v>47</v>
      </c>
      <c r="R110" s="114" t="s">
        <v>276</v>
      </c>
      <c r="S110" s="81">
        <f t="shared" si="61"/>
        <v>56</v>
      </c>
      <c r="T110" s="114">
        <v>60</v>
      </c>
      <c r="U110" s="114">
        <v>0</v>
      </c>
      <c r="V110" s="114">
        <v>56</v>
      </c>
      <c r="W110" s="114" t="s">
        <v>278</v>
      </c>
      <c r="X110" s="114"/>
      <c r="Y110" s="114"/>
      <c r="Z110" s="144" t="s">
        <v>50</v>
      </c>
      <c r="AA110" s="144" t="s">
        <v>50</v>
      </c>
      <c r="AB110" s="144" t="s">
        <v>50</v>
      </c>
      <c r="AC110" s="144" t="s">
        <v>50</v>
      </c>
      <c r="AD110" s="144" t="s">
        <v>50</v>
      </c>
      <c r="AE110" s="144" t="s">
        <v>279</v>
      </c>
      <c r="AF110" s="144" t="s">
        <v>279</v>
      </c>
      <c r="AG110" s="114" t="s">
        <v>53</v>
      </c>
      <c r="AH110" s="114" t="s">
        <v>54</v>
      </c>
      <c r="AI110" s="114" t="s">
        <v>46</v>
      </c>
      <c r="AJ110" s="114" t="s">
        <v>54</v>
      </c>
      <c r="AK110" s="114"/>
      <c r="AL110" s="114" t="s">
        <v>280</v>
      </c>
      <c r="AM110" s="114"/>
      <c r="AN110" s="114" t="s">
        <v>287</v>
      </c>
      <c r="AO110" s="114"/>
      <c r="AP110" s="114"/>
      <c r="AQ110" s="114"/>
      <c r="AR110" s="121">
        <f t="shared" si="49"/>
        <v>1</v>
      </c>
      <c r="AS110" s="121" t="str">
        <f t="shared" si="50"/>
        <v>2022_04_04_a</v>
      </c>
      <c r="AT110" s="122"/>
      <c r="AU110" s="121" t="str">
        <f t="shared" si="51"/>
        <v>2022</v>
      </c>
      <c r="AV110" s="121" t="str">
        <f t="shared" si="52"/>
        <v>04</v>
      </c>
      <c r="AW110" s="121" t="str">
        <f t="shared" si="53"/>
        <v>04</v>
      </c>
      <c r="AX110" s="121">
        <f t="shared" si="54"/>
        <v>44655</v>
      </c>
      <c r="AY110" s="123"/>
      <c r="AZ110" s="124">
        <f t="shared" si="55"/>
        <v>44655</v>
      </c>
      <c r="BA110" s="121" t="b">
        <f t="shared" si="56"/>
        <v>1</v>
      </c>
      <c r="BB110" s="121">
        <f t="shared" si="57"/>
        <v>44655</v>
      </c>
      <c r="BC110" s="121" t="str">
        <f t="shared" si="58"/>
        <v>no</v>
      </c>
      <c r="BD110" s="121" t="b">
        <f t="shared" si="59"/>
        <v>0</v>
      </c>
      <c r="BE110" s="125" t="s">
        <v>56</v>
      </c>
      <c r="BF110" s="122"/>
    </row>
    <row r="111" spans="1:58" s="128" customFormat="1" ht="154">
      <c r="A111" s="140"/>
      <c r="B111" s="38" t="s">
        <v>317</v>
      </c>
      <c r="C111" s="114"/>
      <c r="D111" s="141">
        <v>10265644</v>
      </c>
      <c r="E111" s="522" t="s">
        <v>269</v>
      </c>
      <c r="F111" s="522" t="s">
        <v>270</v>
      </c>
      <c r="G111" s="142">
        <v>44652</v>
      </c>
      <c r="H111" s="143">
        <v>44677</v>
      </c>
      <c r="I111" s="144" t="s">
        <v>318</v>
      </c>
      <c r="J111" s="143">
        <v>44677</v>
      </c>
      <c r="K111" s="142">
        <v>44773</v>
      </c>
      <c r="L111" s="142">
        <v>44652</v>
      </c>
      <c r="M111" s="144" t="s">
        <v>319</v>
      </c>
      <c r="N111" s="144" t="s">
        <v>320</v>
      </c>
      <c r="O111" s="144" t="s">
        <v>46</v>
      </c>
      <c r="P111" s="144" t="s">
        <v>46</v>
      </c>
      <c r="Q111" s="114" t="s">
        <v>78</v>
      </c>
      <c r="R111" s="114" t="s">
        <v>276</v>
      </c>
      <c r="S111" s="81">
        <f t="shared" si="61"/>
        <v>76</v>
      </c>
      <c r="T111" s="114">
        <v>80</v>
      </c>
      <c r="U111" s="114">
        <v>0</v>
      </c>
      <c r="V111" s="114">
        <v>76</v>
      </c>
      <c r="W111" s="114" t="s">
        <v>278</v>
      </c>
      <c r="X111" s="114"/>
      <c r="Y111" s="114"/>
      <c r="Z111" s="144" t="s">
        <v>50</v>
      </c>
      <c r="AA111" s="144" t="s">
        <v>50</v>
      </c>
      <c r="AB111" s="144" t="s">
        <v>50</v>
      </c>
      <c r="AC111" s="144" t="s">
        <v>50</v>
      </c>
      <c r="AD111" s="144" t="s">
        <v>50</v>
      </c>
      <c r="AE111" s="144" t="s">
        <v>279</v>
      </c>
      <c r="AF111" s="144" t="s">
        <v>279</v>
      </c>
      <c r="AG111" s="114" t="s">
        <v>321</v>
      </c>
      <c r="AH111" s="114" t="s">
        <v>54</v>
      </c>
      <c r="AI111" s="114" t="s">
        <v>46</v>
      </c>
      <c r="AJ111" s="114" t="s">
        <v>54</v>
      </c>
      <c r="AK111" s="114"/>
      <c r="AL111" s="114" t="s">
        <v>280</v>
      </c>
      <c r="AM111" s="114"/>
      <c r="AN111" s="114" t="s">
        <v>287</v>
      </c>
      <c r="AO111" s="114"/>
      <c r="AP111" s="114"/>
      <c r="AQ111" s="114"/>
      <c r="AR111" s="121">
        <f t="shared" si="49"/>
        <v>1</v>
      </c>
      <c r="AS111" s="121" t="str">
        <f t="shared" si="50"/>
        <v>2022_04_26_a</v>
      </c>
      <c r="AT111" s="122"/>
      <c r="AU111" s="121" t="str">
        <f t="shared" si="51"/>
        <v>2022</v>
      </c>
      <c r="AV111" s="121" t="str">
        <f t="shared" si="52"/>
        <v>04</v>
      </c>
      <c r="AW111" s="121" t="str">
        <f t="shared" si="53"/>
        <v>26</v>
      </c>
      <c r="AX111" s="121">
        <f t="shared" si="54"/>
        <v>44677</v>
      </c>
      <c r="AY111" s="123"/>
      <c r="AZ111" s="124">
        <f t="shared" si="55"/>
        <v>44677</v>
      </c>
      <c r="BA111" s="121" t="b">
        <f t="shared" si="56"/>
        <v>1</v>
      </c>
      <c r="BB111" s="121">
        <f t="shared" si="57"/>
        <v>44677</v>
      </c>
      <c r="BC111" s="121" t="str">
        <f t="shared" si="58"/>
        <v>no</v>
      </c>
      <c r="BD111" s="121" t="b">
        <f t="shared" si="59"/>
        <v>0</v>
      </c>
      <c r="BE111" s="125" t="s">
        <v>56</v>
      </c>
      <c r="BF111" s="122"/>
    </row>
    <row r="112" spans="1:58" s="128" customFormat="1" ht="154">
      <c r="A112" s="140"/>
      <c r="B112" s="38" t="s">
        <v>322</v>
      </c>
      <c r="C112" s="114"/>
      <c r="D112" s="141">
        <v>10272871</v>
      </c>
      <c r="E112" s="522" t="s">
        <v>269</v>
      </c>
      <c r="F112" s="522" t="s">
        <v>270</v>
      </c>
      <c r="G112" s="142">
        <v>44682</v>
      </c>
      <c r="H112" s="143">
        <v>44684</v>
      </c>
      <c r="I112" s="144">
        <v>44694</v>
      </c>
      <c r="J112" s="143">
        <v>44683</v>
      </c>
      <c r="K112" s="142">
        <v>44773</v>
      </c>
      <c r="L112" s="142">
        <v>44682</v>
      </c>
      <c r="M112" s="144">
        <v>44690</v>
      </c>
      <c r="N112" s="144">
        <v>44694</v>
      </c>
      <c r="O112" s="144" t="s">
        <v>46</v>
      </c>
      <c r="P112" s="144" t="s">
        <v>46</v>
      </c>
      <c r="Q112" s="114" t="s">
        <v>78</v>
      </c>
      <c r="R112" s="114" t="s">
        <v>276</v>
      </c>
      <c r="S112" s="81">
        <f t="shared" si="61"/>
        <v>70</v>
      </c>
      <c r="T112" s="114">
        <v>80</v>
      </c>
      <c r="U112" s="114">
        <v>0</v>
      </c>
      <c r="V112" s="114">
        <v>70</v>
      </c>
      <c r="W112" s="114" t="s">
        <v>278</v>
      </c>
      <c r="X112" s="114"/>
      <c r="Y112" s="114"/>
      <c r="Z112" s="144" t="s">
        <v>50</v>
      </c>
      <c r="AA112" s="144" t="s">
        <v>50</v>
      </c>
      <c r="AB112" s="144" t="s">
        <v>50</v>
      </c>
      <c r="AC112" s="144" t="s">
        <v>50</v>
      </c>
      <c r="AD112" s="144" t="s">
        <v>50</v>
      </c>
      <c r="AE112" s="144" t="s">
        <v>279</v>
      </c>
      <c r="AF112" s="144" t="s">
        <v>279</v>
      </c>
      <c r="AG112" s="114" t="s">
        <v>321</v>
      </c>
      <c r="AH112" s="114" t="s">
        <v>54</v>
      </c>
      <c r="AI112" s="114" t="s">
        <v>46</v>
      </c>
      <c r="AJ112" s="114" t="s">
        <v>54</v>
      </c>
      <c r="AK112" s="114"/>
      <c r="AL112" s="114" t="s">
        <v>280</v>
      </c>
      <c r="AM112" s="114"/>
      <c r="AN112" s="114" t="s">
        <v>287</v>
      </c>
      <c r="AO112" s="114"/>
      <c r="AP112" s="114"/>
      <c r="AQ112" s="114"/>
      <c r="AR112" s="121">
        <f t="shared" si="49"/>
        <v>1</v>
      </c>
      <c r="AS112" s="121" t="str">
        <f t="shared" si="50"/>
        <v>2022_05_03_a</v>
      </c>
      <c r="AT112" s="122"/>
      <c r="AU112" s="121" t="str">
        <f t="shared" si="51"/>
        <v>2022</v>
      </c>
      <c r="AV112" s="121" t="str">
        <f t="shared" si="52"/>
        <v>05</v>
      </c>
      <c r="AW112" s="121" t="str">
        <f t="shared" si="53"/>
        <v>03</v>
      </c>
      <c r="AX112" s="121">
        <f t="shared" si="54"/>
        <v>44684</v>
      </c>
      <c r="AY112" s="123"/>
      <c r="AZ112" s="124">
        <f t="shared" si="55"/>
        <v>44684</v>
      </c>
      <c r="BA112" s="121" t="b">
        <f t="shared" si="56"/>
        <v>1</v>
      </c>
      <c r="BB112" s="121">
        <f t="shared" si="57"/>
        <v>44684</v>
      </c>
      <c r="BC112" s="121" t="str">
        <f t="shared" si="58"/>
        <v>no</v>
      </c>
      <c r="BD112" s="121" t="b">
        <f t="shared" si="59"/>
        <v>0</v>
      </c>
      <c r="BE112" s="125" t="s">
        <v>56</v>
      </c>
      <c r="BF112" s="122"/>
    </row>
    <row r="113" spans="1:58" s="128" customFormat="1" ht="154">
      <c r="A113" s="140"/>
      <c r="B113" s="38" t="s">
        <v>323</v>
      </c>
      <c r="C113" s="114"/>
      <c r="D113" s="141">
        <v>10268706</v>
      </c>
      <c r="E113" s="522" t="s">
        <v>269</v>
      </c>
      <c r="F113" s="522" t="s">
        <v>270</v>
      </c>
      <c r="G113" s="142" t="s">
        <v>324</v>
      </c>
      <c r="H113" s="143">
        <v>44697</v>
      </c>
      <c r="I113" s="144">
        <v>44708</v>
      </c>
      <c r="J113" s="143">
        <v>44683</v>
      </c>
      <c r="K113" s="142">
        <v>44773</v>
      </c>
      <c r="L113" s="142" t="s">
        <v>324</v>
      </c>
      <c r="M113" s="144">
        <v>44704</v>
      </c>
      <c r="N113" s="144">
        <v>44708</v>
      </c>
      <c r="O113" s="144" t="s">
        <v>46</v>
      </c>
      <c r="P113" s="144" t="s">
        <v>46</v>
      </c>
      <c r="Q113" s="114" t="s">
        <v>78</v>
      </c>
      <c r="R113" s="114" t="s">
        <v>276</v>
      </c>
      <c r="S113" s="81">
        <f t="shared" si="61"/>
        <v>99</v>
      </c>
      <c r="T113" s="114">
        <v>100</v>
      </c>
      <c r="U113" s="114">
        <v>0</v>
      </c>
      <c r="V113" s="114">
        <v>99</v>
      </c>
      <c r="W113" s="114" t="s">
        <v>278</v>
      </c>
      <c r="X113" s="114"/>
      <c r="Y113" s="114"/>
      <c r="Z113" s="144" t="s">
        <v>50</v>
      </c>
      <c r="AA113" s="144" t="s">
        <v>50</v>
      </c>
      <c r="AB113" s="144" t="s">
        <v>50</v>
      </c>
      <c r="AC113" s="144" t="s">
        <v>50</v>
      </c>
      <c r="AD113" s="144" t="s">
        <v>50</v>
      </c>
      <c r="AE113" s="144" t="s">
        <v>279</v>
      </c>
      <c r="AF113" s="144" t="s">
        <v>279</v>
      </c>
      <c r="AG113" s="114" t="s">
        <v>321</v>
      </c>
      <c r="AH113" s="114" t="s">
        <v>54</v>
      </c>
      <c r="AI113" s="114" t="s">
        <v>46</v>
      </c>
      <c r="AJ113" s="114" t="s">
        <v>54</v>
      </c>
      <c r="AK113" s="114"/>
      <c r="AL113" s="114" t="s">
        <v>280</v>
      </c>
      <c r="AM113" s="114"/>
      <c r="AN113" s="114" t="s">
        <v>287</v>
      </c>
      <c r="AO113" s="114"/>
      <c r="AP113" s="114"/>
      <c r="AQ113" s="114"/>
      <c r="AR113" s="121">
        <f t="shared" si="49"/>
        <v>1</v>
      </c>
      <c r="AS113" s="121" t="str">
        <f t="shared" si="50"/>
        <v>2022_05_16_a</v>
      </c>
      <c r="AT113" s="122"/>
      <c r="AU113" s="121" t="str">
        <f t="shared" si="51"/>
        <v>2022</v>
      </c>
      <c r="AV113" s="121" t="str">
        <f t="shared" si="52"/>
        <v>05</v>
      </c>
      <c r="AW113" s="121" t="str">
        <f t="shared" si="53"/>
        <v>16</v>
      </c>
      <c r="AX113" s="121">
        <f t="shared" si="54"/>
        <v>44697</v>
      </c>
      <c r="AY113" s="123"/>
      <c r="AZ113" s="124">
        <f t="shared" si="55"/>
        <v>44697</v>
      </c>
      <c r="BA113" s="121" t="b">
        <f t="shared" si="56"/>
        <v>1</v>
      </c>
      <c r="BB113" s="121">
        <f t="shared" si="57"/>
        <v>44697</v>
      </c>
      <c r="BC113" s="121" t="str">
        <f t="shared" si="58"/>
        <v>no</v>
      </c>
      <c r="BD113" s="121" t="b">
        <f t="shared" si="59"/>
        <v>0</v>
      </c>
      <c r="BE113" s="125" t="s">
        <v>56</v>
      </c>
      <c r="BF113" s="122"/>
    </row>
    <row r="114" spans="1:58" s="128" customFormat="1" ht="154">
      <c r="A114" s="140"/>
      <c r="B114" s="38" t="s">
        <v>325</v>
      </c>
      <c r="C114" s="114"/>
      <c r="D114" s="141">
        <v>10276762</v>
      </c>
      <c r="E114" s="522" t="s">
        <v>269</v>
      </c>
      <c r="F114" s="522" t="s">
        <v>270</v>
      </c>
      <c r="G114" s="142" t="s">
        <v>326</v>
      </c>
      <c r="H114" s="143">
        <v>44726</v>
      </c>
      <c r="I114" s="144">
        <v>44736</v>
      </c>
      <c r="J114" s="143">
        <v>44739</v>
      </c>
      <c r="K114" s="142">
        <v>44804</v>
      </c>
      <c r="L114" s="142" t="s">
        <v>326</v>
      </c>
      <c r="M114" s="144">
        <v>44732</v>
      </c>
      <c r="N114" s="144">
        <v>44736</v>
      </c>
      <c r="O114" s="144" t="s">
        <v>46</v>
      </c>
      <c r="P114" s="144" t="s">
        <v>46</v>
      </c>
      <c r="Q114" s="114" t="s">
        <v>78</v>
      </c>
      <c r="R114" s="114" t="s">
        <v>276</v>
      </c>
      <c r="S114" s="81">
        <f t="shared" si="61"/>
        <v>34</v>
      </c>
      <c r="T114" s="114">
        <v>45</v>
      </c>
      <c r="U114" s="114">
        <v>0</v>
      </c>
      <c r="V114" s="114">
        <v>34</v>
      </c>
      <c r="W114" s="114" t="s">
        <v>278</v>
      </c>
      <c r="X114" s="114"/>
      <c r="Y114" s="114"/>
      <c r="Z114" s="144" t="s">
        <v>50</v>
      </c>
      <c r="AA114" s="144" t="s">
        <v>50</v>
      </c>
      <c r="AB114" s="144" t="s">
        <v>50</v>
      </c>
      <c r="AC114" s="144" t="s">
        <v>50</v>
      </c>
      <c r="AD114" s="144" t="s">
        <v>50</v>
      </c>
      <c r="AE114" s="144" t="s">
        <v>279</v>
      </c>
      <c r="AF114" s="144" t="s">
        <v>279</v>
      </c>
      <c r="AG114" s="114" t="s">
        <v>321</v>
      </c>
      <c r="AH114" s="114" t="s">
        <v>54</v>
      </c>
      <c r="AI114" s="114" t="s">
        <v>46</v>
      </c>
      <c r="AJ114" s="114" t="s">
        <v>54</v>
      </c>
      <c r="AK114" s="114"/>
      <c r="AL114" s="114" t="s">
        <v>280</v>
      </c>
      <c r="AM114" s="114"/>
      <c r="AN114" s="114" t="s">
        <v>287</v>
      </c>
      <c r="AO114" s="114"/>
      <c r="AP114" s="114"/>
      <c r="AQ114" s="114"/>
      <c r="AR114" s="121">
        <f t="shared" si="49"/>
        <v>1</v>
      </c>
      <c r="AS114" s="121" t="str">
        <f t="shared" si="50"/>
        <v>2022_06_14_a</v>
      </c>
      <c r="AT114" s="122"/>
      <c r="AU114" s="121" t="str">
        <f t="shared" si="51"/>
        <v>2022</v>
      </c>
      <c r="AV114" s="121" t="str">
        <f t="shared" si="52"/>
        <v>06</v>
      </c>
      <c r="AW114" s="121" t="str">
        <f t="shared" si="53"/>
        <v>14</v>
      </c>
      <c r="AX114" s="121">
        <f t="shared" si="54"/>
        <v>44726</v>
      </c>
      <c r="AY114" s="123"/>
      <c r="AZ114" s="124">
        <f t="shared" si="55"/>
        <v>44726</v>
      </c>
      <c r="BA114" s="121" t="b">
        <f t="shared" si="56"/>
        <v>1</v>
      </c>
      <c r="BB114" s="121">
        <f t="shared" si="57"/>
        <v>44726</v>
      </c>
      <c r="BC114" s="121" t="str">
        <f t="shared" si="58"/>
        <v>no</v>
      </c>
      <c r="BD114" s="121" t="b">
        <f t="shared" si="59"/>
        <v>0</v>
      </c>
      <c r="BE114" s="125" t="s">
        <v>56</v>
      </c>
      <c r="BF114" s="122"/>
    </row>
    <row r="115" spans="1:58" s="128" customFormat="1" ht="154">
      <c r="A115" s="140"/>
      <c r="B115" s="38" t="s">
        <v>327</v>
      </c>
      <c r="C115" s="114"/>
      <c r="D115" s="141">
        <v>10283910</v>
      </c>
      <c r="E115" s="522" t="s">
        <v>269</v>
      </c>
      <c r="F115" s="522" t="s">
        <v>270</v>
      </c>
      <c r="G115" s="142" t="s">
        <v>328</v>
      </c>
      <c r="H115" s="143">
        <v>44760</v>
      </c>
      <c r="I115" s="144">
        <v>44771</v>
      </c>
      <c r="J115" s="143">
        <v>44774</v>
      </c>
      <c r="K115" s="142">
        <v>44834</v>
      </c>
      <c r="L115" s="142" t="s">
        <v>328</v>
      </c>
      <c r="M115" s="144">
        <v>44767</v>
      </c>
      <c r="N115" s="144">
        <v>44771</v>
      </c>
      <c r="O115" s="144" t="s">
        <v>46</v>
      </c>
      <c r="P115" s="144" t="s">
        <v>46</v>
      </c>
      <c r="Q115" s="114" t="s">
        <v>99</v>
      </c>
      <c r="R115" s="114" t="s">
        <v>276</v>
      </c>
      <c r="S115" s="81">
        <f t="shared" si="61"/>
        <v>52</v>
      </c>
      <c r="T115" s="114">
        <v>55</v>
      </c>
      <c r="U115" s="114">
        <v>0</v>
      </c>
      <c r="V115" s="114">
        <v>52</v>
      </c>
      <c r="W115" s="114" t="s">
        <v>278</v>
      </c>
      <c r="X115" s="114"/>
      <c r="Y115" s="114"/>
      <c r="Z115" s="144" t="s">
        <v>50</v>
      </c>
      <c r="AA115" s="144" t="s">
        <v>50</v>
      </c>
      <c r="AB115" s="144" t="s">
        <v>50</v>
      </c>
      <c r="AC115" s="144" t="s">
        <v>50</v>
      </c>
      <c r="AD115" s="144" t="s">
        <v>50</v>
      </c>
      <c r="AE115" s="144" t="s">
        <v>279</v>
      </c>
      <c r="AF115" s="144" t="s">
        <v>279</v>
      </c>
      <c r="AG115" s="114" t="s">
        <v>321</v>
      </c>
      <c r="AH115" s="114" t="s">
        <v>54</v>
      </c>
      <c r="AI115" s="114" t="s">
        <v>46</v>
      </c>
      <c r="AJ115" s="114" t="s">
        <v>54</v>
      </c>
      <c r="AK115" s="114"/>
      <c r="AL115" s="114" t="s">
        <v>280</v>
      </c>
      <c r="AM115" s="114"/>
      <c r="AN115" s="114" t="s">
        <v>287</v>
      </c>
      <c r="AO115" s="114"/>
      <c r="AP115" s="114"/>
      <c r="AQ115" s="114"/>
      <c r="AR115" s="121">
        <f t="shared" si="49"/>
        <v>1</v>
      </c>
      <c r="AS115" s="121" t="str">
        <f t="shared" si="50"/>
        <v>2022_07_18_a</v>
      </c>
      <c r="AT115" s="122"/>
      <c r="AU115" s="121" t="str">
        <f t="shared" si="51"/>
        <v>2022</v>
      </c>
      <c r="AV115" s="121" t="str">
        <f t="shared" si="52"/>
        <v>07</v>
      </c>
      <c r="AW115" s="121" t="str">
        <f t="shared" si="53"/>
        <v>18</v>
      </c>
      <c r="AX115" s="121">
        <f t="shared" si="54"/>
        <v>44760</v>
      </c>
      <c r="AY115" s="123"/>
      <c r="AZ115" s="124">
        <f t="shared" si="55"/>
        <v>44760</v>
      </c>
      <c r="BA115" s="121" t="b">
        <f t="shared" si="56"/>
        <v>1</v>
      </c>
      <c r="BB115" s="121">
        <f t="shared" si="57"/>
        <v>44760</v>
      </c>
      <c r="BC115" s="121" t="str">
        <f t="shared" si="58"/>
        <v>no</v>
      </c>
      <c r="BD115" s="121" t="b">
        <f t="shared" si="59"/>
        <v>0</v>
      </c>
      <c r="BE115" s="125" t="s">
        <v>56</v>
      </c>
      <c r="BF115" s="122"/>
    </row>
    <row r="116" spans="1:58" s="128" customFormat="1" ht="154">
      <c r="A116" s="140"/>
      <c r="B116" s="38" t="s">
        <v>329</v>
      </c>
      <c r="C116" s="114"/>
      <c r="D116" s="141">
        <v>10297123</v>
      </c>
      <c r="E116" s="522" t="s">
        <v>269</v>
      </c>
      <c r="F116" s="522" t="s">
        <v>270</v>
      </c>
      <c r="G116" s="142" t="s">
        <v>330</v>
      </c>
      <c r="H116" s="143">
        <v>44789</v>
      </c>
      <c r="I116" s="144" t="s">
        <v>331</v>
      </c>
      <c r="J116" s="143">
        <v>44802</v>
      </c>
      <c r="K116" s="142">
        <v>44865</v>
      </c>
      <c r="L116" s="142" t="s">
        <v>330</v>
      </c>
      <c r="M116" s="144" t="s">
        <v>332</v>
      </c>
      <c r="N116" s="144">
        <v>44799</v>
      </c>
      <c r="O116" s="144" t="s">
        <v>46</v>
      </c>
      <c r="P116" s="144" t="s">
        <v>46</v>
      </c>
      <c r="Q116" s="114" t="s">
        <v>99</v>
      </c>
      <c r="R116" s="114" t="s">
        <v>276</v>
      </c>
      <c r="S116" s="81">
        <f t="shared" si="61"/>
        <v>38</v>
      </c>
      <c r="T116" s="114">
        <v>30</v>
      </c>
      <c r="U116" s="114">
        <v>0</v>
      </c>
      <c r="V116" s="114">
        <v>38</v>
      </c>
      <c r="W116" s="114" t="s">
        <v>278</v>
      </c>
      <c r="X116" s="114"/>
      <c r="Y116" s="114"/>
      <c r="Z116" s="144" t="s">
        <v>50</v>
      </c>
      <c r="AA116" s="144" t="s">
        <v>50</v>
      </c>
      <c r="AB116" s="144" t="s">
        <v>50</v>
      </c>
      <c r="AC116" s="144" t="s">
        <v>50</v>
      </c>
      <c r="AD116" s="144" t="s">
        <v>50</v>
      </c>
      <c r="AE116" s="144" t="s">
        <v>279</v>
      </c>
      <c r="AF116" s="144" t="s">
        <v>279</v>
      </c>
      <c r="AG116" s="114" t="s">
        <v>321</v>
      </c>
      <c r="AH116" s="114" t="s">
        <v>54</v>
      </c>
      <c r="AI116" s="114" t="s">
        <v>46</v>
      </c>
      <c r="AJ116" s="114" t="s">
        <v>54</v>
      </c>
      <c r="AK116" s="114"/>
      <c r="AL116" s="114" t="s">
        <v>280</v>
      </c>
      <c r="AM116" s="114"/>
      <c r="AN116" s="114" t="s">
        <v>287</v>
      </c>
      <c r="AO116" s="114"/>
      <c r="AP116" s="114"/>
      <c r="AQ116" s="114"/>
      <c r="AR116" s="121">
        <f t="shared" si="49"/>
        <v>1</v>
      </c>
      <c r="AS116" s="121" t="str">
        <f t="shared" si="50"/>
        <v>2022_08_16_a</v>
      </c>
      <c r="AT116" s="122"/>
      <c r="AU116" s="121" t="str">
        <f t="shared" si="51"/>
        <v>2022</v>
      </c>
      <c r="AV116" s="121" t="str">
        <f t="shared" si="52"/>
        <v>08</v>
      </c>
      <c r="AW116" s="121" t="str">
        <f t="shared" si="53"/>
        <v>16</v>
      </c>
      <c r="AX116" s="121">
        <f t="shared" si="54"/>
        <v>44789</v>
      </c>
      <c r="AY116" s="123"/>
      <c r="AZ116" s="124">
        <f t="shared" si="55"/>
        <v>44789</v>
      </c>
      <c r="BA116" s="121" t="b">
        <f t="shared" si="56"/>
        <v>1</v>
      </c>
      <c r="BB116" s="121">
        <f t="shared" si="57"/>
        <v>44789</v>
      </c>
      <c r="BC116" s="121" t="str">
        <f t="shared" si="58"/>
        <v>no</v>
      </c>
      <c r="BD116" s="121" t="b">
        <f t="shared" si="59"/>
        <v>0</v>
      </c>
      <c r="BE116" s="125" t="s">
        <v>56</v>
      </c>
      <c r="BF116" s="122"/>
    </row>
    <row r="117" spans="1:58" s="128" customFormat="1" ht="154">
      <c r="A117" s="140"/>
      <c r="B117" s="114" t="s">
        <v>333</v>
      </c>
      <c r="C117" s="114"/>
      <c r="D117" s="141">
        <v>10248337</v>
      </c>
      <c r="E117" s="522" t="s">
        <v>269</v>
      </c>
      <c r="F117" s="522" t="s">
        <v>270</v>
      </c>
      <c r="G117" s="142" t="s">
        <v>334</v>
      </c>
      <c r="H117" s="143">
        <v>44823</v>
      </c>
      <c r="I117" s="144" t="s">
        <v>335</v>
      </c>
      <c r="J117" s="143">
        <v>44837</v>
      </c>
      <c r="K117" s="142">
        <v>44895</v>
      </c>
      <c r="L117" s="142" t="s">
        <v>334</v>
      </c>
      <c r="M117" s="144" t="s">
        <v>336</v>
      </c>
      <c r="N117" s="144">
        <v>44834</v>
      </c>
      <c r="O117" s="144" t="s">
        <v>46</v>
      </c>
      <c r="P117" s="144" t="s">
        <v>46</v>
      </c>
      <c r="Q117" s="114" t="s">
        <v>99</v>
      </c>
      <c r="R117" s="114" t="s">
        <v>337</v>
      </c>
      <c r="S117" s="81">
        <f t="shared" si="61"/>
        <v>83</v>
      </c>
      <c r="T117" s="114">
        <v>85</v>
      </c>
      <c r="U117" s="114">
        <v>0</v>
      </c>
      <c r="V117" s="114">
        <v>83</v>
      </c>
      <c r="W117" s="114" t="s">
        <v>278</v>
      </c>
      <c r="X117" s="114"/>
      <c r="Y117" s="114"/>
      <c r="Z117" s="144" t="s">
        <v>50</v>
      </c>
      <c r="AA117" s="144" t="s">
        <v>50</v>
      </c>
      <c r="AB117" s="144" t="s">
        <v>50</v>
      </c>
      <c r="AC117" s="144" t="s">
        <v>50</v>
      </c>
      <c r="AD117" s="144" t="s">
        <v>50</v>
      </c>
      <c r="AE117" s="144" t="s">
        <v>279</v>
      </c>
      <c r="AF117" s="144" t="s">
        <v>279</v>
      </c>
      <c r="AG117" s="114" t="s">
        <v>321</v>
      </c>
      <c r="AH117" s="114" t="s">
        <v>54</v>
      </c>
      <c r="AI117" s="114" t="s">
        <v>46</v>
      </c>
      <c r="AJ117" s="114" t="s">
        <v>54</v>
      </c>
      <c r="AK117" s="114"/>
      <c r="AL117" s="114" t="s">
        <v>280</v>
      </c>
      <c r="AM117" s="114"/>
      <c r="AN117" s="114" t="s">
        <v>287</v>
      </c>
      <c r="AO117" s="114"/>
      <c r="AP117" s="114"/>
      <c r="AQ117" s="114"/>
      <c r="AR117" s="121">
        <f t="shared" si="49"/>
        <v>1</v>
      </c>
      <c r="AS117" s="121" t="str">
        <f t="shared" si="50"/>
        <v>2022_09_19_a</v>
      </c>
      <c r="AT117" s="122"/>
      <c r="AU117" s="121" t="str">
        <f t="shared" si="51"/>
        <v>2022</v>
      </c>
      <c r="AV117" s="121" t="str">
        <f t="shared" si="52"/>
        <v>09</v>
      </c>
      <c r="AW117" s="121" t="str">
        <f t="shared" si="53"/>
        <v>19</v>
      </c>
      <c r="AX117" s="121">
        <f t="shared" si="54"/>
        <v>44823</v>
      </c>
      <c r="AY117" s="123"/>
      <c r="AZ117" s="124">
        <f t="shared" si="55"/>
        <v>44823</v>
      </c>
      <c r="BA117" s="121" t="b">
        <f t="shared" si="56"/>
        <v>1</v>
      </c>
      <c r="BB117" s="121">
        <f t="shared" si="57"/>
        <v>44823</v>
      </c>
      <c r="BC117" s="121" t="str">
        <f t="shared" si="58"/>
        <v>no</v>
      </c>
      <c r="BD117" s="121" t="b">
        <f t="shared" si="59"/>
        <v>0</v>
      </c>
      <c r="BE117" s="125" t="s">
        <v>56</v>
      </c>
      <c r="BF117" s="122"/>
    </row>
    <row r="118" spans="1:58" s="128" customFormat="1" ht="154">
      <c r="A118" s="140"/>
      <c r="B118" s="114" t="s">
        <v>338</v>
      </c>
      <c r="C118" s="114"/>
      <c r="D118" s="141">
        <v>10248337</v>
      </c>
      <c r="E118" s="522" t="s">
        <v>269</v>
      </c>
      <c r="F118" s="522" t="s">
        <v>270</v>
      </c>
      <c r="G118" s="142" t="s">
        <v>339</v>
      </c>
      <c r="H118" s="143">
        <v>44844</v>
      </c>
      <c r="I118" s="144">
        <v>44855</v>
      </c>
      <c r="J118" s="143">
        <v>44858</v>
      </c>
      <c r="K118" s="142">
        <v>44926</v>
      </c>
      <c r="L118" s="142" t="s">
        <v>339</v>
      </c>
      <c r="M118" s="144">
        <v>44851</v>
      </c>
      <c r="N118" s="144">
        <v>44855</v>
      </c>
      <c r="O118" s="144" t="s">
        <v>46</v>
      </c>
      <c r="P118" s="144" t="s">
        <v>46</v>
      </c>
      <c r="Q118" s="114" t="s">
        <v>121</v>
      </c>
      <c r="R118" s="114" t="s">
        <v>340</v>
      </c>
      <c r="S118" s="81">
        <f t="shared" si="61"/>
        <v>27</v>
      </c>
      <c r="T118" s="114">
        <v>30</v>
      </c>
      <c r="U118" s="114">
        <v>0</v>
      </c>
      <c r="V118" s="114">
        <v>27</v>
      </c>
      <c r="W118" s="114" t="s">
        <v>278</v>
      </c>
      <c r="X118" s="114"/>
      <c r="Y118" s="114"/>
      <c r="Z118" s="144" t="s">
        <v>50</v>
      </c>
      <c r="AA118" s="144" t="s">
        <v>50</v>
      </c>
      <c r="AB118" s="144" t="s">
        <v>50</v>
      </c>
      <c r="AC118" s="144" t="s">
        <v>50</v>
      </c>
      <c r="AD118" s="144" t="s">
        <v>50</v>
      </c>
      <c r="AE118" s="144" t="s">
        <v>279</v>
      </c>
      <c r="AF118" s="144" t="s">
        <v>279</v>
      </c>
      <c r="AG118" s="114" t="s">
        <v>321</v>
      </c>
      <c r="AH118" s="114" t="s">
        <v>54</v>
      </c>
      <c r="AI118" s="114" t="s">
        <v>46</v>
      </c>
      <c r="AJ118" s="114" t="s">
        <v>54</v>
      </c>
      <c r="AK118" s="114"/>
      <c r="AL118" s="114" t="s">
        <v>280</v>
      </c>
      <c r="AM118" s="114"/>
      <c r="AN118" s="114" t="s">
        <v>287</v>
      </c>
      <c r="AO118" s="114"/>
      <c r="AP118" s="114"/>
      <c r="AQ118" s="114"/>
      <c r="AR118" s="121">
        <f t="shared" si="49"/>
        <v>1</v>
      </c>
      <c r="AS118" s="121" t="str">
        <f t="shared" si="50"/>
        <v>2022_10_10_a</v>
      </c>
      <c r="AT118" s="122"/>
      <c r="AU118" s="121" t="str">
        <f t="shared" si="51"/>
        <v>2022</v>
      </c>
      <c r="AV118" s="121" t="str">
        <f t="shared" si="52"/>
        <v>10</v>
      </c>
      <c r="AW118" s="121" t="str">
        <f t="shared" si="53"/>
        <v>10</v>
      </c>
      <c r="AX118" s="121">
        <f t="shared" si="54"/>
        <v>44844</v>
      </c>
      <c r="AY118" s="123"/>
      <c r="AZ118" s="124">
        <f t="shared" si="55"/>
        <v>44844</v>
      </c>
      <c r="BA118" s="121" t="b">
        <f t="shared" si="56"/>
        <v>1</v>
      </c>
      <c r="BB118" s="121">
        <f t="shared" si="57"/>
        <v>44844</v>
      </c>
      <c r="BC118" s="121" t="str">
        <f t="shared" si="58"/>
        <v>no</v>
      </c>
      <c r="BD118" s="121" t="b">
        <f t="shared" si="59"/>
        <v>0</v>
      </c>
      <c r="BE118" s="125" t="s">
        <v>56</v>
      </c>
      <c r="BF118" s="122"/>
    </row>
    <row r="119" spans="1:58" s="128" customFormat="1" ht="154">
      <c r="A119" s="140"/>
      <c r="B119" s="114" t="s">
        <v>341</v>
      </c>
      <c r="C119" s="114"/>
      <c r="D119" s="141">
        <v>10323856</v>
      </c>
      <c r="E119" s="522" t="s">
        <v>269</v>
      </c>
      <c r="F119" s="522" t="s">
        <v>270</v>
      </c>
      <c r="G119" s="142" t="s">
        <v>342</v>
      </c>
      <c r="H119" s="143">
        <v>44900</v>
      </c>
      <c r="I119" s="144">
        <v>44911</v>
      </c>
      <c r="J119" s="143">
        <v>44914</v>
      </c>
      <c r="K119" s="142">
        <v>44985</v>
      </c>
      <c r="L119" s="142" t="s">
        <v>343</v>
      </c>
      <c r="M119" s="144">
        <v>44907</v>
      </c>
      <c r="N119" s="144">
        <v>44911</v>
      </c>
      <c r="O119" s="144" t="s">
        <v>46</v>
      </c>
      <c r="P119" s="144" t="s">
        <v>46</v>
      </c>
      <c r="Q119" s="114" t="s">
        <v>121</v>
      </c>
      <c r="R119" s="114" t="s">
        <v>344</v>
      </c>
      <c r="S119" s="81">
        <f t="shared" si="61"/>
        <v>41</v>
      </c>
      <c r="T119" s="114">
        <v>45</v>
      </c>
      <c r="U119" s="114">
        <v>0</v>
      </c>
      <c r="V119" s="114">
        <v>41</v>
      </c>
      <c r="W119" s="114" t="s">
        <v>278</v>
      </c>
      <c r="X119" s="114"/>
      <c r="Y119" s="114"/>
      <c r="Z119" s="144" t="s">
        <v>50</v>
      </c>
      <c r="AA119" s="144" t="s">
        <v>50</v>
      </c>
      <c r="AB119" s="144" t="s">
        <v>50</v>
      </c>
      <c r="AC119" s="144" t="s">
        <v>50</v>
      </c>
      <c r="AD119" s="144" t="s">
        <v>50</v>
      </c>
      <c r="AE119" s="144" t="s">
        <v>279</v>
      </c>
      <c r="AF119" s="144" t="s">
        <v>279</v>
      </c>
      <c r="AG119" s="114" t="s">
        <v>321</v>
      </c>
      <c r="AH119" s="114" t="s">
        <v>345</v>
      </c>
      <c r="AI119" s="114" t="s">
        <v>46</v>
      </c>
      <c r="AJ119" s="114" t="s">
        <v>346</v>
      </c>
      <c r="AK119" s="114"/>
      <c r="AL119" s="114" t="s">
        <v>280</v>
      </c>
      <c r="AM119" s="114"/>
      <c r="AN119" s="114" t="s">
        <v>287</v>
      </c>
      <c r="AO119" s="114"/>
      <c r="AP119" s="114"/>
      <c r="AQ119" s="114"/>
      <c r="AR119" s="121">
        <f t="shared" si="49"/>
        <v>1</v>
      </c>
      <c r="AS119" s="121" t="str">
        <f t="shared" si="50"/>
        <v>2022_12_05_a</v>
      </c>
      <c r="AT119" s="122"/>
      <c r="AU119" s="121" t="str">
        <f t="shared" si="51"/>
        <v>2022</v>
      </c>
      <c r="AV119" s="121" t="str">
        <f t="shared" si="52"/>
        <v>12</v>
      </c>
      <c r="AW119" s="121" t="str">
        <f t="shared" si="53"/>
        <v>05</v>
      </c>
      <c r="AX119" s="121">
        <f t="shared" si="54"/>
        <v>44900</v>
      </c>
      <c r="AY119" s="123"/>
      <c r="AZ119" s="124">
        <f t="shared" si="55"/>
        <v>44900</v>
      </c>
      <c r="BA119" s="121" t="b">
        <f t="shared" si="56"/>
        <v>1</v>
      </c>
      <c r="BB119" s="121">
        <f t="shared" si="57"/>
        <v>44900</v>
      </c>
      <c r="BC119" s="121" t="str">
        <f t="shared" si="58"/>
        <v>no</v>
      </c>
      <c r="BD119" s="121" t="b">
        <f t="shared" si="59"/>
        <v>0</v>
      </c>
      <c r="BE119" s="125" t="s">
        <v>56</v>
      </c>
      <c r="BF119" s="122"/>
    </row>
    <row r="120" spans="1:58" s="128" customFormat="1" ht="154">
      <c r="A120" s="140"/>
      <c r="B120" s="114" t="s">
        <v>347</v>
      </c>
      <c r="C120" s="114"/>
      <c r="D120" s="141">
        <v>10338677</v>
      </c>
      <c r="E120" s="522" t="s">
        <v>269</v>
      </c>
      <c r="F120" s="522" t="s">
        <v>270</v>
      </c>
      <c r="G120" s="142" t="s">
        <v>348</v>
      </c>
      <c r="H120" s="143">
        <v>44970</v>
      </c>
      <c r="I120" s="144">
        <v>44981</v>
      </c>
      <c r="J120" s="143">
        <v>44984</v>
      </c>
      <c r="K120" s="142">
        <v>45046</v>
      </c>
      <c r="L120" s="142" t="s">
        <v>349</v>
      </c>
      <c r="M120" s="144">
        <v>44977</v>
      </c>
      <c r="N120" s="144">
        <v>44981</v>
      </c>
      <c r="O120" s="144" t="s">
        <v>46</v>
      </c>
      <c r="P120" s="144" t="s">
        <v>46</v>
      </c>
      <c r="Q120" s="114" t="s">
        <v>47</v>
      </c>
      <c r="R120" s="114" t="s">
        <v>350</v>
      </c>
      <c r="S120" s="81">
        <f t="shared" si="61"/>
        <v>37</v>
      </c>
      <c r="T120" s="114">
        <v>40</v>
      </c>
      <c r="U120" s="114">
        <v>0</v>
      </c>
      <c r="V120" s="114">
        <v>37</v>
      </c>
      <c r="W120" s="114" t="s">
        <v>278</v>
      </c>
      <c r="X120" s="114"/>
      <c r="Y120" s="114"/>
      <c r="Z120" s="144" t="s">
        <v>50</v>
      </c>
      <c r="AA120" s="144" t="s">
        <v>50</v>
      </c>
      <c r="AB120" s="144" t="s">
        <v>50</v>
      </c>
      <c r="AC120" s="144" t="s">
        <v>50</v>
      </c>
      <c r="AD120" s="144" t="s">
        <v>50</v>
      </c>
      <c r="AE120" s="144" t="s">
        <v>279</v>
      </c>
      <c r="AF120" s="144" t="s">
        <v>279</v>
      </c>
      <c r="AG120" s="114" t="s">
        <v>321</v>
      </c>
      <c r="AH120" s="114" t="s">
        <v>54</v>
      </c>
      <c r="AI120" s="114" t="s">
        <v>46</v>
      </c>
      <c r="AJ120" s="114" t="s">
        <v>54</v>
      </c>
      <c r="AK120" s="114"/>
      <c r="AL120" s="114" t="s">
        <v>280</v>
      </c>
      <c r="AM120" s="114"/>
      <c r="AN120" s="114" t="s">
        <v>287</v>
      </c>
      <c r="AO120" s="114"/>
      <c r="AP120" s="114"/>
      <c r="AQ120" s="114"/>
      <c r="AR120" s="121">
        <f t="shared" si="49"/>
        <v>1</v>
      </c>
      <c r="AS120" s="121" t="str">
        <f t="shared" si="50"/>
        <v>2023_02_13_a</v>
      </c>
      <c r="AT120" s="122"/>
      <c r="AU120" s="121" t="str">
        <f t="shared" si="51"/>
        <v>2023</v>
      </c>
      <c r="AV120" s="121" t="str">
        <f t="shared" si="52"/>
        <v>02</v>
      </c>
      <c r="AW120" s="121" t="str">
        <f t="shared" si="53"/>
        <v>13</v>
      </c>
      <c r="AX120" s="121">
        <f t="shared" si="54"/>
        <v>44970</v>
      </c>
      <c r="AY120" s="123"/>
      <c r="AZ120" s="124">
        <f t="shared" si="55"/>
        <v>44970</v>
      </c>
      <c r="BA120" s="121" t="b">
        <f t="shared" si="56"/>
        <v>1</v>
      </c>
      <c r="BB120" s="121">
        <f t="shared" si="57"/>
        <v>44970</v>
      </c>
      <c r="BC120" s="121" t="str">
        <f t="shared" si="58"/>
        <v>no</v>
      </c>
      <c r="BD120" s="121" t="b">
        <f t="shared" si="59"/>
        <v>0</v>
      </c>
      <c r="BE120" s="125" t="s">
        <v>56</v>
      </c>
      <c r="BF120" s="122"/>
    </row>
    <row r="121" spans="1:58" s="128" customFormat="1" ht="154">
      <c r="A121" s="140"/>
      <c r="B121" s="114" t="s">
        <v>351</v>
      </c>
      <c r="C121" s="114"/>
      <c r="D121" s="141">
        <v>10360567</v>
      </c>
      <c r="E121" s="522" t="s">
        <v>269</v>
      </c>
      <c r="F121" s="522" t="s">
        <v>270</v>
      </c>
      <c r="G121" s="142" t="s">
        <v>348</v>
      </c>
      <c r="H121" s="143">
        <v>45005</v>
      </c>
      <c r="I121" s="144">
        <v>45016</v>
      </c>
      <c r="J121" s="143">
        <v>45019</v>
      </c>
      <c r="K121" s="142">
        <v>45107</v>
      </c>
      <c r="L121" s="142" t="s">
        <v>349</v>
      </c>
      <c r="M121" s="144">
        <v>45012</v>
      </c>
      <c r="N121" s="144">
        <v>45016</v>
      </c>
      <c r="O121" s="144" t="s">
        <v>46</v>
      </c>
      <c r="P121" s="144" t="s">
        <v>46</v>
      </c>
      <c r="Q121" s="114" t="s">
        <v>47</v>
      </c>
      <c r="R121" s="114" t="s">
        <v>350</v>
      </c>
      <c r="S121" s="81">
        <f t="shared" si="61"/>
        <v>24</v>
      </c>
      <c r="T121" s="114">
        <v>30</v>
      </c>
      <c r="U121" s="114">
        <v>0</v>
      </c>
      <c r="V121" s="114">
        <v>24</v>
      </c>
      <c r="W121" s="114" t="s">
        <v>278</v>
      </c>
      <c r="X121" s="114"/>
      <c r="Y121" s="114"/>
      <c r="Z121" s="144" t="s">
        <v>50</v>
      </c>
      <c r="AA121" s="144" t="s">
        <v>50</v>
      </c>
      <c r="AB121" s="144" t="s">
        <v>50</v>
      </c>
      <c r="AC121" s="144" t="s">
        <v>50</v>
      </c>
      <c r="AD121" s="144" t="s">
        <v>50</v>
      </c>
      <c r="AE121" s="144" t="s">
        <v>279</v>
      </c>
      <c r="AF121" s="144" t="s">
        <v>279</v>
      </c>
      <c r="AG121" s="114" t="s">
        <v>321</v>
      </c>
      <c r="AH121" s="114" t="s">
        <v>345</v>
      </c>
      <c r="AI121" s="114" t="s">
        <v>46</v>
      </c>
      <c r="AJ121" s="114" t="s">
        <v>346</v>
      </c>
      <c r="AK121" s="114"/>
      <c r="AL121" s="114" t="s">
        <v>280</v>
      </c>
      <c r="AM121" s="114"/>
      <c r="AN121" s="114" t="s">
        <v>352</v>
      </c>
      <c r="AO121" s="114"/>
      <c r="AP121" s="114"/>
      <c r="AQ121" s="114"/>
      <c r="AR121" s="121">
        <f t="shared" si="49"/>
        <v>1</v>
      </c>
      <c r="AS121" s="121" t="str">
        <f t="shared" si="50"/>
        <v>2023_03_20_a</v>
      </c>
      <c r="AT121" s="122"/>
      <c r="AU121" s="121" t="str">
        <f t="shared" si="51"/>
        <v>2023</v>
      </c>
      <c r="AV121" s="121" t="str">
        <f t="shared" si="52"/>
        <v>03</v>
      </c>
      <c r="AW121" s="121" t="str">
        <f t="shared" si="53"/>
        <v>20</v>
      </c>
      <c r="AX121" s="121">
        <f t="shared" si="54"/>
        <v>45005</v>
      </c>
      <c r="AY121" s="123"/>
      <c r="AZ121" s="124">
        <f t="shared" si="55"/>
        <v>45005</v>
      </c>
      <c r="BA121" s="121" t="b">
        <f t="shared" si="56"/>
        <v>1</v>
      </c>
      <c r="BB121" s="121">
        <f t="shared" si="57"/>
        <v>45005</v>
      </c>
      <c r="BC121" s="121" t="str">
        <f t="shared" si="58"/>
        <v>no</v>
      </c>
      <c r="BD121" s="121" t="b">
        <f t="shared" si="59"/>
        <v>0</v>
      </c>
      <c r="BE121" s="125" t="s">
        <v>56</v>
      </c>
      <c r="BF121" s="122"/>
    </row>
    <row r="122" spans="1:58" s="128" customFormat="1" ht="154">
      <c r="A122" s="140"/>
      <c r="B122" s="114" t="s">
        <v>353</v>
      </c>
      <c r="C122" s="114"/>
      <c r="D122" s="141"/>
      <c r="E122" s="522" t="s">
        <v>269</v>
      </c>
      <c r="F122" s="522" t="s">
        <v>270</v>
      </c>
      <c r="G122" s="142" t="s">
        <v>348</v>
      </c>
      <c r="H122" s="143">
        <v>45056</v>
      </c>
      <c r="I122" s="144">
        <v>45065</v>
      </c>
      <c r="J122" s="143">
        <v>45068</v>
      </c>
      <c r="K122" s="142">
        <v>45138</v>
      </c>
      <c r="L122" s="142" t="s">
        <v>349</v>
      </c>
      <c r="M122" s="144">
        <v>45061</v>
      </c>
      <c r="N122" s="144">
        <v>45065</v>
      </c>
      <c r="O122" s="144" t="s">
        <v>46</v>
      </c>
      <c r="P122" s="144" t="s">
        <v>46</v>
      </c>
      <c r="Q122" s="114" t="s">
        <v>78</v>
      </c>
      <c r="R122" s="114" t="s">
        <v>350</v>
      </c>
      <c r="S122" s="81">
        <f t="shared" si="61"/>
        <v>19</v>
      </c>
      <c r="T122" s="114">
        <v>22</v>
      </c>
      <c r="U122" s="114">
        <v>0</v>
      </c>
      <c r="V122" s="114">
        <v>19</v>
      </c>
      <c r="W122" s="114" t="s">
        <v>278</v>
      </c>
      <c r="X122" s="114"/>
      <c r="Y122" s="114"/>
      <c r="Z122" s="144" t="s">
        <v>50</v>
      </c>
      <c r="AA122" s="144" t="s">
        <v>50</v>
      </c>
      <c r="AB122" s="144" t="s">
        <v>50</v>
      </c>
      <c r="AC122" s="144" t="s">
        <v>50</v>
      </c>
      <c r="AD122" s="144" t="s">
        <v>50</v>
      </c>
      <c r="AE122" s="144" t="s">
        <v>279</v>
      </c>
      <c r="AF122" s="144" t="s">
        <v>279</v>
      </c>
      <c r="AG122" s="114" t="s">
        <v>321</v>
      </c>
      <c r="AH122" s="114" t="s">
        <v>54</v>
      </c>
      <c r="AI122" s="114" t="s">
        <v>46</v>
      </c>
      <c r="AJ122" s="114" t="s">
        <v>54</v>
      </c>
      <c r="AK122" s="114"/>
      <c r="AL122" s="114" t="s">
        <v>280</v>
      </c>
      <c r="AM122" s="114"/>
      <c r="AN122" s="114" t="s">
        <v>352</v>
      </c>
      <c r="AO122" s="114"/>
      <c r="AP122" s="114"/>
      <c r="AQ122" s="114"/>
      <c r="AR122" s="121">
        <f t="shared" si="49"/>
        <v>1</v>
      </c>
      <c r="AS122" s="121" t="str">
        <f t="shared" si="50"/>
        <v>2023_05_10_a</v>
      </c>
      <c r="AT122" s="122"/>
      <c r="AU122" s="121" t="str">
        <f t="shared" si="51"/>
        <v>2023</v>
      </c>
      <c r="AV122" s="121" t="str">
        <f t="shared" si="52"/>
        <v>05</v>
      </c>
      <c r="AW122" s="121" t="str">
        <f t="shared" si="53"/>
        <v>10</v>
      </c>
      <c r="AX122" s="121">
        <f t="shared" si="54"/>
        <v>45056</v>
      </c>
      <c r="AY122" s="123"/>
      <c r="AZ122" s="124">
        <f t="shared" si="55"/>
        <v>45056</v>
      </c>
      <c r="BA122" s="121" t="b">
        <f t="shared" si="56"/>
        <v>1</v>
      </c>
      <c r="BB122" s="121">
        <f t="shared" si="57"/>
        <v>45056</v>
      </c>
      <c r="BC122" s="121" t="str">
        <f t="shared" si="58"/>
        <v>no</v>
      </c>
      <c r="BD122" s="121" t="b">
        <f t="shared" si="59"/>
        <v>0</v>
      </c>
      <c r="BE122" s="125" t="s">
        <v>56</v>
      </c>
      <c r="BF122" s="122"/>
    </row>
    <row r="123" spans="1:58" s="114" customFormat="1" ht="154">
      <c r="A123" s="114" t="s">
        <v>305</v>
      </c>
      <c r="F123" s="533" t="s">
        <v>263</v>
      </c>
      <c r="G123" s="534"/>
      <c r="H123" s="534"/>
      <c r="I123" s="534"/>
      <c r="J123" s="534"/>
      <c r="K123" s="534"/>
      <c r="L123" s="534"/>
      <c r="M123" s="534"/>
      <c r="N123" s="534"/>
      <c r="O123" s="534"/>
      <c r="P123" s="534"/>
      <c r="Q123" s="534"/>
      <c r="R123" s="534"/>
      <c r="S123" s="114">
        <f>SUM(S102:S122)</f>
        <v>1016</v>
      </c>
      <c r="U123" s="114">
        <f>SUMIFS(U102:U120, Z102:Z120, "=Complete")</f>
        <v>0</v>
      </c>
      <c r="V123" s="114">
        <f>SUM(V102:V122)</f>
        <v>1016</v>
      </c>
      <c r="AA123" s="114">
        <f>COUNTIFS(AA102:AA120, "=Complete")</f>
        <v>19</v>
      </c>
      <c r="AG123" s="114">
        <f>COUNTIFS(AG102:AG121, "=Legacy")</f>
        <v>0</v>
      </c>
      <c r="AH123" s="114">
        <f>COUNTIFS(AH102:AH117, "=Virtual")</f>
        <v>16</v>
      </c>
      <c r="AR123" s="121">
        <f t="shared" si="49"/>
        <v>0</v>
      </c>
      <c r="AS123" s="121">
        <f t="shared" si="50"/>
        <v>0</v>
      </c>
      <c r="AT123" s="122"/>
      <c r="AU123" s="121" t="str">
        <f t="shared" si="51"/>
        <v>0</v>
      </c>
      <c r="AV123" s="121" t="str">
        <f t="shared" si="52"/>
        <v/>
      </c>
      <c r="AW123" s="121" t="str">
        <f t="shared" si="53"/>
        <v/>
      </c>
      <c r="AX123" s="121" t="str">
        <f t="shared" si="54"/>
        <v xml:space="preserve"> </v>
      </c>
      <c r="AY123" s="123"/>
      <c r="AZ123" s="124">
        <f t="shared" si="55"/>
        <v>0</v>
      </c>
      <c r="BA123" s="121" t="str">
        <f t="shared" si="56"/>
        <v xml:space="preserve"> </v>
      </c>
      <c r="BB123" s="121">
        <f t="shared" si="57"/>
        <v>0</v>
      </c>
      <c r="BC123" s="121" t="str">
        <f t="shared" si="58"/>
        <v>no</v>
      </c>
      <c r="BD123" s="121" t="b">
        <f t="shared" si="59"/>
        <v>0</v>
      </c>
      <c r="BE123" s="125" t="s">
        <v>56</v>
      </c>
      <c r="BF123" s="122"/>
    </row>
    <row r="124" spans="1:58" s="114" customFormat="1" ht="154">
      <c r="F124" s="533" t="s">
        <v>264</v>
      </c>
      <c r="G124" s="533"/>
      <c r="H124" s="533"/>
      <c r="I124" s="533"/>
      <c r="J124" s="533"/>
      <c r="K124" s="533"/>
      <c r="L124" s="533"/>
      <c r="M124" s="533"/>
      <c r="N124" s="533"/>
      <c r="O124" s="533"/>
      <c r="P124" s="533"/>
      <c r="Q124" s="533"/>
      <c r="R124" s="533"/>
      <c r="S124" s="114">
        <f>SUMIFS(S102:S121, AA102:AA121, "=In Progress")</f>
        <v>0</v>
      </c>
      <c r="U124" s="114">
        <f>SUMIFS(U102:U121, AA102:AA121, "=In Progress")</f>
        <v>0</v>
      </c>
      <c r="V124" s="114">
        <f>SUMIFS(V102:V118, Z102:Z118, "=In Progress")</f>
        <v>0</v>
      </c>
      <c r="AA124" s="114">
        <f>COUNTIFS(AA102:AA118, "=In Progress")</f>
        <v>0</v>
      </c>
      <c r="AR124" s="121">
        <f t="shared" si="49"/>
        <v>0</v>
      </c>
      <c r="AS124" s="121">
        <f t="shared" si="50"/>
        <v>0</v>
      </c>
      <c r="AT124" s="122"/>
      <c r="AU124" s="121" t="str">
        <f t="shared" si="51"/>
        <v>0</v>
      </c>
      <c r="AV124" s="121" t="str">
        <f t="shared" si="52"/>
        <v/>
      </c>
      <c r="AW124" s="121" t="str">
        <f t="shared" si="53"/>
        <v/>
      </c>
      <c r="AX124" s="121" t="str">
        <f t="shared" si="54"/>
        <v xml:space="preserve"> </v>
      </c>
      <c r="AY124" s="123"/>
      <c r="AZ124" s="124">
        <f t="shared" si="55"/>
        <v>0</v>
      </c>
      <c r="BA124" s="121" t="str">
        <f t="shared" si="56"/>
        <v xml:space="preserve"> </v>
      </c>
      <c r="BB124" s="121">
        <f t="shared" si="57"/>
        <v>0</v>
      </c>
      <c r="BC124" s="121" t="str">
        <f t="shared" si="58"/>
        <v>no</v>
      </c>
      <c r="BD124" s="121" t="b">
        <f t="shared" si="59"/>
        <v>1</v>
      </c>
      <c r="BE124" s="125" t="s">
        <v>56</v>
      </c>
      <c r="BF124" s="122"/>
    </row>
    <row r="125" spans="1:58" s="114" customFormat="1" ht="154">
      <c r="F125" s="533" t="s">
        <v>265</v>
      </c>
      <c r="G125" s="534"/>
      <c r="H125" s="534"/>
      <c r="I125" s="534"/>
      <c r="J125" s="534"/>
      <c r="K125" s="534"/>
      <c r="L125" s="534"/>
      <c r="M125" s="534"/>
      <c r="N125" s="534"/>
      <c r="O125" s="534"/>
      <c r="P125" s="534"/>
      <c r="Q125" s="534"/>
      <c r="R125" s="534"/>
      <c r="S125" s="114">
        <f>SUMIFS(S102:S121, AA102:AA121, "=Planned")</f>
        <v>0</v>
      </c>
      <c r="U125" s="114">
        <f>SUMIFS(U102:U121, AA102:AA121, "=Planned")</f>
        <v>0</v>
      </c>
      <c r="V125" s="114">
        <f>SUMIFS(V102:V121, Z102:Z121, "=Planned")</f>
        <v>0</v>
      </c>
      <c r="AA125" s="114">
        <f>COUNTIFS(AA102:AA121, "=Planned")</f>
        <v>0</v>
      </c>
      <c r="AG125" s="114">
        <f>COUNTIFS(AG102:AG124, "=Legacy")</f>
        <v>0</v>
      </c>
      <c r="AH125" s="114">
        <f>COUNTIFS(AH102:AH124, "=Virtual")</f>
        <v>19</v>
      </c>
      <c r="AR125" s="121">
        <f t="shared" si="49"/>
        <v>0</v>
      </c>
      <c r="AS125" s="121">
        <f t="shared" si="50"/>
        <v>0</v>
      </c>
      <c r="AT125" s="122"/>
      <c r="AU125" s="121" t="str">
        <f t="shared" si="51"/>
        <v>0</v>
      </c>
      <c r="AV125" s="121" t="str">
        <f t="shared" si="52"/>
        <v/>
      </c>
      <c r="AW125" s="121" t="str">
        <f t="shared" si="53"/>
        <v/>
      </c>
      <c r="AX125" s="121" t="str">
        <f t="shared" si="54"/>
        <v xml:space="preserve"> </v>
      </c>
      <c r="AY125" s="123"/>
      <c r="AZ125" s="124">
        <f t="shared" si="55"/>
        <v>0</v>
      </c>
      <c r="BA125" s="121" t="str">
        <f t="shared" si="56"/>
        <v xml:space="preserve"> </v>
      </c>
      <c r="BB125" s="121">
        <f t="shared" si="57"/>
        <v>0</v>
      </c>
      <c r="BC125" s="121" t="str">
        <f t="shared" si="58"/>
        <v>no</v>
      </c>
      <c r="BD125" s="121" t="b">
        <f t="shared" si="59"/>
        <v>1</v>
      </c>
      <c r="BE125" s="125" t="s">
        <v>56</v>
      </c>
      <c r="BF125" s="122"/>
    </row>
    <row r="126" spans="1:58" s="114" customFormat="1" ht="154">
      <c r="F126" s="533" t="s">
        <v>266</v>
      </c>
      <c r="G126" s="533"/>
      <c r="H126" s="533"/>
      <c r="I126" s="533"/>
      <c r="J126" s="533"/>
      <c r="K126" s="533"/>
      <c r="L126" s="533"/>
      <c r="M126" s="533"/>
      <c r="N126" s="533"/>
      <c r="O126" s="533"/>
      <c r="P126" s="533"/>
      <c r="Q126" s="533"/>
      <c r="R126" s="533"/>
      <c r="S126" s="114">
        <f>SUMIFS(S102:S119, AA102:AA119, "=Tentative")</f>
        <v>0</v>
      </c>
      <c r="U126" s="114">
        <f>SUMIFS(U102:U120, AA102:AA120, "=Tentative")</f>
        <v>0</v>
      </c>
      <c r="V126" s="114">
        <f>SUMIFS(V102:V123, Z102:Z123, "=Tentative")</f>
        <v>0</v>
      </c>
      <c r="AA126" s="114">
        <f>COUNTIFS(AA102:AA123, "=Tentative")</f>
        <v>0</v>
      </c>
      <c r="AR126" s="121">
        <f t="shared" si="49"/>
        <v>0</v>
      </c>
      <c r="AS126" s="121">
        <f t="shared" si="50"/>
        <v>0</v>
      </c>
      <c r="AT126" s="122"/>
      <c r="AU126" s="121" t="str">
        <f t="shared" si="51"/>
        <v>0</v>
      </c>
      <c r="AV126" s="121" t="str">
        <f t="shared" si="52"/>
        <v/>
      </c>
      <c r="AW126" s="121" t="str">
        <f t="shared" si="53"/>
        <v/>
      </c>
      <c r="AX126" s="121" t="str">
        <f t="shared" si="54"/>
        <v xml:space="preserve"> </v>
      </c>
      <c r="AY126" s="123"/>
      <c r="AZ126" s="124">
        <f t="shared" si="55"/>
        <v>0</v>
      </c>
      <c r="BA126" s="121" t="str">
        <f t="shared" si="56"/>
        <v xml:space="preserve"> </v>
      </c>
      <c r="BB126" s="121">
        <f t="shared" si="57"/>
        <v>0</v>
      </c>
      <c r="BC126" s="121" t="str">
        <f t="shared" si="58"/>
        <v>no</v>
      </c>
      <c r="BD126" s="121" t="b">
        <f t="shared" si="59"/>
        <v>1</v>
      </c>
      <c r="BE126" s="125" t="s">
        <v>56</v>
      </c>
      <c r="BF126" s="122"/>
    </row>
    <row r="127" spans="1:58" s="114" customFormat="1" ht="154">
      <c r="F127" s="538" t="s">
        <v>267</v>
      </c>
      <c r="G127" s="534"/>
      <c r="H127" s="534"/>
      <c r="I127" s="534"/>
      <c r="J127" s="534"/>
      <c r="K127" s="534"/>
      <c r="L127" s="534"/>
      <c r="M127" s="534"/>
      <c r="N127" s="534"/>
      <c r="O127" s="534"/>
      <c r="P127" s="534"/>
      <c r="Q127" s="534"/>
      <c r="R127" s="534"/>
      <c r="S127" s="523">
        <f>SUM(S123:S126)</f>
        <v>1016</v>
      </c>
      <c r="U127" s="523">
        <f>SUM(U102:U126)</f>
        <v>0</v>
      </c>
      <c r="V127" s="523">
        <f>SUM(V123:V126)</f>
        <v>1016</v>
      </c>
      <c r="AR127" s="121">
        <f t="shared" si="49"/>
        <v>0</v>
      </c>
      <c r="AS127" s="121">
        <f t="shared" si="50"/>
        <v>0</v>
      </c>
      <c r="AT127" s="122"/>
      <c r="AU127" s="121" t="str">
        <f t="shared" si="51"/>
        <v>0</v>
      </c>
      <c r="AV127" s="121" t="str">
        <f t="shared" si="52"/>
        <v/>
      </c>
      <c r="AW127" s="121" t="str">
        <f t="shared" si="53"/>
        <v/>
      </c>
      <c r="AX127" s="121" t="str">
        <f t="shared" si="54"/>
        <v xml:space="preserve"> </v>
      </c>
      <c r="AY127" s="123"/>
      <c r="AZ127" s="124">
        <f t="shared" si="55"/>
        <v>0</v>
      </c>
      <c r="BA127" s="121" t="str">
        <f t="shared" si="56"/>
        <v xml:space="preserve"> </v>
      </c>
      <c r="BB127" s="121">
        <f t="shared" si="57"/>
        <v>0</v>
      </c>
      <c r="BC127" s="121" t="str">
        <f t="shared" si="58"/>
        <v>no</v>
      </c>
      <c r="BD127" s="121" t="b">
        <f t="shared" si="59"/>
        <v>0</v>
      </c>
      <c r="BE127" s="125" t="s">
        <v>56</v>
      </c>
      <c r="BF127" s="122"/>
    </row>
    <row r="128" spans="1:58" s="114" customFormat="1" ht="154">
      <c r="B128" s="114" t="s">
        <v>354</v>
      </c>
      <c r="D128" s="81">
        <v>10096428</v>
      </c>
      <c r="F128" s="522" t="s">
        <v>355</v>
      </c>
      <c r="G128" s="142" t="s">
        <v>348</v>
      </c>
      <c r="H128" s="143">
        <v>44249</v>
      </c>
      <c r="I128" s="144" t="s">
        <v>356</v>
      </c>
      <c r="J128" s="143">
        <v>44263</v>
      </c>
      <c r="K128" s="144"/>
      <c r="L128" s="144"/>
      <c r="M128" s="144" t="s">
        <v>277</v>
      </c>
      <c r="N128" s="144" t="s">
        <v>277</v>
      </c>
      <c r="O128" s="144" t="s">
        <v>277</v>
      </c>
      <c r="P128" s="144" t="s">
        <v>277</v>
      </c>
      <c r="Q128" s="114" t="s">
        <v>47</v>
      </c>
      <c r="R128" s="114" t="s">
        <v>348</v>
      </c>
      <c r="S128" s="81">
        <f t="shared" ref="S128:S130" si="62">U128+V128</f>
        <v>27</v>
      </c>
      <c r="T128" s="81">
        <v>27</v>
      </c>
      <c r="U128" s="114">
        <v>0</v>
      </c>
      <c r="V128" s="114">
        <v>27</v>
      </c>
      <c r="W128" s="114" t="s">
        <v>357</v>
      </c>
      <c r="X128" s="114" t="s">
        <v>358</v>
      </c>
      <c r="Z128" s="114" t="s">
        <v>52</v>
      </c>
      <c r="AA128" s="114" t="s">
        <v>52</v>
      </c>
      <c r="AB128" s="114" t="s">
        <v>52</v>
      </c>
      <c r="AC128" s="114" t="s">
        <v>359</v>
      </c>
      <c r="AD128" s="114" t="s">
        <v>360</v>
      </c>
      <c r="AE128" s="114" t="s">
        <v>52</v>
      </c>
      <c r="AF128" s="114" t="s">
        <v>52</v>
      </c>
      <c r="AG128" s="114" t="s">
        <v>53</v>
      </c>
      <c r="AH128" s="114" t="s">
        <v>54</v>
      </c>
      <c r="AI128" s="114" t="s">
        <v>359</v>
      </c>
      <c r="AJ128" s="114" t="s">
        <v>361</v>
      </c>
      <c r="AL128" s="114" t="s">
        <v>362</v>
      </c>
      <c r="AR128" s="121">
        <f t="shared" si="49"/>
        <v>1</v>
      </c>
      <c r="AS128" s="121" t="str">
        <f t="shared" si="50"/>
        <v>2021_02_22_a</v>
      </c>
      <c r="AT128" s="122"/>
      <c r="AU128" s="121" t="str">
        <f t="shared" si="51"/>
        <v>2021</v>
      </c>
      <c r="AV128" s="121" t="str">
        <f t="shared" si="52"/>
        <v>02</v>
      </c>
      <c r="AW128" s="121" t="str">
        <f t="shared" si="53"/>
        <v>22</v>
      </c>
      <c r="AX128" s="121">
        <f t="shared" si="54"/>
        <v>44249</v>
      </c>
      <c r="AY128" s="123"/>
      <c r="AZ128" s="124">
        <f t="shared" si="55"/>
        <v>44249</v>
      </c>
      <c r="BA128" s="121" t="b">
        <f t="shared" si="56"/>
        <v>1</v>
      </c>
      <c r="BB128" s="121">
        <f t="shared" si="57"/>
        <v>44249</v>
      </c>
      <c r="BC128" s="121" t="str">
        <f t="shared" si="58"/>
        <v>no</v>
      </c>
      <c r="BD128" s="121" t="b">
        <f t="shared" si="59"/>
        <v>0</v>
      </c>
      <c r="BE128" s="125" t="s">
        <v>56</v>
      </c>
      <c r="BF128" s="122"/>
    </row>
    <row r="129" spans="2:58" s="114" customFormat="1" ht="154">
      <c r="B129" s="81" t="s">
        <v>363</v>
      </c>
      <c r="C129" s="81"/>
      <c r="D129" s="81" t="s">
        <v>364</v>
      </c>
      <c r="E129" s="81"/>
      <c r="F129" s="531" t="s">
        <v>355</v>
      </c>
      <c r="G129" s="147" t="s">
        <v>348</v>
      </c>
      <c r="H129" s="137">
        <v>44354</v>
      </c>
      <c r="I129" s="148"/>
      <c r="J129" s="137">
        <v>44368</v>
      </c>
      <c r="K129" s="148"/>
      <c r="L129" s="148"/>
      <c r="M129" s="148"/>
      <c r="N129" s="148"/>
      <c r="O129" s="148"/>
      <c r="P129" s="148"/>
      <c r="Q129" s="81"/>
      <c r="R129" s="81" t="s">
        <v>365</v>
      </c>
      <c r="S129" s="81">
        <f t="shared" si="62"/>
        <v>13</v>
      </c>
      <c r="T129" s="81">
        <v>24</v>
      </c>
      <c r="U129" s="81">
        <v>0</v>
      </c>
      <c r="V129" s="114">
        <v>13</v>
      </c>
      <c r="W129" s="81" t="s">
        <v>366</v>
      </c>
      <c r="X129" s="81" t="s">
        <v>367</v>
      </c>
      <c r="Y129" s="81"/>
      <c r="Z129" s="81" t="s">
        <v>52</v>
      </c>
      <c r="AA129" s="81" t="s">
        <v>360</v>
      </c>
      <c r="AB129" s="81" t="s">
        <v>52</v>
      </c>
      <c r="AC129" s="81" t="s">
        <v>46</v>
      </c>
      <c r="AD129" s="81" t="s">
        <v>52</v>
      </c>
      <c r="AE129" s="81" t="s">
        <v>52</v>
      </c>
      <c r="AF129" s="81" t="s">
        <v>52</v>
      </c>
      <c r="AG129" s="81" t="s">
        <v>53</v>
      </c>
      <c r="AH129" s="81" t="s">
        <v>54</v>
      </c>
      <c r="AI129" s="81" t="s">
        <v>46</v>
      </c>
      <c r="AJ129" s="81" t="s">
        <v>54</v>
      </c>
      <c r="AK129" s="81"/>
      <c r="AL129" s="81" t="s">
        <v>55</v>
      </c>
      <c r="AR129" s="121">
        <f t="shared" si="49"/>
        <v>1</v>
      </c>
      <c r="AS129" s="121" t="str">
        <f t="shared" si="50"/>
        <v>2021_06_07_a</v>
      </c>
      <c r="AT129" s="122"/>
      <c r="AU129" s="121" t="str">
        <f t="shared" si="51"/>
        <v>2021</v>
      </c>
      <c r="AV129" s="121" t="str">
        <f t="shared" si="52"/>
        <v>06</v>
      </c>
      <c r="AW129" s="121" t="str">
        <f t="shared" si="53"/>
        <v>07</v>
      </c>
      <c r="AX129" s="121">
        <f t="shared" si="54"/>
        <v>44354</v>
      </c>
      <c r="AY129" s="123"/>
      <c r="AZ129" s="124">
        <f t="shared" si="55"/>
        <v>44354</v>
      </c>
      <c r="BA129" s="121" t="b">
        <f t="shared" si="56"/>
        <v>1</v>
      </c>
      <c r="BB129" s="121">
        <f t="shared" si="57"/>
        <v>44354</v>
      </c>
      <c r="BC129" s="121" t="str">
        <f t="shared" si="58"/>
        <v>no</v>
      </c>
      <c r="BD129" s="121" t="b">
        <f t="shared" si="59"/>
        <v>0</v>
      </c>
      <c r="BE129" s="125" t="s">
        <v>56</v>
      </c>
      <c r="BF129" s="122"/>
    </row>
    <row r="130" spans="2:58" s="114" customFormat="1" ht="154">
      <c r="B130" s="114" t="s">
        <v>368</v>
      </c>
      <c r="D130" s="149">
        <v>10097921</v>
      </c>
      <c r="F130" s="522" t="s">
        <v>355</v>
      </c>
      <c r="G130" s="142" t="s">
        <v>348</v>
      </c>
      <c r="H130" s="143">
        <v>44272</v>
      </c>
      <c r="I130" s="144" t="s">
        <v>369</v>
      </c>
      <c r="J130" s="143">
        <v>44286</v>
      </c>
      <c r="K130" s="144"/>
      <c r="L130" s="144"/>
      <c r="M130" s="144" t="s">
        <v>277</v>
      </c>
      <c r="N130" s="144" t="s">
        <v>277</v>
      </c>
      <c r="O130" s="144" t="s">
        <v>277</v>
      </c>
      <c r="P130" s="144" t="s">
        <v>277</v>
      </c>
      <c r="Q130" s="114" t="s">
        <v>47</v>
      </c>
      <c r="R130" s="114" t="s">
        <v>348</v>
      </c>
      <c r="S130" s="114">
        <f t="shared" si="62"/>
        <v>24</v>
      </c>
      <c r="T130" s="81">
        <v>24</v>
      </c>
      <c r="U130" s="114">
        <v>0</v>
      </c>
      <c r="V130" s="114">
        <v>24</v>
      </c>
      <c r="W130" s="81" t="s">
        <v>370</v>
      </c>
      <c r="X130" s="114" t="s">
        <v>371</v>
      </c>
      <c r="Z130" s="114" t="s">
        <v>52</v>
      </c>
      <c r="AA130" s="114" t="s">
        <v>52</v>
      </c>
      <c r="AB130" s="114" t="s">
        <v>52</v>
      </c>
      <c r="AC130" s="114" t="s">
        <v>46</v>
      </c>
      <c r="AD130" s="114" t="s">
        <v>52</v>
      </c>
      <c r="AE130" s="114" t="s">
        <v>52</v>
      </c>
      <c r="AF130" s="114" t="s">
        <v>52</v>
      </c>
      <c r="AG130" s="114" t="s">
        <v>53</v>
      </c>
      <c r="AH130" s="114" t="s">
        <v>54</v>
      </c>
      <c r="AI130" s="114" t="s">
        <v>46</v>
      </c>
      <c r="AJ130" s="114" t="s">
        <v>361</v>
      </c>
      <c r="AL130" s="114" t="s">
        <v>55</v>
      </c>
      <c r="AR130" s="121">
        <f t="shared" si="49"/>
        <v>1</v>
      </c>
      <c r="AS130" s="121" t="str">
        <f t="shared" si="50"/>
        <v>2021_03_17_a</v>
      </c>
      <c r="AT130" s="122"/>
      <c r="AU130" s="121" t="str">
        <f t="shared" si="51"/>
        <v>2021</v>
      </c>
      <c r="AV130" s="121" t="str">
        <f t="shared" si="52"/>
        <v>03</v>
      </c>
      <c r="AW130" s="121" t="str">
        <f t="shared" si="53"/>
        <v>17</v>
      </c>
      <c r="AX130" s="121">
        <f t="shared" si="54"/>
        <v>44272</v>
      </c>
      <c r="AY130" s="123"/>
      <c r="AZ130" s="124">
        <f t="shared" si="55"/>
        <v>44272</v>
      </c>
      <c r="BA130" s="121" t="b">
        <f t="shared" si="56"/>
        <v>1</v>
      </c>
      <c r="BB130" s="121">
        <f t="shared" si="57"/>
        <v>44272</v>
      </c>
      <c r="BC130" s="121" t="str">
        <f t="shared" si="58"/>
        <v>no</v>
      </c>
      <c r="BD130" s="121" t="b">
        <f t="shared" si="59"/>
        <v>0</v>
      </c>
      <c r="BE130" s="125" t="s">
        <v>56</v>
      </c>
      <c r="BF130" s="122"/>
    </row>
    <row r="131" spans="2:58" s="114" customFormat="1" ht="154">
      <c r="B131" s="81" t="s">
        <v>372</v>
      </c>
      <c r="C131" s="81"/>
      <c r="D131" s="81">
        <v>10101652</v>
      </c>
      <c r="E131" s="81"/>
      <c r="F131" s="531" t="s">
        <v>355</v>
      </c>
      <c r="G131" s="147" t="s">
        <v>348</v>
      </c>
      <c r="H131" s="137">
        <v>44368</v>
      </c>
      <c r="I131" s="148"/>
      <c r="J131" s="137">
        <v>44382</v>
      </c>
      <c r="K131" s="148"/>
      <c r="L131" s="148"/>
      <c r="M131" s="148"/>
      <c r="N131" s="148"/>
      <c r="O131" s="148"/>
      <c r="P131" s="148"/>
      <c r="Q131" s="81"/>
      <c r="R131" s="81" t="s">
        <v>373</v>
      </c>
      <c r="S131" s="81">
        <f>U131+V131</f>
        <v>22</v>
      </c>
      <c r="T131" s="81">
        <v>24</v>
      </c>
      <c r="U131" s="81">
        <v>0</v>
      </c>
      <c r="V131" s="114">
        <v>22</v>
      </c>
      <c r="W131" s="81" t="s">
        <v>357</v>
      </c>
      <c r="X131" s="81" t="s">
        <v>374</v>
      </c>
      <c r="Y131" s="81"/>
      <c r="Z131" s="81" t="s">
        <v>52</v>
      </c>
      <c r="AA131" s="81" t="s">
        <v>50</v>
      </c>
      <c r="AB131" s="81" t="s">
        <v>52</v>
      </c>
      <c r="AC131" s="81" t="s">
        <v>46</v>
      </c>
      <c r="AD131" s="81" t="s">
        <v>52</v>
      </c>
      <c r="AE131" s="81" t="s">
        <v>52</v>
      </c>
      <c r="AF131" s="81" t="s">
        <v>52</v>
      </c>
      <c r="AG131" s="81" t="s">
        <v>53</v>
      </c>
      <c r="AH131" s="81" t="s">
        <v>54</v>
      </c>
      <c r="AI131" s="81" t="s">
        <v>46</v>
      </c>
      <c r="AJ131" s="81" t="s">
        <v>54</v>
      </c>
      <c r="AK131" s="81"/>
      <c r="AL131" s="81" t="s">
        <v>55</v>
      </c>
      <c r="AR131" s="121">
        <f t="shared" ref="AR131:AR194" si="63">COUNTIF(B:B,B131)</f>
        <v>1</v>
      </c>
      <c r="AS131" s="121" t="str">
        <f t="shared" si="50"/>
        <v>2021_06_21_a</v>
      </c>
      <c r="AT131" s="122"/>
      <c r="AU131" s="121" t="str">
        <f t="shared" si="51"/>
        <v>2021</v>
      </c>
      <c r="AV131" s="121" t="str">
        <f t="shared" si="52"/>
        <v>06</v>
      </c>
      <c r="AW131" s="121" t="str">
        <f t="shared" si="53"/>
        <v>21</v>
      </c>
      <c r="AX131" s="121">
        <f t="shared" si="54"/>
        <v>44368</v>
      </c>
      <c r="AY131" s="123"/>
      <c r="AZ131" s="124">
        <f t="shared" si="55"/>
        <v>44368</v>
      </c>
      <c r="BA131" s="121" t="b">
        <f t="shared" si="56"/>
        <v>1</v>
      </c>
      <c r="BB131" s="121">
        <f t="shared" si="57"/>
        <v>44368</v>
      </c>
      <c r="BC131" s="121" t="str">
        <f t="shared" si="58"/>
        <v>no</v>
      </c>
      <c r="BD131" s="121" t="b">
        <f t="shared" si="59"/>
        <v>0</v>
      </c>
      <c r="BE131" s="125" t="s">
        <v>56</v>
      </c>
      <c r="BF131" s="122"/>
    </row>
    <row r="132" spans="2:58" s="114" customFormat="1" ht="154">
      <c r="B132" s="115" t="s">
        <v>375</v>
      </c>
      <c r="C132" s="81"/>
      <c r="D132" s="81">
        <v>10103133</v>
      </c>
      <c r="E132" s="81"/>
      <c r="F132" s="531" t="s">
        <v>355</v>
      </c>
      <c r="G132" s="147" t="s">
        <v>348</v>
      </c>
      <c r="H132" s="137">
        <v>44413</v>
      </c>
      <c r="I132" s="148"/>
      <c r="J132" s="137">
        <v>44423</v>
      </c>
      <c r="K132" s="148"/>
      <c r="L132" s="148"/>
      <c r="M132" s="148"/>
      <c r="N132" s="148"/>
      <c r="O132" s="148"/>
      <c r="P132" s="148"/>
      <c r="Q132" s="81"/>
      <c r="R132" s="81"/>
      <c r="S132" s="81">
        <f>U132+V132</f>
        <v>19</v>
      </c>
      <c r="T132" s="81">
        <v>24</v>
      </c>
      <c r="U132" s="81">
        <v>0</v>
      </c>
      <c r="V132" s="114">
        <v>19</v>
      </c>
      <c r="W132" s="81" t="s">
        <v>376</v>
      </c>
      <c r="X132" s="81" t="s">
        <v>371</v>
      </c>
      <c r="Y132" s="81"/>
      <c r="Z132" s="81" t="s">
        <v>52</v>
      </c>
      <c r="AA132" s="81" t="s">
        <v>50</v>
      </c>
      <c r="AB132" s="81" t="s">
        <v>52</v>
      </c>
      <c r="AC132" s="81" t="s">
        <v>46</v>
      </c>
      <c r="AD132" s="81" t="s">
        <v>52</v>
      </c>
      <c r="AE132" s="81" t="s">
        <v>52</v>
      </c>
      <c r="AF132" s="81" t="s">
        <v>52</v>
      </c>
      <c r="AG132" s="81" t="s">
        <v>53</v>
      </c>
      <c r="AH132" s="81" t="s">
        <v>54</v>
      </c>
      <c r="AI132" s="81" t="s">
        <v>46</v>
      </c>
      <c r="AJ132" s="81" t="s">
        <v>54</v>
      </c>
      <c r="AK132" s="81"/>
      <c r="AL132" s="81" t="s">
        <v>55</v>
      </c>
      <c r="AR132" s="121">
        <f t="shared" si="63"/>
        <v>1</v>
      </c>
      <c r="AS132" s="121" t="str">
        <f t="shared" ref="AS132:AS195" si="64">IFERROR(RIGHT(B132,16-SEARCH("_", B132)),0)</f>
        <v>2021_08_05_a</v>
      </c>
      <c r="AT132" s="122"/>
      <c r="AU132" s="121" t="str">
        <f t="shared" ref="AU132:AU195" si="65">LEFT(AS132,4)</f>
        <v>2021</v>
      </c>
      <c r="AV132" s="121" t="str">
        <f t="shared" ref="AV132:AV195" si="66">MID(AS132,6,2)</f>
        <v>08</v>
      </c>
      <c r="AW132" s="121" t="str">
        <f t="shared" ref="AW132:AW195" si="67">MID(AS132,9,2)</f>
        <v>05</v>
      </c>
      <c r="AX132" s="121">
        <f t="shared" ref="AX132:AX195" si="68">IFERROR(DATE(AU132,AV132,AW132)," ")</f>
        <v>44413</v>
      </c>
      <c r="AY132" s="123"/>
      <c r="AZ132" s="124">
        <f t="shared" ref="AZ132:AZ195" si="69">H132</f>
        <v>44413</v>
      </c>
      <c r="BA132" s="121" t="b">
        <f t="shared" ref="BA132:BA195" si="70">IF(AX132=" "," ",AX132=AZ132)</f>
        <v>1</v>
      </c>
      <c r="BB132" s="121">
        <f t="shared" ref="BB132:BB195" si="71">IF(BC132="YES"," ",AZ132)</f>
        <v>44413</v>
      </c>
      <c r="BC132" s="121" t="str">
        <f t="shared" ref="BC132:BC195" si="72">IF(AM132="Apprentice","yes","no")</f>
        <v>no</v>
      </c>
      <c r="BD132" s="121" t="b">
        <f t="shared" ref="BD132:BD195" si="73">IF(OR(U132&lt;&gt;"0", V132&lt;&gt;"0"),U132=V132," ")</f>
        <v>0</v>
      </c>
      <c r="BE132" s="125" t="s">
        <v>56</v>
      </c>
      <c r="BF132" s="122"/>
    </row>
    <row r="133" spans="2:58" s="115" customFormat="1" ht="154">
      <c r="B133" s="115" t="s">
        <v>377</v>
      </c>
      <c r="D133" s="115">
        <v>10105619</v>
      </c>
      <c r="F133" s="150" t="s">
        <v>355</v>
      </c>
      <c r="G133" s="151" t="s">
        <v>348</v>
      </c>
      <c r="H133" s="152">
        <v>44459</v>
      </c>
      <c r="I133" s="153">
        <v>44470</v>
      </c>
      <c r="J133" s="152">
        <v>44473</v>
      </c>
      <c r="K133" s="153">
        <v>44126</v>
      </c>
      <c r="L133" s="153">
        <v>44494</v>
      </c>
      <c r="M133" s="153" t="s">
        <v>277</v>
      </c>
      <c r="N133" s="153" t="s">
        <v>277</v>
      </c>
      <c r="O133" s="153" t="s">
        <v>277</v>
      </c>
      <c r="P133" s="153" t="s">
        <v>277</v>
      </c>
      <c r="Q133" s="115" t="s">
        <v>99</v>
      </c>
      <c r="R133" s="115" t="s">
        <v>348</v>
      </c>
      <c r="S133" s="81">
        <f t="shared" ref="S133:S146" si="74">U133+V133</f>
        <v>42</v>
      </c>
      <c r="T133" s="81">
        <v>42</v>
      </c>
      <c r="U133" s="115">
        <v>0</v>
      </c>
      <c r="V133" s="114">
        <v>42</v>
      </c>
      <c r="W133" s="81" t="s">
        <v>357</v>
      </c>
      <c r="X133" s="115" t="s">
        <v>371</v>
      </c>
      <c r="Z133" s="115" t="s">
        <v>52</v>
      </c>
      <c r="AA133" s="115" t="s">
        <v>50</v>
      </c>
      <c r="AB133" s="115" t="s">
        <v>52</v>
      </c>
      <c r="AC133" s="115" t="s">
        <v>46</v>
      </c>
      <c r="AD133" s="115" t="s">
        <v>52</v>
      </c>
      <c r="AE133" s="115" t="s">
        <v>52</v>
      </c>
      <c r="AF133" s="115" t="s">
        <v>52</v>
      </c>
      <c r="AG133" s="115" t="s">
        <v>53</v>
      </c>
      <c r="AH133" s="115" t="s">
        <v>54</v>
      </c>
      <c r="AI133" s="115" t="s">
        <v>46</v>
      </c>
      <c r="AJ133" s="115" t="s">
        <v>378</v>
      </c>
      <c r="AL133" s="115" t="s">
        <v>55</v>
      </c>
      <c r="AR133" s="121">
        <f t="shared" si="63"/>
        <v>1</v>
      </c>
      <c r="AS133" s="121" t="str">
        <f t="shared" si="64"/>
        <v>2021_09_20_a</v>
      </c>
      <c r="AT133" s="122"/>
      <c r="AU133" s="121" t="str">
        <f t="shared" si="65"/>
        <v>2021</v>
      </c>
      <c r="AV133" s="121" t="str">
        <f t="shared" si="66"/>
        <v>09</v>
      </c>
      <c r="AW133" s="121" t="str">
        <f t="shared" si="67"/>
        <v>20</v>
      </c>
      <c r="AX133" s="121">
        <f t="shared" si="68"/>
        <v>44459</v>
      </c>
      <c r="AY133" s="123"/>
      <c r="AZ133" s="124">
        <f t="shared" si="69"/>
        <v>44459</v>
      </c>
      <c r="BA133" s="121" t="b">
        <f t="shared" si="70"/>
        <v>1</v>
      </c>
      <c r="BB133" s="121">
        <f t="shared" si="71"/>
        <v>44459</v>
      </c>
      <c r="BC133" s="121" t="str">
        <f t="shared" si="72"/>
        <v>no</v>
      </c>
      <c r="BD133" s="121" t="b">
        <f t="shared" si="73"/>
        <v>0</v>
      </c>
      <c r="BE133" s="125" t="s">
        <v>56</v>
      </c>
      <c r="BF133" s="122"/>
    </row>
    <row r="134" spans="2:58" s="115" customFormat="1" ht="154">
      <c r="B134" s="115" t="s">
        <v>379</v>
      </c>
      <c r="D134" s="115">
        <v>10210275</v>
      </c>
      <c r="F134" s="150" t="s">
        <v>355</v>
      </c>
      <c r="G134" s="151" t="s">
        <v>348</v>
      </c>
      <c r="H134" s="152">
        <v>44473</v>
      </c>
      <c r="I134" s="153">
        <v>44849</v>
      </c>
      <c r="J134" s="152">
        <v>44487</v>
      </c>
      <c r="K134" s="153"/>
      <c r="L134" s="153"/>
      <c r="M134" s="153"/>
      <c r="N134" s="153"/>
      <c r="O134" s="153"/>
      <c r="P134" s="153"/>
      <c r="R134" s="115" t="s">
        <v>365</v>
      </c>
      <c r="S134" s="81">
        <f t="shared" si="74"/>
        <v>24</v>
      </c>
      <c r="T134" s="81">
        <v>24</v>
      </c>
      <c r="U134" s="115">
        <v>0</v>
      </c>
      <c r="V134" s="114">
        <v>24</v>
      </c>
      <c r="W134" s="81" t="s">
        <v>357</v>
      </c>
      <c r="X134" s="115" t="s">
        <v>380</v>
      </c>
      <c r="Z134" s="115" t="s">
        <v>52</v>
      </c>
      <c r="AA134" s="115" t="s">
        <v>50</v>
      </c>
      <c r="AB134" s="115" t="s">
        <v>360</v>
      </c>
      <c r="AC134" s="115" t="s">
        <v>359</v>
      </c>
      <c r="AD134" s="115" t="s">
        <v>360</v>
      </c>
      <c r="AE134" s="115" t="s">
        <v>360</v>
      </c>
      <c r="AF134" s="115" t="s">
        <v>360</v>
      </c>
      <c r="AG134" s="115" t="s">
        <v>53</v>
      </c>
      <c r="AH134" s="115" t="s">
        <v>378</v>
      </c>
      <c r="AI134" s="115" t="s">
        <v>46</v>
      </c>
      <c r="AJ134" s="115" t="s">
        <v>381</v>
      </c>
      <c r="AL134" s="115" t="s">
        <v>362</v>
      </c>
      <c r="AR134" s="121">
        <f t="shared" si="63"/>
        <v>1</v>
      </c>
      <c r="AS134" s="121" t="str">
        <f t="shared" si="64"/>
        <v>2021_10_04_a</v>
      </c>
      <c r="AT134" s="122"/>
      <c r="AU134" s="121" t="str">
        <f t="shared" si="65"/>
        <v>2021</v>
      </c>
      <c r="AV134" s="121" t="str">
        <f t="shared" si="66"/>
        <v>10</v>
      </c>
      <c r="AW134" s="121" t="str">
        <f t="shared" si="67"/>
        <v>04</v>
      </c>
      <c r="AX134" s="121">
        <f t="shared" si="68"/>
        <v>44473</v>
      </c>
      <c r="AY134" s="123"/>
      <c r="AZ134" s="124">
        <f t="shared" si="69"/>
        <v>44473</v>
      </c>
      <c r="BA134" s="121" t="b">
        <f t="shared" si="70"/>
        <v>1</v>
      </c>
      <c r="BB134" s="121">
        <f t="shared" si="71"/>
        <v>44473</v>
      </c>
      <c r="BC134" s="121" t="str">
        <f t="shared" si="72"/>
        <v>no</v>
      </c>
      <c r="BD134" s="121" t="b">
        <f t="shared" si="73"/>
        <v>0</v>
      </c>
      <c r="BE134" s="125" t="s">
        <v>56</v>
      </c>
      <c r="BF134" s="122"/>
    </row>
    <row r="135" spans="2:58" s="115" customFormat="1" ht="154">
      <c r="B135" s="115" t="s">
        <v>382</v>
      </c>
      <c r="D135" s="154">
        <v>10220966</v>
      </c>
      <c r="F135" s="150" t="s">
        <v>355</v>
      </c>
      <c r="G135" s="151" t="s">
        <v>348</v>
      </c>
      <c r="H135" s="152">
        <v>44494</v>
      </c>
      <c r="I135" s="153">
        <v>44505</v>
      </c>
      <c r="J135" s="152">
        <v>44508</v>
      </c>
      <c r="K135" s="153">
        <v>44519</v>
      </c>
      <c r="L135" s="153">
        <v>44522</v>
      </c>
      <c r="M135" s="153" t="s">
        <v>277</v>
      </c>
      <c r="N135" s="153" t="s">
        <v>277</v>
      </c>
      <c r="O135" s="153" t="s">
        <v>277</v>
      </c>
      <c r="P135" s="153" t="s">
        <v>277</v>
      </c>
      <c r="Q135" s="115" t="s">
        <v>121</v>
      </c>
      <c r="R135" s="115" t="s">
        <v>348</v>
      </c>
      <c r="S135" s="81">
        <f t="shared" si="74"/>
        <v>26</v>
      </c>
      <c r="T135" s="115">
        <v>26</v>
      </c>
      <c r="U135" s="115">
        <v>0</v>
      </c>
      <c r="V135" s="114">
        <v>26</v>
      </c>
      <c r="W135" s="115" t="s">
        <v>357</v>
      </c>
      <c r="X135" s="115" t="s">
        <v>371</v>
      </c>
      <c r="Z135" s="115" t="s">
        <v>52</v>
      </c>
      <c r="AA135" s="115" t="s">
        <v>50</v>
      </c>
      <c r="AB135" s="115" t="s">
        <v>52</v>
      </c>
      <c r="AC135" s="115" t="s">
        <v>46</v>
      </c>
      <c r="AD135" s="115" t="s">
        <v>52</v>
      </c>
      <c r="AE135" s="115" t="s">
        <v>52</v>
      </c>
      <c r="AF135" s="115" t="s">
        <v>52</v>
      </c>
      <c r="AG135" s="115" t="s">
        <v>53</v>
      </c>
      <c r="AH135" s="115" t="s">
        <v>54</v>
      </c>
      <c r="AI135" s="115" t="s">
        <v>46</v>
      </c>
      <c r="AJ135" s="115" t="s">
        <v>378</v>
      </c>
      <c r="AL135" s="115" t="s">
        <v>55</v>
      </c>
      <c r="AR135" s="121">
        <f t="shared" si="63"/>
        <v>1</v>
      </c>
      <c r="AS135" s="121" t="str">
        <f t="shared" si="64"/>
        <v>2021_10_25_a</v>
      </c>
      <c r="AT135" s="122"/>
      <c r="AU135" s="121" t="str">
        <f t="shared" si="65"/>
        <v>2021</v>
      </c>
      <c r="AV135" s="121" t="str">
        <f t="shared" si="66"/>
        <v>10</v>
      </c>
      <c r="AW135" s="121" t="str">
        <f t="shared" si="67"/>
        <v>25</v>
      </c>
      <c r="AX135" s="121">
        <f t="shared" si="68"/>
        <v>44494</v>
      </c>
      <c r="AY135" s="123"/>
      <c r="AZ135" s="124">
        <f t="shared" si="69"/>
        <v>44494</v>
      </c>
      <c r="BA135" s="121" t="b">
        <f t="shared" si="70"/>
        <v>1</v>
      </c>
      <c r="BB135" s="121">
        <f t="shared" si="71"/>
        <v>44494</v>
      </c>
      <c r="BC135" s="121" t="str">
        <f t="shared" si="72"/>
        <v>no</v>
      </c>
      <c r="BD135" s="121" t="b">
        <f t="shared" si="73"/>
        <v>0</v>
      </c>
      <c r="BE135" s="125" t="s">
        <v>56</v>
      </c>
      <c r="BF135" s="122"/>
    </row>
    <row r="136" spans="2:58" s="115" customFormat="1" ht="154">
      <c r="B136" s="115" t="s">
        <v>383</v>
      </c>
      <c r="D136" s="154">
        <v>10241236</v>
      </c>
      <c r="F136" s="150" t="s">
        <v>355</v>
      </c>
      <c r="G136" s="151" t="s">
        <v>348</v>
      </c>
      <c r="H136" s="152">
        <v>44599</v>
      </c>
      <c r="I136" s="153">
        <v>44610</v>
      </c>
      <c r="J136" s="152">
        <v>44613</v>
      </c>
      <c r="K136" s="153">
        <v>44624</v>
      </c>
      <c r="L136" s="153">
        <v>44627</v>
      </c>
      <c r="M136" s="153"/>
      <c r="N136" s="153"/>
      <c r="O136" s="153"/>
      <c r="P136" s="153"/>
      <c r="S136" s="81">
        <f t="shared" si="74"/>
        <v>17</v>
      </c>
      <c r="U136" s="115">
        <v>0</v>
      </c>
      <c r="V136" s="114">
        <v>17</v>
      </c>
      <c r="Z136" s="115" t="s">
        <v>52</v>
      </c>
      <c r="AA136" s="115" t="s">
        <v>50</v>
      </c>
      <c r="AB136" s="115" t="s">
        <v>52</v>
      </c>
      <c r="AG136" s="115" t="s">
        <v>53</v>
      </c>
      <c r="AH136" s="115" t="s">
        <v>54</v>
      </c>
      <c r="AL136" s="115" t="s">
        <v>55</v>
      </c>
      <c r="AR136" s="121">
        <f t="shared" si="63"/>
        <v>1</v>
      </c>
      <c r="AS136" s="121" t="str">
        <f t="shared" si="64"/>
        <v>2022_02_07_a</v>
      </c>
      <c r="AT136" s="122"/>
      <c r="AU136" s="121" t="str">
        <f t="shared" si="65"/>
        <v>2022</v>
      </c>
      <c r="AV136" s="121" t="str">
        <f t="shared" si="66"/>
        <v>02</v>
      </c>
      <c r="AW136" s="121" t="str">
        <f t="shared" si="67"/>
        <v>07</v>
      </c>
      <c r="AX136" s="121">
        <f t="shared" si="68"/>
        <v>44599</v>
      </c>
      <c r="AY136" s="123"/>
      <c r="AZ136" s="124">
        <f t="shared" si="69"/>
        <v>44599</v>
      </c>
      <c r="BA136" s="121" t="b">
        <f t="shared" si="70"/>
        <v>1</v>
      </c>
      <c r="BB136" s="121">
        <f t="shared" si="71"/>
        <v>44599</v>
      </c>
      <c r="BC136" s="121" t="str">
        <f t="shared" si="72"/>
        <v>no</v>
      </c>
      <c r="BD136" s="121" t="b">
        <f t="shared" si="73"/>
        <v>0</v>
      </c>
      <c r="BE136" s="125" t="s">
        <v>56</v>
      </c>
      <c r="BF136" s="122"/>
    </row>
    <row r="137" spans="2:58" s="115" customFormat="1" ht="154">
      <c r="B137" s="115" t="s">
        <v>384</v>
      </c>
      <c r="D137" s="154">
        <v>10247091</v>
      </c>
      <c r="F137" s="150" t="s">
        <v>355</v>
      </c>
      <c r="G137" s="151" t="s">
        <v>348</v>
      </c>
      <c r="H137" s="152">
        <v>44620</v>
      </c>
      <c r="I137" s="153">
        <v>44631</v>
      </c>
      <c r="J137" s="152">
        <v>44634</v>
      </c>
      <c r="K137" s="153">
        <v>44645</v>
      </c>
      <c r="L137" s="153">
        <v>44648</v>
      </c>
      <c r="M137" s="153"/>
      <c r="N137" s="153"/>
      <c r="O137" s="153"/>
      <c r="P137" s="153"/>
      <c r="R137" s="115" t="s">
        <v>365</v>
      </c>
      <c r="S137" s="81">
        <f t="shared" si="74"/>
        <v>12</v>
      </c>
      <c r="U137" s="115">
        <v>0</v>
      </c>
      <c r="V137" s="114">
        <v>12</v>
      </c>
      <c r="X137" s="115" t="s">
        <v>385</v>
      </c>
      <c r="Z137" s="115" t="s">
        <v>52</v>
      </c>
      <c r="AA137" s="115" t="s">
        <v>50</v>
      </c>
      <c r="AB137" s="115" t="s">
        <v>52</v>
      </c>
      <c r="AG137" s="115" t="s">
        <v>53</v>
      </c>
      <c r="AH137" s="115" t="s">
        <v>54</v>
      </c>
      <c r="AL137" s="115" t="s">
        <v>55</v>
      </c>
      <c r="AR137" s="121">
        <f t="shared" si="63"/>
        <v>1</v>
      </c>
      <c r="AS137" s="121" t="str">
        <f t="shared" si="64"/>
        <v>2022_02_28_a</v>
      </c>
      <c r="AT137" s="122"/>
      <c r="AU137" s="121" t="str">
        <f t="shared" si="65"/>
        <v>2022</v>
      </c>
      <c r="AV137" s="121" t="str">
        <f t="shared" si="66"/>
        <v>02</v>
      </c>
      <c r="AW137" s="121" t="str">
        <f t="shared" si="67"/>
        <v>28</v>
      </c>
      <c r="AX137" s="121">
        <f t="shared" si="68"/>
        <v>44620</v>
      </c>
      <c r="AY137" s="123"/>
      <c r="AZ137" s="124">
        <f t="shared" si="69"/>
        <v>44620</v>
      </c>
      <c r="BA137" s="121" t="b">
        <f t="shared" si="70"/>
        <v>1</v>
      </c>
      <c r="BB137" s="121">
        <f t="shared" si="71"/>
        <v>44620</v>
      </c>
      <c r="BC137" s="121" t="str">
        <f t="shared" si="72"/>
        <v>no</v>
      </c>
      <c r="BD137" s="121" t="b">
        <f t="shared" si="73"/>
        <v>0</v>
      </c>
      <c r="BE137" s="125" t="s">
        <v>56</v>
      </c>
      <c r="BF137" s="122"/>
    </row>
    <row r="138" spans="2:58" s="115" customFormat="1" ht="154">
      <c r="B138" s="115" t="s">
        <v>386</v>
      </c>
      <c r="D138" s="154">
        <v>10245051</v>
      </c>
      <c r="F138" s="150" t="s">
        <v>355</v>
      </c>
      <c r="G138" s="151" t="s">
        <v>348</v>
      </c>
      <c r="H138" s="152">
        <v>44627</v>
      </c>
      <c r="I138" s="153">
        <v>44638</v>
      </c>
      <c r="J138" s="152">
        <v>44641</v>
      </c>
      <c r="K138" s="153">
        <v>44652</v>
      </c>
      <c r="L138" s="153">
        <v>44655</v>
      </c>
      <c r="M138" s="153"/>
      <c r="N138" s="153"/>
      <c r="O138" s="153"/>
      <c r="P138" s="153"/>
      <c r="R138" s="115" t="s">
        <v>387</v>
      </c>
      <c r="S138" s="81">
        <f t="shared" si="74"/>
        <v>35</v>
      </c>
      <c r="U138" s="115">
        <v>0</v>
      </c>
      <c r="V138" s="114">
        <v>35</v>
      </c>
      <c r="Z138" s="115" t="s">
        <v>52</v>
      </c>
      <c r="AA138" s="115" t="s">
        <v>50</v>
      </c>
      <c r="AB138" s="115" t="s">
        <v>52</v>
      </c>
      <c r="AG138" s="115" t="s">
        <v>53</v>
      </c>
      <c r="AH138" s="115" t="s">
        <v>54</v>
      </c>
      <c r="AL138" s="115" t="s">
        <v>55</v>
      </c>
      <c r="AR138" s="121">
        <f t="shared" si="63"/>
        <v>1</v>
      </c>
      <c r="AS138" s="121" t="str">
        <f t="shared" si="64"/>
        <v>2022_03_07_a</v>
      </c>
      <c r="AT138" s="122"/>
      <c r="AU138" s="121" t="str">
        <f t="shared" si="65"/>
        <v>2022</v>
      </c>
      <c r="AV138" s="121" t="str">
        <f t="shared" si="66"/>
        <v>03</v>
      </c>
      <c r="AW138" s="121" t="str">
        <f t="shared" si="67"/>
        <v>07</v>
      </c>
      <c r="AX138" s="121">
        <f t="shared" si="68"/>
        <v>44627</v>
      </c>
      <c r="AY138" s="123"/>
      <c r="AZ138" s="124">
        <f t="shared" si="69"/>
        <v>44627</v>
      </c>
      <c r="BA138" s="121" t="b">
        <f t="shared" si="70"/>
        <v>1</v>
      </c>
      <c r="BB138" s="121">
        <f t="shared" si="71"/>
        <v>44627</v>
      </c>
      <c r="BC138" s="121" t="str">
        <f t="shared" si="72"/>
        <v>no</v>
      </c>
      <c r="BD138" s="121" t="b">
        <f t="shared" si="73"/>
        <v>0</v>
      </c>
      <c r="BE138" s="125" t="s">
        <v>56</v>
      </c>
      <c r="BF138" s="122"/>
    </row>
    <row r="139" spans="2:58" s="115" customFormat="1" ht="154">
      <c r="B139" s="115" t="s">
        <v>388</v>
      </c>
      <c r="D139" s="154">
        <v>10258378</v>
      </c>
      <c r="F139" s="150" t="s">
        <v>355</v>
      </c>
      <c r="G139" s="151" t="s">
        <v>348</v>
      </c>
      <c r="H139" s="152">
        <v>44641</v>
      </c>
      <c r="I139" s="153">
        <v>44652</v>
      </c>
      <c r="J139" s="152">
        <v>44655</v>
      </c>
      <c r="K139" s="153">
        <v>44666</v>
      </c>
      <c r="L139" s="153">
        <v>44669</v>
      </c>
      <c r="M139" s="153"/>
      <c r="N139" s="153"/>
      <c r="O139" s="153"/>
      <c r="P139" s="153"/>
      <c r="S139" s="81">
        <f t="shared" si="74"/>
        <v>14</v>
      </c>
      <c r="U139" s="115">
        <v>0</v>
      </c>
      <c r="V139" s="114">
        <v>14</v>
      </c>
      <c r="Z139" s="115" t="s">
        <v>52</v>
      </c>
      <c r="AA139" s="115" t="s">
        <v>50</v>
      </c>
      <c r="AB139" s="115" t="s">
        <v>52</v>
      </c>
      <c r="AG139" s="115" t="s">
        <v>53</v>
      </c>
      <c r="AH139" s="115" t="s">
        <v>54</v>
      </c>
      <c r="AL139" s="115" t="s">
        <v>55</v>
      </c>
      <c r="AR139" s="121">
        <f t="shared" si="63"/>
        <v>1</v>
      </c>
      <c r="AS139" s="121" t="str">
        <f t="shared" si="64"/>
        <v>2022_03_21_a</v>
      </c>
      <c r="AT139" s="122"/>
      <c r="AU139" s="121" t="str">
        <f t="shared" si="65"/>
        <v>2022</v>
      </c>
      <c r="AV139" s="121" t="str">
        <f t="shared" si="66"/>
        <v>03</v>
      </c>
      <c r="AW139" s="121" t="str">
        <f t="shared" si="67"/>
        <v>21</v>
      </c>
      <c r="AX139" s="121">
        <f t="shared" si="68"/>
        <v>44641</v>
      </c>
      <c r="AY139" s="123"/>
      <c r="AZ139" s="124">
        <f t="shared" si="69"/>
        <v>44641</v>
      </c>
      <c r="BA139" s="121" t="b">
        <f t="shared" si="70"/>
        <v>1</v>
      </c>
      <c r="BB139" s="121">
        <f t="shared" si="71"/>
        <v>44641</v>
      </c>
      <c r="BC139" s="121" t="str">
        <f t="shared" si="72"/>
        <v>no</v>
      </c>
      <c r="BD139" s="121" t="b">
        <f t="shared" si="73"/>
        <v>0</v>
      </c>
      <c r="BE139" s="125" t="s">
        <v>56</v>
      </c>
      <c r="BF139" s="122"/>
    </row>
    <row r="140" spans="2:58" s="115" customFormat="1" ht="154">
      <c r="B140" s="115" t="s">
        <v>389</v>
      </c>
      <c r="D140" s="154">
        <v>10262298</v>
      </c>
      <c r="F140" s="150" t="s">
        <v>355</v>
      </c>
      <c r="G140" s="151" t="s">
        <v>348</v>
      </c>
      <c r="H140" s="152">
        <v>44684</v>
      </c>
      <c r="I140" s="153">
        <v>44694</v>
      </c>
      <c r="J140" s="152">
        <v>44697</v>
      </c>
      <c r="K140" s="153">
        <v>44708</v>
      </c>
      <c r="L140" s="153">
        <v>44711</v>
      </c>
      <c r="M140" s="153"/>
      <c r="N140" s="153"/>
      <c r="O140" s="153"/>
      <c r="P140" s="153"/>
      <c r="S140" s="81">
        <f t="shared" si="74"/>
        <v>25</v>
      </c>
      <c r="U140" s="115">
        <v>0</v>
      </c>
      <c r="V140" s="114">
        <v>25</v>
      </c>
      <c r="Z140" s="115" t="s">
        <v>52</v>
      </c>
      <c r="AA140" s="115" t="s">
        <v>50</v>
      </c>
      <c r="AB140" s="115" t="s">
        <v>52</v>
      </c>
      <c r="AG140" s="115" t="s">
        <v>53</v>
      </c>
      <c r="AH140" s="115" t="s">
        <v>54</v>
      </c>
      <c r="AL140" s="115" t="s">
        <v>55</v>
      </c>
      <c r="AR140" s="121">
        <f t="shared" si="63"/>
        <v>1</v>
      </c>
      <c r="AS140" s="121" t="str">
        <f t="shared" si="64"/>
        <v>2022_05_03_a</v>
      </c>
      <c r="AT140" s="122"/>
      <c r="AU140" s="121" t="str">
        <f t="shared" si="65"/>
        <v>2022</v>
      </c>
      <c r="AV140" s="121" t="str">
        <f t="shared" si="66"/>
        <v>05</v>
      </c>
      <c r="AW140" s="121" t="str">
        <f t="shared" si="67"/>
        <v>03</v>
      </c>
      <c r="AX140" s="121">
        <f t="shared" si="68"/>
        <v>44684</v>
      </c>
      <c r="AY140" s="123"/>
      <c r="AZ140" s="124">
        <f t="shared" si="69"/>
        <v>44684</v>
      </c>
      <c r="BA140" s="121" t="b">
        <f t="shared" si="70"/>
        <v>1</v>
      </c>
      <c r="BB140" s="121">
        <f t="shared" si="71"/>
        <v>44684</v>
      </c>
      <c r="BC140" s="121" t="str">
        <f t="shared" si="72"/>
        <v>no</v>
      </c>
      <c r="BD140" s="121" t="b">
        <f t="shared" si="73"/>
        <v>0</v>
      </c>
      <c r="BE140" s="125" t="s">
        <v>56</v>
      </c>
      <c r="BF140" s="122"/>
    </row>
    <row r="141" spans="2:58" s="115" customFormat="1" ht="154">
      <c r="B141" s="115" t="s">
        <v>390</v>
      </c>
      <c r="D141" s="154">
        <v>10277780</v>
      </c>
      <c r="F141" s="150" t="s">
        <v>355</v>
      </c>
      <c r="G141" s="151" t="s">
        <v>348</v>
      </c>
      <c r="H141" s="152">
        <v>44781</v>
      </c>
      <c r="I141" s="153">
        <v>44792</v>
      </c>
      <c r="J141" s="152">
        <v>44795</v>
      </c>
      <c r="K141" s="153">
        <v>44806</v>
      </c>
      <c r="L141" s="153"/>
      <c r="M141" s="153"/>
      <c r="N141" s="153"/>
      <c r="O141" s="153"/>
      <c r="P141" s="153"/>
      <c r="S141" s="81">
        <f t="shared" si="74"/>
        <v>20</v>
      </c>
      <c r="U141" s="115">
        <v>0</v>
      </c>
      <c r="V141" s="114">
        <v>20</v>
      </c>
      <c r="Z141" s="115" t="s">
        <v>52</v>
      </c>
      <c r="AA141" s="115" t="s">
        <v>50</v>
      </c>
      <c r="AG141" s="115" t="s">
        <v>53</v>
      </c>
      <c r="AH141" s="115" t="s">
        <v>54</v>
      </c>
      <c r="AL141" s="115" t="s">
        <v>55</v>
      </c>
      <c r="AR141" s="121">
        <f t="shared" si="63"/>
        <v>1</v>
      </c>
      <c r="AS141" s="121" t="str">
        <f t="shared" si="64"/>
        <v>2022_08_08_a</v>
      </c>
      <c r="AT141" s="122"/>
      <c r="AU141" s="121" t="str">
        <f t="shared" si="65"/>
        <v>2022</v>
      </c>
      <c r="AV141" s="121" t="str">
        <f t="shared" si="66"/>
        <v>08</v>
      </c>
      <c r="AW141" s="121" t="str">
        <f t="shared" si="67"/>
        <v>08</v>
      </c>
      <c r="AX141" s="121">
        <f t="shared" si="68"/>
        <v>44781</v>
      </c>
      <c r="AY141" s="123"/>
      <c r="AZ141" s="124">
        <f t="shared" si="69"/>
        <v>44781</v>
      </c>
      <c r="BA141" s="121" t="b">
        <f t="shared" si="70"/>
        <v>1</v>
      </c>
      <c r="BB141" s="121">
        <f t="shared" si="71"/>
        <v>44781</v>
      </c>
      <c r="BC141" s="121" t="str">
        <f t="shared" si="72"/>
        <v>no</v>
      </c>
      <c r="BD141" s="121" t="b">
        <f t="shared" si="73"/>
        <v>0</v>
      </c>
      <c r="BE141" s="125" t="s">
        <v>56</v>
      </c>
      <c r="BF141" s="122"/>
    </row>
    <row r="142" spans="2:58" s="115" customFormat="1" ht="154">
      <c r="B142" s="115" t="s">
        <v>391</v>
      </c>
      <c r="D142" s="154">
        <v>10295180</v>
      </c>
      <c r="F142" s="150" t="s">
        <v>355</v>
      </c>
      <c r="G142" s="151" t="s">
        <v>348</v>
      </c>
      <c r="H142" s="152">
        <v>44823</v>
      </c>
      <c r="I142" s="153">
        <v>44834</v>
      </c>
      <c r="J142" s="152">
        <v>44837</v>
      </c>
      <c r="K142" s="153">
        <v>44848</v>
      </c>
      <c r="L142" s="153">
        <v>44851</v>
      </c>
      <c r="M142" s="153"/>
      <c r="N142" s="153"/>
      <c r="O142" s="153"/>
      <c r="P142" s="153"/>
      <c r="S142" s="81">
        <f t="shared" si="74"/>
        <v>18</v>
      </c>
      <c r="U142" s="115">
        <v>0</v>
      </c>
      <c r="V142" s="114">
        <v>18</v>
      </c>
      <c r="Z142" s="115" t="s">
        <v>52</v>
      </c>
      <c r="AG142" s="115" t="s">
        <v>53</v>
      </c>
      <c r="AH142" s="115" t="s">
        <v>345</v>
      </c>
      <c r="AL142" s="115" t="s">
        <v>55</v>
      </c>
      <c r="AN142" s="115" t="s">
        <v>392</v>
      </c>
      <c r="AR142" s="121">
        <f t="shared" si="63"/>
        <v>1</v>
      </c>
      <c r="AS142" s="121" t="str">
        <f t="shared" si="64"/>
        <v>2022_09_19_a</v>
      </c>
      <c r="AT142" s="122"/>
      <c r="AU142" s="121" t="str">
        <f t="shared" si="65"/>
        <v>2022</v>
      </c>
      <c r="AV142" s="121" t="str">
        <f t="shared" si="66"/>
        <v>09</v>
      </c>
      <c r="AW142" s="121" t="str">
        <f t="shared" si="67"/>
        <v>19</v>
      </c>
      <c r="AX142" s="121">
        <f t="shared" si="68"/>
        <v>44823</v>
      </c>
      <c r="AY142" s="123"/>
      <c r="AZ142" s="124">
        <f t="shared" si="69"/>
        <v>44823</v>
      </c>
      <c r="BA142" s="121" t="b">
        <f t="shared" si="70"/>
        <v>1</v>
      </c>
      <c r="BB142" s="121">
        <f t="shared" si="71"/>
        <v>44823</v>
      </c>
      <c r="BC142" s="121" t="str">
        <f t="shared" si="72"/>
        <v>no</v>
      </c>
      <c r="BD142" s="121" t="b">
        <f t="shared" si="73"/>
        <v>0</v>
      </c>
      <c r="BE142" s="125" t="s">
        <v>56</v>
      </c>
      <c r="BF142" s="122"/>
    </row>
    <row r="143" spans="2:58" s="115" customFormat="1" ht="154">
      <c r="B143" s="115" t="s">
        <v>393</v>
      </c>
      <c r="D143" s="154">
        <v>10305626</v>
      </c>
      <c r="F143" s="150" t="s">
        <v>355</v>
      </c>
      <c r="G143" s="151" t="s">
        <v>348</v>
      </c>
      <c r="H143" s="152">
        <v>44837</v>
      </c>
      <c r="I143" s="153"/>
      <c r="J143" s="152">
        <v>44851</v>
      </c>
      <c r="K143" s="153"/>
      <c r="L143" s="153"/>
      <c r="M143" s="153"/>
      <c r="N143" s="153"/>
      <c r="O143" s="153"/>
      <c r="P143" s="153"/>
      <c r="R143" s="115" t="s">
        <v>365</v>
      </c>
      <c r="S143" s="81">
        <f t="shared" si="74"/>
        <v>22</v>
      </c>
      <c r="U143" s="115">
        <v>0</v>
      </c>
      <c r="V143" s="114">
        <v>22</v>
      </c>
      <c r="Z143" s="115" t="s">
        <v>52</v>
      </c>
      <c r="AG143" s="115" t="s">
        <v>53</v>
      </c>
      <c r="AH143" s="115" t="s">
        <v>54</v>
      </c>
      <c r="AL143" s="115" t="s">
        <v>280</v>
      </c>
      <c r="AR143" s="121">
        <f t="shared" si="63"/>
        <v>1</v>
      </c>
      <c r="AS143" s="121" t="str">
        <f t="shared" si="64"/>
        <v>2022_10_03_a</v>
      </c>
      <c r="AT143" s="122"/>
      <c r="AU143" s="121" t="str">
        <f t="shared" si="65"/>
        <v>2022</v>
      </c>
      <c r="AV143" s="121" t="str">
        <f t="shared" si="66"/>
        <v>10</v>
      </c>
      <c r="AW143" s="121" t="str">
        <f t="shared" si="67"/>
        <v>03</v>
      </c>
      <c r="AX143" s="121">
        <f t="shared" si="68"/>
        <v>44837</v>
      </c>
      <c r="AY143" s="123"/>
      <c r="AZ143" s="124">
        <f t="shared" si="69"/>
        <v>44837</v>
      </c>
      <c r="BA143" s="121" t="b">
        <f t="shared" si="70"/>
        <v>1</v>
      </c>
      <c r="BB143" s="121">
        <f t="shared" si="71"/>
        <v>44837</v>
      </c>
      <c r="BC143" s="121" t="str">
        <f t="shared" si="72"/>
        <v>no</v>
      </c>
      <c r="BD143" s="121" t="b">
        <f t="shared" si="73"/>
        <v>0</v>
      </c>
      <c r="BE143" s="125" t="s">
        <v>56</v>
      </c>
      <c r="BF143" s="122"/>
    </row>
    <row r="144" spans="2:58" s="115" customFormat="1" ht="154">
      <c r="B144" s="115" t="s">
        <v>394</v>
      </c>
      <c r="D144" s="154">
        <v>10312336</v>
      </c>
      <c r="F144" s="150" t="s">
        <v>355</v>
      </c>
      <c r="G144" s="151" t="s">
        <v>348</v>
      </c>
      <c r="H144" s="152">
        <v>44886</v>
      </c>
      <c r="I144" s="153">
        <v>44897</v>
      </c>
      <c r="J144" s="152">
        <v>44900</v>
      </c>
      <c r="K144" s="153">
        <v>44911</v>
      </c>
      <c r="L144" s="153">
        <v>44914</v>
      </c>
      <c r="M144" s="153"/>
      <c r="N144" s="153"/>
      <c r="O144" s="153"/>
      <c r="P144" s="153"/>
      <c r="S144" s="81">
        <f t="shared" si="74"/>
        <v>24</v>
      </c>
      <c r="U144" s="115">
        <v>0</v>
      </c>
      <c r="V144" s="114">
        <v>24</v>
      </c>
      <c r="Z144" s="115" t="s">
        <v>52</v>
      </c>
      <c r="AG144" s="115" t="s">
        <v>53</v>
      </c>
      <c r="AH144" s="115" t="s">
        <v>54</v>
      </c>
      <c r="AL144" s="115" t="s">
        <v>280</v>
      </c>
      <c r="AR144" s="121">
        <f t="shared" si="63"/>
        <v>1</v>
      </c>
      <c r="AS144" s="121" t="str">
        <f t="shared" si="64"/>
        <v>2022_11_21_a</v>
      </c>
      <c r="AT144" s="122"/>
      <c r="AU144" s="121" t="str">
        <f t="shared" si="65"/>
        <v>2022</v>
      </c>
      <c r="AV144" s="121" t="str">
        <f t="shared" si="66"/>
        <v>11</v>
      </c>
      <c r="AW144" s="121" t="str">
        <f t="shared" si="67"/>
        <v>21</v>
      </c>
      <c r="AX144" s="121">
        <f t="shared" si="68"/>
        <v>44886</v>
      </c>
      <c r="AY144" s="123"/>
      <c r="AZ144" s="124">
        <f t="shared" si="69"/>
        <v>44886</v>
      </c>
      <c r="BA144" s="121" t="b">
        <f t="shared" si="70"/>
        <v>1</v>
      </c>
      <c r="BB144" s="121">
        <f t="shared" si="71"/>
        <v>44886</v>
      </c>
      <c r="BC144" s="121" t="str">
        <f t="shared" si="72"/>
        <v>no</v>
      </c>
      <c r="BD144" s="121" t="b">
        <f t="shared" si="73"/>
        <v>0</v>
      </c>
      <c r="BE144" s="125" t="s">
        <v>56</v>
      </c>
      <c r="BF144" s="122"/>
    </row>
    <row r="145" spans="2:58" s="115" customFormat="1" ht="154">
      <c r="B145" s="115" t="s">
        <v>395</v>
      </c>
      <c r="D145" s="154">
        <v>10344087</v>
      </c>
      <c r="F145" s="150" t="s">
        <v>355</v>
      </c>
      <c r="G145" s="151" t="s">
        <v>348</v>
      </c>
      <c r="H145" s="152">
        <v>44991</v>
      </c>
      <c r="I145" s="153">
        <v>45002</v>
      </c>
      <c r="J145" s="152">
        <v>45005</v>
      </c>
      <c r="K145" s="153"/>
      <c r="L145" s="153"/>
      <c r="M145" s="153"/>
      <c r="N145" s="153"/>
      <c r="O145" s="153"/>
      <c r="P145" s="153"/>
      <c r="R145" s="115" t="s">
        <v>396</v>
      </c>
      <c r="S145" s="81">
        <f t="shared" si="74"/>
        <v>13</v>
      </c>
      <c r="U145" s="115">
        <v>0</v>
      </c>
      <c r="V145" s="114">
        <v>13</v>
      </c>
      <c r="AG145" s="115" t="s">
        <v>53</v>
      </c>
      <c r="AH145" s="115" t="s">
        <v>345</v>
      </c>
      <c r="AR145" s="121">
        <f t="shared" si="63"/>
        <v>1</v>
      </c>
      <c r="AS145" s="121" t="str">
        <f t="shared" si="64"/>
        <v>2023_03_06_a</v>
      </c>
      <c r="AT145" s="122"/>
      <c r="AU145" s="121" t="str">
        <f t="shared" si="65"/>
        <v>2023</v>
      </c>
      <c r="AV145" s="121" t="str">
        <f t="shared" si="66"/>
        <v>03</v>
      </c>
      <c r="AW145" s="121" t="str">
        <f t="shared" si="67"/>
        <v>06</v>
      </c>
      <c r="AX145" s="121">
        <f t="shared" si="68"/>
        <v>44991</v>
      </c>
      <c r="AY145" s="123"/>
      <c r="AZ145" s="124">
        <f t="shared" si="69"/>
        <v>44991</v>
      </c>
      <c r="BA145" s="121" t="b">
        <f t="shared" si="70"/>
        <v>1</v>
      </c>
      <c r="BB145" s="121">
        <f t="shared" si="71"/>
        <v>44991</v>
      </c>
      <c r="BC145" s="121" t="str">
        <f t="shared" si="72"/>
        <v>no</v>
      </c>
      <c r="BD145" s="121" t="b">
        <f t="shared" si="73"/>
        <v>0</v>
      </c>
      <c r="BE145" s="125" t="s">
        <v>56</v>
      </c>
      <c r="BF145" s="122"/>
    </row>
    <row r="146" spans="2:58" s="115" customFormat="1" ht="154">
      <c r="B146" s="115" t="s">
        <v>397</v>
      </c>
      <c r="D146" s="154">
        <v>10347648</v>
      </c>
      <c r="F146" s="150" t="s">
        <v>355</v>
      </c>
      <c r="G146" s="151" t="s">
        <v>348</v>
      </c>
      <c r="H146" s="152">
        <v>45005</v>
      </c>
      <c r="I146" s="153">
        <v>45016</v>
      </c>
      <c r="J146" s="152">
        <v>45019</v>
      </c>
      <c r="K146" s="153"/>
      <c r="L146" s="153"/>
      <c r="M146" s="153"/>
      <c r="N146" s="153"/>
      <c r="O146" s="153"/>
      <c r="P146" s="153"/>
      <c r="Q146" s="115" t="s">
        <v>47</v>
      </c>
      <c r="R146" s="115" t="s">
        <v>398</v>
      </c>
      <c r="S146" s="81">
        <f t="shared" si="74"/>
        <v>16</v>
      </c>
      <c r="U146" s="115">
        <v>0</v>
      </c>
      <c r="V146" s="114">
        <v>16</v>
      </c>
      <c r="AG146" s="115" t="s">
        <v>53</v>
      </c>
      <c r="AH146" s="115" t="s">
        <v>345</v>
      </c>
      <c r="AL146" s="115" t="s">
        <v>55</v>
      </c>
      <c r="AR146" s="121">
        <f t="shared" si="63"/>
        <v>1</v>
      </c>
      <c r="AS146" s="121" t="str">
        <f t="shared" si="64"/>
        <v>2023_03_20_a</v>
      </c>
      <c r="AT146" s="122"/>
      <c r="AU146" s="121" t="str">
        <f t="shared" si="65"/>
        <v>2023</v>
      </c>
      <c r="AV146" s="121" t="str">
        <f t="shared" si="66"/>
        <v>03</v>
      </c>
      <c r="AW146" s="121" t="str">
        <f t="shared" si="67"/>
        <v>20</v>
      </c>
      <c r="AX146" s="121">
        <f t="shared" si="68"/>
        <v>45005</v>
      </c>
      <c r="AY146" s="123"/>
      <c r="AZ146" s="124">
        <f t="shared" si="69"/>
        <v>45005</v>
      </c>
      <c r="BA146" s="121" t="b">
        <f t="shared" si="70"/>
        <v>1</v>
      </c>
      <c r="BB146" s="121">
        <f t="shared" si="71"/>
        <v>45005</v>
      </c>
      <c r="BC146" s="121" t="str">
        <f t="shared" si="72"/>
        <v>no</v>
      </c>
      <c r="BD146" s="121" t="b">
        <f t="shared" si="73"/>
        <v>0</v>
      </c>
      <c r="BE146" s="125" t="s">
        <v>56</v>
      </c>
      <c r="BF146" s="122"/>
    </row>
    <row r="147" spans="2:58" s="12" customFormat="1" ht="154">
      <c r="B147" s="12" t="s">
        <v>399</v>
      </c>
      <c r="D147" s="154"/>
      <c r="F147" s="86" t="s">
        <v>355</v>
      </c>
      <c r="G147" s="113" t="s">
        <v>348</v>
      </c>
      <c r="H147" s="159">
        <v>45089</v>
      </c>
      <c r="I147" s="158"/>
      <c r="J147" s="159">
        <v>45103</v>
      </c>
      <c r="K147" s="158"/>
      <c r="L147" s="158"/>
      <c r="M147" s="158"/>
      <c r="N147" s="158"/>
      <c r="O147" s="158"/>
      <c r="P147" s="158"/>
      <c r="Q147" s="12" t="s">
        <v>78</v>
      </c>
      <c r="R147" s="12" t="s">
        <v>400</v>
      </c>
      <c r="U147" s="12">
        <v>0</v>
      </c>
      <c r="V147" s="12">
        <v>19</v>
      </c>
      <c r="Z147" s="12" t="s">
        <v>52</v>
      </c>
      <c r="AG147" s="12" t="s">
        <v>53</v>
      </c>
      <c r="AH147" s="12" t="s">
        <v>345</v>
      </c>
      <c r="AL147" s="12" t="s">
        <v>55</v>
      </c>
      <c r="AR147" s="121">
        <f t="shared" si="63"/>
        <v>1</v>
      </c>
      <c r="AS147" s="121" t="str">
        <f t="shared" si="64"/>
        <v>2023_06_12_a</v>
      </c>
      <c r="AT147" s="122"/>
      <c r="AU147" s="121" t="str">
        <f t="shared" si="65"/>
        <v>2023</v>
      </c>
      <c r="AV147" s="121" t="str">
        <f t="shared" si="66"/>
        <v>06</v>
      </c>
      <c r="AW147" s="121" t="str">
        <f t="shared" si="67"/>
        <v>12</v>
      </c>
      <c r="AX147" s="121">
        <f t="shared" si="68"/>
        <v>45089</v>
      </c>
      <c r="AY147" s="123"/>
      <c r="AZ147" s="124">
        <f t="shared" si="69"/>
        <v>45089</v>
      </c>
      <c r="BA147" s="121" t="b">
        <f t="shared" si="70"/>
        <v>1</v>
      </c>
      <c r="BB147" s="121">
        <f t="shared" si="71"/>
        <v>45089</v>
      </c>
      <c r="BC147" s="121" t="str">
        <f t="shared" si="72"/>
        <v>no</v>
      </c>
      <c r="BD147" s="121" t="b">
        <f t="shared" si="73"/>
        <v>0</v>
      </c>
      <c r="BE147" s="125" t="s">
        <v>56</v>
      </c>
    </row>
    <row r="148" spans="2:58" s="12" customFormat="1" ht="154">
      <c r="B148" s="12" t="s">
        <v>401</v>
      </c>
      <c r="D148" s="519"/>
      <c r="F148" s="86" t="s">
        <v>355</v>
      </c>
      <c r="G148" s="113" t="s">
        <v>348</v>
      </c>
      <c r="H148" s="159">
        <v>45103</v>
      </c>
      <c r="I148" s="158"/>
      <c r="J148" s="159">
        <v>45117</v>
      </c>
      <c r="K148" s="158"/>
      <c r="L148" s="158"/>
      <c r="M148" s="158"/>
      <c r="N148" s="158"/>
      <c r="O148" s="158"/>
      <c r="P148" s="158"/>
      <c r="R148" s="12" t="s">
        <v>365</v>
      </c>
      <c r="U148" s="12">
        <v>0</v>
      </c>
      <c r="V148" s="12">
        <v>10</v>
      </c>
      <c r="Z148" s="12" t="s">
        <v>52</v>
      </c>
      <c r="AG148" s="12" t="s">
        <v>53</v>
      </c>
      <c r="AH148" s="12" t="s">
        <v>54</v>
      </c>
      <c r="AL148" s="12" t="s">
        <v>55</v>
      </c>
      <c r="AR148" s="121">
        <f t="shared" si="63"/>
        <v>1</v>
      </c>
      <c r="AS148" s="121" t="str">
        <f t="shared" si="64"/>
        <v>2023_06_26_a</v>
      </c>
      <c r="AT148" s="122"/>
      <c r="AU148" s="121" t="str">
        <f t="shared" si="65"/>
        <v>2023</v>
      </c>
      <c r="AV148" s="121" t="str">
        <f t="shared" si="66"/>
        <v>06</v>
      </c>
      <c r="AW148" s="121" t="str">
        <f t="shared" si="67"/>
        <v>26</v>
      </c>
      <c r="AX148" s="121">
        <f t="shared" si="68"/>
        <v>45103</v>
      </c>
      <c r="AY148" s="123"/>
      <c r="AZ148" s="124">
        <f t="shared" si="69"/>
        <v>45103</v>
      </c>
      <c r="BA148" s="121" t="b">
        <f t="shared" si="70"/>
        <v>1</v>
      </c>
      <c r="BB148" s="121">
        <f t="shared" si="71"/>
        <v>45103</v>
      </c>
      <c r="BC148" s="121" t="str">
        <f t="shared" si="72"/>
        <v>no</v>
      </c>
      <c r="BD148" s="121" t="b">
        <f t="shared" si="73"/>
        <v>0</v>
      </c>
      <c r="BE148" s="125" t="s">
        <v>56</v>
      </c>
    </row>
    <row r="149" spans="2:58" s="114" customFormat="1" ht="154">
      <c r="B149" s="114" t="s">
        <v>402</v>
      </c>
      <c r="D149" s="81">
        <v>10098251</v>
      </c>
      <c r="F149" s="522" t="s">
        <v>403</v>
      </c>
      <c r="G149" s="142" t="s">
        <v>348</v>
      </c>
      <c r="H149" s="143">
        <v>44263</v>
      </c>
      <c r="I149" s="144">
        <v>44274</v>
      </c>
      <c r="J149" s="143">
        <v>44277</v>
      </c>
      <c r="K149" s="144">
        <v>44288</v>
      </c>
      <c r="L149" s="144">
        <v>44291</v>
      </c>
      <c r="M149" s="144" t="s">
        <v>277</v>
      </c>
      <c r="N149" s="144" t="s">
        <v>277</v>
      </c>
      <c r="O149" s="144" t="s">
        <v>277</v>
      </c>
      <c r="P149" s="144" t="s">
        <v>277</v>
      </c>
      <c r="Q149" s="114" t="s">
        <v>47</v>
      </c>
      <c r="R149" s="114" t="s">
        <v>348</v>
      </c>
      <c r="S149" s="114">
        <f t="shared" ref="S149:S195" si="75">U149+V149</f>
        <v>15</v>
      </c>
      <c r="T149" s="114">
        <v>25</v>
      </c>
      <c r="U149" s="81">
        <v>15</v>
      </c>
      <c r="V149" s="114">
        <v>0</v>
      </c>
      <c r="W149" s="114" t="s">
        <v>404</v>
      </c>
      <c r="X149" s="114" t="s">
        <v>371</v>
      </c>
      <c r="Z149" s="114" t="s">
        <v>52</v>
      </c>
      <c r="AA149" s="114" t="s">
        <v>52</v>
      </c>
      <c r="AB149" s="114" t="s">
        <v>52</v>
      </c>
      <c r="AC149" s="114" t="s">
        <v>46</v>
      </c>
      <c r="AD149" s="114" t="s">
        <v>52</v>
      </c>
      <c r="AE149" s="114" t="s">
        <v>52</v>
      </c>
      <c r="AF149" s="114" t="s">
        <v>52</v>
      </c>
      <c r="AG149" s="114" t="s">
        <v>53</v>
      </c>
      <c r="AH149" s="114" t="s">
        <v>54</v>
      </c>
      <c r="AI149" s="114" t="s">
        <v>46</v>
      </c>
      <c r="AJ149" s="114" t="s">
        <v>378</v>
      </c>
      <c r="AL149" s="114" t="s">
        <v>55</v>
      </c>
      <c r="AR149" s="121">
        <f t="shared" si="63"/>
        <v>1</v>
      </c>
      <c r="AS149" s="121" t="str">
        <f t="shared" si="64"/>
        <v>2021_03_08_a</v>
      </c>
      <c r="AT149" s="122"/>
      <c r="AU149" s="121" t="str">
        <f t="shared" si="65"/>
        <v>2021</v>
      </c>
      <c r="AV149" s="121" t="str">
        <f t="shared" si="66"/>
        <v>03</v>
      </c>
      <c r="AW149" s="121" t="str">
        <f t="shared" si="67"/>
        <v>08</v>
      </c>
      <c r="AX149" s="121">
        <f t="shared" si="68"/>
        <v>44263</v>
      </c>
      <c r="AY149" s="123"/>
      <c r="AZ149" s="124">
        <f t="shared" si="69"/>
        <v>44263</v>
      </c>
      <c r="BA149" s="121" t="b">
        <f t="shared" si="70"/>
        <v>1</v>
      </c>
      <c r="BB149" s="121">
        <f t="shared" si="71"/>
        <v>44263</v>
      </c>
      <c r="BC149" s="121" t="str">
        <f t="shared" si="72"/>
        <v>no</v>
      </c>
      <c r="BD149" s="121" t="b">
        <f t="shared" si="73"/>
        <v>0</v>
      </c>
      <c r="BE149" s="125" t="s">
        <v>56</v>
      </c>
      <c r="BF149" s="122"/>
    </row>
    <row r="150" spans="2:58" s="114" customFormat="1" ht="154">
      <c r="B150" s="114" t="s">
        <v>405</v>
      </c>
      <c r="D150" s="81">
        <v>10096514</v>
      </c>
      <c r="F150" s="522" t="s">
        <v>403</v>
      </c>
      <c r="G150" s="142" t="s">
        <v>348</v>
      </c>
      <c r="H150" s="143">
        <v>44235</v>
      </c>
      <c r="I150" s="144">
        <v>44246</v>
      </c>
      <c r="J150" s="143">
        <v>44249</v>
      </c>
      <c r="K150" s="144">
        <v>44260</v>
      </c>
      <c r="L150" s="144">
        <v>44263</v>
      </c>
      <c r="M150" s="144" t="s">
        <v>277</v>
      </c>
      <c r="N150" s="144" t="s">
        <v>277</v>
      </c>
      <c r="O150" s="144" t="s">
        <v>277</v>
      </c>
      <c r="P150" s="144" t="s">
        <v>277</v>
      </c>
      <c r="Q150" s="114" t="s">
        <v>47</v>
      </c>
      <c r="R150" s="114" t="s">
        <v>348</v>
      </c>
      <c r="S150" s="81">
        <f>U150+V150</f>
        <v>21</v>
      </c>
      <c r="T150" s="81">
        <v>21</v>
      </c>
      <c r="U150" s="81">
        <v>21</v>
      </c>
      <c r="V150" s="114">
        <v>0</v>
      </c>
      <c r="W150" s="114" t="s">
        <v>404</v>
      </c>
      <c r="X150" s="114" t="s">
        <v>371</v>
      </c>
      <c r="Z150" s="114" t="s">
        <v>52</v>
      </c>
      <c r="AA150" s="114" t="s">
        <v>52</v>
      </c>
      <c r="AB150" s="114" t="s">
        <v>52</v>
      </c>
      <c r="AC150" s="114" t="s">
        <v>46</v>
      </c>
      <c r="AD150" s="114" t="s">
        <v>52</v>
      </c>
      <c r="AE150" s="114" t="s">
        <v>52</v>
      </c>
      <c r="AF150" s="114" t="s">
        <v>52</v>
      </c>
      <c r="AG150" s="114" t="s">
        <v>53</v>
      </c>
      <c r="AH150" s="114" t="s">
        <v>54</v>
      </c>
      <c r="AI150" s="114" t="s">
        <v>46</v>
      </c>
      <c r="AJ150" s="114" t="s">
        <v>378</v>
      </c>
      <c r="AL150" s="114" t="s">
        <v>55</v>
      </c>
      <c r="AR150" s="121">
        <f t="shared" si="63"/>
        <v>1</v>
      </c>
      <c r="AS150" s="121" t="str">
        <f t="shared" si="64"/>
        <v>2021_02_08_a</v>
      </c>
      <c r="AT150" s="122"/>
      <c r="AU150" s="121" t="str">
        <f t="shared" si="65"/>
        <v>2021</v>
      </c>
      <c r="AV150" s="121" t="str">
        <f t="shared" si="66"/>
        <v>02</v>
      </c>
      <c r="AW150" s="121" t="str">
        <f t="shared" si="67"/>
        <v>08</v>
      </c>
      <c r="AX150" s="121">
        <f t="shared" si="68"/>
        <v>44235</v>
      </c>
      <c r="AY150" s="123"/>
      <c r="AZ150" s="124">
        <f t="shared" si="69"/>
        <v>44235</v>
      </c>
      <c r="BA150" s="121" t="b">
        <f t="shared" si="70"/>
        <v>1</v>
      </c>
      <c r="BB150" s="121">
        <f t="shared" si="71"/>
        <v>44235</v>
      </c>
      <c r="BC150" s="121" t="str">
        <f t="shared" si="72"/>
        <v>no</v>
      </c>
      <c r="BD150" s="121" t="b">
        <f t="shared" si="73"/>
        <v>0</v>
      </c>
      <c r="BE150" s="125" t="s">
        <v>56</v>
      </c>
      <c r="BF150" s="122"/>
    </row>
    <row r="151" spans="2:58" s="114" customFormat="1" ht="154">
      <c r="B151" s="114" t="s">
        <v>406</v>
      </c>
      <c r="D151" s="81">
        <v>10099655</v>
      </c>
      <c r="F151" s="522" t="s">
        <v>403</v>
      </c>
      <c r="G151" s="142" t="s">
        <v>348</v>
      </c>
      <c r="H151" s="143">
        <v>44298</v>
      </c>
      <c r="I151" s="144">
        <v>44309</v>
      </c>
      <c r="J151" s="143">
        <v>44312</v>
      </c>
      <c r="K151" s="144">
        <v>44323</v>
      </c>
      <c r="L151" s="144">
        <v>44326</v>
      </c>
      <c r="M151" s="144" t="s">
        <v>277</v>
      </c>
      <c r="N151" s="144" t="s">
        <v>277</v>
      </c>
      <c r="O151" s="144" t="s">
        <v>277</v>
      </c>
      <c r="P151" s="144" t="s">
        <v>277</v>
      </c>
      <c r="Q151" s="114" t="s">
        <v>78</v>
      </c>
      <c r="R151" s="114" t="s">
        <v>348</v>
      </c>
      <c r="S151" s="81">
        <f t="shared" si="75"/>
        <v>23</v>
      </c>
      <c r="T151" s="81">
        <v>23</v>
      </c>
      <c r="U151" s="81">
        <v>23</v>
      </c>
      <c r="V151" s="114">
        <v>0</v>
      </c>
      <c r="W151" s="114" t="s">
        <v>404</v>
      </c>
      <c r="X151" s="114" t="s">
        <v>371</v>
      </c>
      <c r="Z151" s="114" t="s">
        <v>52</v>
      </c>
      <c r="AA151" s="114" t="s">
        <v>52</v>
      </c>
      <c r="AB151" s="114" t="s">
        <v>52</v>
      </c>
      <c r="AC151" s="114" t="s">
        <v>46</v>
      </c>
      <c r="AD151" s="114" t="s">
        <v>52</v>
      </c>
      <c r="AE151" s="114" t="s">
        <v>52</v>
      </c>
      <c r="AF151" s="114" t="s">
        <v>52</v>
      </c>
      <c r="AG151" s="114" t="s">
        <v>53</v>
      </c>
      <c r="AH151" s="114" t="s">
        <v>54</v>
      </c>
      <c r="AI151" s="114" t="s">
        <v>46</v>
      </c>
      <c r="AJ151" s="114" t="s">
        <v>378</v>
      </c>
      <c r="AL151" s="114" t="s">
        <v>55</v>
      </c>
      <c r="AR151" s="121">
        <f t="shared" si="63"/>
        <v>1</v>
      </c>
      <c r="AS151" s="121" t="str">
        <f t="shared" si="64"/>
        <v>2021_04_12_a</v>
      </c>
      <c r="AT151" s="122"/>
      <c r="AU151" s="121" t="str">
        <f t="shared" si="65"/>
        <v>2021</v>
      </c>
      <c r="AV151" s="121" t="str">
        <f t="shared" si="66"/>
        <v>04</v>
      </c>
      <c r="AW151" s="121" t="str">
        <f t="shared" si="67"/>
        <v>12</v>
      </c>
      <c r="AX151" s="121">
        <f t="shared" si="68"/>
        <v>44298</v>
      </c>
      <c r="AY151" s="123"/>
      <c r="AZ151" s="124">
        <f t="shared" si="69"/>
        <v>44298</v>
      </c>
      <c r="BA151" s="121" t="b">
        <f t="shared" si="70"/>
        <v>1</v>
      </c>
      <c r="BB151" s="121">
        <f t="shared" si="71"/>
        <v>44298</v>
      </c>
      <c r="BC151" s="121" t="str">
        <f t="shared" si="72"/>
        <v>no</v>
      </c>
      <c r="BD151" s="121" t="b">
        <f t="shared" si="73"/>
        <v>0</v>
      </c>
      <c r="BE151" s="125" t="s">
        <v>56</v>
      </c>
      <c r="BF151" s="122"/>
    </row>
    <row r="152" spans="2:58" s="114" customFormat="1" ht="154">
      <c r="B152" s="114" t="s">
        <v>407</v>
      </c>
      <c r="D152" s="81">
        <v>10101664</v>
      </c>
      <c r="F152" s="522" t="s">
        <v>403</v>
      </c>
      <c r="G152" s="142" t="s">
        <v>348</v>
      </c>
      <c r="H152" s="143">
        <v>44354</v>
      </c>
      <c r="I152" s="144">
        <v>44365</v>
      </c>
      <c r="J152" s="143">
        <v>44368</v>
      </c>
      <c r="K152" s="144">
        <v>44379</v>
      </c>
      <c r="L152" s="144">
        <v>44382</v>
      </c>
      <c r="M152" s="144" t="s">
        <v>277</v>
      </c>
      <c r="N152" s="144" t="s">
        <v>277</v>
      </c>
      <c r="O152" s="144" t="s">
        <v>277</v>
      </c>
      <c r="P152" s="144" t="s">
        <v>277</v>
      </c>
      <c r="Q152" s="114" t="s">
        <v>78</v>
      </c>
      <c r="R152" s="114" t="s">
        <v>348</v>
      </c>
      <c r="S152" s="114">
        <f t="shared" si="75"/>
        <v>25</v>
      </c>
      <c r="T152" s="114">
        <v>25</v>
      </c>
      <c r="U152" s="114">
        <v>25</v>
      </c>
      <c r="V152" s="114">
        <v>0</v>
      </c>
      <c r="W152" s="114" t="s">
        <v>404</v>
      </c>
      <c r="X152" s="114" t="s">
        <v>371</v>
      </c>
      <c r="Z152" s="114" t="s">
        <v>52</v>
      </c>
      <c r="AA152" s="114" t="s">
        <v>52</v>
      </c>
      <c r="AB152" s="114" t="s">
        <v>52</v>
      </c>
      <c r="AC152" s="114" t="s">
        <v>46</v>
      </c>
      <c r="AD152" s="114" t="s">
        <v>52</v>
      </c>
      <c r="AE152" s="114" t="s">
        <v>52</v>
      </c>
      <c r="AF152" s="114" t="s">
        <v>52</v>
      </c>
      <c r="AG152" s="114" t="s">
        <v>53</v>
      </c>
      <c r="AH152" s="114" t="s">
        <v>54</v>
      </c>
      <c r="AI152" s="114" t="s">
        <v>46</v>
      </c>
      <c r="AJ152" s="114" t="s">
        <v>378</v>
      </c>
      <c r="AL152" s="114" t="s">
        <v>55</v>
      </c>
      <c r="AR152" s="121">
        <f t="shared" si="63"/>
        <v>1</v>
      </c>
      <c r="AS152" s="121" t="str">
        <f t="shared" si="64"/>
        <v>2021_06_07_a</v>
      </c>
      <c r="AT152" s="122"/>
      <c r="AU152" s="121" t="str">
        <f t="shared" si="65"/>
        <v>2021</v>
      </c>
      <c r="AV152" s="121" t="str">
        <f t="shared" si="66"/>
        <v>06</v>
      </c>
      <c r="AW152" s="121" t="str">
        <f t="shared" si="67"/>
        <v>07</v>
      </c>
      <c r="AX152" s="121">
        <f t="shared" si="68"/>
        <v>44354</v>
      </c>
      <c r="AY152" s="123"/>
      <c r="AZ152" s="124">
        <f t="shared" si="69"/>
        <v>44354</v>
      </c>
      <c r="BA152" s="121" t="b">
        <f t="shared" si="70"/>
        <v>1</v>
      </c>
      <c r="BB152" s="121">
        <f t="shared" si="71"/>
        <v>44354</v>
      </c>
      <c r="BC152" s="121" t="str">
        <f t="shared" si="72"/>
        <v>no</v>
      </c>
      <c r="BD152" s="121" t="b">
        <f t="shared" si="73"/>
        <v>0</v>
      </c>
      <c r="BE152" s="125" t="s">
        <v>56</v>
      </c>
      <c r="BF152" s="122"/>
    </row>
    <row r="153" spans="2:58" s="114" customFormat="1" ht="154">
      <c r="B153" s="114" t="s">
        <v>408</v>
      </c>
      <c r="D153" s="81">
        <v>10102803</v>
      </c>
      <c r="F153" s="522" t="s">
        <v>403</v>
      </c>
      <c r="G153" s="142" t="s">
        <v>348</v>
      </c>
      <c r="H153" s="143">
        <v>44382</v>
      </c>
      <c r="I153" s="144">
        <v>44393</v>
      </c>
      <c r="J153" s="143">
        <v>44396</v>
      </c>
      <c r="K153" s="144">
        <v>44407</v>
      </c>
      <c r="L153" s="144">
        <v>44410</v>
      </c>
      <c r="M153" s="144" t="s">
        <v>277</v>
      </c>
      <c r="N153" s="144" t="s">
        <v>277</v>
      </c>
      <c r="O153" s="144" t="s">
        <v>277</v>
      </c>
      <c r="P153" s="144" t="s">
        <v>277</v>
      </c>
      <c r="Q153" s="114" t="s">
        <v>99</v>
      </c>
      <c r="R153" s="114" t="s">
        <v>348</v>
      </c>
      <c r="S153" s="114">
        <f t="shared" si="75"/>
        <v>25</v>
      </c>
      <c r="T153" s="114">
        <v>25</v>
      </c>
      <c r="U153" s="114">
        <v>25</v>
      </c>
      <c r="V153" s="114">
        <v>0</v>
      </c>
      <c r="W153" s="114" t="s">
        <v>404</v>
      </c>
      <c r="X153" s="114" t="s">
        <v>371</v>
      </c>
      <c r="Z153" s="114" t="s">
        <v>52</v>
      </c>
      <c r="AA153" s="114" t="s">
        <v>52</v>
      </c>
      <c r="AB153" s="114" t="s">
        <v>52</v>
      </c>
      <c r="AC153" s="114" t="s">
        <v>46</v>
      </c>
      <c r="AD153" s="114" t="s">
        <v>52</v>
      </c>
      <c r="AE153" s="114" t="s">
        <v>52</v>
      </c>
      <c r="AF153" s="114" t="s">
        <v>52</v>
      </c>
      <c r="AG153" s="114" t="s">
        <v>53</v>
      </c>
      <c r="AH153" s="114" t="s">
        <v>54</v>
      </c>
      <c r="AI153" s="114" t="s">
        <v>46</v>
      </c>
      <c r="AJ153" s="114" t="s">
        <v>378</v>
      </c>
      <c r="AL153" s="114" t="s">
        <v>55</v>
      </c>
      <c r="AR153" s="121">
        <f t="shared" si="63"/>
        <v>1</v>
      </c>
      <c r="AS153" s="121" t="str">
        <f t="shared" si="64"/>
        <v>2021_07_05_a</v>
      </c>
      <c r="AT153" s="122"/>
      <c r="AU153" s="121" t="str">
        <f t="shared" si="65"/>
        <v>2021</v>
      </c>
      <c r="AV153" s="121" t="str">
        <f t="shared" si="66"/>
        <v>07</v>
      </c>
      <c r="AW153" s="121" t="str">
        <f t="shared" si="67"/>
        <v>05</v>
      </c>
      <c r="AX153" s="121">
        <f t="shared" si="68"/>
        <v>44382</v>
      </c>
      <c r="AY153" s="123"/>
      <c r="AZ153" s="124">
        <f t="shared" si="69"/>
        <v>44382</v>
      </c>
      <c r="BA153" s="121" t="b">
        <f t="shared" si="70"/>
        <v>1</v>
      </c>
      <c r="BB153" s="121">
        <f t="shared" si="71"/>
        <v>44382</v>
      </c>
      <c r="BC153" s="121" t="str">
        <f t="shared" si="72"/>
        <v>no</v>
      </c>
      <c r="BD153" s="121" t="b">
        <f t="shared" si="73"/>
        <v>0</v>
      </c>
      <c r="BE153" s="125" t="s">
        <v>56</v>
      </c>
      <c r="BF153" s="122"/>
    </row>
    <row r="154" spans="2:58" s="114" customFormat="1" ht="154">
      <c r="B154" s="81" t="s">
        <v>409</v>
      </c>
      <c r="C154" s="81"/>
      <c r="D154" s="81">
        <v>10104775</v>
      </c>
      <c r="E154" s="81"/>
      <c r="F154" s="531" t="s">
        <v>403</v>
      </c>
      <c r="G154" s="147" t="s">
        <v>348</v>
      </c>
      <c r="H154" s="137">
        <v>44403</v>
      </c>
      <c r="I154" s="148" t="s">
        <v>290</v>
      </c>
      <c r="J154" s="137">
        <v>44417</v>
      </c>
      <c r="K154" s="148"/>
      <c r="L154" s="148"/>
      <c r="M154" s="148" t="s">
        <v>277</v>
      </c>
      <c r="N154" s="148" t="s">
        <v>277</v>
      </c>
      <c r="O154" s="148" t="s">
        <v>277</v>
      </c>
      <c r="P154" s="148" t="s">
        <v>277</v>
      </c>
      <c r="Q154" s="81" t="s">
        <v>99</v>
      </c>
      <c r="R154" s="81" t="s">
        <v>410</v>
      </c>
      <c r="S154" s="114">
        <f t="shared" si="75"/>
        <v>30</v>
      </c>
      <c r="T154" s="81">
        <v>30</v>
      </c>
      <c r="U154" s="81">
        <v>30</v>
      </c>
      <c r="V154" s="81">
        <v>0</v>
      </c>
      <c r="W154" s="81" t="s">
        <v>411</v>
      </c>
      <c r="X154" s="81" t="s">
        <v>371</v>
      </c>
      <c r="Y154" s="81"/>
      <c r="Z154" s="81" t="s">
        <v>52</v>
      </c>
      <c r="AA154" s="81" t="s">
        <v>52</v>
      </c>
      <c r="AB154" s="81" t="s">
        <v>52</v>
      </c>
      <c r="AC154" s="81" t="s">
        <v>46</v>
      </c>
      <c r="AD154" s="81" t="s">
        <v>52</v>
      </c>
      <c r="AE154" s="81" t="s">
        <v>52</v>
      </c>
      <c r="AF154" s="81" t="s">
        <v>52</v>
      </c>
      <c r="AG154" s="81" t="s">
        <v>53</v>
      </c>
      <c r="AH154" s="81" t="s">
        <v>378</v>
      </c>
      <c r="AI154" s="81" t="s">
        <v>359</v>
      </c>
      <c r="AJ154" s="81" t="s">
        <v>378</v>
      </c>
      <c r="AK154" s="81"/>
      <c r="AL154" s="81" t="s">
        <v>55</v>
      </c>
      <c r="AR154" s="121">
        <f t="shared" si="63"/>
        <v>1</v>
      </c>
      <c r="AS154" s="121" t="str">
        <f t="shared" si="64"/>
        <v>2021_07_26_a</v>
      </c>
      <c r="AT154" s="122"/>
      <c r="AU154" s="121" t="str">
        <f t="shared" si="65"/>
        <v>2021</v>
      </c>
      <c r="AV154" s="121" t="str">
        <f t="shared" si="66"/>
        <v>07</v>
      </c>
      <c r="AW154" s="121" t="str">
        <f t="shared" si="67"/>
        <v>26</v>
      </c>
      <c r="AX154" s="121">
        <f t="shared" si="68"/>
        <v>44403</v>
      </c>
      <c r="AY154" s="123"/>
      <c r="AZ154" s="124">
        <f t="shared" si="69"/>
        <v>44403</v>
      </c>
      <c r="BA154" s="121" t="b">
        <f t="shared" si="70"/>
        <v>1</v>
      </c>
      <c r="BB154" s="121">
        <f t="shared" si="71"/>
        <v>44403</v>
      </c>
      <c r="BC154" s="121" t="str">
        <f t="shared" si="72"/>
        <v>no</v>
      </c>
      <c r="BD154" s="121" t="b">
        <f t="shared" si="73"/>
        <v>0</v>
      </c>
      <c r="BE154" s="125" t="s">
        <v>56</v>
      </c>
      <c r="BF154" s="122"/>
    </row>
    <row r="155" spans="2:58" s="114" customFormat="1" ht="154">
      <c r="B155" s="114" t="s">
        <v>412</v>
      </c>
      <c r="D155" s="81">
        <v>10104776</v>
      </c>
      <c r="F155" s="522" t="s">
        <v>403</v>
      </c>
      <c r="G155" s="142" t="s">
        <v>348</v>
      </c>
      <c r="H155" s="143">
        <v>44417</v>
      </c>
      <c r="I155" s="144">
        <v>44428</v>
      </c>
      <c r="J155" s="143">
        <v>44431</v>
      </c>
      <c r="K155" s="144">
        <v>44442</v>
      </c>
      <c r="L155" s="144">
        <v>44445</v>
      </c>
      <c r="M155" s="144" t="s">
        <v>277</v>
      </c>
      <c r="N155" s="144" t="s">
        <v>277</v>
      </c>
      <c r="O155" s="144" t="s">
        <v>277</v>
      </c>
      <c r="P155" s="144" t="s">
        <v>277</v>
      </c>
      <c r="Q155" s="114" t="s">
        <v>99</v>
      </c>
      <c r="R155" s="114" t="s">
        <v>348</v>
      </c>
      <c r="S155" s="114">
        <f t="shared" si="75"/>
        <v>28</v>
      </c>
      <c r="T155" s="81">
        <v>28</v>
      </c>
      <c r="U155" s="81">
        <v>28</v>
      </c>
      <c r="V155" s="114">
        <v>0</v>
      </c>
      <c r="W155" s="114" t="s">
        <v>404</v>
      </c>
      <c r="X155" s="114" t="s">
        <v>371</v>
      </c>
      <c r="Z155" s="114" t="s">
        <v>52</v>
      </c>
      <c r="AA155" s="114" t="s">
        <v>52</v>
      </c>
      <c r="AB155" s="114" t="s">
        <v>52</v>
      </c>
      <c r="AC155" s="114" t="s">
        <v>46</v>
      </c>
      <c r="AD155" s="114" t="s">
        <v>52</v>
      </c>
      <c r="AE155" s="114" t="s">
        <v>52</v>
      </c>
      <c r="AF155" s="114" t="s">
        <v>52</v>
      </c>
      <c r="AG155" s="114" t="s">
        <v>53</v>
      </c>
      <c r="AH155" s="114" t="s">
        <v>54</v>
      </c>
      <c r="AI155" s="114" t="s">
        <v>46</v>
      </c>
      <c r="AJ155" s="114" t="s">
        <v>378</v>
      </c>
      <c r="AL155" s="114" t="s">
        <v>55</v>
      </c>
      <c r="AR155" s="121">
        <f t="shared" si="63"/>
        <v>1</v>
      </c>
      <c r="AS155" s="121" t="str">
        <f t="shared" si="64"/>
        <v>2021_08_09_a</v>
      </c>
      <c r="AT155" s="122"/>
      <c r="AU155" s="121" t="str">
        <f t="shared" si="65"/>
        <v>2021</v>
      </c>
      <c r="AV155" s="121" t="str">
        <f t="shared" si="66"/>
        <v>08</v>
      </c>
      <c r="AW155" s="121" t="str">
        <f t="shared" si="67"/>
        <v>09</v>
      </c>
      <c r="AX155" s="121">
        <f t="shared" si="68"/>
        <v>44417</v>
      </c>
      <c r="AY155" s="123"/>
      <c r="AZ155" s="124">
        <f t="shared" si="69"/>
        <v>44417</v>
      </c>
      <c r="BA155" s="121" t="b">
        <f t="shared" si="70"/>
        <v>1</v>
      </c>
      <c r="BB155" s="121">
        <f t="shared" si="71"/>
        <v>44417</v>
      </c>
      <c r="BC155" s="121" t="str">
        <f t="shared" si="72"/>
        <v>no</v>
      </c>
      <c r="BD155" s="121" t="b">
        <f t="shared" si="73"/>
        <v>0</v>
      </c>
      <c r="BE155" s="125" t="s">
        <v>56</v>
      </c>
      <c r="BF155" s="122"/>
    </row>
    <row r="156" spans="2:58" s="114" customFormat="1" ht="154">
      <c r="B156" s="114" t="s">
        <v>413</v>
      </c>
      <c r="D156" s="81">
        <v>10105566</v>
      </c>
      <c r="F156" s="522" t="s">
        <v>403</v>
      </c>
      <c r="G156" s="142" t="s">
        <v>348</v>
      </c>
      <c r="H156" s="143">
        <v>44445</v>
      </c>
      <c r="I156" s="144">
        <v>44456</v>
      </c>
      <c r="J156" s="143">
        <v>44459</v>
      </c>
      <c r="K156" s="144">
        <v>44470</v>
      </c>
      <c r="L156" s="144">
        <v>44473</v>
      </c>
      <c r="M156" s="144" t="s">
        <v>277</v>
      </c>
      <c r="N156" s="144" t="s">
        <v>277</v>
      </c>
      <c r="O156" s="144" t="s">
        <v>277</v>
      </c>
      <c r="P156" s="144" t="s">
        <v>277</v>
      </c>
      <c r="Q156" s="114" t="s">
        <v>99</v>
      </c>
      <c r="R156" s="114" t="s">
        <v>348</v>
      </c>
      <c r="S156" s="114">
        <f t="shared" si="75"/>
        <v>27</v>
      </c>
      <c r="T156" s="155">
        <v>27</v>
      </c>
      <c r="U156" s="155">
        <v>27</v>
      </c>
      <c r="V156" s="114">
        <v>0</v>
      </c>
      <c r="W156" s="114" t="s">
        <v>404</v>
      </c>
      <c r="X156" s="114" t="s">
        <v>371</v>
      </c>
      <c r="Z156" s="114" t="s">
        <v>52</v>
      </c>
      <c r="AA156" s="114" t="s">
        <v>52</v>
      </c>
      <c r="AB156" s="114" t="s">
        <v>52</v>
      </c>
      <c r="AC156" s="114" t="s">
        <v>46</v>
      </c>
      <c r="AD156" s="114" t="s">
        <v>52</v>
      </c>
      <c r="AE156" s="114" t="s">
        <v>52</v>
      </c>
      <c r="AF156" s="114" t="s">
        <v>52</v>
      </c>
      <c r="AG156" s="114" t="s">
        <v>53</v>
      </c>
      <c r="AH156" s="114" t="s">
        <v>54</v>
      </c>
      <c r="AI156" s="114" t="s">
        <v>46</v>
      </c>
      <c r="AJ156" s="114" t="s">
        <v>378</v>
      </c>
      <c r="AL156" s="114" t="s">
        <v>55</v>
      </c>
      <c r="AR156" s="121">
        <f t="shared" si="63"/>
        <v>1</v>
      </c>
      <c r="AS156" s="121" t="str">
        <f t="shared" si="64"/>
        <v>2021_09_06_a</v>
      </c>
      <c r="AT156" s="122"/>
      <c r="AU156" s="121" t="str">
        <f t="shared" si="65"/>
        <v>2021</v>
      </c>
      <c r="AV156" s="121" t="str">
        <f t="shared" si="66"/>
        <v>09</v>
      </c>
      <c r="AW156" s="121" t="str">
        <f t="shared" si="67"/>
        <v>06</v>
      </c>
      <c r="AX156" s="121">
        <f t="shared" si="68"/>
        <v>44445</v>
      </c>
      <c r="AY156" s="123"/>
      <c r="AZ156" s="124">
        <f t="shared" si="69"/>
        <v>44445</v>
      </c>
      <c r="BA156" s="121" t="b">
        <f t="shared" si="70"/>
        <v>1</v>
      </c>
      <c r="BB156" s="121">
        <f t="shared" si="71"/>
        <v>44445</v>
      </c>
      <c r="BC156" s="121" t="str">
        <f t="shared" si="72"/>
        <v>no</v>
      </c>
      <c r="BD156" s="121" t="b">
        <f t="shared" si="73"/>
        <v>0</v>
      </c>
      <c r="BE156" s="125" t="s">
        <v>56</v>
      </c>
      <c r="BF156" s="122"/>
    </row>
    <row r="157" spans="2:58" s="114" customFormat="1" ht="154">
      <c r="B157" s="114" t="s">
        <v>414</v>
      </c>
      <c r="D157" s="81">
        <v>10105351</v>
      </c>
      <c r="F157" s="522" t="s">
        <v>403</v>
      </c>
      <c r="G157" s="142" t="s">
        <v>348</v>
      </c>
      <c r="H157" s="143">
        <v>44445</v>
      </c>
      <c r="I157" s="144">
        <v>44456</v>
      </c>
      <c r="J157" s="143">
        <v>44459</v>
      </c>
      <c r="K157" s="144">
        <v>44470</v>
      </c>
      <c r="L157" s="144">
        <v>44473</v>
      </c>
      <c r="M157" s="144" t="s">
        <v>277</v>
      </c>
      <c r="N157" s="144" t="s">
        <v>277</v>
      </c>
      <c r="O157" s="144" t="s">
        <v>277</v>
      </c>
      <c r="P157" s="144" t="s">
        <v>277</v>
      </c>
      <c r="Q157" s="114" t="s">
        <v>99</v>
      </c>
      <c r="R157" s="114" t="s">
        <v>415</v>
      </c>
      <c r="S157" s="114">
        <f t="shared" si="75"/>
        <v>26</v>
      </c>
      <c r="T157" s="155">
        <v>26</v>
      </c>
      <c r="U157" s="155">
        <v>26</v>
      </c>
      <c r="V157" s="114">
        <v>0</v>
      </c>
      <c r="W157" s="114" t="s">
        <v>404</v>
      </c>
      <c r="X157" s="114" t="s">
        <v>371</v>
      </c>
      <c r="Z157" s="114" t="s">
        <v>52</v>
      </c>
      <c r="AA157" s="114" t="s">
        <v>52</v>
      </c>
      <c r="AB157" s="114" t="s">
        <v>52</v>
      </c>
      <c r="AC157" s="114" t="s">
        <v>46</v>
      </c>
      <c r="AD157" s="114" t="s">
        <v>52</v>
      </c>
      <c r="AE157" s="114" t="s">
        <v>52</v>
      </c>
      <c r="AF157" s="114" t="s">
        <v>52</v>
      </c>
      <c r="AG157" s="114" t="s">
        <v>53</v>
      </c>
      <c r="AH157" s="114" t="s">
        <v>54</v>
      </c>
      <c r="AI157" s="114" t="s">
        <v>46</v>
      </c>
      <c r="AJ157" s="114" t="s">
        <v>378</v>
      </c>
      <c r="AL157" s="114" t="s">
        <v>55</v>
      </c>
      <c r="AR157" s="121">
        <f t="shared" si="63"/>
        <v>1</v>
      </c>
      <c r="AS157" s="121" t="str">
        <f t="shared" si="64"/>
        <v>2021_09_06_b</v>
      </c>
      <c r="AT157" s="122"/>
      <c r="AU157" s="121" t="str">
        <f t="shared" si="65"/>
        <v>2021</v>
      </c>
      <c r="AV157" s="121" t="str">
        <f t="shared" si="66"/>
        <v>09</v>
      </c>
      <c r="AW157" s="121" t="str">
        <f t="shared" si="67"/>
        <v>06</v>
      </c>
      <c r="AX157" s="121">
        <f t="shared" si="68"/>
        <v>44445</v>
      </c>
      <c r="AY157" s="123"/>
      <c r="AZ157" s="124">
        <f t="shared" si="69"/>
        <v>44445</v>
      </c>
      <c r="BA157" s="121" t="b">
        <f t="shared" si="70"/>
        <v>1</v>
      </c>
      <c r="BB157" s="121">
        <f t="shared" si="71"/>
        <v>44445</v>
      </c>
      <c r="BC157" s="121" t="str">
        <f t="shared" si="72"/>
        <v>no</v>
      </c>
      <c r="BD157" s="121" t="b">
        <f t="shared" si="73"/>
        <v>0</v>
      </c>
      <c r="BE157" s="125" t="s">
        <v>56</v>
      </c>
      <c r="BF157" s="122"/>
    </row>
    <row r="158" spans="2:58" s="115" customFormat="1" ht="154">
      <c r="B158" s="115" t="s">
        <v>416</v>
      </c>
      <c r="D158" s="115">
        <v>10105762</v>
      </c>
      <c r="F158" s="150" t="s">
        <v>403</v>
      </c>
      <c r="G158" s="151" t="s">
        <v>348</v>
      </c>
      <c r="H158" s="152">
        <v>44459</v>
      </c>
      <c r="I158" s="153">
        <v>44470</v>
      </c>
      <c r="J158" s="152">
        <v>44473</v>
      </c>
      <c r="K158" s="153">
        <v>44126</v>
      </c>
      <c r="L158" s="153">
        <v>44494</v>
      </c>
      <c r="M158" s="153" t="s">
        <v>277</v>
      </c>
      <c r="N158" s="153" t="s">
        <v>277</v>
      </c>
      <c r="O158" s="153" t="s">
        <v>277</v>
      </c>
      <c r="P158" s="153" t="s">
        <v>277</v>
      </c>
      <c r="Q158" s="115" t="s">
        <v>99</v>
      </c>
      <c r="R158" s="115" t="s">
        <v>348</v>
      </c>
      <c r="S158" s="114">
        <f t="shared" si="75"/>
        <v>38</v>
      </c>
      <c r="T158" s="155">
        <v>38</v>
      </c>
      <c r="U158" s="155">
        <v>38</v>
      </c>
      <c r="V158" s="114">
        <v>0</v>
      </c>
      <c r="W158" s="115" t="s">
        <v>404</v>
      </c>
      <c r="X158" s="115" t="s">
        <v>371</v>
      </c>
      <c r="Z158" s="115" t="s">
        <v>52</v>
      </c>
      <c r="AA158" s="115" t="s">
        <v>52</v>
      </c>
      <c r="AB158" s="115" t="s">
        <v>52</v>
      </c>
      <c r="AC158" s="115" t="s">
        <v>46</v>
      </c>
      <c r="AD158" s="115" t="s">
        <v>52</v>
      </c>
      <c r="AE158" s="115" t="s">
        <v>52</v>
      </c>
      <c r="AF158" s="115" t="s">
        <v>52</v>
      </c>
      <c r="AG158" s="115" t="s">
        <v>53</v>
      </c>
      <c r="AH158" s="115" t="s">
        <v>54</v>
      </c>
      <c r="AI158" s="115" t="s">
        <v>46</v>
      </c>
      <c r="AJ158" s="115" t="s">
        <v>378</v>
      </c>
      <c r="AL158" s="115" t="s">
        <v>55</v>
      </c>
      <c r="AR158" s="121">
        <f t="shared" si="63"/>
        <v>1</v>
      </c>
      <c r="AS158" s="121" t="str">
        <f t="shared" si="64"/>
        <v>2021_09_20_a</v>
      </c>
      <c r="AT158" s="122"/>
      <c r="AU158" s="121" t="str">
        <f t="shared" si="65"/>
        <v>2021</v>
      </c>
      <c r="AV158" s="121" t="str">
        <f t="shared" si="66"/>
        <v>09</v>
      </c>
      <c r="AW158" s="121" t="str">
        <f t="shared" si="67"/>
        <v>20</v>
      </c>
      <c r="AX158" s="121">
        <f t="shared" si="68"/>
        <v>44459</v>
      </c>
      <c r="AY158" s="123"/>
      <c r="AZ158" s="124">
        <f t="shared" si="69"/>
        <v>44459</v>
      </c>
      <c r="BA158" s="121" t="b">
        <f t="shared" si="70"/>
        <v>1</v>
      </c>
      <c r="BB158" s="121">
        <f t="shared" si="71"/>
        <v>44459</v>
      </c>
      <c r="BC158" s="121" t="str">
        <f t="shared" si="72"/>
        <v>no</v>
      </c>
      <c r="BD158" s="121" t="b">
        <f t="shared" si="73"/>
        <v>0</v>
      </c>
      <c r="BE158" s="125" t="s">
        <v>56</v>
      </c>
      <c r="BF158" s="122"/>
    </row>
    <row r="159" spans="2:58" s="114" customFormat="1" ht="154">
      <c r="B159" s="114" t="s">
        <v>417</v>
      </c>
      <c r="D159" s="81">
        <v>10223328</v>
      </c>
      <c r="F159" s="522" t="s">
        <v>403</v>
      </c>
      <c r="G159" s="142" t="s">
        <v>348</v>
      </c>
      <c r="H159" s="143">
        <v>44480</v>
      </c>
      <c r="I159" s="144">
        <v>44491</v>
      </c>
      <c r="J159" s="143">
        <v>44494</v>
      </c>
      <c r="K159" s="144">
        <v>44505</v>
      </c>
      <c r="L159" s="144">
        <v>44508</v>
      </c>
      <c r="M159" s="144" t="s">
        <v>277</v>
      </c>
      <c r="N159" s="144" t="s">
        <v>277</v>
      </c>
      <c r="O159" s="144" t="s">
        <v>277</v>
      </c>
      <c r="P159" s="144" t="s">
        <v>277</v>
      </c>
      <c r="Q159" s="114" t="s">
        <v>121</v>
      </c>
      <c r="R159" s="114" t="s">
        <v>348</v>
      </c>
      <c r="S159" s="81">
        <f t="shared" si="75"/>
        <v>28</v>
      </c>
      <c r="T159" s="114">
        <v>28</v>
      </c>
      <c r="U159" s="114">
        <v>28</v>
      </c>
      <c r="V159" s="114">
        <v>0</v>
      </c>
      <c r="W159" s="114" t="s">
        <v>404</v>
      </c>
      <c r="X159" s="114" t="s">
        <v>371</v>
      </c>
      <c r="Z159" s="114" t="s">
        <v>52</v>
      </c>
      <c r="AA159" s="114" t="s">
        <v>52</v>
      </c>
      <c r="AB159" s="114" t="s">
        <v>52</v>
      </c>
      <c r="AC159" s="114" t="s">
        <v>46</v>
      </c>
      <c r="AD159" s="114" t="s">
        <v>52</v>
      </c>
      <c r="AE159" s="114" t="s">
        <v>52</v>
      </c>
      <c r="AF159" s="114" t="s">
        <v>52</v>
      </c>
      <c r="AG159" s="114" t="s">
        <v>53</v>
      </c>
      <c r="AH159" s="114" t="s">
        <v>54</v>
      </c>
      <c r="AI159" s="114" t="s">
        <v>46</v>
      </c>
      <c r="AJ159" s="114" t="s">
        <v>378</v>
      </c>
      <c r="AL159" s="114" t="s">
        <v>55</v>
      </c>
      <c r="AR159" s="121">
        <f t="shared" si="63"/>
        <v>1</v>
      </c>
      <c r="AS159" s="121" t="str">
        <f t="shared" si="64"/>
        <v>2021_10_11_a</v>
      </c>
      <c r="AT159" s="122"/>
      <c r="AU159" s="121" t="str">
        <f t="shared" si="65"/>
        <v>2021</v>
      </c>
      <c r="AV159" s="121" t="str">
        <f t="shared" si="66"/>
        <v>10</v>
      </c>
      <c r="AW159" s="121" t="str">
        <f t="shared" si="67"/>
        <v>11</v>
      </c>
      <c r="AX159" s="121">
        <f t="shared" si="68"/>
        <v>44480</v>
      </c>
      <c r="AY159" s="123"/>
      <c r="AZ159" s="124">
        <f t="shared" si="69"/>
        <v>44480</v>
      </c>
      <c r="BA159" s="121" t="b">
        <f t="shared" si="70"/>
        <v>1</v>
      </c>
      <c r="BB159" s="121">
        <f t="shared" si="71"/>
        <v>44480</v>
      </c>
      <c r="BC159" s="121" t="str">
        <f t="shared" si="72"/>
        <v>no</v>
      </c>
      <c r="BD159" s="121" t="b">
        <f t="shared" si="73"/>
        <v>0</v>
      </c>
      <c r="BE159" s="125" t="s">
        <v>56</v>
      </c>
      <c r="BF159" s="122"/>
    </row>
    <row r="160" spans="2:58" s="114" customFormat="1" ht="154">
      <c r="B160" s="114" t="s">
        <v>418</v>
      </c>
      <c r="D160" s="81">
        <v>10223332</v>
      </c>
      <c r="F160" s="522" t="s">
        <v>403</v>
      </c>
      <c r="G160" s="142" t="s">
        <v>348</v>
      </c>
      <c r="H160" s="143">
        <v>44480</v>
      </c>
      <c r="I160" s="144">
        <v>44491</v>
      </c>
      <c r="J160" s="143">
        <v>44494</v>
      </c>
      <c r="K160" s="144">
        <v>44505</v>
      </c>
      <c r="L160" s="144">
        <v>44508</v>
      </c>
      <c r="M160" s="144" t="s">
        <v>277</v>
      </c>
      <c r="N160" s="144" t="s">
        <v>277</v>
      </c>
      <c r="O160" s="144" t="s">
        <v>277</v>
      </c>
      <c r="P160" s="144" t="s">
        <v>277</v>
      </c>
      <c r="Q160" s="114" t="s">
        <v>121</v>
      </c>
      <c r="R160" s="114" t="s">
        <v>415</v>
      </c>
      <c r="S160" s="81">
        <f t="shared" si="75"/>
        <v>27</v>
      </c>
      <c r="T160" s="114">
        <v>27</v>
      </c>
      <c r="U160" s="114">
        <v>27</v>
      </c>
      <c r="V160" s="114">
        <v>0</v>
      </c>
      <c r="W160" s="114" t="s">
        <v>404</v>
      </c>
      <c r="X160" s="114" t="s">
        <v>371</v>
      </c>
      <c r="Z160" s="114" t="s">
        <v>52</v>
      </c>
      <c r="AA160" s="114" t="s">
        <v>52</v>
      </c>
      <c r="AB160" s="114" t="s">
        <v>52</v>
      </c>
      <c r="AC160" s="114" t="s">
        <v>46</v>
      </c>
      <c r="AD160" s="114" t="s">
        <v>52</v>
      </c>
      <c r="AE160" s="114" t="s">
        <v>52</v>
      </c>
      <c r="AF160" s="114" t="s">
        <v>52</v>
      </c>
      <c r="AG160" s="114" t="s">
        <v>53</v>
      </c>
      <c r="AH160" s="114" t="s">
        <v>54</v>
      </c>
      <c r="AI160" s="114" t="s">
        <v>46</v>
      </c>
      <c r="AJ160" s="114" t="s">
        <v>378</v>
      </c>
      <c r="AL160" s="114" t="s">
        <v>55</v>
      </c>
      <c r="AR160" s="121">
        <f t="shared" si="63"/>
        <v>1</v>
      </c>
      <c r="AS160" s="121" t="str">
        <f t="shared" si="64"/>
        <v>2021_10_11_b</v>
      </c>
      <c r="AT160" s="122"/>
      <c r="AU160" s="121" t="str">
        <f t="shared" si="65"/>
        <v>2021</v>
      </c>
      <c r="AV160" s="121" t="str">
        <f t="shared" si="66"/>
        <v>10</v>
      </c>
      <c r="AW160" s="121" t="str">
        <f t="shared" si="67"/>
        <v>11</v>
      </c>
      <c r="AX160" s="121">
        <f t="shared" si="68"/>
        <v>44480</v>
      </c>
      <c r="AY160" s="123"/>
      <c r="AZ160" s="124">
        <f t="shared" si="69"/>
        <v>44480</v>
      </c>
      <c r="BA160" s="121" t="b">
        <f t="shared" si="70"/>
        <v>1</v>
      </c>
      <c r="BB160" s="121">
        <f t="shared" si="71"/>
        <v>44480</v>
      </c>
      <c r="BC160" s="121" t="str">
        <f t="shared" si="72"/>
        <v>no</v>
      </c>
      <c r="BD160" s="121" t="b">
        <f t="shared" si="73"/>
        <v>0</v>
      </c>
      <c r="BE160" s="125" t="s">
        <v>56</v>
      </c>
      <c r="BF160" s="122"/>
    </row>
    <row r="161" spans="2:58" s="114" customFormat="1" ht="154">
      <c r="B161" s="114" t="s">
        <v>419</v>
      </c>
      <c r="D161" s="81" t="s">
        <v>420</v>
      </c>
      <c r="F161" s="522" t="s">
        <v>403</v>
      </c>
      <c r="G161" s="142" t="s">
        <v>348</v>
      </c>
      <c r="H161" s="143">
        <v>44508</v>
      </c>
      <c r="I161" s="144">
        <v>44519</v>
      </c>
      <c r="J161" s="143">
        <v>44522</v>
      </c>
      <c r="K161" s="144">
        <v>44533</v>
      </c>
      <c r="L161" s="144">
        <v>44536</v>
      </c>
      <c r="M161" s="144" t="s">
        <v>277</v>
      </c>
      <c r="N161" s="144" t="s">
        <v>277</v>
      </c>
      <c r="O161" s="144" t="s">
        <v>277</v>
      </c>
      <c r="P161" s="144" t="s">
        <v>277</v>
      </c>
      <c r="Q161" s="114" t="s">
        <v>121</v>
      </c>
      <c r="R161" s="114" t="s">
        <v>348</v>
      </c>
      <c r="S161" s="115">
        <f t="shared" si="75"/>
        <v>26</v>
      </c>
      <c r="T161" s="114">
        <v>26</v>
      </c>
      <c r="U161" s="114">
        <v>26</v>
      </c>
      <c r="V161" s="114">
        <v>0</v>
      </c>
      <c r="W161" s="114" t="s">
        <v>404</v>
      </c>
      <c r="X161" s="114" t="s">
        <v>371</v>
      </c>
      <c r="Z161" s="114" t="s">
        <v>52</v>
      </c>
      <c r="AA161" s="114" t="s">
        <v>52</v>
      </c>
      <c r="AB161" s="114" t="s">
        <v>52</v>
      </c>
      <c r="AC161" s="114" t="s">
        <v>46</v>
      </c>
      <c r="AD161" s="114" t="s">
        <v>52</v>
      </c>
      <c r="AE161" s="114" t="s">
        <v>52</v>
      </c>
      <c r="AF161" s="114" t="s">
        <v>52</v>
      </c>
      <c r="AG161" s="114" t="s">
        <v>53</v>
      </c>
      <c r="AH161" s="114" t="s">
        <v>54</v>
      </c>
      <c r="AI161" s="114" t="s">
        <v>46</v>
      </c>
      <c r="AJ161" s="114" t="s">
        <v>378</v>
      </c>
      <c r="AL161" s="114" t="s">
        <v>55</v>
      </c>
      <c r="AR161" s="121">
        <f t="shared" si="63"/>
        <v>1</v>
      </c>
      <c r="AS161" s="121" t="str">
        <f t="shared" si="64"/>
        <v>2021_11_08_a</v>
      </c>
      <c r="AT161" s="122"/>
      <c r="AU161" s="121" t="str">
        <f t="shared" si="65"/>
        <v>2021</v>
      </c>
      <c r="AV161" s="121" t="str">
        <f t="shared" si="66"/>
        <v>11</v>
      </c>
      <c r="AW161" s="121" t="str">
        <f t="shared" si="67"/>
        <v>08</v>
      </c>
      <c r="AX161" s="121">
        <f t="shared" si="68"/>
        <v>44508</v>
      </c>
      <c r="AY161" s="123"/>
      <c r="AZ161" s="124">
        <f t="shared" si="69"/>
        <v>44508</v>
      </c>
      <c r="BA161" s="121" t="b">
        <f t="shared" si="70"/>
        <v>1</v>
      </c>
      <c r="BB161" s="121">
        <f t="shared" si="71"/>
        <v>44508</v>
      </c>
      <c r="BC161" s="121" t="str">
        <f t="shared" si="72"/>
        <v>no</v>
      </c>
      <c r="BD161" s="121" t="b">
        <f t="shared" si="73"/>
        <v>0</v>
      </c>
      <c r="BE161" s="125" t="s">
        <v>56</v>
      </c>
      <c r="BF161" s="122"/>
    </row>
    <row r="162" spans="2:58" s="115" customFormat="1" ht="154">
      <c r="B162" s="115" t="s">
        <v>421</v>
      </c>
      <c r="D162" s="115">
        <v>10228488</v>
      </c>
      <c r="F162" s="150" t="s">
        <v>403</v>
      </c>
      <c r="G162" s="151" t="s">
        <v>348</v>
      </c>
      <c r="H162" s="152">
        <v>44508</v>
      </c>
      <c r="I162" s="153">
        <v>44519</v>
      </c>
      <c r="J162" s="152">
        <v>44522</v>
      </c>
      <c r="K162" s="153">
        <v>44533</v>
      </c>
      <c r="L162" s="153">
        <v>44536</v>
      </c>
      <c r="M162" s="153" t="s">
        <v>277</v>
      </c>
      <c r="N162" s="153" t="s">
        <v>277</v>
      </c>
      <c r="O162" s="153" t="s">
        <v>277</v>
      </c>
      <c r="P162" s="153" t="s">
        <v>277</v>
      </c>
      <c r="Q162" s="115" t="s">
        <v>121</v>
      </c>
      <c r="R162" s="115" t="s">
        <v>348</v>
      </c>
      <c r="S162" s="115">
        <f t="shared" si="75"/>
        <v>32</v>
      </c>
      <c r="T162" s="115">
        <v>32</v>
      </c>
      <c r="U162" s="115">
        <v>32</v>
      </c>
      <c r="V162" s="114">
        <v>0</v>
      </c>
      <c r="W162" s="115" t="s">
        <v>404</v>
      </c>
      <c r="X162" s="115" t="s">
        <v>371</v>
      </c>
      <c r="Z162" s="115" t="s">
        <v>52</v>
      </c>
      <c r="AA162" s="115" t="s">
        <v>52</v>
      </c>
      <c r="AB162" s="115" t="s">
        <v>52</v>
      </c>
      <c r="AC162" s="115" t="s">
        <v>46</v>
      </c>
      <c r="AD162" s="115" t="s">
        <v>52</v>
      </c>
      <c r="AE162" s="115" t="s">
        <v>52</v>
      </c>
      <c r="AF162" s="115" t="s">
        <v>52</v>
      </c>
      <c r="AG162" s="115" t="s">
        <v>53</v>
      </c>
      <c r="AH162" s="115" t="s">
        <v>54</v>
      </c>
      <c r="AI162" s="115" t="s">
        <v>46</v>
      </c>
      <c r="AJ162" s="115" t="s">
        <v>378</v>
      </c>
      <c r="AL162" s="115" t="s">
        <v>55</v>
      </c>
      <c r="AR162" s="121">
        <f t="shared" si="63"/>
        <v>1</v>
      </c>
      <c r="AS162" s="121" t="str">
        <f t="shared" si="64"/>
        <v>2021_11_08_b</v>
      </c>
      <c r="AT162" s="122"/>
      <c r="AU162" s="121" t="str">
        <f t="shared" si="65"/>
        <v>2021</v>
      </c>
      <c r="AV162" s="121" t="str">
        <f t="shared" si="66"/>
        <v>11</v>
      </c>
      <c r="AW162" s="121" t="str">
        <f t="shared" si="67"/>
        <v>08</v>
      </c>
      <c r="AX162" s="121">
        <f t="shared" si="68"/>
        <v>44508</v>
      </c>
      <c r="AY162" s="123"/>
      <c r="AZ162" s="124">
        <f t="shared" si="69"/>
        <v>44508</v>
      </c>
      <c r="BA162" s="121" t="b">
        <f t="shared" si="70"/>
        <v>1</v>
      </c>
      <c r="BB162" s="121">
        <f t="shared" si="71"/>
        <v>44508</v>
      </c>
      <c r="BC162" s="121" t="str">
        <f t="shared" si="72"/>
        <v>no</v>
      </c>
      <c r="BD162" s="121" t="b">
        <f t="shared" si="73"/>
        <v>0</v>
      </c>
      <c r="BE162" s="125" t="s">
        <v>56</v>
      </c>
      <c r="BF162" s="122"/>
    </row>
    <row r="163" spans="2:58" s="115" customFormat="1" ht="154">
      <c r="B163" s="115" t="s">
        <v>422</v>
      </c>
      <c r="D163" s="115" t="s">
        <v>423</v>
      </c>
      <c r="F163" s="150" t="s">
        <v>403</v>
      </c>
      <c r="G163" s="151" t="s">
        <v>348</v>
      </c>
      <c r="H163" s="152">
        <v>44599</v>
      </c>
      <c r="I163" s="153">
        <v>44610</v>
      </c>
      <c r="J163" s="152">
        <v>44612</v>
      </c>
      <c r="K163" s="153">
        <v>44624</v>
      </c>
      <c r="L163" s="153">
        <v>44627</v>
      </c>
      <c r="M163" s="153" t="s">
        <v>277</v>
      </c>
      <c r="N163" s="153" t="s">
        <v>277</v>
      </c>
      <c r="O163" s="153" t="s">
        <v>277</v>
      </c>
      <c r="P163" s="153" t="s">
        <v>277</v>
      </c>
      <c r="Q163" s="115" t="s">
        <v>47</v>
      </c>
      <c r="R163" s="115" t="s">
        <v>348</v>
      </c>
      <c r="S163" s="115">
        <f t="shared" si="75"/>
        <v>32</v>
      </c>
      <c r="T163" s="115">
        <v>32</v>
      </c>
      <c r="U163" s="115">
        <v>32</v>
      </c>
      <c r="V163" s="114">
        <v>0</v>
      </c>
      <c r="W163" s="115" t="s">
        <v>404</v>
      </c>
      <c r="X163" s="115" t="s">
        <v>371</v>
      </c>
      <c r="Z163" s="115" t="s">
        <v>52</v>
      </c>
      <c r="AA163" s="115" t="s">
        <v>52</v>
      </c>
      <c r="AB163" s="115" t="s">
        <v>50</v>
      </c>
      <c r="AC163" s="115" t="s">
        <v>46</v>
      </c>
      <c r="AD163" s="115" t="s">
        <v>52</v>
      </c>
      <c r="AE163" s="115" t="s">
        <v>52</v>
      </c>
      <c r="AF163" s="115" t="s">
        <v>52</v>
      </c>
      <c r="AG163" s="115" t="s">
        <v>53</v>
      </c>
      <c r="AH163" s="115" t="s">
        <v>378</v>
      </c>
      <c r="AI163" s="115" t="s">
        <v>46</v>
      </c>
      <c r="AJ163" s="115" t="s">
        <v>378</v>
      </c>
      <c r="AL163" s="115" t="s">
        <v>55</v>
      </c>
      <c r="AR163" s="121">
        <f t="shared" si="63"/>
        <v>1</v>
      </c>
      <c r="AS163" s="121" t="str">
        <f t="shared" si="64"/>
        <v>2022_02_07_a</v>
      </c>
      <c r="AT163" s="122"/>
      <c r="AU163" s="121" t="str">
        <f t="shared" si="65"/>
        <v>2022</v>
      </c>
      <c r="AV163" s="121" t="str">
        <f t="shared" si="66"/>
        <v>02</v>
      </c>
      <c r="AW163" s="121" t="str">
        <f t="shared" si="67"/>
        <v>07</v>
      </c>
      <c r="AX163" s="121">
        <f t="shared" si="68"/>
        <v>44599</v>
      </c>
      <c r="AY163" s="123"/>
      <c r="AZ163" s="124">
        <f t="shared" si="69"/>
        <v>44599</v>
      </c>
      <c r="BA163" s="121" t="b">
        <f t="shared" si="70"/>
        <v>1</v>
      </c>
      <c r="BB163" s="121">
        <f t="shared" si="71"/>
        <v>44599</v>
      </c>
      <c r="BC163" s="121" t="str">
        <f t="shared" si="72"/>
        <v>no</v>
      </c>
      <c r="BD163" s="121" t="b">
        <f t="shared" si="73"/>
        <v>0</v>
      </c>
      <c r="BE163" s="125" t="s">
        <v>56</v>
      </c>
      <c r="BF163" s="122"/>
    </row>
    <row r="164" spans="2:58" s="115" customFormat="1" ht="154">
      <c r="B164" s="115" t="s">
        <v>424</v>
      </c>
      <c r="D164" s="115">
        <v>10247907</v>
      </c>
      <c r="F164" s="150" t="s">
        <v>403</v>
      </c>
      <c r="G164" s="151" t="s">
        <v>348</v>
      </c>
      <c r="H164" s="152">
        <v>44613</v>
      </c>
      <c r="I164" s="152">
        <v>44624</v>
      </c>
      <c r="J164" s="152">
        <v>44627</v>
      </c>
      <c r="K164" s="152">
        <v>44638</v>
      </c>
      <c r="L164" s="152">
        <v>44641</v>
      </c>
      <c r="M164" s="153" t="s">
        <v>277</v>
      </c>
      <c r="N164" s="153" t="s">
        <v>277</v>
      </c>
      <c r="O164" s="153" t="s">
        <v>277</v>
      </c>
      <c r="P164" s="153" t="s">
        <v>277</v>
      </c>
      <c r="Q164" s="115" t="s">
        <v>47</v>
      </c>
      <c r="R164" s="115" t="s">
        <v>348</v>
      </c>
      <c r="S164" s="115">
        <f t="shared" si="75"/>
        <v>25</v>
      </c>
      <c r="T164" s="115">
        <v>25</v>
      </c>
      <c r="U164" s="115">
        <v>25</v>
      </c>
      <c r="V164" s="114">
        <v>0</v>
      </c>
      <c r="W164" s="115" t="s">
        <v>404</v>
      </c>
      <c r="X164" s="115" t="s">
        <v>371</v>
      </c>
      <c r="Z164" s="115" t="s">
        <v>52</v>
      </c>
      <c r="AA164" s="115" t="s">
        <v>52</v>
      </c>
      <c r="AB164" s="115" t="s">
        <v>50</v>
      </c>
      <c r="AC164" s="115" t="s">
        <v>46</v>
      </c>
      <c r="AD164" s="115" t="s">
        <v>52</v>
      </c>
      <c r="AE164" s="115" t="s">
        <v>52</v>
      </c>
      <c r="AF164" s="115" t="s">
        <v>52</v>
      </c>
      <c r="AG164" s="115" t="s">
        <v>53</v>
      </c>
      <c r="AH164" s="115" t="s">
        <v>54</v>
      </c>
      <c r="AI164" s="115" t="s">
        <v>46</v>
      </c>
      <c r="AJ164" s="115" t="s">
        <v>378</v>
      </c>
      <c r="AL164" s="115" t="s">
        <v>55</v>
      </c>
      <c r="AR164" s="121">
        <f t="shared" si="63"/>
        <v>1</v>
      </c>
      <c r="AS164" s="121" t="str">
        <f t="shared" si="64"/>
        <v>2022_02_21_a</v>
      </c>
      <c r="AT164" s="122"/>
      <c r="AU164" s="121" t="str">
        <f t="shared" si="65"/>
        <v>2022</v>
      </c>
      <c r="AV164" s="121" t="str">
        <f t="shared" si="66"/>
        <v>02</v>
      </c>
      <c r="AW164" s="121" t="str">
        <f t="shared" si="67"/>
        <v>21</v>
      </c>
      <c r="AX164" s="121">
        <f t="shared" si="68"/>
        <v>44613</v>
      </c>
      <c r="AY164" s="123"/>
      <c r="AZ164" s="124">
        <f t="shared" si="69"/>
        <v>44613</v>
      </c>
      <c r="BA164" s="121" t="b">
        <f t="shared" si="70"/>
        <v>1</v>
      </c>
      <c r="BB164" s="121">
        <f t="shared" si="71"/>
        <v>44613</v>
      </c>
      <c r="BC164" s="121" t="str">
        <f t="shared" si="72"/>
        <v>no</v>
      </c>
      <c r="BD164" s="121" t="b">
        <f t="shared" si="73"/>
        <v>0</v>
      </c>
      <c r="BE164" s="125" t="s">
        <v>56</v>
      </c>
      <c r="BF164" s="122"/>
    </row>
    <row r="165" spans="2:58" s="115" customFormat="1" ht="154">
      <c r="B165" s="115" t="s">
        <v>425</v>
      </c>
      <c r="D165" s="115">
        <v>10253812</v>
      </c>
      <c r="F165" s="150" t="s">
        <v>403</v>
      </c>
      <c r="G165" s="151" t="s">
        <v>348</v>
      </c>
      <c r="H165" s="152">
        <v>44627</v>
      </c>
      <c r="I165" s="152">
        <v>44638</v>
      </c>
      <c r="J165" s="152">
        <v>44641</v>
      </c>
      <c r="K165" s="152">
        <v>44652</v>
      </c>
      <c r="L165" s="152">
        <v>44655</v>
      </c>
      <c r="M165" s="153" t="s">
        <v>277</v>
      </c>
      <c r="N165" s="153" t="s">
        <v>277</v>
      </c>
      <c r="O165" s="153" t="s">
        <v>277</v>
      </c>
      <c r="P165" s="153" t="s">
        <v>277</v>
      </c>
      <c r="Q165" s="115" t="s">
        <v>47</v>
      </c>
      <c r="R165" s="115" t="s">
        <v>348</v>
      </c>
      <c r="S165" s="115">
        <f t="shared" si="75"/>
        <v>18</v>
      </c>
      <c r="T165" s="115">
        <v>18</v>
      </c>
      <c r="U165" s="115">
        <v>18</v>
      </c>
      <c r="V165" s="114">
        <v>0</v>
      </c>
      <c r="W165" s="115" t="s">
        <v>404</v>
      </c>
      <c r="X165" s="115" t="s">
        <v>371</v>
      </c>
      <c r="Z165" s="115" t="s">
        <v>52</v>
      </c>
      <c r="AA165" s="115" t="s">
        <v>52</v>
      </c>
      <c r="AB165" s="115" t="s">
        <v>50</v>
      </c>
      <c r="AC165" s="115" t="s">
        <v>46</v>
      </c>
      <c r="AD165" s="115" t="s">
        <v>52</v>
      </c>
      <c r="AE165" s="115" t="s">
        <v>52</v>
      </c>
      <c r="AF165" s="115" t="s">
        <v>52</v>
      </c>
      <c r="AG165" s="115" t="s">
        <v>53</v>
      </c>
      <c r="AH165" s="115" t="s">
        <v>54</v>
      </c>
      <c r="AI165" s="115" t="s">
        <v>46</v>
      </c>
      <c r="AJ165" s="115" t="s">
        <v>378</v>
      </c>
      <c r="AL165" s="115" t="s">
        <v>55</v>
      </c>
      <c r="AR165" s="121">
        <f t="shared" si="63"/>
        <v>1</v>
      </c>
      <c r="AS165" s="121" t="str">
        <f t="shared" si="64"/>
        <v>2022_03_07_a</v>
      </c>
      <c r="AT165" s="122"/>
      <c r="AU165" s="121" t="str">
        <f t="shared" si="65"/>
        <v>2022</v>
      </c>
      <c r="AV165" s="121" t="str">
        <f t="shared" si="66"/>
        <v>03</v>
      </c>
      <c r="AW165" s="121" t="str">
        <f t="shared" si="67"/>
        <v>07</v>
      </c>
      <c r="AX165" s="121">
        <f t="shared" si="68"/>
        <v>44627</v>
      </c>
      <c r="AY165" s="123"/>
      <c r="AZ165" s="124">
        <f t="shared" si="69"/>
        <v>44627</v>
      </c>
      <c r="BA165" s="121" t="b">
        <f t="shared" si="70"/>
        <v>1</v>
      </c>
      <c r="BB165" s="121">
        <f t="shared" si="71"/>
        <v>44627</v>
      </c>
      <c r="BC165" s="121" t="str">
        <f t="shared" si="72"/>
        <v>no</v>
      </c>
      <c r="BD165" s="121" t="b">
        <f t="shared" si="73"/>
        <v>0</v>
      </c>
      <c r="BE165" s="125" t="s">
        <v>56</v>
      </c>
      <c r="BF165" s="122"/>
    </row>
    <row r="166" spans="2:58" s="115" customFormat="1" ht="154">
      <c r="B166" s="115" t="s">
        <v>426</v>
      </c>
      <c r="D166" s="115">
        <v>10265855</v>
      </c>
      <c r="F166" s="150" t="s">
        <v>403</v>
      </c>
      <c r="G166" s="151" t="s">
        <v>348</v>
      </c>
      <c r="H166" s="152">
        <v>44657</v>
      </c>
      <c r="I166" s="152">
        <v>44673</v>
      </c>
      <c r="J166" s="152">
        <v>44676</v>
      </c>
      <c r="K166" s="152">
        <v>44687</v>
      </c>
      <c r="L166" s="152">
        <v>44690</v>
      </c>
      <c r="M166" s="153" t="s">
        <v>277</v>
      </c>
      <c r="N166" s="153" t="s">
        <v>277</v>
      </c>
      <c r="O166" s="153" t="s">
        <v>277</v>
      </c>
      <c r="P166" s="153" t="s">
        <v>277</v>
      </c>
      <c r="Q166" s="115" t="s">
        <v>78</v>
      </c>
      <c r="R166" s="115" t="s">
        <v>348</v>
      </c>
      <c r="S166" s="115">
        <f t="shared" si="75"/>
        <v>20</v>
      </c>
      <c r="T166" s="115">
        <v>20</v>
      </c>
      <c r="U166" s="115">
        <v>20</v>
      </c>
      <c r="V166" s="114">
        <v>0</v>
      </c>
      <c r="Z166" s="115" t="s">
        <v>52</v>
      </c>
      <c r="AA166" s="115" t="s">
        <v>52</v>
      </c>
      <c r="AB166" s="115" t="s">
        <v>50</v>
      </c>
      <c r="AG166" s="115" t="s">
        <v>53</v>
      </c>
      <c r="AH166" s="115" t="s">
        <v>378</v>
      </c>
      <c r="AI166" s="115" t="s">
        <v>46</v>
      </c>
      <c r="AL166" s="115" t="s">
        <v>280</v>
      </c>
      <c r="AR166" s="121">
        <f t="shared" si="63"/>
        <v>1</v>
      </c>
      <c r="AS166" s="121" t="str">
        <f t="shared" si="64"/>
        <v>2022_04_06_a</v>
      </c>
      <c r="AT166" s="122"/>
      <c r="AU166" s="121" t="str">
        <f t="shared" si="65"/>
        <v>2022</v>
      </c>
      <c r="AV166" s="121" t="str">
        <f t="shared" si="66"/>
        <v>04</v>
      </c>
      <c r="AW166" s="121" t="str">
        <f t="shared" si="67"/>
        <v>06</v>
      </c>
      <c r="AX166" s="121">
        <f t="shared" si="68"/>
        <v>44657</v>
      </c>
      <c r="AY166" s="123"/>
      <c r="AZ166" s="124">
        <f t="shared" si="69"/>
        <v>44657</v>
      </c>
      <c r="BA166" s="121" t="b">
        <f t="shared" si="70"/>
        <v>1</v>
      </c>
      <c r="BB166" s="121">
        <f t="shared" si="71"/>
        <v>44657</v>
      </c>
      <c r="BC166" s="121" t="str">
        <f t="shared" si="72"/>
        <v>no</v>
      </c>
      <c r="BD166" s="121" t="b">
        <f t="shared" si="73"/>
        <v>0</v>
      </c>
      <c r="BE166" s="125" t="s">
        <v>56</v>
      </c>
      <c r="BF166" s="122"/>
    </row>
    <row r="167" spans="2:58" s="115" customFormat="1" ht="154">
      <c r="B167" s="115" t="s">
        <v>427</v>
      </c>
      <c r="D167" s="115">
        <v>10265868</v>
      </c>
      <c r="F167" s="150" t="s">
        <v>403</v>
      </c>
      <c r="G167" s="151" t="s">
        <v>348</v>
      </c>
      <c r="H167" s="152">
        <v>44657</v>
      </c>
      <c r="I167" s="152">
        <v>44673</v>
      </c>
      <c r="J167" s="152">
        <v>44676</v>
      </c>
      <c r="K167" s="152">
        <v>44687</v>
      </c>
      <c r="L167" s="152">
        <v>44690</v>
      </c>
      <c r="M167" s="153" t="s">
        <v>277</v>
      </c>
      <c r="N167" s="153" t="s">
        <v>277</v>
      </c>
      <c r="O167" s="153" t="s">
        <v>277</v>
      </c>
      <c r="P167" s="153" t="s">
        <v>277</v>
      </c>
      <c r="Q167" s="115" t="s">
        <v>78</v>
      </c>
      <c r="R167" s="115" t="s">
        <v>348</v>
      </c>
      <c r="S167" s="115">
        <f t="shared" si="75"/>
        <v>20</v>
      </c>
      <c r="T167" s="115">
        <v>20</v>
      </c>
      <c r="U167" s="115">
        <v>20</v>
      </c>
      <c r="V167" s="114">
        <v>0</v>
      </c>
      <c r="Z167" s="115" t="s">
        <v>52</v>
      </c>
      <c r="AA167" s="115" t="s">
        <v>52</v>
      </c>
      <c r="AB167" s="115" t="s">
        <v>50</v>
      </c>
      <c r="AG167" s="115" t="s">
        <v>53</v>
      </c>
      <c r="AH167" s="115" t="s">
        <v>378</v>
      </c>
      <c r="AI167" s="115" t="s">
        <v>46</v>
      </c>
      <c r="AL167" s="115" t="s">
        <v>280</v>
      </c>
      <c r="AR167" s="121">
        <f t="shared" si="63"/>
        <v>1</v>
      </c>
      <c r="AS167" s="121" t="str">
        <f t="shared" si="64"/>
        <v>2022_04_06_b</v>
      </c>
      <c r="AT167" s="122"/>
      <c r="AU167" s="121" t="str">
        <f t="shared" si="65"/>
        <v>2022</v>
      </c>
      <c r="AV167" s="121" t="str">
        <f t="shared" si="66"/>
        <v>04</v>
      </c>
      <c r="AW167" s="121" t="str">
        <f t="shared" si="67"/>
        <v>06</v>
      </c>
      <c r="AX167" s="121">
        <f t="shared" si="68"/>
        <v>44657</v>
      </c>
      <c r="AY167" s="123"/>
      <c r="AZ167" s="124">
        <f t="shared" si="69"/>
        <v>44657</v>
      </c>
      <c r="BA167" s="121" t="b">
        <f t="shared" si="70"/>
        <v>1</v>
      </c>
      <c r="BB167" s="121">
        <f t="shared" si="71"/>
        <v>44657</v>
      </c>
      <c r="BC167" s="121" t="str">
        <f t="shared" si="72"/>
        <v>no</v>
      </c>
      <c r="BD167" s="121" t="b">
        <f t="shared" si="73"/>
        <v>0</v>
      </c>
      <c r="BE167" s="125" t="s">
        <v>56</v>
      </c>
      <c r="BF167" s="122"/>
    </row>
    <row r="168" spans="2:58" s="115" customFormat="1" ht="154">
      <c r="B168" s="115" t="s">
        <v>428</v>
      </c>
      <c r="D168" s="115" t="s">
        <v>429</v>
      </c>
      <c r="F168" s="150" t="s">
        <v>403</v>
      </c>
      <c r="G168" s="151" t="s">
        <v>348</v>
      </c>
      <c r="H168" s="152">
        <v>44690</v>
      </c>
      <c r="I168" s="152">
        <v>44701</v>
      </c>
      <c r="J168" s="152">
        <v>44704</v>
      </c>
      <c r="K168" s="152">
        <v>44715</v>
      </c>
      <c r="L168" s="152">
        <v>44718</v>
      </c>
      <c r="M168" s="153" t="s">
        <v>277</v>
      </c>
      <c r="N168" s="153" t="s">
        <v>277</v>
      </c>
      <c r="O168" s="153" t="s">
        <v>277</v>
      </c>
      <c r="P168" s="153" t="s">
        <v>277</v>
      </c>
      <c r="Q168" s="115" t="s">
        <v>78</v>
      </c>
      <c r="R168" s="115" t="s">
        <v>348</v>
      </c>
      <c r="S168" s="115">
        <f t="shared" si="75"/>
        <v>20</v>
      </c>
      <c r="U168" s="115">
        <v>20</v>
      </c>
      <c r="V168" s="114">
        <v>0</v>
      </c>
      <c r="Z168" s="115" t="s">
        <v>52</v>
      </c>
      <c r="AA168" s="115" t="s">
        <v>52</v>
      </c>
      <c r="AB168" s="115" t="s">
        <v>50</v>
      </c>
      <c r="AG168" s="115" t="s">
        <v>53</v>
      </c>
      <c r="AH168" s="115" t="s">
        <v>54</v>
      </c>
      <c r="AI168" s="115" t="s">
        <v>46</v>
      </c>
      <c r="AL168" s="115" t="s">
        <v>280</v>
      </c>
      <c r="AR168" s="121">
        <f t="shared" si="63"/>
        <v>1</v>
      </c>
      <c r="AS168" s="121" t="str">
        <f t="shared" si="64"/>
        <v>2022_05_09_a</v>
      </c>
      <c r="AT168" s="122"/>
      <c r="AU168" s="121" t="str">
        <f t="shared" si="65"/>
        <v>2022</v>
      </c>
      <c r="AV168" s="121" t="str">
        <f t="shared" si="66"/>
        <v>05</v>
      </c>
      <c r="AW168" s="121" t="str">
        <f t="shared" si="67"/>
        <v>09</v>
      </c>
      <c r="AX168" s="121">
        <f t="shared" si="68"/>
        <v>44690</v>
      </c>
      <c r="AY168" s="123"/>
      <c r="AZ168" s="124">
        <f t="shared" si="69"/>
        <v>44690</v>
      </c>
      <c r="BA168" s="121" t="b">
        <f t="shared" si="70"/>
        <v>1</v>
      </c>
      <c r="BB168" s="121">
        <f t="shared" si="71"/>
        <v>44690</v>
      </c>
      <c r="BC168" s="121" t="str">
        <f t="shared" si="72"/>
        <v>no</v>
      </c>
      <c r="BD168" s="121" t="b">
        <f t="shared" si="73"/>
        <v>0</v>
      </c>
      <c r="BE168" s="125" t="s">
        <v>56</v>
      </c>
      <c r="BF168" s="122"/>
    </row>
    <row r="169" spans="2:58" s="115" customFormat="1" ht="154">
      <c r="B169" s="115" t="s">
        <v>430</v>
      </c>
      <c r="D169" s="115" t="s">
        <v>431</v>
      </c>
      <c r="F169" s="150" t="s">
        <v>403</v>
      </c>
      <c r="G169" s="151" t="s">
        <v>348</v>
      </c>
      <c r="H169" s="152">
        <v>44715</v>
      </c>
      <c r="I169" s="152">
        <v>44729</v>
      </c>
      <c r="J169" s="152">
        <v>44732</v>
      </c>
      <c r="K169" s="152">
        <v>44743</v>
      </c>
      <c r="L169" s="152">
        <v>44746</v>
      </c>
      <c r="M169" s="153" t="s">
        <v>277</v>
      </c>
      <c r="N169" s="153" t="s">
        <v>277</v>
      </c>
      <c r="O169" s="153" t="s">
        <v>277</v>
      </c>
      <c r="P169" s="153" t="s">
        <v>277</v>
      </c>
      <c r="Q169" s="115" t="s">
        <v>78</v>
      </c>
      <c r="R169" s="115" t="s">
        <v>432</v>
      </c>
      <c r="S169" s="115">
        <f t="shared" si="75"/>
        <v>30</v>
      </c>
      <c r="U169" s="115">
        <v>30</v>
      </c>
      <c r="V169" s="114">
        <v>0</v>
      </c>
      <c r="Z169" s="115" t="s">
        <v>52</v>
      </c>
      <c r="AA169" s="115" t="s">
        <v>52</v>
      </c>
      <c r="AB169" s="115" t="s">
        <v>50</v>
      </c>
      <c r="AG169" s="115" t="s">
        <v>53</v>
      </c>
      <c r="AH169" s="115" t="s">
        <v>54</v>
      </c>
      <c r="AI169" s="115" t="s">
        <v>46</v>
      </c>
      <c r="AL169" s="115" t="s">
        <v>55</v>
      </c>
      <c r="AR169" s="121">
        <f t="shared" si="63"/>
        <v>1</v>
      </c>
      <c r="AS169" s="121" t="str">
        <f t="shared" si="64"/>
        <v>2022_06_03_a</v>
      </c>
      <c r="AT169" s="122"/>
      <c r="AU169" s="121" t="str">
        <f t="shared" si="65"/>
        <v>2022</v>
      </c>
      <c r="AV169" s="121" t="str">
        <f t="shared" si="66"/>
        <v>06</v>
      </c>
      <c r="AW169" s="121" t="str">
        <f t="shared" si="67"/>
        <v>03</v>
      </c>
      <c r="AX169" s="121">
        <f t="shared" si="68"/>
        <v>44715</v>
      </c>
      <c r="AY169" s="123"/>
      <c r="AZ169" s="124">
        <f t="shared" si="69"/>
        <v>44715</v>
      </c>
      <c r="BA169" s="121" t="b">
        <f t="shared" si="70"/>
        <v>1</v>
      </c>
      <c r="BB169" s="121">
        <f t="shared" si="71"/>
        <v>44715</v>
      </c>
      <c r="BC169" s="121" t="str">
        <f t="shared" si="72"/>
        <v>no</v>
      </c>
      <c r="BD169" s="121" t="b">
        <f t="shared" si="73"/>
        <v>0</v>
      </c>
      <c r="BE169" s="125" t="s">
        <v>56</v>
      </c>
      <c r="BF169" s="122"/>
    </row>
    <row r="170" spans="2:58" s="115" customFormat="1" ht="154">
      <c r="B170" s="115" t="s">
        <v>433</v>
      </c>
      <c r="D170" s="115">
        <v>10282354</v>
      </c>
      <c r="F170" s="150" t="s">
        <v>403</v>
      </c>
      <c r="G170" s="151" t="s">
        <v>348</v>
      </c>
      <c r="H170" s="152">
        <v>44725</v>
      </c>
      <c r="I170" s="152">
        <v>44736</v>
      </c>
      <c r="J170" s="152">
        <v>44739</v>
      </c>
      <c r="K170" s="152">
        <v>44750</v>
      </c>
      <c r="L170" s="152">
        <v>44753</v>
      </c>
      <c r="M170" s="153" t="s">
        <v>277</v>
      </c>
      <c r="N170" s="153" t="s">
        <v>277</v>
      </c>
      <c r="O170" s="153" t="s">
        <v>277</v>
      </c>
      <c r="P170" s="153" t="s">
        <v>277</v>
      </c>
      <c r="Q170" s="115" t="s">
        <v>78</v>
      </c>
      <c r="R170" s="115" t="s">
        <v>434</v>
      </c>
      <c r="S170" s="115">
        <f t="shared" si="75"/>
        <v>20</v>
      </c>
      <c r="U170" s="115">
        <v>20</v>
      </c>
      <c r="V170" s="114">
        <v>0</v>
      </c>
      <c r="Z170" s="115" t="s">
        <v>52</v>
      </c>
      <c r="AA170" s="115" t="s">
        <v>52</v>
      </c>
      <c r="AB170" s="115" t="s">
        <v>50</v>
      </c>
      <c r="AG170" s="115" t="s">
        <v>53</v>
      </c>
      <c r="AH170" s="115" t="s">
        <v>345</v>
      </c>
      <c r="AI170" s="115" t="s">
        <v>46</v>
      </c>
      <c r="AL170" s="115" t="s">
        <v>55</v>
      </c>
      <c r="AN170" s="115" t="s">
        <v>392</v>
      </c>
      <c r="AR170" s="121">
        <f t="shared" si="63"/>
        <v>1</v>
      </c>
      <c r="AS170" s="121" t="str">
        <f t="shared" si="64"/>
        <v>2022_06_13_a</v>
      </c>
      <c r="AT170" s="122"/>
      <c r="AU170" s="121" t="str">
        <f t="shared" si="65"/>
        <v>2022</v>
      </c>
      <c r="AV170" s="121" t="str">
        <f t="shared" si="66"/>
        <v>06</v>
      </c>
      <c r="AW170" s="121" t="str">
        <f t="shared" si="67"/>
        <v>13</v>
      </c>
      <c r="AX170" s="121">
        <f t="shared" si="68"/>
        <v>44725</v>
      </c>
      <c r="AY170" s="123"/>
      <c r="AZ170" s="124">
        <f t="shared" si="69"/>
        <v>44725</v>
      </c>
      <c r="BA170" s="121" t="b">
        <f t="shared" si="70"/>
        <v>1</v>
      </c>
      <c r="BB170" s="121">
        <f t="shared" si="71"/>
        <v>44725</v>
      </c>
      <c r="BC170" s="121" t="str">
        <f t="shared" si="72"/>
        <v>no</v>
      </c>
      <c r="BD170" s="121" t="b">
        <f t="shared" si="73"/>
        <v>0</v>
      </c>
      <c r="BE170" s="125" t="s">
        <v>56</v>
      </c>
      <c r="BF170" s="122"/>
    </row>
    <row r="171" spans="2:58" s="115" customFormat="1" ht="154">
      <c r="B171" s="115" t="s">
        <v>435</v>
      </c>
      <c r="D171" s="115">
        <v>10289481</v>
      </c>
      <c r="F171" s="150" t="s">
        <v>403</v>
      </c>
      <c r="G171" s="151" t="s">
        <v>348</v>
      </c>
      <c r="H171" s="152">
        <v>44753</v>
      </c>
      <c r="I171" s="152">
        <v>44764</v>
      </c>
      <c r="J171" s="152">
        <v>44767</v>
      </c>
      <c r="K171" s="152">
        <v>44778</v>
      </c>
      <c r="L171" s="152">
        <v>44781</v>
      </c>
      <c r="M171" s="153" t="s">
        <v>277</v>
      </c>
      <c r="N171" s="153" t="s">
        <v>277</v>
      </c>
      <c r="O171" s="153" t="s">
        <v>277</v>
      </c>
      <c r="P171" s="153" t="s">
        <v>277</v>
      </c>
      <c r="Q171" s="115" t="s">
        <v>99</v>
      </c>
      <c r="R171" s="115" t="s">
        <v>434</v>
      </c>
      <c r="S171" s="115">
        <f t="shared" si="75"/>
        <v>26</v>
      </c>
      <c r="U171" s="115">
        <v>26</v>
      </c>
      <c r="V171" s="114">
        <v>0</v>
      </c>
      <c r="Z171" s="115" t="s">
        <v>52</v>
      </c>
      <c r="AA171" s="115" t="s">
        <v>52</v>
      </c>
      <c r="AB171" s="115" t="s">
        <v>50</v>
      </c>
      <c r="AG171" s="115" t="s">
        <v>53</v>
      </c>
      <c r="AH171" s="115" t="s">
        <v>345</v>
      </c>
      <c r="AI171" s="115" t="s">
        <v>46</v>
      </c>
      <c r="AL171" s="115" t="s">
        <v>55</v>
      </c>
      <c r="AN171" s="115" t="s">
        <v>392</v>
      </c>
      <c r="AR171" s="121">
        <f t="shared" si="63"/>
        <v>1</v>
      </c>
      <c r="AS171" s="121" t="str">
        <f t="shared" si="64"/>
        <v>2022_07_11_a</v>
      </c>
      <c r="AT171" s="122"/>
      <c r="AU171" s="121" t="str">
        <f t="shared" si="65"/>
        <v>2022</v>
      </c>
      <c r="AV171" s="121" t="str">
        <f t="shared" si="66"/>
        <v>07</v>
      </c>
      <c r="AW171" s="121" t="str">
        <f t="shared" si="67"/>
        <v>11</v>
      </c>
      <c r="AX171" s="121">
        <f t="shared" si="68"/>
        <v>44753</v>
      </c>
      <c r="AY171" s="123"/>
      <c r="AZ171" s="124">
        <f t="shared" si="69"/>
        <v>44753</v>
      </c>
      <c r="BA171" s="121" t="b">
        <f t="shared" si="70"/>
        <v>1</v>
      </c>
      <c r="BB171" s="121">
        <f t="shared" si="71"/>
        <v>44753</v>
      </c>
      <c r="BC171" s="121" t="str">
        <f t="shared" si="72"/>
        <v>no</v>
      </c>
      <c r="BD171" s="121" t="b">
        <f t="shared" si="73"/>
        <v>0</v>
      </c>
      <c r="BE171" s="125" t="s">
        <v>56</v>
      </c>
      <c r="BF171" s="122"/>
    </row>
    <row r="172" spans="2:58" s="115" customFormat="1" ht="154">
      <c r="B172" s="115" t="s">
        <v>436</v>
      </c>
      <c r="D172" s="115">
        <v>10289482</v>
      </c>
      <c r="F172" s="150" t="s">
        <v>403</v>
      </c>
      <c r="G172" s="151" t="s">
        <v>348</v>
      </c>
      <c r="H172" s="152">
        <v>44753</v>
      </c>
      <c r="I172" s="152">
        <v>44764</v>
      </c>
      <c r="J172" s="152">
        <v>44767</v>
      </c>
      <c r="K172" s="152">
        <v>44778</v>
      </c>
      <c r="L172" s="152">
        <v>44781</v>
      </c>
      <c r="M172" s="153" t="s">
        <v>277</v>
      </c>
      <c r="N172" s="153" t="s">
        <v>277</v>
      </c>
      <c r="O172" s="153" t="s">
        <v>277</v>
      </c>
      <c r="P172" s="153" t="s">
        <v>277</v>
      </c>
      <c r="Q172" s="115" t="s">
        <v>99</v>
      </c>
      <c r="R172" s="115" t="s">
        <v>437</v>
      </c>
      <c r="S172" s="115">
        <f t="shared" si="75"/>
        <v>20</v>
      </c>
      <c r="U172" s="115">
        <v>20</v>
      </c>
      <c r="V172" s="114">
        <v>0</v>
      </c>
      <c r="Z172" s="115" t="s">
        <v>52</v>
      </c>
      <c r="AA172" s="115" t="s">
        <v>52</v>
      </c>
      <c r="AB172" s="115" t="s">
        <v>50</v>
      </c>
      <c r="AG172" s="115" t="s">
        <v>53</v>
      </c>
      <c r="AH172" s="115" t="s">
        <v>345</v>
      </c>
      <c r="AI172" s="115" t="s">
        <v>46</v>
      </c>
      <c r="AL172" s="115" t="s">
        <v>55</v>
      </c>
      <c r="AN172" s="115" t="s">
        <v>438</v>
      </c>
      <c r="AR172" s="121">
        <f t="shared" si="63"/>
        <v>1</v>
      </c>
      <c r="AS172" s="121" t="str">
        <f t="shared" si="64"/>
        <v>2022_07_11_b</v>
      </c>
      <c r="AT172" s="122"/>
      <c r="AU172" s="121" t="str">
        <f t="shared" si="65"/>
        <v>2022</v>
      </c>
      <c r="AV172" s="121" t="str">
        <f t="shared" si="66"/>
        <v>07</v>
      </c>
      <c r="AW172" s="121" t="str">
        <f t="shared" si="67"/>
        <v>11</v>
      </c>
      <c r="AX172" s="121">
        <f t="shared" si="68"/>
        <v>44753</v>
      </c>
      <c r="AY172" s="123"/>
      <c r="AZ172" s="124">
        <f t="shared" si="69"/>
        <v>44753</v>
      </c>
      <c r="BA172" s="121" t="b">
        <f t="shared" si="70"/>
        <v>1</v>
      </c>
      <c r="BB172" s="121">
        <f t="shared" si="71"/>
        <v>44753</v>
      </c>
      <c r="BC172" s="121" t="str">
        <f t="shared" si="72"/>
        <v>no</v>
      </c>
      <c r="BD172" s="121" t="b">
        <f t="shared" si="73"/>
        <v>0</v>
      </c>
      <c r="BE172" s="125" t="s">
        <v>56</v>
      </c>
      <c r="BF172" s="122"/>
    </row>
    <row r="173" spans="2:58" s="115" customFormat="1" ht="154">
      <c r="B173" s="115" t="s">
        <v>439</v>
      </c>
      <c r="D173" s="115">
        <v>10295391</v>
      </c>
      <c r="F173" s="150" t="s">
        <v>403</v>
      </c>
      <c r="G173" s="151" t="s">
        <v>348</v>
      </c>
      <c r="H173" s="152">
        <v>44781</v>
      </c>
      <c r="I173" s="152">
        <v>44792</v>
      </c>
      <c r="J173" s="152">
        <v>44795</v>
      </c>
      <c r="K173" s="152">
        <v>44806</v>
      </c>
      <c r="L173" s="152">
        <v>44809</v>
      </c>
      <c r="M173" s="153" t="s">
        <v>277</v>
      </c>
      <c r="N173" s="153" t="s">
        <v>277</v>
      </c>
      <c r="O173" s="153" t="s">
        <v>277</v>
      </c>
      <c r="P173" s="153" t="s">
        <v>277</v>
      </c>
      <c r="Q173" s="115" t="s">
        <v>99</v>
      </c>
      <c r="R173" s="115" t="s">
        <v>440</v>
      </c>
      <c r="S173" s="115">
        <f t="shared" si="75"/>
        <v>35</v>
      </c>
      <c r="U173" s="115">
        <v>35</v>
      </c>
      <c r="V173" s="114">
        <v>0</v>
      </c>
      <c r="Z173" s="115" t="s">
        <v>52</v>
      </c>
      <c r="AA173" s="115" t="s">
        <v>52</v>
      </c>
      <c r="AB173" s="115" t="s">
        <v>50</v>
      </c>
      <c r="AG173" s="115" t="s">
        <v>53</v>
      </c>
      <c r="AH173" s="115" t="s">
        <v>345</v>
      </c>
      <c r="AI173" s="115" t="s">
        <v>46</v>
      </c>
      <c r="AL173" s="115" t="s">
        <v>55</v>
      </c>
      <c r="AN173" s="115" t="s">
        <v>438</v>
      </c>
      <c r="AR173" s="121">
        <f t="shared" si="63"/>
        <v>1</v>
      </c>
      <c r="AS173" s="121" t="str">
        <f t="shared" si="64"/>
        <v>2022_08_08_a</v>
      </c>
      <c r="AT173" s="122"/>
      <c r="AU173" s="121" t="str">
        <f t="shared" si="65"/>
        <v>2022</v>
      </c>
      <c r="AV173" s="121" t="str">
        <f t="shared" si="66"/>
        <v>08</v>
      </c>
      <c r="AW173" s="121" t="str">
        <f t="shared" si="67"/>
        <v>08</v>
      </c>
      <c r="AX173" s="121">
        <f t="shared" si="68"/>
        <v>44781</v>
      </c>
      <c r="AY173" s="123"/>
      <c r="AZ173" s="124">
        <f t="shared" si="69"/>
        <v>44781</v>
      </c>
      <c r="BA173" s="121" t="b">
        <f t="shared" si="70"/>
        <v>1</v>
      </c>
      <c r="BB173" s="121">
        <f t="shared" si="71"/>
        <v>44781</v>
      </c>
      <c r="BC173" s="121" t="str">
        <f t="shared" si="72"/>
        <v>no</v>
      </c>
      <c r="BD173" s="121" t="b">
        <f t="shared" si="73"/>
        <v>0</v>
      </c>
      <c r="BE173" s="125" t="s">
        <v>56</v>
      </c>
      <c r="BF173" s="122"/>
    </row>
    <row r="174" spans="2:58" s="115" customFormat="1" ht="154">
      <c r="B174" s="115" t="s">
        <v>441</v>
      </c>
      <c r="D174" s="115">
        <v>10301832</v>
      </c>
      <c r="F174" s="150" t="s">
        <v>403</v>
      </c>
      <c r="G174" s="151" t="s">
        <v>348</v>
      </c>
      <c r="H174" s="152">
        <v>44809</v>
      </c>
      <c r="I174" s="152">
        <v>44820</v>
      </c>
      <c r="J174" s="152">
        <v>44823</v>
      </c>
      <c r="K174" s="152">
        <v>44834</v>
      </c>
      <c r="L174" s="152">
        <v>44837</v>
      </c>
      <c r="M174" s="153" t="s">
        <v>277</v>
      </c>
      <c r="N174" s="153" t="s">
        <v>277</v>
      </c>
      <c r="O174" s="153" t="s">
        <v>277</v>
      </c>
      <c r="P174" s="153" t="s">
        <v>277</v>
      </c>
      <c r="Q174" s="115" t="s">
        <v>99</v>
      </c>
      <c r="R174" s="115" t="s">
        <v>442</v>
      </c>
      <c r="S174" s="115">
        <f t="shared" si="75"/>
        <v>29</v>
      </c>
      <c r="U174" s="115">
        <v>29</v>
      </c>
      <c r="V174" s="114">
        <v>0</v>
      </c>
      <c r="Z174" s="115" t="s">
        <v>52</v>
      </c>
      <c r="AA174" s="115" t="s">
        <v>52</v>
      </c>
      <c r="AB174" s="115" t="s">
        <v>50</v>
      </c>
      <c r="AG174" s="115" t="s">
        <v>53</v>
      </c>
      <c r="AH174" s="115" t="s">
        <v>345</v>
      </c>
      <c r="AI174" s="115" t="s">
        <v>46</v>
      </c>
      <c r="AL174" s="115" t="s">
        <v>55</v>
      </c>
      <c r="AN174" s="115" t="s">
        <v>392</v>
      </c>
      <c r="AR174" s="121">
        <f t="shared" si="63"/>
        <v>1</v>
      </c>
      <c r="AS174" s="121" t="str">
        <f t="shared" si="64"/>
        <v>2022_09_05_a</v>
      </c>
      <c r="AT174" s="122"/>
      <c r="AU174" s="121" t="str">
        <f t="shared" si="65"/>
        <v>2022</v>
      </c>
      <c r="AV174" s="121" t="str">
        <f t="shared" si="66"/>
        <v>09</v>
      </c>
      <c r="AW174" s="121" t="str">
        <f t="shared" si="67"/>
        <v>05</v>
      </c>
      <c r="AX174" s="121">
        <f t="shared" si="68"/>
        <v>44809</v>
      </c>
      <c r="AY174" s="123"/>
      <c r="AZ174" s="124">
        <f t="shared" si="69"/>
        <v>44809</v>
      </c>
      <c r="BA174" s="121" t="b">
        <f t="shared" si="70"/>
        <v>1</v>
      </c>
      <c r="BB174" s="121">
        <f t="shared" si="71"/>
        <v>44809</v>
      </c>
      <c r="BC174" s="121" t="str">
        <f t="shared" si="72"/>
        <v>no</v>
      </c>
      <c r="BD174" s="121" t="b">
        <f t="shared" si="73"/>
        <v>0</v>
      </c>
      <c r="BE174" s="125" t="s">
        <v>56</v>
      </c>
      <c r="BF174" s="122"/>
    </row>
    <row r="175" spans="2:58" s="115" customFormat="1" ht="154">
      <c r="B175" s="115" t="s">
        <v>443</v>
      </c>
      <c r="D175" s="115">
        <v>10301739</v>
      </c>
      <c r="F175" s="150" t="s">
        <v>403</v>
      </c>
      <c r="G175" s="151" t="s">
        <v>348</v>
      </c>
      <c r="H175" s="152">
        <v>44809</v>
      </c>
      <c r="I175" s="152">
        <v>44820</v>
      </c>
      <c r="J175" s="152">
        <v>44823</v>
      </c>
      <c r="K175" s="152">
        <v>44834</v>
      </c>
      <c r="L175" s="152">
        <v>44837</v>
      </c>
      <c r="M175" s="153" t="s">
        <v>277</v>
      </c>
      <c r="N175" s="153" t="s">
        <v>277</v>
      </c>
      <c r="O175" s="153" t="s">
        <v>277</v>
      </c>
      <c r="P175" s="153" t="s">
        <v>277</v>
      </c>
      <c r="Q175" s="115" t="s">
        <v>99</v>
      </c>
      <c r="R175" s="115" t="s">
        <v>444</v>
      </c>
      <c r="S175" s="115">
        <f t="shared" si="75"/>
        <v>25</v>
      </c>
      <c r="U175" s="115">
        <v>25</v>
      </c>
      <c r="V175" s="114">
        <v>0</v>
      </c>
      <c r="Z175" s="115" t="s">
        <v>52</v>
      </c>
      <c r="AA175" s="115" t="s">
        <v>52</v>
      </c>
      <c r="AB175" s="115" t="s">
        <v>50</v>
      </c>
      <c r="AG175" s="115" t="s">
        <v>53</v>
      </c>
      <c r="AH175" s="115" t="s">
        <v>345</v>
      </c>
      <c r="AI175" s="115" t="s">
        <v>46</v>
      </c>
      <c r="AL175" s="115" t="s">
        <v>55</v>
      </c>
      <c r="AN175" s="115" t="s">
        <v>392</v>
      </c>
      <c r="AR175" s="121">
        <f t="shared" si="63"/>
        <v>1</v>
      </c>
      <c r="AS175" s="121" t="str">
        <f t="shared" si="64"/>
        <v>2022_09_05_b</v>
      </c>
      <c r="AT175" s="122"/>
      <c r="AU175" s="121" t="str">
        <f t="shared" si="65"/>
        <v>2022</v>
      </c>
      <c r="AV175" s="121" t="str">
        <f t="shared" si="66"/>
        <v>09</v>
      </c>
      <c r="AW175" s="121" t="str">
        <f t="shared" si="67"/>
        <v>05</v>
      </c>
      <c r="AX175" s="121">
        <f t="shared" si="68"/>
        <v>44809</v>
      </c>
      <c r="AY175" s="123"/>
      <c r="AZ175" s="124">
        <f t="shared" si="69"/>
        <v>44809</v>
      </c>
      <c r="BA175" s="121" t="b">
        <f t="shared" si="70"/>
        <v>1</v>
      </c>
      <c r="BB175" s="121">
        <f t="shared" si="71"/>
        <v>44809</v>
      </c>
      <c r="BC175" s="121" t="str">
        <f t="shared" si="72"/>
        <v>no</v>
      </c>
      <c r="BD175" s="121" t="b">
        <f t="shared" si="73"/>
        <v>0</v>
      </c>
      <c r="BE175" s="125" t="s">
        <v>56</v>
      </c>
      <c r="BF175" s="122"/>
    </row>
    <row r="176" spans="2:58" s="115" customFormat="1" ht="154">
      <c r="B176" s="115" t="s">
        <v>445</v>
      </c>
      <c r="D176" s="115">
        <v>10301819</v>
      </c>
      <c r="F176" s="150" t="s">
        <v>403</v>
      </c>
      <c r="G176" s="151" t="s">
        <v>348</v>
      </c>
      <c r="H176" s="152">
        <v>44809</v>
      </c>
      <c r="I176" s="152">
        <v>44820</v>
      </c>
      <c r="J176" s="152">
        <v>44823</v>
      </c>
      <c r="K176" s="152">
        <v>44834</v>
      </c>
      <c r="L176" s="152">
        <v>44837</v>
      </c>
      <c r="M176" s="153" t="s">
        <v>277</v>
      </c>
      <c r="N176" s="153" t="s">
        <v>277</v>
      </c>
      <c r="O176" s="153" t="s">
        <v>277</v>
      </c>
      <c r="P176" s="153" t="s">
        <v>277</v>
      </c>
      <c r="Q176" s="115" t="s">
        <v>99</v>
      </c>
      <c r="R176" s="115" t="s">
        <v>446</v>
      </c>
      <c r="S176" s="115">
        <f t="shared" si="75"/>
        <v>15</v>
      </c>
      <c r="U176" s="115">
        <v>15</v>
      </c>
      <c r="V176" s="114">
        <v>0</v>
      </c>
      <c r="Z176" s="115" t="s">
        <v>52</v>
      </c>
      <c r="AA176" s="115" t="s">
        <v>52</v>
      </c>
      <c r="AB176" s="115" t="s">
        <v>50</v>
      </c>
      <c r="AG176" s="115" t="s">
        <v>53</v>
      </c>
      <c r="AH176" s="115" t="s">
        <v>345</v>
      </c>
      <c r="AI176" s="115" t="s">
        <v>46</v>
      </c>
      <c r="AL176" s="115" t="s">
        <v>55</v>
      </c>
      <c r="AN176" s="115" t="s">
        <v>392</v>
      </c>
      <c r="AR176" s="121">
        <f t="shared" si="63"/>
        <v>1</v>
      </c>
      <c r="AS176" s="121" t="str">
        <f t="shared" si="64"/>
        <v>2022_09_05_c</v>
      </c>
      <c r="AT176" s="122"/>
      <c r="AU176" s="121" t="str">
        <f t="shared" si="65"/>
        <v>2022</v>
      </c>
      <c r="AV176" s="121" t="str">
        <f t="shared" si="66"/>
        <v>09</v>
      </c>
      <c r="AW176" s="121" t="str">
        <f t="shared" si="67"/>
        <v>05</v>
      </c>
      <c r="AX176" s="121">
        <f t="shared" si="68"/>
        <v>44809</v>
      </c>
      <c r="AY176" s="123"/>
      <c r="AZ176" s="124">
        <f t="shared" si="69"/>
        <v>44809</v>
      </c>
      <c r="BA176" s="121" t="b">
        <f t="shared" si="70"/>
        <v>1</v>
      </c>
      <c r="BB176" s="121">
        <f t="shared" si="71"/>
        <v>44809</v>
      </c>
      <c r="BC176" s="121" t="str">
        <f t="shared" si="72"/>
        <v>no</v>
      </c>
      <c r="BD176" s="121" t="b">
        <f t="shared" si="73"/>
        <v>0</v>
      </c>
      <c r="BE176" s="125" t="s">
        <v>56</v>
      </c>
      <c r="BF176" s="122"/>
    </row>
    <row r="177" spans="2:58" s="115" customFormat="1" ht="154">
      <c r="B177" s="115" t="s">
        <v>447</v>
      </c>
      <c r="D177" s="115">
        <v>10305603</v>
      </c>
      <c r="F177" s="150" t="s">
        <v>403</v>
      </c>
      <c r="G177" s="151" t="s">
        <v>348</v>
      </c>
      <c r="H177" s="152">
        <v>44823</v>
      </c>
      <c r="I177" s="152">
        <v>44834</v>
      </c>
      <c r="J177" s="152">
        <v>44837</v>
      </c>
      <c r="K177" s="152">
        <v>44848</v>
      </c>
      <c r="L177" s="152">
        <v>44851</v>
      </c>
      <c r="M177" s="153" t="s">
        <v>277</v>
      </c>
      <c r="N177" s="153" t="s">
        <v>277</v>
      </c>
      <c r="O177" s="153" t="s">
        <v>277</v>
      </c>
      <c r="P177" s="153" t="s">
        <v>277</v>
      </c>
      <c r="Q177" s="115" t="s">
        <v>99</v>
      </c>
      <c r="R177" s="115" t="s">
        <v>448</v>
      </c>
      <c r="S177" s="115">
        <f t="shared" si="75"/>
        <v>21</v>
      </c>
      <c r="U177" s="115">
        <v>21</v>
      </c>
      <c r="V177" s="114">
        <v>0</v>
      </c>
      <c r="Z177" s="115" t="s">
        <v>52</v>
      </c>
      <c r="AA177" s="115" t="s">
        <v>52</v>
      </c>
      <c r="AB177" s="115" t="s">
        <v>50</v>
      </c>
      <c r="AG177" s="115" t="s">
        <v>53</v>
      </c>
      <c r="AH177" s="115" t="s">
        <v>345</v>
      </c>
      <c r="AI177" s="115" t="s">
        <v>46</v>
      </c>
      <c r="AL177" s="115" t="s">
        <v>55</v>
      </c>
      <c r="AN177" s="115" t="s">
        <v>392</v>
      </c>
      <c r="AR177" s="121">
        <f t="shared" si="63"/>
        <v>1</v>
      </c>
      <c r="AS177" s="121" t="str">
        <f t="shared" si="64"/>
        <v>2022_09_19_a</v>
      </c>
      <c r="AT177" s="122"/>
      <c r="AU177" s="121" t="str">
        <f t="shared" si="65"/>
        <v>2022</v>
      </c>
      <c r="AV177" s="121" t="str">
        <f t="shared" si="66"/>
        <v>09</v>
      </c>
      <c r="AW177" s="121" t="str">
        <f t="shared" si="67"/>
        <v>19</v>
      </c>
      <c r="AX177" s="121">
        <f t="shared" si="68"/>
        <v>44823</v>
      </c>
      <c r="AY177" s="123"/>
      <c r="AZ177" s="124">
        <f t="shared" si="69"/>
        <v>44823</v>
      </c>
      <c r="BA177" s="121" t="b">
        <f t="shared" si="70"/>
        <v>1</v>
      </c>
      <c r="BB177" s="121">
        <f t="shared" si="71"/>
        <v>44823</v>
      </c>
      <c r="BC177" s="121" t="str">
        <f t="shared" si="72"/>
        <v>no</v>
      </c>
      <c r="BD177" s="121" t="b">
        <f t="shared" si="73"/>
        <v>0</v>
      </c>
      <c r="BE177" s="125" t="s">
        <v>56</v>
      </c>
      <c r="BF177" s="122"/>
    </row>
    <row r="178" spans="2:58" s="115" customFormat="1" ht="154">
      <c r="B178" s="115" t="s">
        <v>449</v>
      </c>
      <c r="D178" s="115">
        <v>10311476</v>
      </c>
      <c r="F178" s="150" t="s">
        <v>403</v>
      </c>
      <c r="G178" s="151" t="s">
        <v>348</v>
      </c>
      <c r="H178" s="152">
        <v>44844</v>
      </c>
      <c r="I178" s="152">
        <v>44855</v>
      </c>
      <c r="J178" s="152">
        <v>44858</v>
      </c>
      <c r="K178" s="152">
        <v>44869</v>
      </c>
      <c r="L178" s="152">
        <v>44872</v>
      </c>
      <c r="M178" s="153" t="s">
        <v>277</v>
      </c>
      <c r="N178" s="153" t="s">
        <v>277</v>
      </c>
      <c r="O178" s="153" t="s">
        <v>277</v>
      </c>
      <c r="P178" s="153" t="s">
        <v>277</v>
      </c>
      <c r="Q178" s="115" t="s">
        <v>121</v>
      </c>
      <c r="R178" s="115" t="s">
        <v>450</v>
      </c>
      <c r="S178" s="115">
        <f t="shared" si="75"/>
        <v>30</v>
      </c>
      <c r="U178" s="115">
        <v>30</v>
      </c>
      <c r="V178" s="114">
        <v>0</v>
      </c>
      <c r="Z178" s="115" t="s">
        <v>52</v>
      </c>
      <c r="AA178" s="115" t="s">
        <v>52</v>
      </c>
      <c r="AB178" s="115" t="s">
        <v>50</v>
      </c>
      <c r="AG178" s="115" t="s">
        <v>53</v>
      </c>
      <c r="AH178" s="115" t="s">
        <v>345</v>
      </c>
      <c r="AI178" s="115" t="s">
        <v>46</v>
      </c>
      <c r="AL178" s="115" t="s">
        <v>55</v>
      </c>
      <c r="AN178" s="115" t="s">
        <v>392</v>
      </c>
      <c r="AR178" s="121">
        <f t="shared" si="63"/>
        <v>1</v>
      </c>
      <c r="AS178" s="121" t="str">
        <f t="shared" si="64"/>
        <v>2022_10_10_a</v>
      </c>
      <c r="AT178" s="122"/>
      <c r="AU178" s="121" t="str">
        <f t="shared" si="65"/>
        <v>2022</v>
      </c>
      <c r="AV178" s="121" t="str">
        <f t="shared" si="66"/>
        <v>10</v>
      </c>
      <c r="AW178" s="121" t="str">
        <f t="shared" si="67"/>
        <v>10</v>
      </c>
      <c r="AX178" s="121">
        <f t="shared" si="68"/>
        <v>44844</v>
      </c>
      <c r="AY178" s="123"/>
      <c r="AZ178" s="124">
        <f t="shared" si="69"/>
        <v>44844</v>
      </c>
      <c r="BA178" s="121" t="b">
        <f t="shared" si="70"/>
        <v>1</v>
      </c>
      <c r="BB178" s="121">
        <f t="shared" si="71"/>
        <v>44844</v>
      </c>
      <c r="BC178" s="121" t="str">
        <f t="shared" si="72"/>
        <v>no</v>
      </c>
      <c r="BD178" s="121" t="b">
        <f t="shared" si="73"/>
        <v>0</v>
      </c>
      <c r="BE178" s="125" t="s">
        <v>56</v>
      </c>
      <c r="BF178" s="122"/>
    </row>
    <row r="179" spans="2:58" s="115" customFormat="1" ht="154">
      <c r="B179" s="115" t="s">
        <v>451</v>
      </c>
      <c r="D179" s="115">
        <v>10311462</v>
      </c>
      <c r="F179" s="150" t="s">
        <v>403</v>
      </c>
      <c r="G179" s="151" t="s">
        <v>348</v>
      </c>
      <c r="H179" s="152">
        <v>44844</v>
      </c>
      <c r="I179" s="152">
        <v>44855</v>
      </c>
      <c r="J179" s="152">
        <v>44858</v>
      </c>
      <c r="K179" s="152">
        <v>44869</v>
      </c>
      <c r="L179" s="152">
        <v>44872</v>
      </c>
      <c r="M179" s="153" t="s">
        <v>277</v>
      </c>
      <c r="N179" s="153" t="s">
        <v>277</v>
      </c>
      <c r="O179" s="153" t="s">
        <v>277</v>
      </c>
      <c r="P179" s="153" t="s">
        <v>277</v>
      </c>
      <c r="Q179" s="115" t="s">
        <v>121</v>
      </c>
      <c r="R179" s="115" t="s">
        <v>452</v>
      </c>
      <c r="S179" s="115">
        <f t="shared" si="75"/>
        <v>28</v>
      </c>
      <c r="U179" s="115">
        <v>28</v>
      </c>
      <c r="V179" s="114">
        <v>0</v>
      </c>
      <c r="Z179" s="115" t="s">
        <v>52</v>
      </c>
      <c r="AA179" s="115" t="s">
        <v>52</v>
      </c>
      <c r="AB179" s="115" t="s">
        <v>50</v>
      </c>
      <c r="AG179" s="115" t="s">
        <v>53</v>
      </c>
      <c r="AH179" s="115" t="s">
        <v>345</v>
      </c>
      <c r="AI179" s="115" t="s">
        <v>46</v>
      </c>
      <c r="AL179" s="115" t="s">
        <v>55</v>
      </c>
      <c r="AN179" s="115" t="s">
        <v>392</v>
      </c>
      <c r="AR179" s="121">
        <f t="shared" si="63"/>
        <v>1</v>
      </c>
      <c r="AS179" s="121" t="str">
        <f t="shared" si="64"/>
        <v>2022_10_10_b</v>
      </c>
      <c r="AT179" s="122"/>
      <c r="AU179" s="121" t="str">
        <f t="shared" si="65"/>
        <v>2022</v>
      </c>
      <c r="AV179" s="121" t="str">
        <f t="shared" si="66"/>
        <v>10</v>
      </c>
      <c r="AW179" s="121" t="str">
        <f t="shared" si="67"/>
        <v>10</v>
      </c>
      <c r="AX179" s="121">
        <f t="shared" si="68"/>
        <v>44844</v>
      </c>
      <c r="AY179" s="123"/>
      <c r="AZ179" s="124">
        <f t="shared" si="69"/>
        <v>44844</v>
      </c>
      <c r="BA179" s="121" t="b">
        <f t="shared" si="70"/>
        <v>1</v>
      </c>
      <c r="BB179" s="121">
        <f t="shared" si="71"/>
        <v>44844</v>
      </c>
      <c r="BC179" s="121" t="str">
        <f t="shared" si="72"/>
        <v>no</v>
      </c>
      <c r="BD179" s="121" t="b">
        <f t="shared" si="73"/>
        <v>0</v>
      </c>
      <c r="BE179" s="125" t="s">
        <v>56</v>
      </c>
      <c r="BF179" s="122"/>
    </row>
    <row r="180" spans="2:58" s="115" customFormat="1" ht="154">
      <c r="B180" s="115" t="s">
        <v>453</v>
      </c>
      <c r="D180" s="115">
        <v>10318152</v>
      </c>
      <c r="F180" s="150" t="s">
        <v>403</v>
      </c>
      <c r="G180" s="151" t="s">
        <v>348</v>
      </c>
      <c r="H180" s="152">
        <v>44872</v>
      </c>
      <c r="I180" s="152">
        <v>44883</v>
      </c>
      <c r="J180" s="152">
        <v>44886</v>
      </c>
      <c r="K180" s="152">
        <v>44897</v>
      </c>
      <c r="L180" s="152">
        <v>44900</v>
      </c>
      <c r="M180" s="153" t="s">
        <v>277</v>
      </c>
      <c r="N180" s="153" t="s">
        <v>277</v>
      </c>
      <c r="O180" s="153" t="s">
        <v>277</v>
      </c>
      <c r="P180" s="153" t="s">
        <v>277</v>
      </c>
      <c r="Q180" s="115" t="s">
        <v>121</v>
      </c>
      <c r="R180" s="115" t="s">
        <v>454</v>
      </c>
      <c r="S180" s="115">
        <f t="shared" si="75"/>
        <v>30</v>
      </c>
      <c r="U180" s="115">
        <v>30</v>
      </c>
      <c r="V180" s="114">
        <v>0</v>
      </c>
      <c r="Z180" s="115" t="s">
        <v>52</v>
      </c>
      <c r="AA180" s="115" t="s">
        <v>52</v>
      </c>
      <c r="AB180" s="115" t="s">
        <v>50</v>
      </c>
      <c r="AG180" s="115" t="s">
        <v>53</v>
      </c>
      <c r="AH180" s="115" t="s">
        <v>345</v>
      </c>
      <c r="AI180" s="115" t="s">
        <v>46</v>
      </c>
      <c r="AL180" s="115" t="s">
        <v>55</v>
      </c>
      <c r="AN180" s="115" t="s">
        <v>392</v>
      </c>
      <c r="AR180" s="121">
        <f t="shared" si="63"/>
        <v>1</v>
      </c>
      <c r="AS180" s="121" t="str">
        <f t="shared" si="64"/>
        <v>2022_11_07_a</v>
      </c>
      <c r="AT180" s="122"/>
      <c r="AU180" s="121" t="str">
        <f t="shared" si="65"/>
        <v>2022</v>
      </c>
      <c r="AV180" s="121" t="str">
        <f t="shared" si="66"/>
        <v>11</v>
      </c>
      <c r="AW180" s="121" t="str">
        <f t="shared" si="67"/>
        <v>07</v>
      </c>
      <c r="AX180" s="121">
        <f t="shared" si="68"/>
        <v>44872</v>
      </c>
      <c r="AY180" s="123"/>
      <c r="AZ180" s="124">
        <f t="shared" si="69"/>
        <v>44872</v>
      </c>
      <c r="BA180" s="121" t="b">
        <f t="shared" si="70"/>
        <v>1</v>
      </c>
      <c r="BB180" s="121">
        <f t="shared" si="71"/>
        <v>44872</v>
      </c>
      <c r="BC180" s="121" t="str">
        <f t="shared" si="72"/>
        <v>no</v>
      </c>
      <c r="BD180" s="121" t="b">
        <f t="shared" si="73"/>
        <v>0</v>
      </c>
      <c r="BE180" s="125" t="s">
        <v>56</v>
      </c>
      <c r="BF180" s="122"/>
    </row>
    <row r="181" spans="2:58" s="115" customFormat="1" ht="154">
      <c r="B181" s="115" t="s">
        <v>455</v>
      </c>
      <c r="D181" s="115" t="s">
        <v>456</v>
      </c>
      <c r="F181" s="336" t="s">
        <v>403</v>
      </c>
      <c r="G181" s="337" t="s">
        <v>348</v>
      </c>
      <c r="H181" s="329">
        <v>44872</v>
      </c>
      <c r="I181" s="329">
        <v>44883</v>
      </c>
      <c r="J181" s="329">
        <v>44886</v>
      </c>
      <c r="K181" s="329">
        <v>44897</v>
      </c>
      <c r="L181" s="329">
        <v>44900</v>
      </c>
      <c r="M181" s="330" t="s">
        <v>277</v>
      </c>
      <c r="N181" s="330" t="s">
        <v>277</v>
      </c>
      <c r="O181" s="330" t="s">
        <v>277</v>
      </c>
      <c r="P181" s="330" t="s">
        <v>277</v>
      </c>
      <c r="Q181" s="331" t="s">
        <v>121</v>
      </c>
      <c r="R181" s="331" t="s">
        <v>457</v>
      </c>
      <c r="S181" s="115">
        <f t="shared" si="75"/>
        <v>26</v>
      </c>
      <c r="U181" s="115">
        <v>26</v>
      </c>
      <c r="V181" s="114">
        <v>0</v>
      </c>
      <c r="Z181" s="115" t="s">
        <v>52</v>
      </c>
      <c r="AA181" s="115" t="s">
        <v>52</v>
      </c>
      <c r="AB181" s="115" t="s">
        <v>50</v>
      </c>
      <c r="AG181" s="115" t="s">
        <v>53</v>
      </c>
      <c r="AH181" s="115" t="s">
        <v>345</v>
      </c>
      <c r="AI181" s="115" t="s">
        <v>46</v>
      </c>
      <c r="AL181" s="115" t="s">
        <v>55</v>
      </c>
      <c r="AN181" s="115" t="s">
        <v>392</v>
      </c>
      <c r="AR181" s="121">
        <f t="shared" si="63"/>
        <v>1</v>
      </c>
      <c r="AS181" s="121" t="str">
        <f t="shared" si="64"/>
        <v>2022_11_07_b</v>
      </c>
      <c r="AT181" s="122"/>
      <c r="AU181" s="121" t="str">
        <f t="shared" si="65"/>
        <v>2022</v>
      </c>
      <c r="AV181" s="121" t="str">
        <f t="shared" si="66"/>
        <v>11</v>
      </c>
      <c r="AW181" s="121" t="str">
        <f t="shared" si="67"/>
        <v>07</v>
      </c>
      <c r="AX181" s="121">
        <f t="shared" si="68"/>
        <v>44872</v>
      </c>
      <c r="AY181" s="123"/>
      <c r="AZ181" s="124">
        <f t="shared" si="69"/>
        <v>44872</v>
      </c>
      <c r="BA181" s="121" t="b">
        <f t="shared" si="70"/>
        <v>1</v>
      </c>
      <c r="BB181" s="121">
        <f t="shared" si="71"/>
        <v>44872</v>
      </c>
      <c r="BC181" s="121" t="str">
        <f t="shared" si="72"/>
        <v>no</v>
      </c>
      <c r="BD181" s="121" t="b">
        <f t="shared" si="73"/>
        <v>0</v>
      </c>
      <c r="BE181" s="125" t="s">
        <v>56</v>
      </c>
      <c r="BF181" s="122"/>
    </row>
    <row r="182" spans="2:58" s="115" customFormat="1" ht="154">
      <c r="B182" s="115" t="s">
        <v>458</v>
      </c>
      <c r="D182" s="115">
        <v>10336660</v>
      </c>
      <c r="E182" s="334"/>
      <c r="F182" s="332" t="s">
        <v>403</v>
      </c>
      <c r="G182" s="333" t="s">
        <v>348</v>
      </c>
      <c r="H182" s="326">
        <v>44963</v>
      </c>
      <c r="I182" s="326">
        <v>44974</v>
      </c>
      <c r="J182" s="326">
        <v>44977</v>
      </c>
      <c r="K182" s="335">
        <v>44988</v>
      </c>
      <c r="L182" s="326">
        <v>44991</v>
      </c>
      <c r="M182" s="327" t="s">
        <v>277</v>
      </c>
      <c r="N182" s="327" t="s">
        <v>277</v>
      </c>
      <c r="O182" s="327" t="s">
        <v>277</v>
      </c>
      <c r="P182" s="327" t="s">
        <v>277</v>
      </c>
      <c r="Q182" s="328" t="s">
        <v>47</v>
      </c>
      <c r="R182" s="328" t="s">
        <v>459</v>
      </c>
      <c r="S182" s="115">
        <f t="shared" si="75"/>
        <v>20</v>
      </c>
      <c r="U182" s="115">
        <v>20</v>
      </c>
      <c r="V182" s="114">
        <v>0</v>
      </c>
      <c r="Z182" s="115" t="s">
        <v>52</v>
      </c>
      <c r="AA182" s="115" t="s">
        <v>51</v>
      </c>
      <c r="AB182" s="115" t="s">
        <v>51</v>
      </c>
      <c r="AG182" s="115" t="s">
        <v>53</v>
      </c>
      <c r="AH182" s="115" t="s">
        <v>345</v>
      </c>
      <c r="AI182" s="115" t="s">
        <v>46</v>
      </c>
      <c r="AL182" s="115" t="s">
        <v>55</v>
      </c>
      <c r="AN182" s="115" t="s">
        <v>392</v>
      </c>
      <c r="AR182" s="121">
        <f t="shared" si="63"/>
        <v>1</v>
      </c>
      <c r="AS182" s="121" t="str">
        <f t="shared" si="64"/>
        <v>2023_02_06_a</v>
      </c>
      <c r="AT182" s="122"/>
      <c r="AU182" s="121" t="str">
        <f t="shared" si="65"/>
        <v>2023</v>
      </c>
      <c r="AV182" s="121" t="str">
        <f t="shared" si="66"/>
        <v>02</v>
      </c>
      <c r="AW182" s="121" t="str">
        <f t="shared" si="67"/>
        <v>06</v>
      </c>
      <c r="AX182" s="121">
        <f t="shared" si="68"/>
        <v>44963</v>
      </c>
      <c r="AY182" s="123"/>
      <c r="AZ182" s="124">
        <f t="shared" si="69"/>
        <v>44963</v>
      </c>
      <c r="BA182" s="121" t="b">
        <f t="shared" si="70"/>
        <v>1</v>
      </c>
      <c r="BB182" s="121">
        <f t="shared" si="71"/>
        <v>44963</v>
      </c>
      <c r="BC182" s="121" t="str">
        <f t="shared" si="72"/>
        <v>no</v>
      </c>
      <c r="BD182" s="121" t="b">
        <f t="shared" si="73"/>
        <v>0</v>
      </c>
      <c r="BE182" s="125" t="s">
        <v>56</v>
      </c>
      <c r="BF182" s="122"/>
    </row>
    <row r="183" spans="2:58" s="278" customFormat="1" ht="154">
      <c r="B183" s="278" t="s">
        <v>460</v>
      </c>
      <c r="D183" s="278">
        <v>10343812</v>
      </c>
      <c r="E183" s="472"/>
      <c r="F183" s="473" t="s">
        <v>403</v>
      </c>
      <c r="G183" s="474" t="s">
        <v>348</v>
      </c>
      <c r="H183" s="475">
        <v>44991</v>
      </c>
      <c r="I183" s="475">
        <v>45002</v>
      </c>
      <c r="J183" s="475">
        <v>45005</v>
      </c>
      <c r="K183" s="476">
        <v>45016</v>
      </c>
      <c r="L183" s="475">
        <v>45019</v>
      </c>
      <c r="M183" s="477" t="s">
        <v>277</v>
      </c>
      <c r="N183" s="477" t="s">
        <v>277</v>
      </c>
      <c r="O183" s="477" t="s">
        <v>277</v>
      </c>
      <c r="P183" s="477" t="s">
        <v>277</v>
      </c>
      <c r="Q183" s="478" t="s">
        <v>47</v>
      </c>
      <c r="R183" s="478" t="s">
        <v>461</v>
      </c>
      <c r="S183" s="278">
        <f t="shared" si="75"/>
        <v>19</v>
      </c>
      <c r="U183" s="278">
        <v>19</v>
      </c>
      <c r="V183" s="277">
        <v>0</v>
      </c>
      <c r="Z183" s="278" t="s">
        <v>52</v>
      </c>
      <c r="AA183" s="278" t="s">
        <v>51</v>
      </c>
      <c r="AB183" s="278" t="s">
        <v>51</v>
      </c>
      <c r="AG183" s="278" t="s">
        <v>53</v>
      </c>
      <c r="AH183" s="278" t="s">
        <v>345</v>
      </c>
      <c r="AI183" s="278" t="s">
        <v>46</v>
      </c>
      <c r="AL183" s="278" t="s">
        <v>55</v>
      </c>
      <c r="AN183" s="278" t="s">
        <v>392</v>
      </c>
      <c r="AR183" s="121">
        <f t="shared" si="63"/>
        <v>1</v>
      </c>
      <c r="AS183" s="121" t="str">
        <f t="shared" si="64"/>
        <v>2023_03_06_a</v>
      </c>
      <c r="AT183" s="122"/>
      <c r="AU183" s="121" t="str">
        <f t="shared" si="65"/>
        <v>2023</v>
      </c>
      <c r="AV183" s="121" t="str">
        <f t="shared" si="66"/>
        <v>03</v>
      </c>
      <c r="AW183" s="121" t="str">
        <f t="shared" si="67"/>
        <v>06</v>
      </c>
      <c r="AX183" s="121">
        <f t="shared" si="68"/>
        <v>44991</v>
      </c>
      <c r="AY183" s="123"/>
      <c r="AZ183" s="124">
        <f t="shared" si="69"/>
        <v>44991</v>
      </c>
      <c r="BA183" s="121" t="b">
        <f t="shared" si="70"/>
        <v>1</v>
      </c>
      <c r="BB183" s="121">
        <f t="shared" si="71"/>
        <v>44991</v>
      </c>
      <c r="BC183" s="121" t="str">
        <f t="shared" si="72"/>
        <v>no</v>
      </c>
      <c r="BD183" s="121" t="b">
        <f t="shared" si="73"/>
        <v>0</v>
      </c>
      <c r="BE183" s="125" t="s">
        <v>56</v>
      </c>
      <c r="BF183" s="287"/>
    </row>
    <row r="184" spans="2:58" s="115" customFormat="1" ht="154">
      <c r="B184" s="115" t="s">
        <v>462</v>
      </c>
      <c r="D184" s="115">
        <v>10354251</v>
      </c>
      <c r="E184" s="334"/>
      <c r="F184" s="332" t="s">
        <v>403</v>
      </c>
      <c r="G184" s="333" t="s">
        <v>348</v>
      </c>
      <c r="H184" s="326">
        <v>45033</v>
      </c>
      <c r="I184" s="326">
        <v>45044</v>
      </c>
      <c r="J184" s="326">
        <v>45047</v>
      </c>
      <c r="K184" s="335">
        <v>45058</v>
      </c>
      <c r="L184" s="326">
        <v>45061</v>
      </c>
      <c r="M184" s="327" t="s">
        <v>277</v>
      </c>
      <c r="N184" s="327" t="s">
        <v>277</v>
      </c>
      <c r="O184" s="327" t="s">
        <v>277</v>
      </c>
      <c r="P184" s="327" t="s">
        <v>277</v>
      </c>
      <c r="Q184" s="328" t="s">
        <v>78</v>
      </c>
      <c r="R184" s="328" t="s">
        <v>463</v>
      </c>
      <c r="S184" s="278">
        <f t="shared" si="75"/>
        <v>18</v>
      </c>
      <c r="U184" s="115">
        <v>18</v>
      </c>
      <c r="V184" s="114">
        <v>0</v>
      </c>
      <c r="Z184" s="115" t="s">
        <v>52</v>
      </c>
      <c r="AA184" s="115" t="s">
        <v>51</v>
      </c>
      <c r="AB184" s="115" t="s">
        <v>51</v>
      </c>
      <c r="AG184" s="115" t="s">
        <v>53</v>
      </c>
      <c r="AH184" s="115" t="s">
        <v>345</v>
      </c>
      <c r="AI184" s="115" t="s">
        <v>46</v>
      </c>
      <c r="AL184" s="115" t="s">
        <v>55</v>
      </c>
      <c r="AN184" s="115" t="s">
        <v>392</v>
      </c>
      <c r="AR184" s="121">
        <f t="shared" si="63"/>
        <v>1</v>
      </c>
      <c r="AS184" s="121" t="str">
        <f t="shared" si="64"/>
        <v>2023_04_17_a</v>
      </c>
      <c r="AT184" s="122"/>
      <c r="AU184" s="121" t="str">
        <f t="shared" si="65"/>
        <v>2023</v>
      </c>
      <c r="AV184" s="121" t="str">
        <f t="shared" si="66"/>
        <v>04</v>
      </c>
      <c r="AW184" s="121" t="str">
        <f t="shared" si="67"/>
        <v>17</v>
      </c>
      <c r="AX184" s="121">
        <f t="shared" si="68"/>
        <v>45033</v>
      </c>
      <c r="AY184" s="123"/>
      <c r="AZ184" s="124">
        <f t="shared" si="69"/>
        <v>45033</v>
      </c>
      <c r="BA184" s="121" t="b">
        <f t="shared" si="70"/>
        <v>1</v>
      </c>
      <c r="BB184" s="121">
        <f t="shared" si="71"/>
        <v>45033</v>
      </c>
      <c r="BC184" s="121" t="str">
        <f t="shared" si="72"/>
        <v>no</v>
      </c>
      <c r="BD184" s="121" t="b">
        <f t="shared" si="73"/>
        <v>0</v>
      </c>
      <c r="BE184" s="125" t="s">
        <v>56</v>
      </c>
      <c r="BF184" s="122"/>
    </row>
    <row r="185" spans="2:58" s="115" customFormat="1" ht="154">
      <c r="B185" s="115" t="s">
        <v>464</v>
      </c>
      <c r="E185" s="334"/>
      <c r="F185" s="332" t="s">
        <v>403</v>
      </c>
      <c r="G185" s="333" t="s">
        <v>348</v>
      </c>
      <c r="H185" s="326">
        <v>45089</v>
      </c>
      <c r="I185" s="326">
        <v>45100</v>
      </c>
      <c r="J185" s="326">
        <v>45103</v>
      </c>
      <c r="K185" s="335">
        <v>45114</v>
      </c>
      <c r="L185" s="326">
        <v>45117</v>
      </c>
      <c r="M185" s="327" t="s">
        <v>277</v>
      </c>
      <c r="N185" s="327" t="s">
        <v>277</v>
      </c>
      <c r="O185" s="327" t="s">
        <v>277</v>
      </c>
      <c r="P185" s="327" t="s">
        <v>277</v>
      </c>
      <c r="Q185" s="328" t="s">
        <v>78</v>
      </c>
      <c r="R185" s="328" t="s">
        <v>1429</v>
      </c>
      <c r="S185" s="115">
        <v>14</v>
      </c>
      <c r="U185" s="115">
        <v>14</v>
      </c>
      <c r="V185" s="114">
        <v>0</v>
      </c>
      <c r="Z185" s="115" t="s">
        <v>52</v>
      </c>
      <c r="AA185" s="115" t="s">
        <v>51</v>
      </c>
      <c r="AG185" s="115" t="s">
        <v>53</v>
      </c>
      <c r="AH185" s="115" t="s">
        <v>345</v>
      </c>
      <c r="AI185" s="115" t="s">
        <v>46</v>
      </c>
      <c r="AL185" s="115" t="s">
        <v>55</v>
      </c>
      <c r="AN185" s="115" t="s">
        <v>392</v>
      </c>
      <c r="AR185" s="121">
        <f t="shared" si="63"/>
        <v>1</v>
      </c>
      <c r="AS185" s="121" t="str">
        <f t="shared" si="64"/>
        <v>2023_06_12_a</v>
      </c>
      <c r="AT185" s="122"/>
      <c r="AU185" s="121" t="str">
        <f t="shared" si="65"/>
        <v>2023</v>
      </c>
      <c r="AV185" s="121" t="str">
        <f t="shared" si="66"/>
        <v>06</v>
      </c>
      <c r="AW185" s="121" t="str">
        <f t="shared" si="67"/>
        <v>12</v>
      </c>
      <c r="AX185" s="121">
        <f t="shared" si="68"/>
        <v>45089</v>
      </c>
      <c r="AY185" s="123"/>
      <c r="AZ185" s="124">
        <f t="shared" si="69"/>
        <v>45089</v>
      </c>
      <c r="BA185" s="121" t="b">
        <f t="shared" si="70"/>
        <v>1</v>
      </c>
      <c r="BB185" s="121">
        <f t="shared" si="71"/>
        <v>45089</v>
      </c>
      <c r="BC185" s="121" t="str">
        <f t="shared" si="72"/>
        <v>no</v>
      </c>
      <c r="BD185" s="121" t="b">
        <f t="shared" si="73"/>
        <v>0</v>
      </c>
      <c r="BE185" s="125" t="s">
        <v>56</v>
      </c>
      <c r="BF185" s="122"/>
    </row>
    <row r="186" spans="2:58" s="115" customFormat="1" ht="154">
      <c r="B186" s="115" t="s">
        <v>465</v>
      </c>
      <c r="E186" s="334"/>
      <c r="F186" s="332" t="s">
        <v>403</v>
      </c>
      <c r="G186" s="333" t="s">
        <v>348</v>
      </c>
      <c r="H186" s="326">
        <v>45096</v>
      </c>
      <c r="I186" s="326">
        <v>45107</v>
      </c>
      <c r="J186" s="326">
        <v>45110</v>
      </c>
      <c r="K186" s="335">
        <v>45121</v>
      </c>
      <c r="L186" s="326">
        <v>45124</v>
      </c>
      <c r="M186" s="327" t="s">
        <v>277</v>
      </c>
      <c r="N186" s="327" t="s">
        <v>277</v>
      </c>
      <c r="O186" s="327" t="s">
        <v>277</v>
      </c>
      <c r="P186" s="327" t="s">
        <v>277</v>
      </c>
      <c r="Q186" s="328" t="s">
        <v>78</v>
      </c>
      <c r="R186" s="328"/>
      <c r="S186" s="115">
        <f t="shared" si="75"/>
        <v>26</v>
      </c>
      <c r="U186" s="115">
        <v>26</v>
      </c>
      <c r="V186" s="114">
        <v>0</v>
      </c>
      <c r="Z186" s="115" t="s">
        <v>52</v>
      </c>
      <c r="AG186" s="115" t="s">
        <v>53</v>
      </c>
      <c r="AH186" s="115" t="s">
        <v>345</v>
      </c>
      <c r="AI186" s="115" t="s">
        <v>46</v>
      </c>
      <c r="AL186" s="115" t="s">
        <v>55</v>
      </c>
      <c r="AN186" s="115" t="s">
        <v>392</v>
      </c>
      <c r="AR186" s="121">
        <f t="shared" si="63"/>
        <v>1</v>
      </c>
      <c r="AS186" s="121" t="str">
        <f t="shared" si="64"/>
        <v>2023_06_19_a</v>
      </c>
      <c r="AT186" s="122"/>
      <c r="AU186" s="121" t="str">
        <f t="shared" si="65"/>
        <v>2023</v>
      </c>
      <c r="AV186" s="121" t="str">
        <f t="shared" si="66"/>
        <v>06</v>
      </c>
      <c r="AW186" s="121" t="str">
        <f t="shared" si="67"/>
        <v>19</v>
      </c>
      <c r="AX186" s="121">
        <f t="shared" si="68"/>
        <v>45096</v>
      </c>
      <c r="AY186" s="123"/>
      <c r="AZ186" s="124">
        <f t="shared" si="69"/>
        <v>45096</v>
      </c>
      <c r="BA186" s="121" t="b">
        <f t="shared" si="70"/>
        <v>1</v>
      </c>
      <c r="BB186" s="121">
        <f t="shared" si="71"/>
        <v>45096</v>
      </c>
      <c r="BC186" s="121" t="str">
        <f t="shared" si="72"/>
        <v>no</v>
      </c>
      <c r="BD186" s="121" t="b">
        <f t="shared" si="73"/>
        <v>0</v>
      </c>
      <c r="BE186" s="125" t="s">
        <v>56</v>
      </c>
      <c r="BF186" s="122"/>
    </row>
    <row r="187" spans="2:58" s="115" customFormat="1" ht="154">
      <c r="B187" s="115" t="s">
        <v>466</v>
      </c>
      <c r="E187" s="334"/>
      <c r="F187" s="332" t="s">
        <v>403</v>
      </c>
      <c r="G187" s="333" t="s">
        <v>348</v>
      </c>
      <c r="H187" s="326">
        <v>45117</v>
      </c>
      <c r="I187" s="326">
        <v>45128</v>
      </c>
      <c r="J187" s="326">
        <v>45131</v>
      </c>
      <c r="K187" s="335">
        <v>45142</v>
      </c>
      <c r="L187" s="326">
        <v>45145</v>
      </c>
      <c r="M187" s="327" t="s">
        <v>277</v>
      </c>
      <c r="N187" s="327" t="s">
        <v>277</v>
      </c>
      <c r="O187" s="327" t="s">
        <v>277</v>
      </c>
      <c r="P187" s="327" t="s">
        <v>277</v>
      </c>
      <c r="Q187" s="328" t="s">
        <v>99</v>
      </c>
      <c r="R187" s="328"/>
      <c r="S187" s="115">
        <f t="shared" si="75"/>
        <v>30</v>
      </c>
      <c r="U187" s="115">
        <v>30</v>
      </c>
      <c r="V187" s="114">
        <v>0</v>
      </c>
      <c r="Z187" s="115" t="s">
        <v>52</v>
      </c>
      <c r="AG187" s="115" t="s">
        <v>53</v>
      </c>
      <c r="AH187" s="115" t="s">
        <v>345</v>
      </c>
      <c r="AI187" s="115" t="s">
        <v>46</v>
      </c>
      <c r="AL187" s="115" t="s">
        <v>55</v>
      </c>
      <c r="AN187" s="115" t="s">
        <v>392</v>
      </c>
      <c r="AR187" s="121">
        <f t="shared" si="63"/>
        <v>1</v>
      </c>
      <c r="AS187" s="121" t="str">
        <f t="shared" si="64"/>
        <v>2023_07_10_a</v>
      </c>
      <c r="AT187" s="122"/>
      <c r="AU187" s="121" t="str">
        <f t="shared" si="65"/>
        <v>2023</v>
      </c>
      <c r="AV187" s="121" t="str">
        <f t="shared" si="66"/>
        <v>07</v>
      </c>
      <c r="AW187" s="121" t="str">
        <f t="shared" si="67"/>
        <v>10</v>
      </c>
      <c r="AX187" s="121">
        <f t="shared" si="68"/>
        <v>45117</v>
      </c>
      <c r="AY187" s="123"/>
      <c r="AZ187" s="124">
        <f t="shared" si="69"/>
        <v>45117</v>
      </c>
      <c r="BA187" s="121" t="b">
        <f t="shared" si="70"/>
        <v>1</v>
      </c>
      <c r="BB187" s="121">
        <f t="shared" si="71"/>
        <v>45117</v>
      </c>
      <c r="BC187" s="121" t="str">
        <f t="shared" si="72"/>
        <v>no</v>
      </c>
      <c r="BD187" s="121" t="b">
        <f t="shared" si="73"/>
        <v>0</v>
      </c>
      <c r="BE187" s="125" t="s">
        <v>56</v>
      </c>
      <c r="BF187" s="122"/>
    </row>
    <row r="188" spans="2:58" s="115" customFormat="1" ht="154">
      <c r="B188" s="115" t="s">
        <v>467</v>
      </c>
      <c r="E188" s="334"/>
      <c r="F188" s="332" t="s">
        <v>403</v>
      </c>
      <c r="G188" s="333" t="s">
        <v>348</v>
      </c>
      <c r="H188" s="326">
        <v>45117</v>
      </c>
      <c r="I188" s="326">
        <v>45128</v>
      </c>
      <c r="J188" s="326">
        <v>45131</v>
      </c>
      <c r="K188" s="335">
        <v>45142</v>
      </c>
      <c r="L188" s="326">
        <v>45145</v>
      </c>
      <c r="M188" s="327" t="s">
        <v>277</v>
      </c>
      <c r="N188" s="327" t="s">
        <v>277</v>
      </c>
      <c r="O188" s="327" t="s">
        <v>277</v>
      </c>
      <c r="P188" s="327" t="s">
        <v>277</v>
      </c>
      <c r="Q188" s="328" t="s">
        <v>99</v>
      </c>
      <c r="R188" s="328"/>
      <c r="S188" s="115">
        <f t="shared" si="75"/>
        <v>21</v>
      </c>
      <c r="U188" s="115">
        <v>21</v>
      </c>
      <c r="V188" s="114">
        <v>0</v>
      </c>
      <c r="Z188" s="115" t="s">
        <v>52</v>
      </c>
      <c r="AG188" s="115" t="s">
        <v>53</v>
      </c>
      <c r="AH188" s="115" t="s">
        <v>345</v>
      </c>
      <c r="AI188" s="115" t="s">
        <v>46</v>
      </c>
      <c r="AL188" s="115" t="s">
        <v>55</v>
      </c>
      <c r="AN188" s="115" t="s">
        <v>392</v>
      </c>
      <c r="AR188" s="121">
        <f t="shared" si="63"/>
        <v>1</v>
      </c>
      <c r="AS188" s="121" t="str">
        <f t="shared" si="64"/>
        <v>2023_07_10_b</v>
      </c>
      <c r="AT188" s="122"/>
      <c r="AU188" s="121" t="str">
        <f t="shared" si="65"/>
        <v>2023</v>
      </c>
      <c r="AV188" s="121" t="str">
        <f t="shared" si="66"/>
        <v>07</v>
      </c>
      <c r="AW188" s="121" t="str">
        <f t="shared" si="67"/>
        <v>10</v>
      </c>
      <c r="AX188" s="121">
        <f t="shared" si="68"/>
        <v>45117</v>
      </c>
      <c r="AY188" s="123"/>
      <c r="AZ188" s="124">
        <f t="shared" si="69"/>
        <v>45117</v>
      </c>
      <c r="BA188" s="121" t="b">
        <f t="shared" si="70"/>
        <v>1</v>
      </c>
      <c r="BB188" s="121">
        <f t="shared" si="71"/>
        <v>45117</v>
      </c>
      <c r="BC188" s="121" t="str">
        <f t="shared" si="72"/>
        <v>no</v>
      </c>
      <c r="BD188" s="121" t="b">
        <f t="shared" si="73"/>
        <v>0</v>
      </c>
      <c r="BE188" s="125" t="s">
        <v>56</v>
      </c>
      <c r="BF188" s="122"/>
    </row>
    <row r="189" spans="2:58" s="115" customFormat="1" ht="154">
      <c r="B189" s="115" t="s">
        <v>468</v>
      </c>
      <c r="E189" s="334"/>
      <c r="F189" s="332" t="s">
        <v>403</v>
      </c>
      <c r="G189" s="333" t="s">
        <v>348</v>
      </c>
      <c r="H189" s="326">
        <v>45145</v>
      </c>
      <c r="I189" s="326">
        <v>45156</v>
      </c>
      <c r="J189" s="326">
        <v>45159</v>
      </c>
      <c r="K189" s="335">
        <v>45170</v>
      </c>
      <c r="L189" s="326">
        <v>45173</v>
      </c>
      <c r="M189" s="327" t="s">
        <v>277</v>
      </c>
      <c r="N189" s="327" t="s">
        <v>277</v>
      </c>
      <c r="O189" s="327" t="s">
        <v>277</v>
      </c>
      <c r="P189" s="327" t="s">
        <v>277</v>
      </c>
      <c r="Q189" s="328" t="s">
        <v>99</v>
      </c>
      <c r="R189" s="328"/>
      <c r="S189" s="115">
        <f t="shared" si="75"/>
        <v>28</v>
      </c>
      <c r="U189" s="115">
        <v>28</v>
      </c>
      <c r="V189" s="114">
        <v>0</v>
      </c>
      <c r="Z189" s="115" t="s">
        <v>52</v>
      </c>
      <c r="AG189" s="115" t="s">
        <v>53</v>
      </c>
      <c r="AH189" s="115" t="s">
        <v>345</v>
      </c>
      <c r="AI189" s="115" t="s">
        <v>46</v>
      </c>
      <c r="AL189" s="115" t="s">
        <v>55</v>
      </c>
      <c r="AN189" s="115" t="s">
        <v>392</v>
      </c>
      <c r="AR189" s="121">
        <f t="shared" si="63"/>
        <v>1</v>
      </c>
      <c r="AS189" s="121" t="str">
        <f t="shared" si="64"/>
        <v>2023_08_07_a</v>
      </c>
      <c r="AT189" s="122"/>
      <c r="AU189" s="121" t="str">
        <f t="shared" si="65"/>
        <v>2023</v>
      </c>
      <c r="AV189" s="121" t="str">
        <f t="shared" si="66"/>
        <v>08</v>
      </c>
      <c r="AW189" s="121" t="str">
        <f t="shared" si="67"/>
        <v>07</v>
      </c>
      <c r="AX189" s="121">
        <f t="shared" si="68"/>
        <v>45145</v>
      </c>
      <c r="AY189" s="123"/>
      <c r="AZ189" s="124">
        <f t="shared" si="69"/>
        <v>45145</v>
      </c>
      <c r="BA189" s="121" t="b">
        <f t="shared" si="70"/>
        <v>1</v>
      </c>
      <c r="BB189" s="121">
        <f t="shared" si="71"/>
        <v>45145</v>
      </c>
      <c r="BC189" s="121" t="str">
        <f t="shared" si="72"/>
        <v>no</v>
      </c>
      <c r="BD189" s="121" t="b">
        <f t="shared" si="73"/>
        <v>0</v>
      </c>
      <c r="BE189" s="125" t="s">
        <v>56</v>
      </c>
      <c r="BF189" s="122"/>
    </row>
    <row r="190" spans="2:58" s="115" customFormat="1" ht="154">
      <c r="B190" s="115" t="s">
        <v>469</v>
      </c>
      <c r="E190" s="334"/>
      <c r="F190" s="332" t="s">
        <v>403</v>
      </c>
      <c r="G190" s="333" t="s">
        <v>348</v>
      </c>
      <c r="H190" s="326">
        <v>45180</v>
      </c>
      <c r="I190" s="326">
        <v>45191</v>
      </c>
      <c r="J190" s="326">
        <v>45194</v>
      </c>
      <c r="K190" s="335">
        <v>45205</v>
      </c>
      <c r="L190" s="326">
        <v>45208</v>
      </c>
      <c r="M190" s="327" t="s">
        <v>277</v>
      </c>
      <c r="N190" s="327" t="s">
        <v>277</v>
      </c>
      <c r="O190" s="327" t="s">
        <v>277</v>
      </c>
      <c r="P190" s="327" t="s">
        <v>277</v>
      </c>
      <c r="Q190" s="328" t="s">
        <v>99</v>
      </c>
      <c r="R190" s="328"/>
      <c r="S190" s="115">
        <f t="shared" si="75"/>
        <v>30</v>
      </c>
      <c r="U190" s="115">
        <v>30</v>
      </c>
      <c r="V190" s="114">
        <v>0</v>
      </c>
      <c r="Z190" s="115" t="s">
        <v>52</v>
      </c>
      <c r="AG190" s="115" t="s">
        <v>53</v>
      </c>
      <c r="AH190" s="115" t="s">
        <v>345</v>
      </c>
      <c r="AI190" s="115" t="s">
        <v>46</v>
      </c>
      <c r="AL190" s="115" t="s">
        <v>55</v>
      </c>
      <c r="AN190" s="115" t="s">
        <v>392</v>
      </c>
      <c r="AR190" s="121">
        <f t="shared" si="63"/>
        <v>1</v>
      </c>
      <c r="AS190" s="121" t="str">
        <f t="shared" si="64"/>
        <v>2023_09_11_a</v>
      </c>
      <c r="AT190" s="122"/>
      <c r="AU190" s="121" t="str">
        <f t="shared" si="65"/>
        <v>2023</v>
      </c>
      <c r="AV190" s="121" t="str">
        <f t="shared" si="66"/>
        <v>09</v>
      </c>
      <c r="AW190" s="121" t="str">
        <f t="shared" si="67"/>
        <v>11</v>
      </c>
      <c r="AX190" s="121">
        <f t="shared" si="68"/>
        <v>45180</v>
      </c>
      <c r="AY190" s="123"/>
      <c r="AZ190" s="124">
        <f t="shared" si="69"/>
        <v>45180</v>
      </c>
      <c r="BA190" s="121" t="b">
        <f t="shared" si="70"/>
        <v>1</v>
      </c>
      <c r="BB190" s="121">
        <f t="shared" si="71"/>
        <v>45180</v>
      </c>
      <c r="BC190" s="121" t="str">
        <f t="shared" si="72"/>
        <v>no</v>
      </c>
      <c r="BD190" s="121" t="b">
        <f t="shared" si="73"/>
        <v>0</v>
      </c>
      <c r="BE190" s="125" t="s">
        <v>56</v>
      </c>
      <c r="BF190" s="122"/>
    </row>
    <row r="191" spans="2:58" s="115" customFormat="1" ht="154">
      <c r="B191" s="115" t="s">
        <v>470</v>
      </c>
      <c r="E191" s="334"/>
      <c r="F191" s="332" t="s">
        <v>403</v>
      </c>
      <c r="G191" s="333" t="s">
        <v>348</v>
      </c>
      <c r="H191" s="326">
        <v>45187</v>
      </c>
      <c r="I191" s="326">
        <v>45198</v>
      </c>
      <c r="J191" s="326">
        <v>45201</v>
      </c>
      <c r="K191" s="335">
        <v>45212</v>
      </c>
      <c r="L191" s="326">
        <v>45215</v>
      </c>
      <c r="M191" s="327" t="s">
        <v>277</v>
      </c>
      <c r="N191" s="327" t="s">
        <v>277</v>
      </c>
      <c r="O191" s="327" t="s">
        <v>277</v>
      </c>
      <c r="P191" s="327" t="s">
        <v>277</v>
      </c>
      <c r="Q191" s="328" t="s">
        <v>99</v>
      </c>
      <c r="R191" s="328"/>
      <c r="S191" s="115">
        <f t="shared" si="75"/>
        <v>32</v>
      </c>
      <c r="U191" s="115">
        <v>32</v>
      </c>
      <c r="V191" s="114">
        <v>0</v>
      </c>
      <c r="Z191" s="115" t="s">
        <v>52</v>
      </c>
      <c r="AG191" s="115" t="s">
        <v>53</v>
      </c>
      <c r="AH191" s="115" t="s">
        <v>345</v>
      </c>
      <c r="AI191" s="115" t="s">
        <v>46</v>
      </c>
      <c r="AL191" s="115" t="s">
        <v>55</v>
      </c>
      <c r="AN191" s="115" t="s">
        <v>392</v>
      </c>
      <c r="AR191" s="121">
        <f t="shared" si="63"/>
        <v>1</v>
      </c>
      <c r="AS191" s="121" t="str">
        <f t="shared" si="64"/>
        <v>2023_09_18_a</v>
      </c>
      <c r="AT191" s="122"/>
      <c r="AU191" s="121" t="str">
        <f t="shared" si="65"/>
        <v>2023</v>
      </c>
      <c r="AV191" s="121" t="str">
        <f t="shared" si="66"/>
        <v>09</v>
      </c>
      <c r="AW191" s="121" t="str">
        <f t="shared" si="67"/>
        <v>18</v>
      </c>
      <c r="AX191" s="121">
        <f t="shared" si="68"/>
        <v>45187</v>
      </c>
      <c r="AY191" s="123"/>
      <c r="AZ191" s="124">
        <f t="shared" si="69"/>
        <v>45187</v>
      </c>
      <c r="BA191" s="121" t="b">
        <f t="shared" si="70"/>
        <v>1</v>
      </c>
      <c r="BB191" s="121">
        <f t="shared" si="71"/>
        <v>45187</v>
      </c>
      <c r="BC191" s="121" t="str">
        <f t="shared" si="72"/>
        <v>no</v>
      </c>
      <c r="BD191" s="121" t="b">
        <f t="shared" si="73"/>
        <v>0</v>
      </c>
      <c r="BE191" s="125" t="s">
        <v>56</v>
      </c>
      <c r="BF191" s="122"/>
    </row>
    <row r="192" spans="2:58" s="115" customFormat="1" ht="154">
      <c r="B192" s="115" t="s">
        <v>471</v>
      </c>
      <c r="E192" s="334"/>
      <c r="F192" s="332" t="s">
        <v>403</v>
      </c>
      <c r="G192" s="333" t="s">
        <v>348</v>
      </c>
      <c r="H192" s="326">
        <v>45187</v>
      </c>
      <c r="I192" s="326">
        <v>45198</v>
      </c>
      <c r="J192" s="326">
        <v>45201</v>
      </c>
      <c r="K192" s="335">
        <v>45212</v>
      </c>
      <c r="L192" s="326">
        <v>45215</v>
      </c>
      <c r="M192" s="327" t="s">
        <v>277</v>
      </c>
      <c r="N192" s="327" t="s">
        <v>277</v>
      </c>
      <c r="O192" s="327" t="s">
        <v>277</v>
      </c>
      <c r="P192" s="327" t="s">
        <v>277</v>
      </c>
      <c r="Q192" s="328" t="s">
        <v>99</v>
      </c>
      <c r="R192" s="328"/>
      <c r="S192" s="115">
        <f t="shared" si="75"/>
        <v>32</v>
      </c>
      <c r="U192" s="115">
        <v>32</v>
      </c>
      <c r="V192" s="114">
        <v>0</v>
      </c>
      <c r="Z192" s="115" t="s">
        <v>52</v>
      </c>
      <c r="AG192" s="115" t="s">
        <v>53</v>
      </c>
      <c r="AH192" s="115" t="s">
        <v>345</v>
      </c>
      <c r="AI192" s="115" t="s">
        <v>46</v>
      </c>
      <c r="AL192" s="115" t="s">
        <v>55</v>
      </c>
      <c r="AN192" s="115" t="s">
        <v>392</v>
      </c>
      <c r="AR192" s="121">
        <f t="shared" si="63"/>
        <v>1</v>
      </c>
      <c r="AS192" s="121" t="str">
        <f t="shared" si="64"/>
        <v>2023_09_18_b</v>
      </c>
      <c r="AT192" s="122"/>
      <c r="AU192" s="121" t="str">
        <f t="shared" si="65"/>
        <v>2023</v>
      </c>
      <c r="AV192" s="121" t="str">
        <f t="shared" si="66"/>
        <v>09</v>
      </c>
      <c r="AW192" s="121" t="str">
        <f t="shared" si="67"/>
        <v>18</v>
      </c>
      <c r="AX192" s="121">
        <f t="shared" si="68"/>
        <v>45187</v>
      </c>
      <c r="AY192" s="123"/>
      <c r="AZ192" s="124">
        <f t="shared" si="69"/>
        <v>45187</v>
      </c>
      <c r="BA192" s="121" t="b">
        <f t="shared" si="70"/>
        <v>1</v>
      </c>
      <c r="BB192" s="121">
        <f t="shared" si="71"/>
        <v>45187</v>
      </c>
      <c r="BC192" s="121" t="str">
        <f t="shared" si="72"/>
        <v>no</v>
      </c>
      <c r="BD192" s="121" t="b">
        <f t="shared" si="73"/>
        <v>0</v>
      </c>
      <c r="BE192" s="125" t="s">
        <v>56</v>
      </c>
      <c r="BF192" s="122"/>
    </row>
    <row r="193" spans="1:58" s="115" customFormat="1" ht="154">
      <c r="B193" s="115" t="s">
        <v>472</v>
      </c>
      <c r="E193" s="334"/>
      <c r="F193" s="332" t="s">
        <v>403</v>
      </c>
      <c r="G193" s="333" t="s">
        <v>348</v>
      </c>
      <c r="H193" s="326">
        <v>45208</v>
      </c>
      <c r="I193" s="326">
        <v>45219</v>
      </c>
      <c r="J193" s="326">
        <v>45222</v>
      </c>
      <c r="K193" s="335">
        <v>45233</v>
      </c>
      <c r="L193" s="326">
        <v>45236</v>
      </c>
      <c r="M193" s="327" t="s">
        <v>277</v>
      </c>
      <c r="N193" s="327" t="s">
        <v>277</v>
      </c>
      <c r="O193" s="327" t="s">
        <v>277</v>
      </c>
      <c r="P193" s="327" t="s">
        <v>277</v>
      </c>
      <c r="Q193" s="328" t="s">
        <v>121</v>
      </c>
      <c r="R193" s="328"/>
      <c r="S193" s="115">
        <f t="shared" si="75"/>
        <v>32</v>
      </c>
      <c r="U193" s="115">
        <v>32</v>
      </c>
      <c r="V193" s="114">
        <v>0</v>
      </c>
      <c r="Z193" s="115" t="s">
        <v>52</v>
      </c>
      <c r="AG193" s="115" t="s">
        <v>53</v>
      </c>
      <c r="AH193" s="115" t="s">
        <v>345</v>
      </c>
      <c r="AI193" s="115" t="s">
        <v>46</v>
      </c>
      <c r="AL193" s="115" t="s">
        <v>55</v>
      </c>
      <c r="AN193" s="115" t="s">
        <v>392</v>
      </c>
      <c r="AR193" s="121">
        <f t="shared" si="63"/>
        <v>1</v>
      </c>
      <c r="AS193" s="121" t="str">
        <f t="shared" si="64"/>
        <v>2023_10_09_a</v>
      </c>
      <c r="AT193" s="122"/>
      <c r="AU193" s="121" t="str">
        <f t="shared" si="65"/>
        <v>2023</v>
      </c>
      <c r="AV193" s="121" t="str">
        <f t="shared" si="66"/>
        <v>10</v>
      </c>
      <c r="AW193" s="121" t="str">
        <f t="shared" si="67"/>
        <v>09</v>
      </c>
      <c r="AX193" s="121">
        <f t="shared" si="68"/>
        <v>45208</v>
      </c>
      <c r="AY193" s="123"/>
      <c r="AZ193" s="124">
        <f t="shared" si="69"/>
        <v>45208</v>
      </c>
      <c r="BA193" s="121" t="b">
        <f t="shared" si="70"/>
        <v>1</v>
      </c>
      <c r="BB193" s="121">
        <f t="shared" si="71"/>
        <v>45208</v>
      </c>
      <c r="BC193" s="121" t="str">
        <f t="shared" si="72"/>
        <v>no</v>
      </c>
      <c r="BD193" s="121" t="b">
        <f t="shared" si="73"/>
        <v>0</v>
      </c>
      <c r="BE193" s="125" t="s">
        <v>56</v>
      </c>
      <c r="BF193" s="122"/>
    </row>
    <row r="194" spans="1:58" s="115" customFormat="1" ht="154">
      <c r="B194" s="115" t="s">
        <v>473</v>
      </c>
      <c r="E194" s="334"/>
      <c r="F194" s="332" t="s">
        <v>403</v>
      </c>
      <c r="G194" s="333" t="s">
        <v>348</v>
      </c>
      <c r="H194" s="326">
        <v>45208</v>
      </c>
      <c r="I194" s="326">
        <v>45219</v>
      </c>
      <c r="J194" s="326">
        <v>45222</v>
      </c>
      <c r="K194" s="335">
        <v>45233</v>
      </c>
      <c r="L194" s="326">
        <v>45236</v>
      </c>
      <c r="M194" s="327" t="s">
        <v>277</v>
      </c>
      <c r="N194" s="327" t="s">
        <v>277</v>
      </c>
      <c r="O194" s="327" t="s">
        <v>277</v>
      </c>
      <c r="P194" s="327" t="s">
        <v>277</v>
      </c>
      <c r="Q194" s="328" t="s">
        <v>121</v>
      </c>
      <c r="R194" s="328"/>
      <c r="S194" s="115">
        <f t="shared" si="75"/>
        <v>32</v>
      </c>
      <c r="U194" s="115">
        <v>32</v>
      </c>
      <c r="V194" s="114">
        <v>0</v>
      </c>
      <c r="Z194" s="115" t="s">
        <v>52</v>
      </c>
      <c r="AG194" s="115" t="s">
        <v>53</v>
      </c>
      <c r="AH194" s="115" t="s">
        <v>345</v>
      </c>
      <c r="AI194" s="115" t="s">
        <v>46</v>
      </c>
      <c r="AL194" s="115" t="s">
        <v>55</v>
      </c>
      <c r="AN194" s="115" t="s">
        <v>392</v>
      </c>
      <c r="AR194" s="121">
        <f t="shared" si="63"/>
        <v>1</v>
      </c>
      <c r="AS194" s="121" t="str">
        <f t="shared" si="64"/>
        <v>2023_10_09_b</v>
      </c>
      <c r="AT194" s="122"/>
      <c r="AU194" s="121" t="str">
        <f t="shared" si="65"/>
        <v>2023</v>
      </c>
      <c r="AV194" s="121" t="str">
        <f t="shared" si="66"/>
        <v>10</v>
      </c>
      <c r="AW194" s="121" t="str">
        <f t="shared" si="67"/>
        <v>09</v>
      </c>
      <c r="AX194" s="121">
        <f t="shared" si="68"/>
        <v>45208</v>
      </c>
      <c r="AY194" s="123"/>
      <c r="AZ194" s="124">
        <f t="shared" si="69"/>
        <v>45208</v>
      </c>
      <c r="BA194" s="121" t="b">
        <f t="shared" si="70"/>
        <v>1</v>
      </c>
      <c r="BB194" s="121">
        <f t="shared" si="71"/>
        <v>45208</v>
      </c>
      <c r="BC194" s="121" t="str">
        <f t="shared" si="72"/>
        <v>no</v>
      </c>
      <c r="BD194" s="121" t="b">
        <f t="shared" si="73"/>
        <v>0</v>
      </c>
      <c r="BE194" s="125" t="s">
        <v>56</v>
      </c>
      <c r="BF194" s="122"/>
    </row>
    <row r="195" spans="1:58" s="115" customFormat="1" ht="154">
      <c r="B195" s="115" t="s">
        <v>474</v>
      </c>
      <c r="E195" s="334"/>
      <c r="F195" s="332" t="s">
        <v>403</v>
      </c>
      <c r="G195" s="333" t="s">
        <v>348</v>
      </c>
      <c r="H195" s="326">
        <v>45236</v>
      </c>
      <c r="I195" s="326">
        <v>45247</v>
      </c>
      <c r="J195" s="326">
        <v>45250</v>
      </c>
      <c r="K195" s="335">
        <v>45261</v>
      </c>
      <c r="L195" s="326">
        <v>45264</v>
      </c>
      <c r="M195" s="327" t="s">
        <v>277</v>
      </c>
      <c r="N195" s="327" t="s">
        <v>277</v>
      </c>
      <c r="O195" s="327" t="s">
        <v>277</v>
      </c>
      <c r="P195" s="327" t="s">
        <v>277</v>
      </c>
      <c r="Q195" s="328" t="s">
        <v>121</v>
      </c>
      <c r="R195" s="328"/>
      <c r="S195" s="115">
        <f t="shared" si="75"/>
        <v>16</v>
      </c>
      <c r="U195" s="115">
        <v>16</v>
      </c>
      <c r="V195" s="114">
        <v>0</v>
      </c>
      <c r="Z195" s="115" t="s">
        <v>52</v>
      </c>
      <c r="AG195" s="115" t="s">
        <v>53</v>
      </c>
      <c r="AH195" s="115" t="s">
        <v>345</v>
      </c>
      <c r="AI195" s="115" t="s">
        <v>46</v>
      </c>
      <c r="AL195" s="115" t="s">
        <v>55</v>
      </c>
      <c r="AN195" s="115" t="s">
        <v>392</v>
      </c>
      <c r="AR195" s="121">
        <f t="shared" ref="AR195:AR258" si="76">COUNTIF(B:B,B195)</f>
        <v>1</v>
      </c>
      <c r="AS195" s="121" t="str">
        <f t="shared" si="64"/>
        <v>2023_11_06_a</v>
      </c>
      <c r="AT195" s="122"/>
      <c r="AU195" s="121" t="str">
        <f t="shared" si="65"/>
        <v>2023</v>
      </c>
      <c r="AV195" s="121" t="str">
        <f t="shared" si="66"/>
        <v>11</v>
      </c>
      <c r="AW195" s="121" t="str">
        <f t="shared" si="67"/>
        <v>06</v>
      </c>
      <c r="AX195" s="121">
        <f t="shared" si="68"/>
        <v>45236</v>
      </c>
      <c r="AY195" s="123"/>
      <c r="AZ195" s="124">
        <f t="shared" si="69"/>
        <v>45236</v>
      </c>
      <c r="BA195" s="121" t="b">
        <f t="shared" si="70"/>
        <v>1</v>
      </c>
      <c r="BB195" s="121">
        <f t="shared" si="71"/>
        <v>45236</v>
      </c>
      <c r="BC195" s="121" t="str">
        <f t="shared" si="72"/>
        <v>no</v>
      </c>
      <c r="BD195" s="121" t="b">
        <f t="shared" si="73"/>
        <v>0</v>
      </c>
      <c r="BE195" s="125" t="s">
        <v>56</v>
      </c>
      <c r="BF195" s="122"/>
    </row>
    <row r="196" spans="1:58" s="139" customFormat="1" ht="154.5" customHeight="1">
      <c r="A196" s="115"/>
      <c r="B196" s="12"/>
      <c r="C196" s="12"/>
      <c r="D196" s="12"/>
      <c r="E196" s="12"/>
      <c r="F196" s="546" t="s">
        <v>263</v>
      </c>
      <c r="G196" s="547"/>
      <c r="H196" s="547"/>
      <c r="I196" s="547"/>
      <c r="J196" s="547"/>
      <c r="K196" s="547"/>
      <c r="L196" s="547"/>
      <c r="M196" s="547"/>
      <c r="N196" s="547"/>
      <c r="O196" s="547"/>
      <c r="P196" s="547"/>
      <c r="Q196" s="547"/>
      <c r="R196" s="548"/>
      <c r="S196" s="114">
        <f>SUMIFS(S128:S146, AA128:AA146, "=Complete")</f>
        <v>256</v>
      </c>
      <c r="T196" s="114"/>
      <c r="U196" s="114">
        <f>SUMIFS(U128:U146, Z128:Z146, "=Complete")</f>
        <v>0</v>
      </c>
      <c r="V196" s="114">
        <f>SUMIFS(V128:V146, Z128:Z146, "=Complete")</f>
        <v>0</v>
      </c>
      <c r="W196" s="114"/>
      <c r="X196" s="114"/>
      <c r="Y196" s="114"/>
      <c r="Z196" s="114"/>
      <c r="AA196" s="114">
        <f>COUNTIFS(AA128:AA146, "=Complete")</f>
        <v>11</v>
      </c>
      <c r="AB196" s="114"/>
      <c r="AC196" s="114"/>
      <c r="AD196" s="114"/>
      <c r="AE196" s="114"/>
      <c r="AF196" s="114"/>
      <c r="AG196" s="114">
        <f>COUNTIFS(AG128:AG146, "=Legacy")</f>
        <v>0</v>
      </c>
      <c r="AH196" s="114">
        <f>COUNTIFS(AH128:AH146, "=Virtual")</f>
        <v>16</v>
      </c>
      <c r="AI196" s="114"/>
      <c r="AJ196" s="114"/>
      <c r="AK196" s="114"/>
      <c r="AL196" s="114"/>
      <c r="AM196" s="12"/>
      <c r="AN196" s="12"/>
      <c r="AR196" s="121">
        <f t="shared" si="76"/>
        <v>0</v>
      </c>
      <c r="AS196" s="121">
        <f t="shared" ref="AS196:AS259" si="77">IFERROR(RIGHT(B196,16-SEARCH("_", B196)),0)</f>
        <v>0</v>
      </c>
      <c r="AT196" s="122"/>
      <c r="AU196" s="121" t="str">
        <f t="shared" ref="AU196:AU259" si="78">LEFT(AS196,4)</f>
        <v>0</v>
      </c>
      <c r="AV196" s="121" t="str">
        <f t="shared" ref="AV196:AV259" si="79">MID(AS196,6,2)</f>
        <v/>
      </c>
      <c r="AW196" s="121" t="str">
        <f t="shared" ref="AW196:AW259" si="80">MID(AS196,9,2)</f>
        <v/>
      </c>
      <c r="AX196" s="121" t="str">
        <f t="shared" ref="AX196:AX259" si="81">IFERROR(DATE(AU196,AV196,AW196)," ")</f>
        <v xml:space="preserve"> </v>
      </c>
      <c r="AY196" s="123"/>
      <c r="AZ196" s="124">
        <f t="shared" ref="AZ196:AZ259" si="82">H196</f>
        <v>0</v>
      </c>
      <c r="BA196" s="121" t="str">
        <f t="shared" ref="BA196:BA259" si="83">IF(AX196=" "," ",AX196=AZ196)</f>
        <v xml:space="preserve"> </v>
      </c>
      <c r="BB196" s="121">
        <f t="shared" ref="BB196:BB259" si="84">IF(BC196="YES"," ",AZ196)</f>
        <v>0</v>
      </c>
      <c r="BC196" s="121" t="str">
        <f t="shared" ref="BC196:BC259" si="85">IF(AM196="Apprentice","yes","no")</f>
        <v>no</v>
      </c>
      <c r="BD196" s="121" t="b">
        <f t="shared" ref="BD196:BD259" si="86">IF(OR(U196&lt;&gt;"0", V196&lt;&gt;"0"),U196=V196," ")</f>
        <v>1</v>
      </c>
      <c r="BE196" s="125" t="s">
        <v>56</v>
      </c>
      <c r="BF196" s="122"/>
    </row>
    <row r="197" spans="1:58" s="114" customFormat="1" ht="154">
      <c r="A197" s="12"/>
      <c r="F197" s="533" t="s">
        <v>264</v>
      </c>
      <c r="G197" s="533"/>
      <c r="H197" s="533"/>
      <c r="I197" s="533"/>
      <c r="J197" s="533"/>
      <c r="K197" s="533"/>
      <c r="L197" s="533"/>
      <c r="M197" s="533"/>
      <c r="N197" s="533"/>
      <c r="O197" s="533"/>
      <c r="P197" s="533"/>
      <c r="Q197" s="533"/>
      <c r="R197" s="533"/>
      <c r="S197" s="114">
        <f>SUMIFS(S128:S146, AA128:AA146, "=In Progress")</f>
        <v>0</v>
      </c>
      <c r="U197" s="114">
        <f>SUMIFS(U128:U146, Z128:Z146, "=In Progress")</f>
        <v>0</v>
      </c>
      <c r="V197" s="114">
        <f>SUMIFS(V128:V146, Z128:Z146, "=In Progress")</f>
        <v>0</v>
      </c>
      <c r="AA197" s="114">
        <f>COUNTIFS(AA128:AA146, "=In Progress")</f>
        <v>0</v>
      </c>
      <c r="AR197" s="121">
        <f t="shared" si="76"/>
        <v>0</v>
      </c>
      <c r="AS197" s="121">
        <f t="shared" si="77"/>
        <v>0</v>
      </c>
      <c r="AT197" s="122"/>
      <c r="AU197" s="121" t="str">
        <f t="shared" si="78"/>
        <v>0</v>
      </c>
      <c r="AV197" s="121" t="str">
        <f t="shared" si="79"/>
        <v/>
      </c>
      <c r="AW197" s="121" t="str">
        <f t="shared" si="80"/>
        <v/>
      </c>
      <c r="AX197" s="121" t="str">
        <f t="shared" si="81"/>
        <v xml:space="preserve"> </v>
      </c>
      <c r="AY197" s="123"/>
      <c r="AZ197" s="124">
        <f t="shared" si="82"/>
        <v>0</v>
      </c>
      <c r="BA197" s="121" t="str">
        <f t="shared" si="83"/>
        <v xml:space="preserve"> </v>
      </c>
      <c r="BB197" s="121">
        <f t="shared" si="84"/>
        <v>0</v>
      </c>
      <c r="BC197" s="121" t="str">
        <f t="shared" si="85"/>
        <v>no</v>
      </c>
      <c r="BD197" s="121" t="b">
        <f t="shared" si="86"/>
        <v>1</v>
      </c>
      <c r="BE197" s="125" t="s">
        <v>56</v>
      </c>
      <c r="BF197" s="122"/>
    </row>
    <row r="198" spans="1:58" s="139" customFormat="1" ht="154">
      <c r="A198" s="114"/>
      <c r="B198" s="12"/>
      <c r="C198" s="12"/>
      <c r="D198" s="12"/>
      <c r="E198" s="12"/>
      <c r="F198" s="533" t="s">
        <v>265</v>
      </c>
      <c r="G198" s="534"/>
      <c r="H198" s="534"/>
      <c r="I198" s="534"/>
      <c r="J198" s="534"/>
      <c r="K198" s="534"/>
      <c r="L198" s="534"/>
      <c r="M198" s="534"/>
      <c r="N198" s="534"/>
      <c r="O198" s="534"/>
      <c r="P198" s="534"/>
      <c r="Q198" s="534"/>
      <c r="R198" s="534"/>
      <c r="S198" s="114">
        <f>SUMIFS(S128:S146, AA128:AA146, "=Planned")</f>
        <v>64</v>
      </c>
      <c r="T198" s="114"/>
      <c r="U198" s="114">
        <f>SUMIFS(U128:U146, Z128:Z146, "=Planned")</f>
        <v>0</v>
      </c>
      <c r="V198" s="114">
        <f>SUMIFS(V128:V146, Z128:Z146, "=Planned")</f>
        <v>384</v>
      </c>
      <c r="W198" s="114"/>
      <c r="X198" s="114"/>
      <c r="Y198" s="114"/>
      <c r="Z198" s="114"/>
      <c r="AA198" s="114">
        <f>COUNTIFS(AA128:AA146, "=Planned")</f>
        <v>3</v>
      </c>
      <c r="AB198" s="114"/>
      <c r="AC198" s="114"/>
      <c r="AD198" s="114"/>
      <c r="AE198" s="114"/>
      <c r="AF198" s="114"/>
      <c r="AG198" s="114">
        <f>COUNTIFS(AG128:AG146, "=New")</f>
        <v>0</v>
      </c>
      <c r="AH198" s="114">
        <f>COUNTIFS(AH128:AH146, "=F2F")</f>
        <v>0</v>
      </c>
      <c r="AI198" s="114"/>
      <c r="AJ198" s="114"/>
      <c r="AK198" s="114"/>
      <c r="AL198" s="114"/>
      <c r="AM198" s="12"/>
      <c r="AN198" s="12"/>
      <c r="AR198" s="121">
        <f t="shared" si="76"/>
        <v>0</v>
      </c>
      <c r="AS198" s="121">
        <f t="shared" si="77"/>
        <v>0</v>
      </c>
      <c r="AT198" s="122"/>
      <c r="AU198" s="121" t="str">
        <f t="shared" si="78"/>
        <v>0</v>
      </c>
      <c r="AV198" s="121" t="str">
        <f t="shared" si="79"/>
        <v/>
      </c>
      <c r="AW198" s="121" t="str">
        <f t="shared" si="80"/>
        <v/>
      </c>
      <c r="AX198" s="121" t="str">
        <f t="shared" si="81"/>
        <v xml:space="preserve"> </v>
      </c>
      <c r="AY198" s="123"/>
      <c r="AZ198" s="124">
        <f t="shared" si="82"/>
        <v>0</v>
      </c>
      <c r="BA198" s="121" t="str">
        <f t="shared" si="83"/>
        <v xml:space="preserve"> </v>
      </c>
      <c r="BB198" s="121">
        <f t="shared" si="84"/>
        <v>0</v>
      </c>
      <c r="BC198" s="121" t="str">
        <f t="shared" si="85"/>
        <v>no</v>
      </c>
      <c r="BD198" s="121" t="b">
        <f t="shared" si="86"/>
        <v>0</v>
      </c>
      <c r="BE198" s="125" t="s">
        <v>56</v>
      </c>
      <c r="BF198" s="122"/>
    </row>
    <row r="199" spans="1:58" s="114" customFormat="1" ht="154">
      <c r="A199" s="12"/>
      <c r="F199" s="533" t="s">
        <v>266</v>
      </c>
      <c r="G199" s="533"/>
      <c r="H199" s="533"/>
      <c r="I199" s="533"/>
      <c r="J199" s="533"/>
      <c r="K199" s="533"/>
      <c r="L199" s="533"/>
      <c r="M199" s="533"/>
      <c r="N199" s="533"/>
      <c r="O199" s="533"/>
      <c r="P199" s="533"/>
      <c r="Q199" s="533"/>
      <c r="R199" s="533"/>
      <c r="S199" s="114">
        <f>SUMIFS(S128:S146, AA128:AA146, "=Tentative")</f>
        <v>0</v>
      </c>
      <c r="U199" s="114">
        <f>SUMIFS(U128:U146, Z128:Z146, "=Tentative")</f>
        <v>0</v>
      </c>
      <c r="V199" s="114">
        <f>SUMIFS(V128:V146, Z128:Z146, "=Tentative")</f>
        <v>0</v>
      </c>
      <c r="AA199" s="114">
        <f>COUNTIFS(AA128:AA146, "=Tentative")</f>
        <v>0</v>
      </c>
      <c r="AR199" s="121">
        <f t="shared" si="76"/>
        <v>0</v>
      </c>
      <c r="AS199" s="121">
        <f t="shared" si="77"/>
        <v>0</v>
      </c>
      <c r="AT199" s="122"/>
      <c r="AU199" s="121" t="str">
        <f t="shared" si="78"/>
        <v>0</v>
      </c>
      <c r="AV199" s="121" t="str">
        <f t="shared" si="79"/>
        <v/>
      </c>
      <c r="AW199" s="121" t="str">
        <f t="shared" si="80"/>
        <v/>
      </c>
      <c r="AX199" s="121" t="str">
        <f t="shared" si="81"/>
        <v xml:space="preserve"> </v>
      </c>
      <c r="AY199" s="123"/>
      <c r="AZ199" s="124">
        <f t="shared" si="82"/>
        <v>0</v>
      </c>
      <c r="BA199" s="121" t="str">
        <f t="shared" si="83"/>
        <v xml:space="preserve"> </v>
      </c>
      <c r="BB199" s="121">
        <f t="shared" si="84"/>
        <v>0</v>
      </c>
      <c r="BC199" s="121" t="str">
        <f t="shared" si="85"/>
        <v>no</v>
      </c>
      <c r="BD199" s="121" t="b">
        <f t="shared" si="86"/>
        <v>1</v>
      </c>
      <c r="BE199" s="125" t="s">
        <v>56</v>
      </c>
      <c r="BF199" s="122"/>
    </row>
    <row r="200" spans="1:58" s="114" customFormat="1" ht="154">
      <c r="B200" s="114" t="s">
        <v>475</v>
      </c>
      <c r="D200" s="114" t="s">
        <v>476</v>
      </c>
      <c r="E200" s="114" t="s">
        <v>477</v>
      </c>
      <c r="F200" s="522" t="s">
        <v>478</v>
      </c>
      <c r="G200" s="144" t="s">
        <v>479</v>
      </c>
      <c r="H200" s="143">
        <v>44298</v>
      </c>
      <c r="I200" s="144">
        <v>44309</v>
      </c>
      <c r="J200" s="143">
        <v>44221</v>
      </c>
      <c r="K200" s="144">
        <v>44267</v>
      </c>
      <c r="L200" s="144">
        <v>44312</v>
      </c>
      <c r="M200" s="144" t="s">
        <v>46</v>
      </c>
      <c r="N200" s="144" t="s">
        <v>46</v>
      </c>
      <c r="Q200" s="114" t="s">
        <v>78</v>
      </c>
      <c r="R200" s="114" t="s">
        <v>480</v>
      </c>
      <c r="S200" s="114">
        <f t="shared" ref="S200:S214" si="87">U200+V200</f>
        <v>12</v>
      </c>
      <c r="T200" s="114">
        <v>12</v>
      </c>
      <c r="U200" s="114">
        <v>0</v>
      </c>
      <c r="V200" s="114">
        <v>12</v>
      </c>
      <c r="AG200" s="114" t="s">
        <v>53</v>
      </c>
      <c r="AH200" s="114" t="s">
        <v>54</v>
      </c>
      <c r="AL200" s="128" t="s">
        <v>481</v>
      </c>
      <c r="AN200" s="114" t="s">
        <v>482</v>
      </c>
      <c r="AR200" s="121">
        <f t="shared" si="76"/>
        <v>1</v>
      </c>
      <c r="AS200" s="121" t="str">
        <f t="shared" si="77"/>
        <v>2021_04_12_a</v>
      </c>
      <c r="AT200" s="122"/>
      <c r="AU200" s="121" t="str">
        <f t="shared" si="78"/>
        <v>2021</v>
      </c>
      <c r="AV200" s="121" t="str">
        <f t="shared" si="79"/>
        <v>04</v>
      </c>
      <c r="AW200" s="121" t="str">
        <f t="shared" si="80"/>
        <v>12</v>
      </c>
      <c r="AX200" s="121">
        <f t="shared" si="81"/>
        <v>44298</v>
      </c>
      <c r="AY200" s="123"/>
      <c r="AZ200" s="124">
        <f t="shared" si="82"/>
        <v>44298</v>
      </c>
      <c r="BA200" s="121" t="b">
        <f t="shared" si="83"/>
        <v>1</v>
      </c>
      <c r="BB200" s="121">
        <f t="shared" si="84"/>
        <v>44298</v>
      </c>
      <c r="BC200" s="121" t="str">
        <f t="shared" si="85"/>
        <v>no</v>
      </c>
      <c r="BD200" s="121" t="b">
        <f t="shared" si="86"/>
        <v>0</v>
      </c>
      <c r="BE200" s="125" t="s">
        <v>56</v>
      </c>
      <c r="BF200" s="122"/>
    </row>
    <row r="201" spans="1:58" s="114" customFormat="1" ht="154">
      <c r="B201" s="114" t="s">
        <v>483</v>
      </c>
      <c r="D201" s="114" t="s">
        <v>484</v>
      </c>
      <c r="F201" s="522" t="s">
        <v>478</v>
      </c>
      <c r="G201" s="144">
        <v>44312</v>
      </c>
      <c r="H201" s="143">
        <v>44312</v>
      </c>
      <c r="I201" s="144">
        <v>44323</v>
      </c>
      <c r="J201" s="143">
        <v>44326</v>
      </c>
      <c r="K201" s="144">
        <v>44386</v>
      </c>
      <c r="L201" s="144">
        <v>44359</v>
      </c>
      <c r="M201" s="144" t="s">
        <v>46</v>
      </c>
      <c r="N201" s="144" t="s">
        <v>46</v>
      </c>
      <c r="Q201" s="114" t="s">
        <v>78</v>
      </c>
      <c r="R201" s="114" t="s">
        <v>480</v>
      </c>
      <c r="S201" s="114">
        <f t="shared" si="87"/>
        <v>2</v>
      </c>
      <c r="U201" s="23">
        <v>0</v>
      </c>
      <c r="V201" s="114">
        <v>2</v>
      </c>
      <c r="X201" s="156"/>
      <c r="Y201" s="156"/>
      <c r="Z201" s="114" t="s">
        <v>50</v>
      </c>
      <c r="AA201" s="114" t="e">
        <f>COUNTIFS(#REF!, "=Complete")</f>
        <v>#REF!</v>
      </c>
      <c r="AG201" s="114" t="s">
        <v>53</v>
      </c>
      <c r="AH201" s="114" t="s">
        <v>54</v>
      </c>
      <c r="AL201" s="114" t="s">
        <v>55</v>
      </c>
      <c r="AN201" s="114" t="s">
        <v>485</v>
      </c>
      <c r="AR201" s="121">
        <f t="shared" si="76"/>
        <v>1</v>
      </c>
      <c r="AS201" s="121" t="str">
        <f t="shared" si="77"/>
        <v>2021_04_26_a</v>
      </c>
      <c r="AT201" s="122"/>
      <c r="AU201" s="121" t="str">
        <f t="shared" si="78"/>
        <v>2021</v>
      </c>
      <c r="AV201" s="121" t="str">
        <f t="shared" si="79"/>
        <v>04</v>
      </c>
      <c r="AW201" s="121" t="str">
        <f t="shared" si="80"/>
        <v>26</v>
      </c>
      <c r="AX201" s="121">
        <f t="shared" si="81"/>
        <v>44312</v>
      </c>
      <c r="AY201" s="123"/>
      <c r="AZ201" s="124">
        <f t="shared" si="82"/>
        <v>44312</v>
      </c>
      <c r="BA201" s="121" t="b">
        <f t="shared" si="83"/>
        <v>1</v>
      </c>
      <c r="BB201" s="121">
        <f t="shared" si="84"/>
        <v>44312</v>
      </c>
      <c r="BC201" s="121" t="str">
        <f t="shared" si="85"/>
        <v>no</v>
      </c>
      <c r="BD201" s="121" t="b">
        <f t="shared" si="86"/>
        <v>0</v>
      </c>
      <c r="BE201" s="125" t="s">
        <v>56</v>
      </c>
      <c r="BF201" s="122"/>
    </row>
    <row r="202" spans="1:58" s="114" customFormat="1" ht="154">
      <c r="B202" s="114" t="s">
        <v>486</v>
      </c>
      <c r="D202" s="114" t="s">
        <v>487</v>
      </c>
      <c r="F202" s="522" t="s">
        <v>478</v>
      </c>
      <c r="G202" s="144">
        <v>44319</v>
      </c>
      <c r="H202" s="143">
        <v>44319</v>
      </c>
      <c r="I202" s="144">
        <v>44330</v>
      </c>
      <c r="J202" s="143">
        <v>44333</v>
      </c>
      <c r="K202" s="144">
        <v>44393</v>
      </c>
      <c r="L202" s="144">
        <v>44396</v>
      </c>
      <c r="M202" s="144" t="s">
        <v>46</v>
      </c>
      <c r="N202" s="144" t="s">
        <v>46</v>
      </c>
      <c r="Q202" s="114" t="s">
        <v>78</v>
      </c>
      <c r="R202" s="114" t="s">
        <v>480</v>
      </c>
      <c r="S202" s="114">
        <f t="shared" si="87"/>
        <v>10</v>
      </c>
      <c r="U202" s="23">
        <v>0</v>
      </c>
      <c r="V202" s="114">
        <v>10</v>
      </c>
      <c r="X202" s="156"/>
      <c r="Y202" s="156"/>
      <c r="Z202" s="114" t="s">
        <v>50</v>
      </c>
      <c r="AG202" s="114" t="s">
        <v>53</v>
      </c>
      <c r="AH202" s="114" t="s">
        <v>54</v>
      </c>
      <c r="AL202" s="114" t="s">
        <v>55</v>
      </c>
      <c r="AN202" s="114" t="s">
        <v>488</v>
      </c>
      <c r="AR202" s="121">
        <f t="shared" si="76"/>
        <v>1</v>
      </c>
      <c r="AS202" s="121" t="str">
        <f t="shared" si="77"/>
        <v>2021_05_03_a</v>
      </c>
      <c r="AT202" s="122"/>
      <c r="AU202" s="121" t="str">
        <f t="shared" si="78"/>
        <v>2021</v>
      </c>
      <c r="AV202" s="121" t="str">
        <f t="shared" si="79"/>
        <v>05</v>
      </c>
      <c r="AW202" s="121" t="str">
        <f t="shared" si="80"/>
        <v>03</v>
      </c>
      <c r="AX202" s="121">
        <f t="shared" si="81"/>
        <v>44319</v>
      </c>
      <c r="AY202" s="123"/>
      <c r="AZ202" s="124">
        <f t="shared" si="82"/>
        <v>44319</v>
      </c>
      <c r="BA202" s="121" t="b">
        <f t="shared" si="83"/>
        <v>1</v>
      </c>
      <c r="BB202" s="121">
        <f t="shared" si="84"/>
        <v>44319</v>
      </c>
      <c r="BC202" s="121" t="str">
        <f t="shared" si="85"/>
        <v>no</v>
      </c>
      <c r="BD202" s="121" t="b">
        <f t="shared" si="86"/>
        <v>0</v>
      </c>
      <c r="BE202" s="125" t="s">
        <v>56</v>
      </c>
      <c r="BF202" s="122"/>
    </row>
    <row r="203" spans="1:58" s="114" customFormat="1" ht="154">
      <c r="B203" s="114" t="s">
        <v>489</v>
      </c>
      <c r="D203" s="114" t="s">
        <v>490</v>
      </c>
      <c r="F203" s="522" t="s">
        <v>478</v>
      </c>
      <c r="G203" s="144" t="s">
        <v>491</v>
      </c>
      <c r="H203" s="143">
        <v>44396</v>
      </c>
      <c r="I203" s="144" t="s">
        <v>492</v>
      </c>
      <c r="J203" s="143">
        <v>44361</v>
      </c>
      <c r="K203" s="144">
        <v>44393</v>
      </c>
      <c r="L203" s="144" t="s">
        <v>493</v>
      </c>
      <c r="M203" s="144" t="s">
        <v>46</v>
      </c>
      <c r="N203" s="144" t="s">
        <v>46</v>
      </c>
      <c r="Q203" s="114" t="s">
        <v>78</v>
      </c>
      <c r="R203" s="114" t="s">
        <v>480</v>
      </c>
      <c r="S203" s="114">
        <f t="shared" si="87"/>
        <v>4</v>
      </c>
      <c r="U203" s="23">
        <v>0</v>
      </c>
      <c r="V203" s="114">
        <v>4</v>
      </c>
      <c r="X203" s="156"/>
      <c r="Y203" s="156"/>
      <c r="AG203" s="114" t="s">
        <v>53</v>
      </c>
      <c r="AH203" s="114" t="s">
        <v>54</v>
      </c>
      <c r="AL203" s="114" t="s">
        <v>494</v>
      </c>
      <c r="AM203" s="145"/>
      <c r="AN203" s="145" t="s">
        <v>494</v>
      </c>
      <c r="AR203" s="121">
        <f t="shared" si="76"/>
        <v>1</v>
      </c>
      <c r="AS203" s="121" t="str">
        <f t="shared" si="77"/>
        <v>2021_07_19_a</v>
      </c>
      <c r="AT203" s="122"/>
      <c r="AU203" s="121" t="str">
        <f t="shared" si="78"/>
        <v>2021</v>
      </c>
      <c r="AV203" s="121" t="str">
        <f t="shared" si="79"/>
        <v>07</v>
      </c>
      <c r="AW203" s="121" t="str">
        <f t="shared" si="80"/>
        <v>19</v>
      </c>
      <c r="AX203" s="121">
        <f t="shared" si="81"/>
        <v>44396</v>
      </c>
      <c r="AY203" s="123"/>
      <c r="AZ203" s="124">
        <f t="shared" si="82"/>
        <v>44396</v>
      </c>
      <c r="BA203" s="121" t="b">
        <f t="shared" si="83"/>
        <v>1</v>
      </c>
      <c r="BB203" s="121">
        <f t="shared" si="84"/>
        <v>44396</v>
      </c>
      <c r="BC203" s="121" t="str">
        <f t="shared" si="85"/>
        <v>no</v>
      </c>
      <c r="BD203" s="121" t="b">
        <f t="shared" si="86"/>
        <v>0</v>
      </c>
      <c r="BE203" s="125" t="s">
        <v>56</v>
      </c>
      <c r="BF203" s="122"/>
    </row>
    <row r="204" spans="1:58" s="114" customFormat="1" ht="154">
      <c r="B204" s="114" t="s">
        <v>495</v>
      </c>
      <c r="D204" s="114" t="s">
        <v>490</v>
      </c>
      <c r="F204" s="522" t="s">
        <v>478</v>
      </c>
      <c r="G204" s="144" t="s">
        <v>496</v>
      </c>
      <c r="H204" s="143">
        <v>44396</v>
      </c>
      <c r="I204" s="144" t="s">
        <v>492</v>
      </c>
      <c r="J204" s="143">
        <v>44368</v>
      </c>
      <c r="K204" s="144" t="s">
        <v>497</v>
      </c>
      <c r="L204" s="144" t="s">
        <v>498</v>
      </c>
      <c r="M204" s="144" t="s">
        <v>46</v>
      </c>
      <c r="N204" s="144" t="s">
        <v>46</v>
      </c>
      <c r="Q204" s="114" t="s">
        <v>78</v>
      </c>
      <c r="R204" s="114" t="s">
        <v>480</v>
      </c>
      <c r="S204" s="114">
        <f t="shared" si="87"/>
        <v>4</v>
      </c>
      <c r="U204" s="23">
        <v>0</v>
      </c>
      <c r="V204" s="114">
        <v>4</v>
      </c>
      <c r="X204" s="156"/>
      <c r="Y204" s="156"/>
      <c r="AG204" s="114" t="s">
        <v>53</v>
      </c>
      <c r="AH204" s="114" t="s">
        <v>54</v>
      </c>
      <c r="AL204" s="114" t="s">
        <v>494</v>
      </c>
      <c r="AM204" s="145"/>
      <c r="AN204" s="145" t="s">
        <v>494</v>
      </c>
      <c r="AR204" s="121">
        <f t="shared" si="76"/>
        <v>1</v>
      </c>
      <c r="AS204" s="121" t="str">
        <f t="shared" si="77"/>
        <v>2021_07_19_b</v>
      </c>
      <c r="AT204" s="122"/>
      <c r="AU204" s="121" t="str">
        <f t="shared" si="78"/>
        <v>2021</v>
      </c>
      <c r="AV204" s="121" t="str">
        <f t="shared" si="79"/>
        <v>07</v>
      </c>
      <c r="AW204" s="121" t="str">
        <f t="shared" si="80"/>
        <v>19</v>
      </c>
      <c r="AX204" s="121">
        <f t="shared" si="81"/>
        <v>44396</v>
      </c>
      <c r="AY204" s="123"/>
      <c r="AZ204" s="124">
        <f t="shared" si="82"/>
        <v>44396</v>
      </c>
      <c r="BA204" s="121" t="b">
        <f t="shared" si="83"/>
        <v>1</v>
      </c>
      <c r="BB204" s="121">
        <f t="shared" si="84"/>
        <v>44396</v>
      </c>
      <c r="BC204" s="121" t="str">
        <f t="shared" si="85"/>
        <v>no</v>
      </c>
      <c r="BD204" s="121" t="b">
        <f t="shared" si="86"/>
        <v>0</v>
      </c>
      <c r="BE204" s="125" t="s">
        <v>56</v>
      </c>
      <c r="BF204" s="122"/>
    </row>
    <row r="205" spans="1:58" s="114" customFormat="1" ht="154">
      <c r="B205" s="114" t="s">
        <v>499</v>
      </c>
      <c r="C205" s="114">
        <v>10105391</v>
      </c>
      <c r="D205" s="114" t="s">
        <v>500</v>
      </c>
      <c r="F205" s="522" t="s">
        <v>478</v>
      </c>
      <c r="G205" s="144" t="s">
        <v>501</v>
      </c>
      <c r="H205" s="143">
        <v>44424</v>
      </c>
      <c r="I205" s="144">
        <v>44435</v>
      </c>
      <c r="J205" s="143">
        <v>44438</v>
      </c>
      <c r="K205" s="144">
        <v>44484</v>
      </c>
      <c r="L205" s="144">
        <v>44487</v>
      </c>
      <c r="M205" s="144" t="s">
        <v>46</v>
      </c>
      <c r="N205" s="144" t="s">
        <v>46</v>
      </c>
      <c r="Q205" s="114" t="s">
        <v>99</v>
      </c>
      <c r="R205" s="114" t="s">
        <v>480</v>
      </c>
      <c r="S205" s="114">
        <f t="shared" si="87"/>
        <v>19</v>
      </c>
      <c r="U205" s="23">
        <v>0</v>
      </c>
      <c r="V205" s="114">
        <v>19</v>
      </c>
      <c r="X205" s="156"/>
      <c r="Y205" s="156"/>
      <c r="AG205" s="114" t="s">
        <v>53</v>
      </c>
      <c r="AH205" s="114" t="s">
        <v>54</v>
      </c>
      <c r="AL205" s="114" t="s">
        <v>55</v>
      </c>
      <c r="AM205" s="145"/>
      <c r="AN205" s="145" t="s">
        <v>502</v>
      </c>
      <c r="AR205" s="121">
        <f t="shared" si="76"/>
        <v>1</v>
      </c>
      <c r="AS205" s="121" t="str">
        <f t="shared" si="77"/>
        <v>2021_08_16_a</v>
      </c>
      <c r="AT205" s="122"/>
      <c r="AU205" s="121" t="str">
        <f t="shared" si="78"/>
        <v>2021</v>
      </c>
      <c r="AV205" s="121" t="str">
        <f t="shared" si="79"/>
        <v>08</v>
      </c>
      <c r="AW205" s="121" t="str">
        <f t="shared" si="80"/>
        <v>16</v>
      </c>
      <c r="AX205" s="121">
        <f t="shared" si="81"/>
        <v>44424</v>
      </c>
      <c r="AY205" s="123"/>
      <c r="AZ205" s="124">
        <f t="shared" si="82"/>
        <v>44424</v>
      </c>
      <c r="BA205" s="121" t="b">
        <f t="shared" si="83"/>
        <v>1</v>
      </c>
      <c r="BB205" s="121">
        <f t="shared" si="84"/>
        <v>44424</v>
      </c>
      <c r="BC205" s="121" t="str">
        <f t="shared" si="85"/>
        <v>no</v>
      </c>
      <c r="BD205" s="121" t="b">
        <f t="shared" si="86"/>
        <v>0</v>
      </c>
      <c r="BE205" s="125" t="s">
        <v>56</v>
      </c>
      <c r="BF205" s="122"/>
    </row>
    <row r="206" spans="1:58" s="114" customFormat="1" ht="154">
      <c r="B206" s="114" t="s">
        <v>503</v>
      </c>
      <c r="D206" s="114" t="s">
        <v>504</v>
      </c>
      <c r="F206" s="522" t="s">
        <v>478</v>
      </c>
      <c r="G206" s="144" t="s">
        <v>505</v>
      </c>
      <c r="H206" s="143">
        <v>44480</v>
      </c>
      <c r="I206" s="143">
        <v>44491</v>
      </c>
      <c r="J206" s="143">
        <v>44494</v>
      </c>
      <c r="K206" s="144">
        <v>44533</v>
      </c>
      <c r="L206" s="144">
        <v>44536</v>
      </c>
      <c r="M206" s="144" t="s">
        <v>46</v>
      </c>
      <c r="N206" s="144"/>
      <c r="Q206" s="114" t="s">
        <v>121</v>
      </c>
      <c r="R206" s="114" t="s">
        <v>480</v>
      </c>
      <c r="S206" s="114">
        <f t="shared" si="87"/>
        <v>39</v>
      </c>
      <c r="U206" s="23">
        <v>0</v>
      </c>
      <c r="V206" s="114">
        <v>39</v>
      </c>
      <c r="X206" s="156"/>
      <c r="Y206" s="156"/>
      <c r="AG206" s="114" t="s">
        <v>53</v>
      </c>
      <c r="AH206" s="114" t="s">
        <v>54</v>
      </c>
      <c r="AL206" s="114" t="s">
        <v>55</v>
      </c>
      <c r="AM206" s="145"/>
      <c r="AN206" s="145" t="s">
        <v>506</v>
      </c>
      <c r="AR206" s="121">
        <f t="shared" si="76"/>
        <v>1</v>
      </c>
      <c r="AS206" s="121" t="str">
        <f t="shared" si="77"/>
        <v>2021_10_11_a</v>
      </c>
      <c r="AT206" s="122"/>
      <c r="AU206" s="121" t="str">
        <f t="shared" si="78"/>
        <v>2021</v>
      </c>
      <c r="AV206" s="121" t="str">
        <f t="shared" si="79"/>
        <v>10</v>
      </c>
      <c r="AW206" s="121" t="str">
        <f t="shared" si="80"/>
        <v>11</v>
      </c>
      <c r="AX206" s="121">
        <f t="shared" si="81"/>
        <v>44480</v>
      </c>
      <c r="AY206" s="123"/>
      <c r="AZ206" s="124">
        <f t="shared" si="82"/>
        <v>44480</v>
      </c>
      <c r="BA206" s="121" t="b">
        <f t="shared" si="83"/>
        <v>1</v>
      </c>
      <c r="BB206" s="121">
        <f t="shared" si="84"/>
        <v>44480</v>
      </c>
      <c r="BC206" s="121" t="str">
        <f t="shared" si="85"/>
        <v>no</v>
      </c>
      <c r="BD206" s="121" t="b">
        <f t="shared" si="86"/>
        <v>0</v>
      </c>
      <c r="BE206" s="125" t="s">
        <v>56</v>
      </c>
      <c r="BF206" s="122"/>
    </row>
    <row r="207" spans="1:58" s="114" customFormat="1" ht="154">
      <c r="B207" s="114" t="s">
        <v>507</v>
      </c>
      <c r="D207" s="114" t="s">
        <v>508</v>
      </c>
      <c r="F207" s="522" t="s">
        <v>478</v>
      </c>
      <c r="G207" s="144" t="s">
        <v>509</v>
      </c>
      <c r="H207" s="143">
        <v>44536</v>
      </c>
      <c r="I207" s="143">
        <v>44547</v>
      </c>
      <c r="J207" s="143">
        <v>44508</v>
      </c>
      <c r="K207" s="144">
        <v>44559</v>
      </c>
      <c r="L207" s="144">
        <v>44564</v>
      </c>
      <c r="M207" s="144" t="s">
        <v>46</v>
      </c>
      <c r="N207" s="144"/>
      <c r="Q207" s="114" t="s">
        <v>121</v>
      </c>
      <c r="R207" s="114" t="s">
        <v>480</v>
      </c>
      <c r="S207" s="114">
        <f t="shared" si="87"/>
        <v>35</v>
      </c>
      <c r="U207" s="23">
        <v>0</v>
      </c>
      <c r="V207" s="114">
        <v>35</v>
      </c>
      <c r="X207" s="156" t="s">
        <v>510</v>
      </c>
      <c r="Y207" s="156"/>
      <c r="AG207" s="114" t="s">
        <v>53</v>
      </c>
      <c r="AH207" s="114" t="s">
        <v>54</v>
      </c>
      <c r="AL207" s="114" t="s">
        <v>55</v>
      </c>
      <c r="AM207" s="145" t="s">
        <v>511</v>
      </c>
      <c r="AN207" s="145"/>
      <c r="AR207" s="121">
        <f t="shared" si="76"/>
        <v>1</v>
      </c>
      <c r="AS207" s="121" t="str">
        <f t="shared" si="77"/>
        <v>2021_12_06_a</v>
      </c>
      <c r="AT207" s="122"/>
      <c r="AU207" s="121" t="str">
        <f t="shared" si="78"/>
        <v>2021</v>
      </c>
      <c r="AV207" s="121" t="str">
        <f t="shared" si="79"/>
        <v>12</v>
      </c>
      <c r="AW207" s="121" t="str">
        <f t="shared" si="80"/>
        <v>06</v>
      </c>
      <c r="AX207" s="121">
        <f t="shared" si="81"/>
        <v>44536</v>
      </c>
      <c r="AY207" s="123"/>
      <c r="AZ207" s="124">
        <f t="shared" si="82"/>
        <v>44536</v>
      </c>
      <c r="BA207" s="121" t="b">
        <f t="shared" si="83"/>
        <v>1</v>
      </c>
      <c r="BB207" s="121">
        <f t="shared" si="84"/>
        <v>44536</v>
      </c>
      <c r="BC207" s="121" t="str">
        <f t="shared" si="85"/>
        <v>no</v>
      </c>
      <c r="BD207" s="121" t="b">
        <f t="shared" si="86"/>
        <v>0</v>
      </c>
      <c r="BE207" s="125" t="s">
        <v>56</v>
      </c>
      <c r="BF207" s="122"/>
    </row>
    <row r="208" spans="1:58" s="114" customFormat="1" ht="154">
      <c r="B208" s="114" t="s">
        <v>512</v>
      </c>
      <c r="D208" s="114" t="s">
        <v>513</v>
      </c>
      <c r="F208" s="522" t="s">
        <v>478</v>
      </c>
      <c r="G208" s="144" t="s">
        <v>514</v>
      </c>
      <c r="H208" s="143">
        <v>44606</v>
      </c>
      <c r="I208" s="143">
        <v>44617</v>
      </c>
      <c r="J208" s="143">
        <v>44620</v>
      </c>
      <c r="K208" s="144">
        <v>44652</v>
      </c>
      <c r="L208" s="144">
        <v>44655</v>
      </c>
      <c r="M208" s="144" t="s">
        <v>46</v>
      </c>
      <c r="N208" s="144"/>
      <c r="Q208" s="114" t="s">
        <v>47</v>
      </c>
      <c r="R208" s="114" t="s">
        <v>480</v>
      </c>
      <c r="S208" s="114">
        <f t="shared" si="87"/>
        <v>14</v>
      </c>
      <c r="U208" s="23">
        <v>0</v>
      </c>
      <c r="V208" s="114">
        <v>14</v>
      </c>
      <c r="X208" s="156" t="s">
        <v>510</v>
      </c>
      <c r="Y208" s="156"/>
      <c r="AG208" s="114" t="s">
        <v>53</v>
      </c>
      <c r="AH208" s="114" t="s">
        <v>54</v>
      </c>
      <c r="AL208" s="114" t="s">
        <v>55</v>
      </c>
      <c r="AM208" s="145" t="s">
        <v>511</v>
      </c>
      <c r="AN208" s="145"/>
      <c r="AR208" s="121">
        <f t="shared" si="76"/>
        <v>1</v>
      </c>
      <c r="AS208" s="121" t="str">
        <f t="shared" si="77"/>
        <v>2022_02_14_a</v>
      </c>
      <c r="AT208" s="122"/>
      <c r="AU208" s="121" t="str">
        <f t="shared" si="78"/>
        <v>2022</v>
      </c>
      <c r="AV208" s="121" t="str">
        <f t="shared" si="79"/>
        <v>02</v>
      </c>
      <c r="AW208" s="121" t="str">
        <f t="shared" si="80"/>
        <v>14</v>
      </c>
      <c r="AX208" s="121">
        <f t="shared" si="81"/>
        <v>44606</v>
      </c>
      <c r="AY208" s="123"/>
      <c r="AZ208" s="124">
        <f t="shared" si="82"/>
        <v>44606</v>
      </c>
      <c r="BA208" s="121" t="b">
        <f t="shared" si="83"/>
        <v>1</v>
      </c>
      <c r="BB208" s="121">
        <f t="shared" si="84"/>
        <v>44606</v>
      </c>
      <c r="BC208" s="121" t="str">
        <f t="shared" si="85"/>
        <v>no</v>
      </c>
      <c r="BD208" s="121" t="b">
        <f t="shared" si="86"/>
        <v>0</v>
      </c>
      <c r="BE208" s="125" t="s">
        <v>56</v>
      </c>
      <c r="BF208" s="122"/>
    </row>
    <row r="209" spans="1:58" s="114" customFormat="1" ht="154">
      <c r="B209" s="114" t="s">
        <v>515</v>
      </c>
      <c r="D209" s="114" t="s">
        <v>516</v>
      </c>
      <c r="F209" s="522" t="s">
        <v>478</v>
      </c>
      <c r="G209" s="144" t="s">
        <v>517</v>
      </c>
      <c r="H209" s="143">
        <v>44641</v>
      </c>
      <c r="I209" s="143" t="s">
        <v>518</v>
      </c>
      <c r="J209" s="143">
        <v>44655</v>
      </c>
      <c r="K209" s="144">
        <v>44694</v>
      </c>
      <c r="L209" s="144">
        <v>44697</v>
      </c>
      <c r="M209" s="144" t="s">
        <v>46</v>
      </c>
      <c r="N209" s="144"/>
      <c r="Q209" s="114" t="s">
        <v>47</v>
      </c>
      <c r="R209" s="114" t="s">
        <v>480</v>
      </c>
      <c r="S209" s="114">
        <f t="shared" si="87"/>
        <v>38</v>
      </c>
      <c r="U209" s="23">
        <v>0</v>
      </c>
      <c r="V209" s="114">
        <v>38</v>
      </c>
      <c r="X209" s="156" t="s">
        <v>510</v>
      </c>
      <c r="Y209" s="156"/>
      <c r="AG209" s="114" t="s">
        <v>53</v>
      </c>
      <c r="AH209" s="114" t="s">
        <v>54</v>
      </c>
      <c r="AL209" s="114" t="s">
        <v>55</v>
      </c>
      <c r="AM209" s="145" t="s">
        <v>511</v>
      </c>
      <c r="AN209" s="145"/>
      <c r="AR209" s="121">
        <f t="shared" si="76"/>
        <v>1</v>
      </c>
      <c r="AS209" s="121" t="str">
        <f t="shared" si="77"/>
        <v>2022_03_21_a</v>
      </c>
      <c r="AT209" s="122"/>
      <c r="AU209" s="121" t="str">
        <f t="shared" si="78"/>
        <v>2022</v>
      </c>
      <c r="AV209" s="121" t="str">
        <f t="shared" si="79"/>
        <v>03</v>
      </c>
      <c r="AW209" s="121" t="str">
        <f t="shared" si="80"/>
        <v>21</v>
      </c>
      <c r="AX209" s="121">
        <f t="shared" si="81"/>
        <v>44641</v>
      </c>
      <c r="AY209" s="123"/>
      <c r="AZ209" s="124">
        <f t="shared" si="82"/>
        <v>44641</v>
      </c>
      <c r="BA209" s="121" t="b">
        <f t="shared" si="83"/>
        <v>1</v>
      </c>
      <c r="BB209" s="121">
        <f t="shared" si="84"/>
        <v>44641</v>
      </c>
      <c r="BC209" s="121" t="str">
        <f t="shared" si="85"/>
        <v>no</v>
      </c>
      <c r="BD209" s="121" t="b">
        <f t="shared" si="86"/>
        <v>0</v>
      </c>
      <c r="BE209" s="125" t="s">
        <v>56</v>
      </c>
      <c r="BF209" s="122"/>
    </row>
    <row r="210" spans="1:58" s="114" customFormat="1" ht="154">
      <c r="B210" s="114" t="s">
        <v>519</v>
      </c>
      <c r="C210" s="145"/>
      <c r="D210" s="114" t="s">
        <v>520</v>
      </c>
      <c r="F210" s="522" t="s">
        <v>478</v>
      </c>
      <c r="G210" s="144" t="s">
        <v>521</v>
      </c>
      <c r="H210" s="143">
        <v>44704</v>
      </c>
      <c r="I210" s="143">
        <v>44715</v>
      </c>
      <c r="J210" s="143">
        <v>44718</v>
      </c>
      <c r="K210" s="143">
        <v>44757</v>
      </c>
      <c r="L210" s="143">
        <v>44781</v>
      </c>
      <c r="M210" s="144" t="s">
        <v>46</v>
      </c>
      <c r="N210" s="144"/>
      <c r="Q210" s="114" t="s">
        <v>78</v>
      </c>
      <c r="R210" s="114" t="s">
        <v>480</v>
      </c>
      <c r="S210" s="114">
        <f t="shared" si="87"/>
        <v>23</v>
      </c>
      <c r="U210" s="23">
        <v>0</v>
      </c>
      <c r="V210" s="114">
        <v>23</v>
      </c>
      <c r="W210" s="114" t="s">
        <v>522</v>
      </c>
      <c r="X210" s="156" t="s">
        <v>523</v>
      </c>
      <c r="Y210" s="156"/>
      <c r="AG210" s="114" t="s">
        <v>53</v>
      </c>
      <c r="AH210" s="114" t="s">
        <v>345</v>
      </c>
      <c r="AL210" s="114" t="s">
        <v>55</v>
      </c>
      <c r="AM210" s="145" t="s">
        <v>511</v>
      </c>
      <c r="AN210" s="145"/>
      <c r="AR210" s="121">
        <f t="shared" si="76"/>
        <v>1</v>
      </c>
      <c r="AS210" s="121" t="str">
        <f t="shared" si="77"/>
        <v>2022_05_23_a</v>
      </c>
      <c r="AT210" s="122"/>
      <c r="AU210" s="121" t="str">
        <f t="shared" si="78"/>
        <v>2022</v>
      </c>
      <c r="AV210" s="121" t="str">
        <f t="shared" si="79"/>
        <v>05</v>
      </c>
      <c r="AW210" s="121" t="str">
        <f t="shared" si="80"/>
        <v>23</v>
      </c>
      <c r="AX210" s="121">
        <f t="shared" si="81"/>
        <v>44704</v>
      </c>
      <c r="AY210" s="123"/>
      <c r="AZ210" s="124">
        <f t="shared" si="82"/>
        <v>44704</v>
      </c>
      <c r="BA210" s="121" t="b">
        <f t="shared" si="83"/>
        <v>1</v>
      </c>
      <c r="BB210" s="121">
        <f t="shared" si="84"/>
        <v>44704</v>
      </c>
      <c r="BC210" s="121" t="str">
        <f t="shared" si="85"/>
        <v>no</v>
      </c>
      <c r="BD210" s="121" t="b">
        <f t="shared" si="86"/>
        <v>0</v>
      </c>
      <c r="BE210" s="125" t="s">
        <v>56</v>
      </c>
      <c r="BF210" s="122"/>
    </row>
    <row r="211" spans="1:58" s="114" customFormat="1" ht="154">
      <c r="B211" s="114" t="s">
        <v>524</v>
      </c>
      <c r="D211" s="114" t="s">
        <v>525</v>
      </c>
      <c r="F211" s="522" t="s">
        <v>478</v>
      </c>
      <c r="G211" s="144" t="s">
        <v>526</v>
      </c>
      <c r="H211" s="143">
        <v>44739</v>
      </c>
      <c r="I211" s="143">
        <v>44750</v>
      </c>
      <c r="J211" s="143">
        <v>44753</v>
      </c>
      <c r="K211" s="143">
        <v>44792</v>
      </c>
      <c r="L211" s="143">
        <v>44816</v>
      </c>
      <c r="M211" s="144" t="s">
        <v>46</v>
      </c>
      <c r="N211" s="144"/>
      <c r="Q211" s="114" t="s">
        <v>78</v>
      </c>
      <c r="R211" s="114" t="s">
        <v>480</v>
      </c>
      <c r="S211" s="114">
        <f t="shared" si="87"/>
        <v>47</v>
      </c>
      <c r="U211" s="23">
        <v>0</v>
      </c>
      <c r="V211" s="114">
        <v>47</v>
      </c>
      <c r="W211" s="114" t="s">
        <v>522</v>
      </c>
      <c r="X211" s="156" t="s">
        <v>523</v>
      </c>
      <c r="Y211" s="156"/>
      <c r="AG211" s="114" t="s">
        <v>53</v>
      </c>
      <c r="AH211" s="114" t="s">
        <v>345</v>
      </c>
      <c r="AL211" s="114" t="s">
        <v>55</v>
      </c>
      <c r="AM211" s="145" t="s">
        <v>511</v>
      </c>
      <c r="AN211" s="145"/>
      <c r="AR211" s="121">
        <f t="shared" si="76"/>
        <v>1</v>
      </c>
      <c r="AS211" s="121" t="str">
        <f t="shared" si="77"/>
        <v>2022_06_27_a</v>
      </c>
      <c r="AT211" s="122"/>
      <c r="AU211" s="121" t="str">
        <f t="shared" si="78"/>
        <v>2022</v>
      </c>
      <c r="AV211" s="121" t="str">
        <f t="shared" si="79"/>
        <v>06</v>
      </c>
      <c r="AW211" s="121" t="str">
        <f t="shared" si="80"/>
        <v>27</v>
      </c>
      <c r="AX211" s="121">
        <f t="shared" si="81"/>
        <v>44739</v>
      </c>
      <c r="AY211" s="123"/>
      <c r="AZ211" s="124">
        <f t="shared" si="82"/>
        <v>44739</v>
      </c>
      <c r="BA211" s="121" t="b">
        <f t="shared" si="83"/>
        <v>1</v>
      </c>
      <c r="BB211" s="121">
        <f t="shared" si="84"/>
        <v>44739</v>
      </c>
      <c r="BC211" s="121" t="str">
        <f t="shared" si="85"/>
        <v>no</v>
      </c>
      <c r="BD211" s="121" t="b">
        <f t="shared" si="86"/>
        <v>0</v>
      </c>
      <c r="BE211" s="125" t="s">
        <v>56</v>
      </c>
      <c r="BF211" s="122"/>
    </row>
    <row r="212" spans="1:58" s="114" customFormat="1" ht="154">
      <c r="B212" s="114" t="s">
        <v>527</v>
      </c>
      <c r="D212" s="114" t="s">
        <v>528</v>
      </c>
      <c r="F212" s="522" t="s">
        <v>478</v>
      </c>
      <c r="G212" s="144" t="s">
        <v>529</v>
      </c>
      <c r="H212" s="143">
        <v>44830</v>
      </c>
      <c r="I212" s="143">
        <v>44841</v>
      </c>
      <c r="J212" s="143">
        <v>44774</v>
      </c>
      <c r="K212" s="143">
        <v>44792</v>
      </c>
      <c r="L212" s="143">
        <v>44844</v>
      </c>
      <c r="M212" s="144" t="s">
        <v>46</v>
      </c>
      <c r="N212" s="144"/>
      <c r="Q212" s="114" t="s">
        <v>99</v>
      </c>
      <c r="R212" s="114" t="s">
        <v>480</v>
      </c>
      <c r="S212" s="114">
        <f t="shared" si="87"/>
        <v>26</v>
      </c>
      <c r="U212" s="23">
        <v>0</v>
      </c>
      <c r="V212" s="114">
        <v>26</v>
      </c>
      <c r="W212" s="114" t="s">
        <v>522</v>
      </c>
      <c r="X212" s="156" t="s">
        <v>523</v>
      </c>
      <c r="Y212" s="156"/>
      <c r="AG212" s="114" t="s">
        <v>53</v>
      </c>
      <c r="AH212" s="114" t="s">
        <v>345</v>
      </c>
      <c r="AL212" s="114" t="s">
        <v>55</v>
      </c>
      <c r="AM212" s="145" t="s">
        <v>511</v>
      </c>
      <c r="AN212" s="145"/>
      <c r="AR212" s="121">
        <f t="shared" si="76"/>
        <v>1</v>
      </c>
      <c r="AS212" s="121" t="str">
        <f t="shared" si="77"/>
        <v>2022_09_26_a</v>
      </c>
      <c r="AT212" s="122"/>
      <c r="AU212" s="121" t="str">
        <f t="shared" si="78"/>
        <v>2022</v>
      </c>
      <c r="AV212" s="121" t="str">
        <f t="shared" si="79"/>
        <v>09</v>
      </c>
      <c r="AW212" s="121" t="str">
        <f t="shared" si="80"/>
        <v>26</v>
      </c>
      <c r="AX212" s="121">
        <f t="shared" si="81"/>
        <v>44830</v>
      </c>
      <c r="AY212" s="123"/>
      <c r="AZ212" s="124">
        <f t="shared" si="82"/>
        <v>44830</v>
      </c>
      <c r="BA212" s="121" t="b">
        <f t="shared" si="83"/>
        <v>1</v>
      </c>
      <c r="BB212" s="121">
        <f t="shared" si="84"/>
        <v>44830</v>
      </c>
      <c r="BC212" s="121" t="str">
        <f t="shared" si="85"/>
        <v>no</v>
      </c>
      <c r="BD212" s="121" t="b">
        <f t="shared" si="86"/>
        <v>0</v>
      </c>
      <c r="BE212" s="125" t="s">
        <v>56</v>
      </c>
      <c r="BF212" s="122"/>
    </row>
    <row r="213" spans="1:58" s="114" customFormat="1" ht="154">
      <c r="B213" s="114" t="s">
        <v>530</v>
      </c>
      <c r="D213" s="283"/>
      <c r="F213" s="522" t="s">
        <v>478</v>
      </c>
      <c r="G213" s="144"/>
      <c r="H213" s="143">
        <v>44984</v>
      </c>
      <c r="I213" s="143">
        <v>44995</v>
      </c>
      <c r="J213" s="143">
        <v>44858</v>
      </c>
      <c r="K213" s="143">
        <v>45037</v>
      </c>
      <c r="L213" s="143">
        <v>45040</v>
      </c>
      <c r="M213" s="144" t="s">
        <v>46</v>
      </c>
      <c r="N213" s="144"/>
      <c r="Q213" s="114" t="s">
        <v>47</v>
      </c>
      <c r="R213" s="114" t="s">
        <v>480</v>
      </c>
      <c r="S213" s="114">
        <f t="shared" si="87"/>
        <v>17</v>
      </c>
      <c r="T213" s="114">
        <v>30</v>
      </c>
      <c r="U213" s="23">
        <v>0</v>
      </c>
      <c r="V213" s="114">
        <v>17</v>
      </c>
      <c r="W213" s="114" t="s">
        <v>376</v>
      </c>
      <c r="X213" s="156" t="s">
        <v>523</v>
      </c>
      <c r="Y213" s="156"/>
      <c r="AG213" s="114" t="s">
        <v>53</v>
      </c>
      <c r="AH213" s="114" t="s">
        <v>345</v>
      </c>
      <c r="AL213" s="114" t="s">
        <v>55</v>
      </c>
      <c r="AM213" s="145" t="s">
        <v>511</v>
      </c>
      <c r="AN213" s="145"/>
      <c r="AR213" s="121">
        <f t="shared" si="76"/>
        <v>1</v>
      </c>
      <c r="AS213" s="121" t="str">
        <f t="shared" si="77"/>
        <v>2023_02_27_a</v>
      </c>
      <c r="AT213" s="122"/>
      <c r="AU213" s="121" t="str">
        <f t="shared" si="78"/>
        <v>2023</v>
      </c>
      <c r="AV213" s="121" t="str">
        <f t="shared" si="79"/>
        <v>02</v>
      </c>
      <c r="AW213" s="121" t="str">
        <f t="shared" si="80"/>
        <v>27</v>
      </c>
      <c r="AX213" s="121">
        <f t="shared" si="81"/>
        <v>44984</v>
      </c>
      <c r="AY213" s="123"/>
      <c r="AZ213" s="124">
        <f t="shared" si="82"/>
        <v>44984</v>
      </c>
      <c r="BA213" s="121" t="b">
        <f t="shared" si="83"/>
        <v>1</v>
      </c>
      <c r="BB213" s="121">
        <f t="shared" si="84"/>
        <v>44984</v>
      </c>
      <c r="BC213" s="121" t="str">
        <f t="shared" si="85"/>
        <v>no</v>
      </c>
      <c r="BD213" s="121" t="b">
        <f t="shared" si="86"/>
        <v>0</v>
      </c>
      <c r="BE213" s="125" t="s">
        <v>56</v>
      </c>
      <c r="BF213" s="122"/>
    </row>
    <row r="214" spans="1:58" s="114" customFormat="1" ht="154">
      <c r="B214" s="114" t="s">
        <v>531</v>
      </c>
      <c r="D214" s="283"/>
      <c r="F214" s="522" t="s">
        <v>478</v>
      </c>
      <c r="G214" s="144" t="s">
        <v>532</v>
      </c>
      <c r="H214" s="143">
        <v>45033</v>
      </c>
      <c r="I214" s="143">
        <v>45044</v>
      </c>
      <c r="J214" s="143">
        <v>44998</v>
      </c>
      <c r="K214" s="143">
        <v>45051</v>
      </c>
      <c r="L214" s="143">
        <v>45054</v>
      </c>
      <c r="M214" s="144" t="s">
        <v>46</v>
      </c>
      <c r="N214" s="144"/>
      <c r="Q214" s="114" t="s">
        <v>78</v>
      </c>
      <c r="R214" s="114" t="s">
        <v>480</v>
      </c>
      <c r="S214" s="114">
        <f t="shared" si="87"/>
        <v>11</v>
      </c>
      <c r="T214" s="114">
        <v>30</v>
      </c>
      <c r="U214" s="23">
        <v>0</v>
      </c>
      <c r="V214" s="114">
        <v>11</v>
      </c>
      <c r="W214" s="114" t="s">
        <v>533</v>
      </c>
      <c r="X214" s="156" t="s">
        <v>523</v>
      </c>
      <c r="Y214" s="156"/>
      <c r="AG214" s="114" t="s">
        <v>53</v>
      </c>
      <c r="AH214" s="114" t="s">
        <v>345</v>
      </c>
      <c r="AL214" s="114" t="s">
        <v>55</v>
      </c>
      <c r="AM214" s="145" t="s">
        <v>511</v>
      </c>
      <c r="AN214" s="145"/>
      <c r="AR214" s="121">
        <f t="shared" si="76"/>
        <v>1</v>
      </c>
      <c r="AS214" s="121" t="str">
        <f t="shared" si="77"/>
        <v>2023_04_17_a</v>
      </c>
      <c r="AT214" s="122"/>
      <c r="AU214" s="121" t="str">
        <f t="shared" si="78"/>
        <v>2023</v>
      </c>
      <c r="AV214" s="121" t="str">
        <f t="shared" si="79"/>
        <v>04</v>
      </c>
      <c r="AW214" s="121" t="str">
        <f t="shared" si="80"/>
        <v>17</v>
      </c>
      <c r="AX214" s="121">
        <f t="shared" si="81"/>
        <v>45033</v>
      </c>
      <c r="AY214" s="123"/>
      <c r="AZ214" s="124">
        <f t="shared" si="82"/>
        <v>45033</v>
      </c>
      <c r="BA214" s="121" t="b">
        <f t="shared" si="83"/>
        <v>1</v>
      </c>
      <c r="BB214" s="121">
        <f t="shared" si="84"/>
        <v>45033</v>
      </c>
      <c r="BC214" s="121" t="str">
        <f t="shared" si="85"/>
        <v>no</v>
      </c>
      <c r="BD214" s="121" t="b">
        <f t="shared" si="86"/>
        <v>0</v>
      </c>
      <c r="BE214" s="125" t="s">
        <v>56</v>
      </c>
      <c r="BF214" s="122"/>
    </row>
    <row r="215" spans="1:58" s="114" customFormat="1" ht="154">
      <c r="F215" s="533" t="s">
        <v>264</v>
      </c>
      <c r="G215" s="533"/>
      <c r="H215" s="533"/>
      <c r="I215" s="533"/>
      <c r="J215" s="533"/>
      <c r="K215" s="533"/>
      <c r="L215" s="533"/>
      <c r="M215" s="533"/>
      <c r="N215" s="533"/>
      <c r="O215" s="533"/>
      <c r="P215" s="533"/>
      <c r="Q215" s="533"/>
      <c r="R215" s="533"/>
      <c r="S215" s="114">
        <v>0</v>
      </c>
      <c r="U215" s="23" t="e">
        <f>SUMIFS(#REF!,#REF!, "=In Progress")</f>
        <v>#REF!</v>
      </c>
      <c r="V215" s="114" t="e">
        <f>SUMIFS(#REF!,#REF!, "=In Progress")</f>
        <v>#REF!</v>
      </c>
      <c r="X215" s="156"/>
      <c r="Y215" s="156"/>
      <c r="AA215" s="114" t="e">
        <f>COUNTIFS(#REF!, "=In Progress")</f>
        <v>#REF!</v>
      </c>
      <c r="AR215" s="121">
        <f t="shared" si="76"/>
        <v>0</v>
      </c>
      <c r="AS215" s="121">
        <f t="shared" si="77"/>
        <v>0</v>
      </c>
      <c r="AT215" s="122"/>
      <c r="AU215" s="121" t="str">
        <f t="shared" si="78"/>
        <v>0</v>
      </c>
      <c r="AV215" s="121" t="str">
        <f t="shared" si="79"/>
        <v/>
      </c>
      <c r="AW215" s="121" t="str">
        <f t="shared" si="80"/>
        <v/>
      </c>
      <c r="AX215" s="121" t="str">
        <f t="shared" si="81"/>
        <v xml:space="preserve"> </v>
      </c>
      <c r="AY215" s="123"/>
      <c r="AZ215" s="124">
        <f t="shared" si="82"/>
        <v>0</v>
      </c>
      <c r="BA215" s="121" t="str">
        <f t="shared" si="83"/>
        <v xml:space="preserve"> </v>
      </c>
      <c r="BB215" s="121">
        <f t="shared" si="84"/>
        <v>0</v>
      </c>
      <c r="BC215" s="121" t="str">
        <f t="shared" si="85"/>
        <v>no</v>
      </c>
      <c r="BD215" s="121" t="e">
        <f t="shared" si="86"/>
        <v>#REF!</v>
      </c>
      <c r="BE215" s="125" t="s">
        <v>56</v>
      </c>
      <c r="BF215" s="122"/>
    </row>
    <row r="216" spans="1:58" s="114" customFormat="1" ht="154">
      <c r="F216" s="533" t="s">
        <v>265</v>
      </c>
      <c r="G216" s="534"/>
      <c r="H216" s="534"/>
      <c r="I216" s="534"/>
      <c r="J216" s="534"/>
      <c r="K216" s="534"/>
      <c r="L216" s="534"/>
      <c r="M216" s="534"/>
      <c r="N216" s="534"/>
      <c r="O216" s="534"/>
      <c r="P216" s="534"/>
      <c r="Q216" s="534"/>
      <c r="R216" s="534"/>
      <c r="S216" s="114" t="e">
        <f>SUMIFS(#REF!,#REF!, "=Planned")</f>
        <v>#REF!</v>
      </c>
      <c r="U216" s="23" t="e">
        <f>SUMIFS(#REF!,#REF!, "=Planned")</f>
        <v>#REF!</v>
      </c>
      <c r="V216" s="114" t="e">
        <f>SUMIFS(#REF!,#REF!, "=Planned")</f>
        <v>#REF!</v>
      </c>
      <c r="X216" s="156"/>
      <c r="Y216" s="156"/>
      <c r="AA216" s="114" t="e">
        <f>COUNTIFS(#REF!, "=Planned")</f>
        <v>#REF!</v>
      </c>
      <c r="AG216" s="114" t="e">
        <f>COUNTIFS(#REF!, "=New")</f>
        <v>#REF!</v>
      </c>
      <c r="AH216" s="114" t="e">
        <f>COUNTIFS(#REF!, "=F2F")</f>
        <v>#REF!</v>
      </c>
      <c r="AR216" s="121">
        <f t="shared" si="76"/>
        <v>0</v>
      </c>
      <c r="AS216" s="121">
        <f t="shared" si="77"/>
        <v>0</v>
      </c>
      <c r="AT216" s="122"/>
      <c r="AU216" s="121" t="str">
        <f t="shared" si="78"/>
        <v>0</v>
      </c>
      <c r="AV216" s="121" t="str">
        <f t="shared" si="79"/>
        <v/>
      </c>
      <c r="AW216" s="121" t="str">
        <f t="shared" si="80"/>
        <v/>
      </c>
      <c r="AX216" s="121" t="str">
        <f t="shared" si="81"/>
        <v xml:space="preserve"> </v>
      </c>
      <c r="AY216" s="123"/>
      <c r="AZ216" s="124">
        <f t="shared" si="82"/>
        <v>0</v>
      </c>
      <c r="BA216" s="121" t="str">
        <f t="shared" si="83"/>
        <v xml:space="preserve"> </v>
      </c>
      <c r="BB216" s="121">
        <f t="shared" si="84"/>
        <v>0</v>
      </c>
      <c r="BC216" s="121" t="str">
        <f t="shared" si="85"/>
        <v>no</v>
      </c>
      <c r="BD216" s="121" t="e">
        <f t="shared" si="86"/>
        <v>#REF!</v>
      </c>
      <c r="BE216" s="125" t="s">
        <v>56</v>
      </c>
      <c r="BF216" s="122"/>
    </row>
    <row r="217" spans="1:58" s="114" customFormat="1" ht="154">
      <c r="F217" s="533" t="s">
        <v>266</v>
      </c>
      <c r="G217" s="533"/>
      <c r="H217" s="533"/>
      <c r="I217" s="533"/>
      <c r="J217" s="533"/>
      <c r="K217" s="533"/>
      <c r="L217" s="533"/>
      <c r="M217" s="533"/>
      <c r="N217" s="533"/>
      <c r="O217" s="533"/>
      <c r="P217" s="533"/>
      <c r="Q217" s="533"/>
      <c r="R217" s="533"/>
      <c r="S217" s="114" t="e">
        <f>SUMIFS(#REF!,#REF!, "=Tentative")</f>
        <v>#REF!</v>
      </c>
      <c r="U217" s="23" t="e">
        <f>SUMIFS(#REF!,#REF!, "=Tentative")</f>
        <v>#REF!</v>
      </c>
      <c r="V217" s="114" t="e">
        <f>SUMIFS(#REF!,#REF!, "=Tentative")</f>
        <v>#REF!</v>
      </c>
      <c r="X217" s="156"/>
      <c r="Y217" s="156"/>
      <c r="AA217" s="114" t="e">
        <f>COUNTIFS(#REF!, "=Tentative")</f>
        <v>#REF!</v>
      </c>
      <c r="AR217" s="121">
        <f t="shared" si="76"/>
        <v>0</v>
      </c>
      <c r="AS217" s="121">
        <f t="shared" si="77"/>
        <v>0</v>
      </c>
      <c r="AT217" s="122"/>
      <c r="AU217" s="121" t="str">
        <f t="shared" si="78"/>
        <v>0</v>
      </c>
      <c r="AV217" s="121" t="str">
        <f t="shared" si="79"/>
        <v/>
      </c>
      <c r="AW217" s="121" t="str">
        <f t="shared" si="80"/>
        <v/>
      </c>
      <c r="AX217" s="121" t="str">
        <f t="shared" si="81"/>
        <v xml:space="preserve"> </v>
      </c>
      <c r="AY217" s="123"/>
      <c r="AZ217" s="124">
        <f t="shared" si="82"/>
        <v>0</v>
      </c>
      <c r="BA217" s="121" t="str">
        <f t="shared" si="83"/>
        <v xml:space="preserve"> </v>
      </c>
      <c r="BB217" s="121">
        <f t="shared" si="84"/>
        <v>0</v>
      </c>
      <c r="BC217" s="121" t="str">
        <f t="shared" si="85"/>
        <v>no</v>
      </c>
      <c r="BD217" s="121" t="e">
        <f t="shared" si="86"/>
        <v>#REF!</v>
      </c>
      <c r="BE217" s="125" t="s">
        <v>56</v>
      </c>
      <c r="BF217" s="122"/>
    </row>
    <row r="218" spans="1:58" s="114" customFormat="1" ht="154">
      <c r="F218" s="538" t="s">
        <v>267</v>
      </c>
      <c r="G218" s="534"/>
      <c r="H218" s="534"/>
      <c r="I218" s="534"/>
      <c r="J218" s="534"/>
      <c r="K218" s="534"/>
      <c r="L218" s="534"/>
      <c r="M218" s="534"/>
      <c r="N218" s="534"/>
      <c r="O218" s="534"/>
      <c r="P218" s="534"/>
      <c r="Q218" s="534"/>
      <c r="R218" s="534"/>
      <c r="S218" s="523" t="e">
        <f>SUM(#REF!)</f>
        <v>#REF!</v>
      </c>
      <c r="U218" s="157" t="e">
        <f>SUM(#REF!)</f>
        <v>#REF!</v>
      </c>
      <c r="V218" s="523" t="e">
        <f>SUM(#REF!)</f>
        <v>#REF!</v>
      </c>
      <c r="X218" s="156"/>
      <c r="Y218" s="156"/>
      <c r="AR218" s="121">
        <f t="shared" si="76"/>
        <v>0</v>
      </c>
      <c r="AS218" s="121">
        <f t="shared" si="77"/>
        <v>0</v>
      </c>
      <c r="AT218" s="122"/>
      <c r="AU218" s="121" t="str">
        <f t="shared" si="78"/>
        <v>0</v>
      </c>
      <c r="AV218" s="121" t="str">
        <f t="shared" si="79"/>
        <v/>
      </c>
      <c r="AW218" s="121" t="str">
        <f t="shared" si="80"/>
        <v/>
      </c>
      <c r="AX218" s="121" t="str">
        <f t="shared" si="81"/>
        <v xml:space="preserve"> </v>
      </c>
      <c r="AY218" s="123"/>
      <c r="AZ218" s="124">
        <f t="shared" si="82"/>
        <v>0</v>
      </c>
      <c r="BA218" s="121" t="str">
        <f t="shared" si="83"/>
        <v xml:space="preserve"> </v>
      </c>
      <c r="BB218" s="121">
        <f t="shared" si="84"/>
        <v>0</v>
      </c>
      <c r="BC218" s="121" t="str">
        <f t="shared" si="85"/>
        <v>no</v>
      </c>
      <c r="BD218" s="121" t="e">
        <f t="shared" si="86"/>
        <v>#REF!</v>
      </c>
      <c r="BE218" s="125" t="s">
        <v>56</v>
      </c>
      <c r="BF218" s="122"/>
    </row>
    <row r="219" spans="1:58" s="276" customFormat="1" ht="154">
      <c r="A219" s="114"/>
      <c r="B219" s="281" t="s">
        <v>534</v>
      </c>
      <c r="C219" s="283"/>
      <c r="D219" s="283">
        <v>10095694</v>
      </c>
      <c r="E219" s="283"/>
      <c r="F219" s="288" t="s">
        <v>535</v>
      </c>
      <c r="G219" s="289" t="s">
        <v>536</v>
      </c>
      <c r="H219" s="290">
        <v>44214</v>
      </c>
      <c r="I219" s="289"/>
      <c r="J219" s="290">
        <v>44228</v>
      </c>
      <c r="K219" s="289"/>
      <c r="L219" s="289"/>
      <c r="M219" s="289"/>
      <c r="N219" s="289"/>
      <c r="O219" s="289"/>
      <c r="P219" s="289"/>
      <c r="Q219" s="277" t="s">
        <v>47</v>
      </c>
      <c r="R219" s="277" t="s">
        <v>537</v>
      </c>
      <c r="S219" s="277">
        <f t="shared" ref="S219:S259" si="88">U219+V219</f>
        <v>15</v>
      </c>
      <c r="T219" s="277"/>
      <c r="U219" s="277">
        <v>0</v>
      </c>
      <c r="V219" s="277">
        <v>15</v>
      </c>
      <c r="W219" s="277" t="s">
        <v>538</v>
      </c>
      <c r="X219" s="277"/>
      <c r="Y219" s="277"/>
      <c r="Z219" s="277" t="s">
        <v>50</v>
      </c>
      <c r="AA219" s="277" t="s">
        <v>51</v>
      </c>
      <c r="AB219" s="277" t="s">
        <v>51</v>
      </c>
      <c r="AC219" s="277" t="s">
        <v>46</v>
      </c>
      <c r="AD219" s="277" t="s">
        <v>539</v>
      </c>
      <c r="AE219" s="277" t="s">
        <v>539</v>
      </c>
      <c r="AF219" s="277" t="s">
        <v>539</v>
      </c>
      <c r="AG219" s="277" t="s">
        <v>53</v>
      </c>
      <c r="AH219" s="277" t="s">
        <v>54</v>
      </c>
      <c r="AI219" s="277" t="s">
        <v>46</v>
      </c>
      <c r="AJ219" s="291"/>
      <c r="AK219" s="291"/>
      <c r="AL219" s="277" t="s">
        <v>540</v>
      </c>
      <c r="AM219" s="277"/>
      <c r="AN219" s="277"/>
      <c r="AO219" s="285"/>
      <c r="AP219" s="285"/>
      <c r="AR219" s="121">
        <f t="shared" si="76"/>
        <v>1</v>
      </c>
      <c r="AS219" s="121" t="str">
        <f t="shared" si="77"/>
        <v>2021_01_18_a</v>
      </c>
      <c r="AT219" s="122"/>
      <c r="AU219" s="121" t="str">
        <f t="shared" si="78"/>
        <v>2021</v>
      </c>
      <c r="AV219" s="121" t="str">
        <f t="shared" si="79"/>
        <v>01</v>
      </c>
      <c r="AW219" s="121" t="str">
        <f t="shared" si="80"/>
        <v>18</v>
      </c>
      <c r="AX219" s="121">
        <f t="shared" si="81"/>
        <v>44214</v>
      </c>
      <c r="AY219" s="123"/>
      <c r="AZ219" s="124">
        <f t="shared" si="82"/>
        <v>44214</v>
      </c>
      <c r="BA219" s="121" t="b">
        <f t="shared" si="83"/>
        <v>1</v>
      </c>
      <c r="BB219" s="121">
        <f t="shared" si="84"/>
        <v>44214</v>
      </c>
      <c r="BC219" s="121" t="str">
        <f t="shared" si="85"/>
        <v>no</v>
      </c>
      <c r="BD219" s="121" t="b">
        <f t="shared" si="86"/>
        <v>0</v>
      </c>
      <c r="BE219" s="125" t="s">
        <v>56</v>
      </c>
      <c r="BF219" s="287"/>
    </row>
    <row r="220" spans="1:58" s="276" customFormat="1" ht="154">
      <c r="A220" s="283" t="s">
        <v>541</v>
      </c>
      <c r="B220" s="281" t="s">
        <v>542</v>
      </c>
      <c r="C220" s="283"/>
      <c r="D220" s="283">
        <v>10097154</v>
      </c>
      <c r="E220" s="283"/>
      <c r="F220" s="288" t="s">
        <v>535</v>
      </c>
      <c r="G220" s="289" t="s">
        <v>543</v>
      </c>
      <c r="H220" s="290">
        <v>44236</v>
      </c>
      <c r="I220" s="289"/>
      <c r="J220" s="290">
        <v>44257</v>
      </c>
      <c r="K220" s="289"/>
      <c r="L220" s="289"/>
      <c r="M220" s="289"/>
      <c r="N220" s="289"/>
      <c r="O220" s="289"/>
      <c r="P220" s="289"/>
      <c r="Q220" s="277" t="s">
        <v>47</v>
      </c>
      <c r="R220" s="277" t="s">
        <v>537</v>
      </c>
      <c r="S220" s="277">
        <f t="shared" si="88"/>
        <v>40</v>
      </c>
      <c r="T220" s="277"/>
      <c r="U220" s="277">
        <v>0</v>
      </c>
      <c r="V220" s="277">
        <v>40</v>
      </c>
      <c r="W220" s="277"/>
      <c r="X220" s="277"/>
      <c r="Y220" s="277"/>
      <c r="Z220" s="277"/>
      <c r="AA220" s="277"/>
      <c r="AB220" s="277"/>
      <c r="AC220" s="277"/>
      <c r="AD220" s="277"/>
      <c r="AE220" s="277"/>
      <c r="AF220" s="277"/>
      <c r="AG220" s="277" t="s">
        <v>53</v>
      </c>
      <c r="AH220" s="277" t="s">
        <v>54</v>
      </c>
      <c r="AI220" s="277"/>
      <c r="AJ220" s="291"/>
      <c r="AK220" s="291"/>
      <c r="AL220" s="277"/>
      <c r="AM220" s="277"/>
      <c r="AN220" s="277"/>
      <c r="AO220" s="285"/>
      <c r="AP220" s="285"/>
      <c r="AR220" s="121">
        <f t="shared" si="76"/>
        <v>1</v>
      </c>
      <c r="AS220" s="121" t="str">
        <f t="shared" si="77"/>
        <v>2021_02_09_a</v>
      </c>
      <c r="AT220" s="122"/>
      <c r="AU220" s="121" t="str">
        <f t="shared" si="78"/>
        <v>2021</v>
      </c>
      <c r="AV220" s="121" t="str">
        <f t="shared" si="79"/>
        <v>02</v>
      </c>
      <c r="AW220" s="121" t="str">
        <f t="shared" si="80"/>
        <v>09</v>
      </c>
      <c r="AX220" s="121">
        <f t="shared" si="81"/>
        <v>44236</v>
      </c>
      <c r="AY220" s="123"/>
      <c r="AZ220" s="124">
        <f t="shared" si="82"/>
        <v>44236</v>
      </c>
      <c r="BA220" s="121" t="b">
        <f t="shared" si="83"/>
        <v>1</v>
      </c>
      <c r="BB220" s="121">
        <f t="shared" si="84"/>
        <v>44236</v>
      </c>
      <c r="BC220" s="121" t="str">
        <f t="shared" si="85"/>
        <v>no</v>
      </c>
      <c r="BD220" s="121" t="b">
        <f t="shared" si="86"/>
        <v>0</v>
      </c>
      <c r="BE220" s="125" t="s">
        <v>56</v>
      </c>
      <c r="BF220" s="287"/>
    </row>
    <row r="221" spans="1:58" s="276" customFormat="1" ht="154">
      <c r="A221" s="283"/>
      <c r="B221" s="281" t="s">
        <v>544</v>
      </c>
      <c r="C221" s="283"/>
      <c r="D221" s="283">
        <v>10097703</v>
      </c>
      <c r="E221" s="283"/>
      <c r="F221" s="525" t="s">
        <v>535</v>
      </c>
      <c r="G221" s="292" t="s">
        <v>543</v>
      </c>
      <c r="H221" s="293">
        <v>44253</v>
      </c>
      <c r="I221" s="289"/>
      <c r="J221" s="290">
        <f t="shared" ref="J221:J242" si="89">H221+14</f>
        <v>44267</v>
      </c>
      <c r="K221" s="289"/>
      <c r="L221" s="289"/>
      <c r="M221" s="289"/>
      <c r="N221" s="289"/>
      <c r="O221" s="289"/>
      <c r="P221" s="289"/>
      <c r="Q221" s="277" t="s">
        <v>47</v>
      </c>
      <c r="R221" s="277" t="s">
        <v>545</v>
      </c>
      <c r="S221" s="277">
        <f t="shared" si="88"/>
        <v>19</v>
      </c>
      <c r="T221" s="277"/>
      <c r="U221" s="277">
        <v>0</v>
      </c>
      <c r="V221" s="277">
        <v>19</v>
      </c>
      <c r="W221" s="277"/>
      <c r="X221" s="277"/>
      <c r="Y221" s="277"/>
      <c r="Z221" s="277"/>
      <c r="AA221" s="277"/>
      <c r="AB221" s="277"/>
      <c r="AC221" s="277"/>
      <c r="AD221" s="277"/>
      <c r="AE221" s="277"/>
      <c r="AF221" s="277"/>
      <c r="AG221" s="277" t="s">
        <v>53</v>
      </c>
      <c r="AH221" s="277" t="s">
        <v>54</v>
      </c>
      <c r="AI221" s="277"/>
      <c r="AJ221" s="291"/>
      <c r="AK221" s="291"/>
      <c r="AL221" s="277"/>
      <c r="AM221" s="277"/>
      <c r="AN221" s="277"/>
      <c r="AO221" s="285"/>
      <c r="AP221" s="285"/>
      <c r="AR221" s="121">
        <f t="shared" si="76"/>
        <v>1</v>
      </c>
      <c r="AS221" s="121" t="str">
        <f t="shared" si="77"/>
        <v>2021_02_26_a</v>
      </c>
      <c r="AT221" s="122"/>
      <c r="AU221" s="121" t="str">
        <f t="shared" si="78"/>
        <v>2021</v>
      </c>
      <c r="AV221" s="121" t="str">
        <f t="shared" si="79"/>
        <v>02</v>
      </c>
      <c r="AW221" s="121" t="str">
        <f t="shared" si="80"/>
        <v>26</v>
      </c>
      <c r="AX221" s="121">
        <f t="shared" si="81"/>
        <v>44253</v>
      </c>
      <c r="AY221" s="123"/>
      <c r="AZ221" s="124">
        <f t="shared" si="82"/>
        <v>44253</v>
      </c>
      <c r="BA221" s="121" t="b">
        <f t="shared" si="83"/>
        <v>1</v>
      </c>
      <c r="BB221" s="121">
        <f t="shared" si="84"/>
        <v>44253</v>
      </c>
      <c r="BC221" s="121" t="str">
        <f t="shared" si="85"/>
        <v>no</v>
      </c>
      <c r="BD221" s="121" t="b">
        <f t="shared" si="86"/>
        <v>0</v>
      </c>
      <c r="BE221" s="125" t="s">
        <v>56</v>
      </c>
      <c r="BF221" s="287"/>
    </row>
    <row r="222" spans="1:58" s="276" customFormat="1" ht="154">
      <c r="A222" s="283"/>
      <c r="B222" s="281" t="s">
        <v>546</v>
      </c>
      <c r="C222" s="283"/>
      <c r="D222" s="283">
        <v>10097778</v>
      </c>
      <c r="E222" s="283"/>
      <c r="F222" s="525" t="s">
        <v>535</v>
      </c>
      <c r="G222" s="292" t="s">
        <v>547</v>
      </c>
      <c r="H222" s="293">
        <v>44259</v>
      </c>
      <c r="I222" s="289"/>
      <c r="J222" s="290">
        <f t="shared" si="89"/>
        <v>44273</v>
      </c>
      <c r="K222" s="289"/>
      <c r="L222" s="289"/>
      <c r="M222" s="289"/>
      <c r="N222" s="289"/>
      <c r="O222" s="289"/>
      <c r="P222" s="289"/>
      <c r="Q222" s="277" t="s">
        <v>47</v>
      </c>
      <c r="R222" s="277" t="s">
        <v>548</v>
      </c>
      <c r="S222" s="277">
        <f t="shared" si="88"/>
        <v>31</v>
      </c>
      <c r="T222" s="277"/>
      <c r="U222" s="277">
        <v>0</v>
      </c>
      <c r="V222" s="277">
        <v>31</v>
      </c>
      <c r="W222" s="277"/>
      <c r="X222" s="277"/>
      <c r="Y222" s="277"/>
      <c r="Z222" s="277"/>
      <c r="AA222" s="277"/>
      <c r="AB222" s="277"/>
      <c r="AC222" s="277"/>
      <c r="AD222" s="277"/>
      <c r="AE222" s="277"/>
      <c r="AF222" s="277"/>
      <c r="AG222" s="277" t="s">
        <v>53</v>
      </c>
      <c r="AH222" s="277" t="s">
        <v>54</v>
      </c>
      <c r="AI222" s="277"/>
      <c r="AJ222" s="291"/>
      <c r="AK222" s="291"/>
      <c r="AL222" s="277"/>
      <c r="AM222" s="277"/>
      <c r="AN222" s="277"/>
      <c r="AO222" s="285"/>
      <c r="AP222" s="285"/>
      <c r="AR222" s="121">
        <f t="shared" si="76"/>
        <v>1</v>
      </c>
      <c r="AS222" s="121" t="str">
        <f t="shared" si="77"/>
        <v>2021_03_04_a</v>
      </c>
      <c r="AT222" s="122"/>
      <c r="AU222" s="121" t="str">
        <f t="shared" si="78"/>
        <v>2021</v>
      </c>
      <c r="AV222" s="121" t="str">
        <f t="shared" si="79"/>
        <v>03</v>
      </c>
      <c r="AW222" s="121" t="str">
        <f t="shared" si="80"/>
        <v>04</v>
      </c>
      <c r="AX222" s="121">
        <f t="shared" si="81"/>
        <v>44259</v>
      </c>
      <c r="AY222" s="123"/>
      <c r="AZ222" s="124">
        <f t="shared" si="82"/>
        <v>44259</v>
      </c>
      <c r="BA222" s="121" t="b">
        <f t="shared" si="83"/>
        <v>1</v>
      </c>
      <c r="BB222" s="121">
        <f t="shared" si="84"/>
        <v>44259</v>
      </c>
      <c r="BC222" s="121" t="str">
        <f t="shared" si="85"/>
        <v>no</v>
      </c>
      <c r="BD222" s="121" t="b">
        <f t="shared" si="86"/>
        <v>0</v>
      </c>
      <c r="BE222" s="125" t="s">
        <v>56</v>
      </c>
      <c r="BF222" s="287"/>
    </row>
    <row r="223" spans="1:58" s="276" customFormat="1" ht="154">
      <c r="A223" s="283"/>
      <c r="B223" s="281" t="s">
        <v>549</v>
      </c>
      <c r="C223" s="283"/>
      <c r="D223" s="283">
        <v>10098055</v>
      </c>
      <c r="E223" s="283"/>
      <c r="F223" s="525" t="s">
        <v>535</v>
      </c>
      <c r="G223" s="292" t="s">
        <v>547</v>
      </c>
      <c r="H223" s="293">
        <v>44271</v>
      </c>
      <c r="I223" s="289"/>
      <c r="J223" s="290">
        <f t="shared" si="89"/>
        <v>44285</v>
      </c>
      <c r="K223" s="289"/>
      <c r="L223" s="289"/>
      <c r="M223" s="289"/>
      <c r="N223" s="289"/>
      <c r="O223" s="289"/>
      <c r="P223" s="289"/>
      <c r="Q223" s="277" t="s">
        <v>47</v>
      </c>
      <c r="R223" s="277" t="s">
        <v>537</v>
      </c>
      <c r="S223" s="277">
        <f t="shared" si="88"/>
        <v>94</v>
      </c>
      <c r="T223" s="277"/>
      <c r="U223" s="277">
        <v>0</v>
      </c>
      <c r="V223" s="277">
        <v>94</v>
      </c>
      <c r="W223" s="277"/>
      <c r="X223" s="277"/>
      <c r="Y223" s="277"/>
      <c r="Z223" s="277"/>
      <c r="AA223" s="277"/>
      <c r="AB223" s="277"/>
      <c r="AC223" s="277"/>
      <c r="AD223" s="277"/>
      <c r="AE223" s="277"/>
      <c r="AF223" s="277"/>
      <c r="AG223" s="277" t="s">
        <v>53</v>
      </c>
      <c r="AH223" s="277" t="s">
        <v>54</v>
      </c>
      <c r="AI223" s="277"/>
      <c r="AJ223" s="291"/>
      <c r="AK223" s="291"/>
      <c r="AL223" s="277"/>
      <c r="AM223" s="277"/>
      <c r="AN223" s="277"/>
      <c r="AO223" s="285"/>
      <c r="AP223" s="285"/>
      <c r="AR223" s="121">
        <f t="shared" si="76"/>
        <v>1</v>
      </c>
      <c r="AS223" s="121" t="str">
        <f t="shared" si="77"/>
        <v>2021_03_16_a</v>
      </c>
      <c r="AT223" s="122"/>
      <c r="AU223" s="121" t="str">
        <f t="shared" si="78"/>
        <v>2021</v>
      </c>
      <c r="AV223" s="121" t="str">
        <f t="shared" si="79"/>
        <v>03</v>
      </c>
      <c r="AW223" s="121" t="str">
        <f t="shared" si="80"/>
        <v>16</v>
      </c>
      <c r="AX223" s="121">
        <f t="shared" si="81"/>
        <v>44271</v>
      </c>
      <c r="AY223" s="123"/>
      <c r="AZ223" s="124">
        <f t="shared" si="82"/>
        <v>44271</v>
      </c>
      <c r="BA223" s="121" t="b">
        <f t="shared" si="83"/>
        <v>1</v>
      </c>
      <c r="BB223" s="121">
        <f t="shared" si="84"/>
        <v>44271</v>
      </c>
      <c r="BC223" s="121" t="str">
        <f t="shared" si="85"/>
        <v>no</v>
      </c>
      <c r="BD223" s="121" t="b">
        <f t="shared" si="86"/>
        <v>0</v>
      </c>
      <c r="BE223" s="125" t="s">
        <v>56</v>
      </c>
      <c r="BF223" s="287"/>
    </row>
    <row r="224" spans="1:58" s="276" customFormat="1" ht="154">
      <c r="A224" s="283"/>
      <c r="B224" s="281" t="s">
        <v>550</v>
      </c>
      <c r="C224" s="283"/>
      <c r="D224" s="283">
        <v>10099872</v>
      </c>
      <c r="E224" s="283"/>
      <c r="F224" s="525" t="s">
        <v>535</v>
      </c>
      <c r="G224" s="292" t="s">
        <v>551</v>
      </c>
      <c r="H224" s="293">
        <v>44299</v>
      </c>
      <c r="I224" s="289"/>
      <c r="J224" s="290">
        <f t="shared" si="89"/>
        <v>44313</v>
      </c>
      <c r="K224" s="289"/>
      <c r="L224" s="289"/>
      <c r="M224" s="289"/>
      <c r="N224" s="289"/>
      <c r="O224" s="289"/>
      <c r="P224" s="289"/>
      <c r="Q224" s="277" t="s">
        <v>78</v>
      </c>
      <c r="R224" s="277" t="s">
        <v>548</v>
      </c>
      <c r="S224" s="277">
        <f t="shared" si="88"/>
        <v>22</v>
      </c>
      <c r="T224" s="277"/>
      <c r="U224" s="277">
        <v>0</v>
      </c>
      <c r="V224" s="277">
        <v>22</v>
      </c>
      <c r="W224" s="277"/>
      <c r="X224" s="277"/>
      <c r="Y224" s="277"/>
      <c r="Z224" s="277"/>
      <c r="AA224" s="277"/>
      <c r="AB224" s="277"/>
      <c r="AC224" s="277"/>
      <c r="AD224" s="277"/>
      <c r="AE224" s="277"/>
      <c r="AF224" s="277"/>
      <c r="AG224" s="277" t="s">
        <v>53</v>
      </c>
      <c r="AH224" s="277" t="s">
        <v>54</v>
      </c>
      <c r="AI224" s="277"/>
      <c r="AJ224" s="291"/>
      <c r="AK224" s="291"/>
      <c r="AL224" s="277"/>
      <c r="AM224" s="277"/>
      <c r="AN224" s="277"/>
      <c r="AO224" s="285"/>
      <c r="AP224" s="285"/>
      <c r="AR224" s="121">
        <f t="shared" si="76"/>
        <v>1</v>
      </c>
      <c r="AS224" s="121" t="str">
        <f t="shared" si="77"/>
        <v>2021_04_13_a</v>
      </c>
      <c r="AT224" s="122"/>
      <c r="AU224" s="121" t="str">
        <f t="shared" si="78"/>
        <v>2021</v>
      </c>
      <c r="AV224" s="121" t="str">
        <f t="shared" si="79"/>
        <v>04</v>
      </c>
      <c r="AW224" s="121" t="str">
        <f t="shared" si="80"/>
        <v>13</v>
      </c>
      <c r="AX224" s="121">
        <f t="shared" si="81"/>
        <v>44299</v>
      </c>
      <c r="AY224" s="123"/>
      <c r="AZ224" s="124">
        <f t="shared" si="82"/>
        <v>44299</v>
      </c>
      <c r="BA224" s="121" t="b">
        <f t="shared" si="83"/>
        <v>1</v>
      </c>
      <c r="BB224" s="121">
        <f t="shared" si="84"/>
        <v>44299</v>
      </c>
      <c r="BC224" s="121" t="str">
        <f t="shared" si="85"/>
        <v>no</v>
      </c>
      <c r="BD224" s="121" t="b">
        <f t="shared" si="86"/>
        <v>0</v>
      </c>
      <c r="BE224" s="125" t="s">
        <v>56</v>
      </c>
      <c r="BF224" s="287"/>
    </row>
    <row r="225" spans="1:58" s="276" customFormat="1" ht="154">
      <c r="A225" s="283"/>
      <c r="B225" s="281" t="s">
        <v>552</v>
      </c>
      <c r="C225" s="283"/>
      <c r="D225" s="283">
        <v>10099711</v>
      </c>
      <c r="E225" s="283"/>
      <c r="F225" s="525" t="s">
        <v>535</v>
      </c>
      <c r="G225" s="292" t="s">
        <v>551</v>
      </c>
      <c r="H225" s="293">
        <v>44306</v>
      </c>
      <c r="I225" s="289"/>
      <c r="J225" s="290">
        <f t="shared" si="89"/>
        <v>44320</v>
      </c>
      <c r="K225" s="289"/>
      <c r="L225" s="289"/>
      <c r="M225" s="289"/>
      <c r="N225" s="289"/>
      <c r="O225" s="289"/>
      <c r="P225" s="289"/>
      <c r="Q225" s="277" t="s">
        <v>78</v>
      </c>
      <c r="R225" s="277" t="s">
        <v>537</v>
      </c>
      <c r="S225" s="277">
        <f t="shared" si="88"/>
        <v>29</v>
      </c>
      <c r="T225" s="277"/>
      <c r="U225" s="277">
        <v>0</v>
      </c>
      <c r="V225" s="277">
        <v>29</v>
      </c>
      <c r="W225" s="277"/>
      <c r="X225" s="277"/>
      <c r="Y225" s="277"/>
      <c r="Z225" s="277"/>
      <c r="AA225" s="277"/>
      <c r="AB225" s="277"/>
      <c r="AC225" s="277"/>
      <c r="AD225" s="277"/>
      <c r="AE225" s="277"/>
      <c r="AF225" s="277"/>
      <c r="AG225" s="277" t="s">
        <v>53</v>
      </c>
      <c r="AH225" s="277" t="s">
        <v>54</v>
      </c>
      <c r="AI225" s="277"/>
      <c r="AJ225" s="291"/>
      <c r="AK225" s="291"/>
      <c r="AL225" s="277"/>
      <c r="AM225" s="277"/>
      <c r="AN225" s="277"/>
      <c r="AO225" s="285"/>
      <c r="AP225" s="285"/>
      <c r="AR225" s="121">
        <f t="shared" si="76"/>
        <v>1</v>
      </c>
      <c r="AS225" s="121" t="str">
        <f t="shared" si="77"/>
        <v>2021_04_20_a</v>
      </c>
      <c r="AT225" s="122"/>
      <c r="AU225" s="121" t="str">
        <f t="shared" si="78"/>
        <v>2021</v>
      </c>
      <c r="AV225" s="121" t="str">
        <f t="shared" si="79"/>
        <v>04</v>
      </c>
      <c r="AW225" s="121" t="str">
        <f t="shared" si="80"/>
        <v>20</v>
      </c>
      <c r="AX225" s="121">
        <f t="shared" si="81"/>
        <v>44306</v>
      </c>
      <c r="AY225" s="123"/>
      <c r="AZ225" s="124">
        <f t="shared" si="82"/>
        <v>44306</v>
      </c>
      <c r="BA225" s="121" t="b">
        <f t="shared" si="83"/>
        <v>1</v>
      </c>
      <c r="BB225" s="121">
        <f t="shared" si="84"/>
        <v>44306</v>
      </c>
      <c r="BC225" s="121" t="str">
        <f t="shared" si="85"/>
        <v>no</v>
      </c>
      <c r="BD225" s="121" t="b">
        <f t="shared" si="86"/>
        <v>0</v>
      </c>
      <c r="BE225" s="125" t="s">
        <v>56</v>
      </c>
      <c r="BF225" s="287"/>
    </row>
    <row r="226" spans="1:58" s="276" customFormat="1" ht="154">
      <c r="A226" s="283"/>
      <c r="B226" s="281" t="s">
        <v>553</v>
      </c>
      <c r="C226" s="283"/>
      <c r="D226" s="283">
        <v>10100928</v>
      </c>
      <c r="E226" s="283"/>
      <c r="F226" s="525" t="s">
        <v>535</v>
      </c>
      <c r="G226" s="292" t="s">
        <v>551</v>
      </c>
      <c r="H226" s="293">
        <v>44298</v>
      </c>
      <c r="I226" s="289"/>
      <c r="J226" s="290">
        <f t="shared" si="89"/>
        <v>44312</v>
      </c>
      <c r="K226" s="289"/>
      <c r="L226" s="289"/>
      <c r="M226" s="289"/>
      <c r="N226" s="289"/>
      <c r="O226" s="289"/>
      <c r="P226" s="289"/>
      <c r="Q226" s="277" t="s">
        <v>78</v>
      </c>
      <c r="R226" s="277" t="s">
        <v>545</v>
      </c>
      <c r="S226" s="277">
        <f t="shared" si="88"/>
        <v>33</v>
      </c>
      <c r="T226" s="277"/>
      <c r="U226" s="277">
        <v>0</v>
      </c>
      <c r="V226" s="277">
        <v>33</v>
      </c>
      <c r="W226" s="277" t="s">
        <v>538</v>
      </c>
      <c r="X226" s="277"/>
      <c r="Y226" s="277"/>
      <c r="Z226" s="277" t="s">
        <v>50</v>
      </c>
      <c r="AA226" s="277" t="s">
        <v>51</v>
      </c>
      <c r="AB226" s="277" t="s">
        <v>51</v>
      </c>
      <c r="AC226" s="277" t="s">
        <v>46</v>
      </c>
      <c r="AD226" s="277" t="s">
        <v>539</v>
      </c>
      <c r="AE226" s="277" t="s">
        <v>539</v>
      </c>
      <c r="AF226" s="277" t="s">
        <v>539</v>
      </c>
      <c r="AG226" s="277" t="s">
        <v>53</v>
      </c>
      <c r="AH226" s="277" t="s">
        <v>54</v>
      </c>
      <c r="AI226" s="277" t="s">
        <v>46</v>
      </c>
      <c r="AJ226" s="291"/>
      <c r="AK226" s="291"/>
      <c r="AL226" s="277" t="s">
        <v>540</v>
      </c>
      <c r="AM226" s="277"/>
      <c r="AN226" s="277"/>
      <c r="AO226" s="285"/>
      <c r="AP226" s="285"/>
      <c r="AR226" s="121">
        <f t="shared" si="76"/>
        <v>1</v>
      </c>
      <c r="AS226" s="121" t="str">
        <f t="shared" si="77"/>
        <v>2021_04_12_a</v>
      </c>
      <c r="AT226" s="122"/>
      <c r="AU226" s="121" t="str">
        <f t="shared" si="78"/>
        <v>2021</v>
      </c>
      <c r="AV226" s="121" t="str">
        <f t="shared" si="79"/>
        <v>04</v>
      </c>
      <c r="AW226" s="121" t="str">
        <f t="shared" si="80"/>
        <v>12</v>
      </c>
      <c r="AX226" s="121">
        <f t="shared" si="81"/>
        <v>44298</v>
      </c>
      <c r="AY226" s="123"/>
      <c r="AZ226" s="124">
        <f t="shared" si="82"/>
        <v>44298</v>
      </c>
      <c r="BA226" s="121" t="b">
        <f t="shared" si="83"/>
        <v>1</v>
      </c>
      <c r="BB226" s="121">
        <f t="shared" si="84"/>
        <v>44298</v>
      </c>
      <c r="BC226" s="121" t="str">
        <f t="shared" si="85"/>
        <v>no</v>
      </c>
      <c r="BD226" s="121" t="b">
        <f t="shared" si="86"/>
        <v>0</v>
      </c>
      <c r="BE226" s="125" t="s">
        <v>56</v>
      </c>
      <c r="BF226" s="287"/>
    </row>
    <row r="227" spans="1:58" s="276" customFormat="1" ht="154">
      <c r="A227" s="283" t="s">
        <v>541</v>
      </c>
      <c r="B227" s="281" t="s">
        <v>554</v>
      </c>
      <c r="C227" s="283"/>
      <c r="D227" s="283">
        <v>10100176</v>
      </c>
      <c r="E227" s="283"/>
      <c r="F227" s="525" t="s">
        <v>535</v>
      </c>
      <c r="G227" s="292" t="s">
        <v>555</v>
      </c>
      <c r="H227" s="293">
        <v>44326</v>
      </c>
      <c r="I227" s="289"/>
      <c r="J227" s="290">
        <f t="shared" si="89"/>
        <v>44340</v>
      </c>
      <c r="K227" s="289"/>
      <c r="L227" s="289"/>
      <c r="M227" s="289"/>
      <c r="N227" s="289"/>
      <c r="O227" s="289"/>
      <c r="P227" s="289"/>
      <c r="Q227" s="277" t="s">
        <v>78</v>
      </c>
      <c r="R227" s="277" t="s">
        <v>548</v>
      </c>
      <c r="S227" s="277">
        <f t="shared" si="88"/>
        <v>22</v>
      </c>
      <c r="T227" s="277"/>
      <c r="U227" s="277">
        <v>0</v>
      </c>
      <c r="V227" s="277">
        <v>22</v>
      </c>
      <c r="W227" s="277"/>
      <c r="X227" s="277"/>
      <c r="Y227" s="277"/>
      <c r="Z227" s="277"/>
      <c r="AA227" s="277"/>
      <c r="AB227" s="277"/>
      <c r="AC227" s="277"/>
      <c r="AD227" s="277"/>
      <c r="AE227" s="277"/>
      <c r="AF227" s="277"/>
      <c r="AG227" s="277" t="s">
        <v>53</v>
      </c>
      <c r="AH227" s="277" t="s">
        <v>54</v>
      </c>
      <c r="AI227" s="277"/>
      <c r="AJ227" s="291"/>
      <c r="AK227" s="291"/>
      <c r="AL227" s="277"/>
      <c r="AM227" s="277"/>
      <c r="AN227" s="277"/>
      <c r="AO227" s="285"/>
      <c r="AP227" s="285"/>
      <c r="AR227" s="121">
        <f t="shared" si="76"/>
        <v>1</v>
      </c>
      <c r="AS227" s="121" t="str">
        <f t="shared" si="77"/>
        <v>2021_05_10_a</v>
      </c>
      <c r="AT227" s="122"/>
      <c r="AU227" s="121" t="str">
        <f t="shared" si="78"/>
        <v>2021</v>
      </c>
      <c r="AV227" s="121" t="str">
        <f t="shared" si="79"/>
        <v>05</v>
      </c>
      <c r="AW227" s="121" t="str">
        <f t="shared" si="80"/>
        <v>10</v>
      </c>
      <c r="AX227" s="121">
        <f t="shared" si="81"/>
        <v>44326</v>
      </c>
      <c r="AY227" s="123"/>
      <c r="AZ227" s="124">
        <f t="shared" si="82"/>
        <v>44326</v>
      </c>
      <c r="BA227" s="121" t="b">
        <f t="shared" si="83"/>
        <v>1</v>
      </c>
      <c r="BB227" s="121">
        <f t="shared" si="84"/>
        <v>44326</v>
      </c>
      <c r="BC227" s="121" t="str">
        <f t="shared" si="85"/>
        <v>no</v>
      </c>
      <c r="BD227" s="121" t="b">
        <f t="shared" si="86"/>
        <v>0</v>
      </c>
      <c r="BE227" s="125" t="s">
        <v>56</v>
      </c>
      <c r="BF227" s="287"/>
    </row>
    <row r="228" spans="1:58" s="276" customFormat="1" ht="154">
      <c r="A228" s="283"/>
      <c r="B228" s="281" t="s">
        <v>556</v>
      </c>
      <c r="C228" s="283"/>
      <c r="D228" s="283">
        <v>10102216</v>
      </c>
      <c r="E228" s="283"/>
      <c r="F228" s="525" t="s">
        <v>535</v>
      </c>
      <c r="G228" s="292" t="s">
        <v>555</v>
      </c>
      <c r="H228" s="293">
        <v>44335</v>
      </c>
      <c r="I228" s="289"/>
      <c r="J228" s="290">
        <f t="shared" si="89"/>
        <v>44349</v>
      </c>
      <c r="K228" s="289"/>
      <c r="L228" s="289"/>
      <c r="M228" s="289"/>
      <c r="N228" s="289"/>
      <c r="O228" s="289"/>
      <c r="P228" s="289"/>
      <c r="Q228" s="277" t="s">
        <v>78</v>
      </c>
      <c r="R228" s="277" t="s">
        <v>545</v>
      </c>
      <c r="S228" s="277">
        <f t="shared" si="88"/>
        <v>20</v>
      </c>
      <c r="T228" s="277"/>
      <c r="U228" s="277">
        <v>0</v>
      </c>
      <c r="V228" s="277">
        <v>20</v>
      </c>
      <c r="W228" s="277"/>
      <c r="X228" s="277"/>
      <c r="Y228" s="277"/>
      <c r="Z228" s="277"/>
      <c r="AA228" s="277"/>
      <c r="AB228" s="277"/>
      <c r="AC228" s="277"/>
      <c r="AD228" s="277"/>
      <c r="AE228" s="277"/>
      <c r="AF228" s="277"/>
      <c r="AG228" s="277" t="s">
        <v>53</v>
      </c>
      <c r="AH228" s="277" t="s">
        <v>54</v>
      </c>
      <c r="AI228" s="277"/>
      <c r="AJ228" s="291"/>
      <c r="AK228" s="291"/>
      <c r="AL228" s="277"/>
      <c r="AM228" s="277"/>
      <c r="AN228" s="277"/>
      <c r="AO228" s="285"/>
      <c r="AP228" s="285"/>
      <c r="AR228" s="121">
        <f t="shared" si="76"/>
        <v>1</v>
      </c>
      <c r="AS228" s="121" t="str">
        <f t="shared" si="77"/>
        <v>2021_05_19_a</v>
      </c>
      <c r="AT228" s="122"/>
      <c r="AU228" s="121" t="str">
        <f t="shared" si="78"/>
        <v>2021</v>
      </c>
      <c r="AV228" s="121" t="str">
        <f t="shared" si="79"/>
        <v>05</v>
      </c>
      <c r="AW228" s="121" t="str">
        <f t="shared" si="80"/>
        <v>19</v>
      </c>
      <c r="AX228" s="121">
        <f t="shared" si="81"/>
        <v>44335</v>
      </c>
      <c r="AY228" s="123"/>
      <c r="AZ228" s="124">
        <f t="shared" si="82"/>
        <v>44335</v>
      </c>
      <c r="BA228" s="121" t="b">
        <f t="shared" si="83"/>
        <v>1</v>
      </c>
      <c r="BB228" s="121">
        <f t="shared" si="84"/>
        <v>44335</v>
      </c>
      <c r="BC228" s="121" t="str">
        <f t="shared" si="85"/>
        <v>no</v>
      </c>
      <c r="BD228" s="121" t="b">
        <f t="shared" si="86"/>
        <v>0</v>
      </c>
      <c r="BE228" s="125" t="s">
        <v>56</v>
      </c>
      <c r="BF228" s="287"/>
    </row>
    <row r="229" spans="1:58" s="276" customFormat="1" ht="154">
      <c r="A229" s="283"/>
      <c r="B229" s="281" t="s">
        <v>557</v>
      </c>
      <c r="C229" s="283"/>
      <c r="D229" s="283">
        <v>10101988</v>
      </c>
      <c r="E229" s="283"/>
      <c r="F229" s="525" t="s">
        <v>535</v>
      </c>
      <c r="G229" s="292" t="s">
        <v>555</v>
      </c>
      <c r="H229" s="293">
        <v>44334</v>
      </c>
      <c r="I229" s="289"/>
      <c r="J229" s="290">
        <f t="shared" si="89"/>
        <v>44348</v>
      </c>
      <c r="K229" s="289"/>
      <c r="L229" s="289"/>
      <c r="M229" s="289"/>
      <c r="N229" s="289"/>
      <c r="O229" s="289"/>
      <c r="P229" s="289"/>
      <c r="Q229" s="277" t="s">
        <v>78</v>
      </c>
      <c r="R229" s="277" t="s">
        <v>537</v>
      </c>
      <c r="S229" s="277">
        <f t="shared" si="88"/>
        <v>60</v>
      </c>
      <c r="T229" s="277"/>
      <c r="U229" s="277">
        <v>0</v>
      </c>
      <c r="V229" s="277">
        <v>60</v>
      </c>
      <c r="W229" s="277"/>
      <c r="X229" s="277"/>
      <c r="Y229" s="277"/>
      <c r="Z229" s="277"/>
      <c r="AA229" s="277"/>
      <c r="AB229" s="277"/>
      <c r="AC229" s="277"/>
      <c r="AD229" s="277"/>
      <c r="AE229" s="277"/>
      <c r="AF229" s="277"/>
      <c r="AG229" s="277" t="s">
        <v>53</v>
      </c>
      <c r="AH229" s="277" t="s">
        <v>54</v>
      </c>
      <c r="AI229" s="277"/>
      <c r="AJ229" s="291"/>
      <c r="AK229" s="291"/>
      <c r="AL229" s="277"/>
      <c r="AM229" s="277"/>
      <c r="AN229" s="277"/>
      <c r="AO229" s="285"/>
      <c r="AP229" s="285"/>
      <c r="AR229" s="121">
        <f t="shared" si="76"/>
        <v>1</v>
      </c>
      <c r="AS229" s="121" t="str">
        <f t="shared" si="77"/>
        <v>2021_05_18_a</v>
      </c>
      <c r="AT229" s="122"/>
      <c r="AU229" s="121" t="str">
        <f t="shared" si="78"/>
        <v>2021</v>
      </c>
      <c r="AV229" s="121" t="str">
        <f t="shared" si="79"/>
        <v>05</v>
      </c>
      <c r="AW229" s="121" t="str">
        <f t="shared" si="80"/>
        <v>18</v>
      </c>
      <c r="AX229" s="121">
        <f t="shared" si="81"/>
        <v>44334</v>
      </c>
      <c r="AY229" s="123"/>
      <c r="AZ229" s="124">
        <f t="shared" si="82"/>
        <v>44334</v>
      </c>
      <c r="BA229" s="121" t="b">
        <f t="shared" si="83"/>
        <v>1</v>
      </c>
      <c r="BB229" s="121">
        <f t="shared" si="84"/>
        <v>44334</v>
      </c>
      <c r="BC229" s="121" t="str">
        <f t="shared" si="85"/>
        <v>no</v>
      </c>
      <c r="BD229" s="121" t="b">
        <f t="shared" si="86"/>
        <v>0</v>
      </c>
      <c r="BE229" s="125" t="s">
        <v>56</v>
      </c>
      <c r="BF229" s="287"/>
    </row>
    <row r="230" spans="1:58" s="276" customFormat="1" ht="154">
      <c r="A230" s="283"/>
      <c r="B230" s="281" t="s">
        <v>558</v>
      </c>
      <c r="C230" s="283"/>
      <c r="D230" s="283">
        <v>10100177</v>
      </c>
      <c r="E230" s="283"/>
      <c r="F230" s="525" t="s">
        <v>535</v>
      </c>
      <c r="G230" s="292" t="s">
        <v>559</v>
      </c>
      <c r="H230" s="293">
        <v>44350</v>
      </c>
      <c r="I230" s="289"/>
      <c r="J230" s="290">
        <f t="shared" si="89"/>
        <v>44364</v>
      </c>
      <c r="K230" s="289"/>
      <c r="L230" s="289"/>
      <c r="M230" s="289"/>
      <c r="N230" s="289"/>
      <c r="O230" s="289"/>
      <c r="P230" s="289"/>
      <c r="Q230" s="277" t="s">
        <v>78</v>
      </c>
      <c r="R230" s="277" t="s">
        <v>548</v>
      </c>
      <c r="S230" s="277">
        <f t="shared" si="88"/>
        <v>9</v>
      </c>
      <c r="T230" s="277"/>
      <c r="U230" s="277">
        <v>0</v>
      </c>
      <c r="V230" s="277">
        <v>9</v>
      </c>
      <c r="W230" s="277"/>
      <c r="X230" s="277"/>
      <c r="Y230" s="277"/>
      <c r="Z230" s="277"/>
      <c r="AA230" s="277"/>
      <c r="AB230" s="277"/>
      <c r="AC230" s="277"/>
      <c r="AD230" s="277"/>
      <c r="AE230" s="277"/>
      <c r="AF230" s="277"/>
      <c r="AG230" s="277" t="s">
        <v>53</v>
      </c>
      <c r="AH230" s="277" t="s">
        <v>54</v>
      </c>
      <c r="AI230" s="277"/>
      <c r="AJ230" s="291"/>
      <c r="AK230" s="291"/>
      <c r="AL230" s="277"/>
      <c r="AM230" s="277"/>
      <c r="AN230" s="277"/>
      <c r="AO230" s="285"/>
      <c r="AP230" s="285"/>
      <c r="AR230" s="121">
        <f t="shared" si="76"/>
        <v>1</v>
      </c>
      <c r="AS230" s="121" t="str">
        <f t="shared" si="77"/>
        <v>2021_06_03_a</v>
      </c>
      <c r="AT230" s="122"/>
      <c r="AU230" s="121" t="str">
        <f t="shared" si="78"/>
        <v>2021</v>
      </c>
      <c r="AV230" s="121" t="str">
        <f t="shared" si="79"/>
        <v>06</v>
      </c>
      <c r="AW230" s="121" t="str">
        <f t="shared" si="80"/>
        <v>03</v>
      </c>
      <c r="AX230" s="121">
        <f t="shared" si="81"/>
        <v>44350</v>
      </c>
      <c r="AY230" s="123"/>
      <c r="AZ230" s="124">
        <f t="shared" si="82"/>
        <v>44350</v>
      </c>
      <c r="BA230" s="121" t="b">
        <f t="shared" si="83"/>
        <v>1</v>
      </c>
      <c r="BB230" s="121">
        <f t="shared" si="84"/>
        <v>44350</v>
      </c>
      <c r="BC230" s="121" t="str">
        <f t="shared" si="85"/>
        <v>no</v>
      </c>
      <c r="BD230" s="121" t="b">
        <f t="shared" si="86"/>
        <v>0</v>
      </c>
      <c r="BE230" s="125" t="s">
        <v>56</v>
      </c>
      <c r="BF230" s="287"/>
    </row>
    <row r="231" spans="1:58" s="276" customFormat="1" ht="154">
      <c r="A231" s="283"/>
      <c r="B231" s="281" t="s">
        <v>560</v>
      </c>
      <c r="C231" s="283"/>
      <c r="D231" s="283">
        <v>10101989</v>
      </c>
      <c r="E231" s="283"/>
      <c r="F231" s="525" t="s">
        <v>535</v>
      </c>
      <c r="G231" s="292" t="s">
        <v>559</v>
      </c>
      <c r="H231" s="293">
        <v>44362</v>
      </c>
      <c r="I231" s="289"/>
      <c r="J231" s="290">
        <f t="shared" si="89"/>
        <v>44376</v>
      </c>
      <c r="K231" s="289"/>
      <c r="L231" s="289"/>
      <c r="M231" s="289"/>
      <c r="N231" s="289"/>
      <c r="O231" s="289"/>
      <c r="P231" s="289"/>
      <c r="Q231" s="277" t="s">
        <v>78</v>
      </c>
      <c r="R231" s="277" t="s">
        <v>537</v>
      </c>
      <c r="S231" s="277">
        <f t="shared" si="88"/>
        <v>26</v>
      </c>
      <c r="T231" s="277"/>
      <c r="U231" s="277">
        <v>0</v>
      </c>
      <c r="V231" s="277">
        <v>26</v>
      </c>
      <c r="W231" s="277"/>
      <c r="X231" s="277"/>
      <c r="Y231" s="277"/>
      <c r="Z231" s="277"/>
      <c r="AA231" s="277"/>
      <c r="AB231" s="277"/>
      <c r="AC231" s="277"/>
      <c r="AD231" s="277"/>
      <c r="AE231" s="277"/>
      <c r="AF231" s="277"/>
      <c r="AG231" s="277" t="s">
        <v>53</v>
      </c>
      <c r="AH231" s="277" t="s">
        <v>54</v>
      </c>
      <c r="AI231" s="277"/>
      <c r="AJ231" s="291"/>
      <c r="AK231" s="291"/>
      <c r="AL231" s="277"/>
      <c r="AM231" s="277"/>
      <c r="AN231" s="277"/>
      <c r="AO231" s="285"/>
      <c r="AP231" s="285"/>
      <c r="AR231" s="121">
        <f t="shared" si="76"/>
        <v>1</v>
      </c>
      <c r="AS231" s="121" t="str">
        <f t="shared" si="77"/>
        <v>2021_06_15_a</v>
      </c>
      <c r="AT231" s="122"/>
      <c r="AU231" s="121" t="str">
        <f t="shared" si="78"/>
        <v>2021</v>
      </c>
      <c r="AV231" s="121" t="str">
        <f t="shared" si="79"/>
        <v>06</v>
      </c>
      <c r="AW231" s="121" t="str">
        <f t="shared" si="80"/>
        <v>15</v>
      </c>
      <c r="AX231" s="121">
        <f t="shared" si="81"/>
        <v>44362</v>
      </c>
      <c r="AY231" s="123"/>
      <c r="AZ231" s="124">
        <f t="shared" si="82"/>
        <v>44362</v>
      </c>
      <c r="BA231" s="121" t="b">
        <f t="shared" si="83"/>
        <v>1</v>
      </c>
      <c r="BB231" s="121">
        <f t="shared" si="84"/>
        <v>44362</v>
      </c>
      <c r="BC231" s="121" t="str">
        <f t="shared" si="85"/>
        <v>no</v>
      </c>
      <c r="BD231" s="121" t="b">
        <f t="shared" si="86"/>
        <v>0</v>
      </c>
      <c r="BE231" s="125" t="s">
        <v>56</v>
      </c>
      <c r="BF231" s="287"/>
    </row>
    <row r="232" spans="1:58" s="276" customFormat="1" ht="154">
      <c r="A232" s="283"/>
      <c r="B232" s="281" t="s">
        <v>561</v>
      </c>
      <c r="C232" s="283"/>
      <c r="D232" s="283">
        <v>10103422</v>
      </c>
      <c r="E232" s="283"/>
      <c r="F232" s="525" t="s">
        <v>535</v>
      </c>
      <c r="G232" s="292" t="s">
        <v>559</v>
      </c>
      <c r="H232" s="293">
        <v>44376</v>
      </c>
      <c r="I232" s="289"/>
      <c r="J232" s="290">
        <f t="shared" si="89"/>
        <v>44390</v>
      </c>
      <c r="K232" s="289"/>
      <c r="L232" s="289"/>
      <c r="M232" s="289"/>
      <c r="N232" s="289"/>
      <c r="O232" s="289"/>
      <c r="P232" s="289"/>
      <c r="Q232" s="277" t="s">
        <v>78</v>
      </c>
      <c r="R232" s="277" t="s">
        <v>545</v>
      </c>
      <c r="S232" s="277">
        <f t="shared" si="88"/>
        <v>20</v>
      </c>
      <c r="T232" s="277"/>
      <c r="U232" s="277">
        <v>0</v>
      </c>
      <c r="V232" s="277">
        <v>20</v>
      </c>
      <c r="W232" s="277"/>
      <c r="X232" s="277"/>
      <c r="Y232" s="277"/>
      <c r="Z232" s="277"/>
      <c r="AA232" s="277"/>
      <c r="AB232" s="277"/>
      <c r="AC232" s="277"/>
      <c r="AD232" s="277"/>
      <c r="AE232" s="277"/>
      <c r="AF232" s="277"/>
      <c r="AG232" s="277" t="s">
        <v>53</v>
      </c>
      <c r="AH232" s="277" t="s">
        <v>54</v>
      </c>
      <c r="AI232" s="277"/>
      <c r="AJ232" s="291"/>
      <c r="AK232" s="291"/>
      <c r="AL232" s="277"/>
      <c r="AM232" s="277"/>
      <c r="AN232" s="277"/>
      <c r="AO232" s="285"/>
      <c r="AP232" s="285"/>
      <c r="AR232" s="121">
        <f t="shared" si="76"/>
        <v>1</v>
      </c>
      <c r="AS232" s="121" t="str">
        <f t="shared" si="77"/>
        <v>2021_06_29_a</v>
      </c>
      <c r="AT232" s="122"/>
      <c r="AU232" s="121" t="str">
        <f t="shared" si="78"/>
        <v>2021</v>
      </c>
      <c r="AV232" s="121" t="str">
        <f t="shared" si="79"/>
        <v>06</v>
      </c>
      <c r="AW232" s="121" t="str">
        <f t="shared" si="80"/>
        <v>29</v>
      </c>
      <c r="AX232" s="121">
        <f t="shared" si="81"/>
        <v>44376</v>
      </c>
      <c r="AY232" s="123"/>
      <c r="AZ232" s="124">
        <f t="shared" si="82"/>
        <v>44376</v>
      </c>
      <c r="BA232" s="121" t="b">
        <f t="shared" si="83"/>
        <v>1</v>
      </c>
      <c r="BB232" s="121">
        <f t="shared" si="84"/>
        <v>44376</v>
      </c>
      <c r="BC232" s="121" t="str">
        <f t="shared" si="85"/>
        <v>no</v>
      </c>
      <c r="BD232" s="121" t="b">
        <f t="shared" si="86"/>
        <v>0</v>
      </c>
      <c r="BE232" s="125" t="s">
        <v>56</v>
      </c>
      <c r="BF232" s="287"/>
    </row>
    <row r="233" spans="1:58" s="276" customFormat="1" ht="154">
      <c r="A233" s="283"/>
      <c r="B233" s="281" t="s">
        <v>562</v>
      </c>
      <c r="C233" s="283"/>
      <c r="D233" s="283">
        <v>10103793</v>
      </c>
      <c r="E233" s="283"/>
      <c r="F233" s="525" t="s">
        <v>535</v>
      </c>
      <c r="G233" s="292" t="s">
        <v>559</v>
      </c>
      <c r="H233" s="293">
        <v>44377</v>
      </c>
      <c r="I233" s="289"/>
      <c r="J233" s="290">
        <f t="shared" si="89"/>
        <v>44391</v>
      </c>
      <c r="K233" s="289"/>
      <c r="L233" s="289"/>
      <c r="M233" s="289"/>
      <c r="N233" s="289"/>
      <c r="O233" s="289"/>
      <c r="P233" s="289"/>
      <c r="Q233" s="277" t="s">
        <v>78</v>
      </c>
      <c r="R233" s="277" t="s">
        <v>548</v>
      </c>
      <c r="S233" s="277">
        <f t="shared" si="88"/>
        <v>38</v>
      </c>
      <c r="T233" s="277"/>
      <c r="U233" s="277">
        <v>0</v>
      </c>
      <c r="V233" s="277">
        <v>38</v>
      </c>
      <c r="W233" s="277"/>
      <c r="X233" s="277"/>
      <c r="Y233" s="277"/>
      <c r="Z233" s="277"/>
      <c r="AA233" s="277"/>
      <c r="AB233" s="277"/>
      <c r="AC233" s="277"/>
      <c r="AD233" s="277"/>
      <c r="AE233" s="277"/>
      <c r="AF233" s="277"/>
      <c r="AG233" s="277" t="s">
        <v>53</v>
      </c>
      <c r="AH233" s="277" t="s">
        <v>54</v>
      </c>
      <c r="AI233" s="277"/>
      <c r="AJ233" s="291"/>
      <c r="AK233" s="291"/>
      <c r="AL233" s="277"/>
      <c r="AM233" s="277"/>
      <c r="AN233" s="277"/>
      <c r="AO233" s="285"/>
      <c r="AP233" s="285"/>
      <c r="AR233" s="121">
        <f t="shared" si="76"/>
        <v>1</v>
      </c>
      <c r="AS233" s="121" t="str">
        <f t="shared" si="77"/>
        <v>2021_06_30_a</v>
      </c>
      <c r="AT233" s="122"/>
      <c r="AU233" s="121" t="str">
        <f t="shared" si="78"/>
        <v>2021</v>
      </c>
      <c r="AV233" s="121" t="str">
        <f t="shared" si="79"/>
        <v>06</v>
      </c>
      <c r="AW233" s="121" t="str">
        <f t="shared" si="80"/>
        <v>30</v>
      </c>
      <c r="AX233" s="121">
        <f t="shared" si="81"/>
        <v>44377</v>
      </c>
      <c r="AY233" s="123"/>
      <c r="AZ233" s="124">
        <f t="shared" si="82"/>
        <v>44377</v>
      </c>
      <c r="BA233" s="121" t="b">
        <f t="shared" si="83"/>
        <v>1</v>
      </c>
      <c r="BB233" s="121">
        <f t="shared" si="84"/>
        <v>44377</v>
      </c>
      <c r="BC233" s="121" t="str">
        <f t="shared" si="85"/>
        <v>no</v>
      </c>
      <c r="BD233" s="121" t="b">
        <f t="shared" si="86"/>
        <v>0</v>
      </c>
      <c r="BE233" s="125" t="s">
        <v>56</v>
      </c>
      <c r="BF233" s="287"/>
    </row>
    <row r="234" spans="1:58" s="276" customFormat="1" ht="154">
      <c r="A234" s="283"/>
      <c r="B234" s="281" t="s">
        <v>563</v>
      </c>
      <c r="C234" s="283"/>
      <c r="D234" s="283">
        <v>10102784</v>
      </c>
      <c r="E234" s="283"/>
      <c r="F234" s="525" t="s">
        <v>535</v>
      </c>
      <c r="G234" s="292" t="s">
        <v>564</v>
      </c>
      <c r="H234" s="293">
        <v>44397</v>
      </c>
      <c r="I234" s="289"/>
      <c r="J234" s="290">
        <f t="shared" si="89"/>
        <v>44411</v>
      </c>
      <c r="K234" s="289"/>
      <c r="L234" s="289"/>
      <c r="M234" s="289"/>
      <c r="N234" s="289"/>
      <c r="O234" s="289"/>
      <c r="P234" s="289"/>
      <c r="Q234" s="277" t="s">
        <v>99</v>
      </c>
      <c r="R234" s="277" t="s">
        <v>537</v>
      </c>
      <c r="S234" s="277">
        <f t="shared" si="88"/>
        <v>20</v>
      </c>
      <c r="T234" s="277"/>
      <c r="U234" s="277">
        <v>0</v>
      </c>
      <c r="V234" s="277">
        <v>20</v>
      </c>
      <c r="W234" s="277"/>
      <c r="X234" s="277"/>
      <c r="Y234" s="277"/>
      <c r="Z234" s="277"/>
      <c r="AA234" s="277"/>
      <c r="AB234" s="277"/>
      <c r="AC234" s="277"/>
      <c r="AD234" s="277"/>
      <c r="AE234" s="277"/>
      <c r="AF234" s="277"/>
      <c r="AG234" s="277" t="s">
        <v>53</v>
      </c>
      <c r="AH234" s="277" t="s">
        <v>54</v>
      </c>
      <c r="AI234" s="277"/>
      <c r="AJ234" s="291"/>
      <c r="AK234" s="291"/>
      <c r="AL234" s="277"/>
      <c r="AM234" s="277"/>
      <c r="AN234" s="277"/>
      <c r="AO234" s="285"/>
      <c r="AP234" s="285"/>
      <c r="AR234" s="121">
        <f t="shared" si="76"/>
        <v>1</v>
      </c>
      <c r="AS234" s="121" t="str">
        <f t="shared" si="77"/>
        <v>2021_07_20_a</v>
      </c>
      <c r="AT234" s="122"/>
      <c r="AU234" s="121" t="str">
        <f t="shared" si="78"/>
        <v>2021</v>
      </c>
      <c r="AV234" s="121" t="str">
        <f t="shared" si="79"/>
        <v>07</v>
      </c>
      <c r="AW234" s="121" t="str">
        <f t="shared" si="80"/>
        <v>20</v>
      </c>
      <c r="AX234" s="121">
        <f t="shared" si="81"/>
        <v>44397</v>
      </c>
      <c r="AY234" s="123"/>
      <c r="AZ234" s="124">
        <f t="shared" si="82"/>
        <v>44397</v>
      </c>
      <c r="BA234" s="121" t="b">
        <f t="shared" si="83"/>
        <v>1</v>
      </c>
      <c r="BB234" s="121">
        <f t="shared" si="84"/>
        <v>44397</v>
      </c>
      <c r="BC234" s="121" t="str">
        <f t="shared" si="85"/>
        <v>no</v>
      </c>
      <c r="BD234" s="121" t="b">
        <f t="shared" si="86"/>
        <v>0</v>
      </c>
      <c r="BE234" s="125" t="s">
        <v>56</v>
      </c>
      <c r="BF234" s="287"/>
    </row>
    <row r="235" spans="1:58" s="276" customFormat="1" ht="154">
      <c r="A235" s="283"/>
      <c r="B235" s="281" t="s">
        <v>565</v>
      </c>
      <c r="C235" s="283"/>
      <c r="D235" s="283">
        <v>10095540</v>
      </c>
      <c r="E235" s="283"/>
      <c r="F235" s="525" t="s">
        <v>535</v>
      </c>
      <c r="G235" s="292" t="s">
        <v>566</v>
      </c>
      <c r="H235" s="293">
        <v>44417</v>
      </c>
      <c r="I235" s="289"/>
      <c r="J235" s="290">
        <f t="shared" si="89"/>
        <v>44431</v>
      </c>
      <c r="K235" s="289"/>
      <c r="L235" s="289"/>
      <c r="M235" s="289"/>
      <c r="N235" s="289"/>
      <c r="O235" s="289"/>
      <c r="P235" s="289"/>
      <c r="Q235" s="277" t="s">
        <v>99</v>
      </c>
      <c r="R235" s="277" t="s">
        <v>545</v>
      </c>
      <c r="S235" s="277">
        <f t="shared" si="88"/>
        <v>27</v>
      </c>
      <c r="T235" s="277"/>
      <c r="U235" s="277">
        <v>0</v>
      </c>
      <c r="V235" s="277">
        <v>27</v>
      </c>
      <c r="W235" s="277"/>
      <c r="X235" s="277"/>
      <c r="Y235" s="277"/>
      <c r="Z235" s="277"/>
      <c r="AA235" s="277"/>
      <c r="AB235" s="277"/>
      <c r="AC235" s="277"/>
      <c r="AD235" s="277"/>
      <c r="AE235" s="277"/>
      <c r="AF235" s="277"/>
      <c r="AG235" s="277" t="s">
        <v>53</v>
      </c>
      <c r="AH235" s="277" t="s">
        <v>54</v>
      </c>
      <c r="AI235" s="277"/>
      <c r="AJ235" s="291"/>
      <c r="AK235" s="291"/>
      <c r="AL235" s="277"/>
      <c r="AM235" s="277"/>
      <c r="AN235" s="277"/>
      <c r="AO235" s="285"/>
      <c r="AP235" s="285"/>
      <c r="AR235" s="121">
        <f t="shared" si="76"/>
        <v>1</v>
      </c>
      <c r="AS235" s="121" t="str">
        <f t="shared" si="77"/>
        <v>2021_08_09_a</v>
      </c>
      <c r="AT235" s="122"/>
      <c r="AU235" s="121" t="str">
        <f t="shared" si="78"/>
        <v>2021</v>
      </c>
      <c r="AV235" s="121" t="str">
        <f t="shared" si="79"/>
        <v>08</v>
      </c>
      <c r="AW235" s="121" t="str">
        <f t="shared" si="80"/>
        <v>09</v>
      </c>
      <c r="AX235" s="121">
        <f t="shared" si="81"/>
        <v>44417</v>
      </c>
      <c r="AY235" s="123"/>
      <c r="AZ235" s="124">
        <f t="shared" si="82"/>
        <v>44417</v>
      </c>
      <c r="BA235" s="121" t="b">
        <f t="shared" si="83"/>
        <v>1</v>
      </c>
      <c r="BB235" s="121">
        <f t="shared" si="84"/>
        <v>44417</v>
      </c>
      <c r="BC235" s="121" t="str">
        <f t="shared" si="85"/>
        <v>no</v>
      </c>
      <c r="BD235" s="121" t="b">
        <f t="shared" si="86"/>
        <v>0</v>
      </c>
      <c r="BE235" s="125" t="s">
        <v>56</v>
      </c>
      <c r="BF235" s="287"/>
    </row>
    <row r="236" spans="1:58" s="276" customFormat="1" ht="154">
      <c r="A236" s="283"/>
      <c r="B236" s="283" t="s">
        <v>567</v>
      </c>
      <c r="C236" s="283"/>
      <c r="D236" s="283">
        <v>10103794</v>
      </c>
      <c r="E236" s="283"/>
      <c r="F236" s="525" t="s">
        <v>535</v>
      </c>
      <c r="G236" s="292" t="s">
        <v>564</v>
      </c>
      <c r="H236" s="293">
        <v>44406</v>
      </c>
      <c r="I236" s="289"/>
      <c r="J236" s="290">
        <f t="shared" si="89"/>
        <v>44420</v>
      </c>
      <c r="K236" s="289"/>
      <c r="L236" s="289"/>
      <c r="M236" s="289"/>
      <c r="N236" s="289"/>
      <c r="O236" s="289"/>
      <c r="P236" s="289"/>
      <c r="Q236" s="277" t="s">
        <v>99</v>
      </c>
      <c r="R236" s="277" t="s">
        <v>548</v>
      </c>
      <c r="S236" s="277">
        <f t="shared" si="88"/>
        <v>25</v>
      </c>
      <c r="T236" s="277"/>
      <c r="U236" s="277">
        <v>0</v>
      </c>
      <c r="V236" s="277">
        <v>25</v>
      </c>
      <c r="W236" s="277"/>
      <c r="X236" s="277"/>
      <c r="Y236" s="277"/>
      <c r="Z236" s="277"/>
      <c r="AA236" s="277"/>
      <c r="AB236" s="277"/>
      <c r="AC236" s="277"/>
      <c r="AD236" s="277"/>
      <c r="AE236" s="277"/>
      <c r="AF236" s="277"/>
      <c r="AG236" s="277" t="s">
        <v>53</v>
      </c>
      <c r="AH236" s="277" t="s">
        <v>54</v>
      </c>
      <c r="AI236" s="277"/>
      <c r="AJ236" s="291"/>
      <c r="AK236" s="291"/>
      <c r="AL236" s="277"/>
      <c r="AM236" s="277"/>
      <c r="AN236" s="277"/>
      <c r="AO236" s="285"/>
      <c r="AP236" s="285"/>
      <c r="AR236" s="121">
        <f t="shared" si="76"/>
        <v>1</v>
      </c>
      <c r="AS236" s="121" t="str">
        <f t="shared" si="77"/>
        <v>2021_07_29_a</v>
      </c>
      <c r="AT236" s="122"/>
      <c r="AU236" s="121" t="str">
        <f t="shared" si="78"/>
        <v>2021</v>
      </c>
      <c r="AV236" s="121" t="str">
        <f t="shared" si="79"/>
        <v>07</v>
      </c>
      <c r="AW236" s="121" t="str">
        <f t="shared" si="80"/>
        <v>29</v>
      </c>
      <c r="AX236" s="121">
        <f t="shared" si="81"/>
        <v>44406</v>
      </c>
      <c r="AY236" s="123"/>
      <c r="AZ236" s="124">
        <f t="shared" si="82"/>
        <v>44406</v>
      </c>
      <c r="BA236" s="121" t="b">
        <f t="shared" si="83"/>
        <v>1</v>
      </c>
      <c r="BB236" s="121">
        <f t="shared" si="84"/>
        <v>44406</v>
      </c>
      <c r="BC236" s="121" t="str">
        <f t="shared" si="85"/>
        <v>no</v>
      </c>
      <c r="BD236" s="121" t="b">
        <f t="shared" si="86"/>
        <v>0</v>
      </c>
      <c r="BE236" s="125" t="s">
        <v>56</v>
      </c>
      <c r="BF236" s="287"/>
    </row>
    <row r="237" spans="1:58" s="276" customFormat="1" ht="154">
      <c r="A237" s="283"/>
      <c r="B237" s="283" t="s">
        <v>568</v>
      </c>
      <c r="C237" s="283"/>
      <c r="D237" s="283">
        <v>10104488</v>
      </c>
      <c r="E237" s="283"/>
      <c r="F237" s="525" t="s">
        <v>535</v>
      </c>
      <c r="G237" s="292" t="s">
        <v>566</v>
      </c>
      <c r="H237" s="293">
        <v>44425</v>
      </c>
      <c r="I237" s="289"/>
      <c r="J237" s="290">
        <f t="shared" si="89"/>
        <v>44439</v>
      </c>
      <c r="K237" s="289"/>
      <c r="L237" s="289"/>
      <c r="M237" s="289"/>
      <c r="N237" s="289"/>
      <c r="O237" s="289"/>
      <c r="P237" s="289"/>
      <c r="Q237" s="277" t="s">
        <v>99</v>
      </c>
      <c r="R237" s="277" t="s">
        <v>537</v>
      </c>
      <c r="S237" s="277">
        <f t="shared" si="88"/>
        <v>14</v>
      </c>
      <c r="T237" s="277"/>
      <c r="U237" s="277">
        <v>0</v>
      </c>
      <c r="V237" s="277">
        <v>14</v>
      </c>
      <c r="W237" s="277"/>
      <c r="X237" s="277"/>
      <c r="Y237" s="277"/>
      <c r="Z237" s="277"/>
      <c r="AA237" s="277"/>
      <c r="AB237" s="277"/>
      <c r="AC237" s="277"/>
      <c r="AD237" s="277"/>
      <c r="AE237" s="277"/>
      <c r="AF237" s="277"/>
      <c r="AG237" s="277" t="s">
        <v>53</v>
      </c>
      <c r="AH237" s="277" t="s">
        <v>54</v>
      </c>
      <c r="AI237" s="277"/>
      <c r="AJ237" s="291"/>
      <c r="AK237" s="291"/>
      <c r="AL237" s="277"/>
      <c r="AM237" s="277"/>
      <c r="AN237" s="277"/>
      <c r="AO237" s="285"/>
      <c r="AP237" s="285"/>
      <c r="AR237" s="121">
        <f t="shared" si="76"/>
        <v>1</v>
      </c>
      <c r="AS237" s="121" t="str">
        <f t="shared" si="77"/>
        <v>2021_08_17_a</v>
      </c>
      <c r="AT237" s="122"/>
      <c r="AU237" s="121" t="str">
        <f t="shared" si="78"/>
        <v>2021</v>
      </c>
      <c r="AV237" s="121" t="str">
        <f t="shared" si="79"/>
        <v>08</v>
      </c>
      <c r="AW237" s="121" t="str">
        <f t="shared" si="80"/>
        <v>17</v>
      </c>
      <c r="AX237" s="121">
        <f t="shared" si="81"/>
        <v>44425</v>
      </c>
      <c r="AY237" s="123"/>
      <c r="AZ237" s="124">
        <f t="shared" si="82"/>
        <v>44425</v>
      </c>
      <c r="BA237" s="121" t="b">
        <f t="shared" si="83"/>
        <v>1</v>
      </c>
      <c r="BB237" s="121">
        <f t="shared" si="84"/>
        <v>44425</v>
      </c>
      <c r="BC237" s="121" t="str">
        <f t="shared" si="85"/>
        <v>no</v>
      </c>
      <c r="BD237" s="121" t="b">
        <f t="shared" si="86"/>
        <v>0</v>
      </c>
      <c r="BE237" s="125" t="s">
        <v>56</v>
      </c>
      <c r="BF237" s="287"/>
    </row>
    <row r="238" spans="1:58" s="276" customFormat="1" ht="154">
      <c r="A238" s="283"/>
      <c r="B238" s="283" t="s">
        <v>569</v>
      </c>
      <c r="C238" s="283"/>
      <c r="D238" s="283" t="s">
        <v>570</v>
      </c>
      <c r="E238" s="283"/>
      <c r="F238" s="525" t="s">
        <v>535</v>
      </c>
      <c r="G238" s="292" t="s">
        <v>571</v>
      </c>
      <c r="H238" s="293">
        <v>44441</v>
      </c>
      <c r="I238" s="289"/>
      <c r="J238" s="290">
        <f t="shared" si="89"/>
        <v>44455</v>
      </c>
      <c r="K238" s="289"/>
      <c r="L238" s="289"/>
      <c r="M238" s="289"/>
      <c r="N238" s="289"/>
      <c r="O238" s="289"/>
      <c r="P238" s="289"/>
      <c r="Q238" s="277" t="s">
        <v>99</v>
      </c>
      <c r="R238" s="277" t="s">
        <v>548</v>
      </c>
      <c r="S238" s="277">
        <f t="shared" si="88"/>
        <v>25</v>
      </c>
      <c r="T238" s="277"/>
      <c r="U238" s="277">
        <v>0</v>
      </c>
      <c r="V238" s="277">
        <v>25</v>
      </c>
      <c r="W238" s="277"/>
      <c r="X238" s="277"/>
      <c r="Y238" s="277"/>
      <c r="Z238" s="277"/>
      <c r="AA238" s="277"/>
      <c r="AB238" s="277"/>
      <c r="AC238" s="277"/>
      <c r="AD238" s="277"/>
      <c r="AE238" s="277"/>
      <c r="AF238" s="277"/>
      <c r="AG238" s="277" t="s">
        <v>53</v>
      </c>
      <c r="AH238" s="277" t="s">
        <v>54</v>
      </c>
      <c r="AI238" s="277"/>
      <c r="AJ238" s="291"/>
      <c r="AK238" s="291"/>
      <c r="AL238" s="277"/>
      <c r="AM238" s="277"/>
      <c r="AN238" s="277"/>
      <c r="AO238" s="285"/>
      <c r="AP238" s="285"/>
      <c r="AR238" s="121">
        <f t="shared" si="76"/>
        <v>1</v>
      </c>
      <c r="AS238" s="121" t="str">
        <f t="shared" si="77"/>
        <v>2021_09_02_a</v>
      </c>
      <c r="AT238" s="122"/>
      <c r="AU238" s="121" t="str">
        <f t="shared" si="78"/>
        <v>2021</v>
      </c>
      <c r="AV238" s="121" t="str">
        <f t="shared" si="79"/>
        <v>09</v>
      </c>
      <c r="AW238" s="121" t="str">
        <f t="shared" si="80"/>
        <v>02</v>
      </c>
      <c r="AX238" s="121">
        <f t="shared" si="81"/>
        <v>44441</v>
      </c>
      <c r="AY238" s="123"/>
      <c r="AZ238" s="124">
        <f t="shared" si="82"/>
        <v>44441</v>
      </c>
      <c r="BA238" s="121" t="b">
        <f t="shared" si="83"/>
        <v>1</v>
      </c>
      <c r="BB238" s="121">
        <f t="shared" si="84"/>
        <v>44441</v>
      </c>
      <c r="BC238" s="121" t="str">
        <f t="shared" si="85"/>
        <v>no</v>
      </c>
      <c r="BD238" s="121" t="b">
        <f t="shared" si="86"/>
        <v>0</v>
      </c>
      <c r="BE238" s="125" t="s">
        <v>56</v>
      </c>
      <c r="BF238" s="287"/>
    </row>
    <row r="239" spans="1:58" s="276" customFormat="1" ht="154">
      <c r="A239" s="283"/>
      <c r="B239" s="283" t="s">
        <v>572</v>
      </c>
      <c r="C239" s="283"/>
      <c r="D239" s="283">
        <v>10105472</v>
      </c>
      <c r="E239" s="283"/>
      <c r="F239" s="525" t="s">
        <v>535</v>
      </c>
      <c r="G239" s="292" t="s">
        <v>571</v>
      </c>
      <c r="H239" s="293">
        <v>44459</v>
      </c>
      <c r="I239" s="289"/>
      <c r="J239" s="290">
        <f t="shared" si="89"/>
        <v>44473</v>
      </c>
      <c r="K239" s="289"/>
      <c r="L239" s="289"/>
      <c r="M239" s="289"/>
      <c r="N239" s="289"/>
      <c r="O239" s="289"/>
      <c r="P239" s="289"/>
      <c r="Q239" s="277" t="s">
        <v>99</v>
      </c>
      <c r="R239" s="277" t="s">
        <v>537</v>
      </c>
      <c r="S239" s="277">
        <f t="shared" si="88"/>
        <v>15</v>
      </c>
      <c r="T239" s="277"/>
      <c r="U239" s="277">
        <v>0</v>
      </c>
      <c r="V239" s="277">
        <v>15</v>
      </c>
      <c r="W239" s="277"/>
      <c r="X239" s="277"/>
      <c r="Y239" s="277"/>
      <c r="Z239" s="277"/>
      <c r="AA239" s="277"/>
      <c r="AB239" s="277"/>
      <c r="AC239" s="277"/>
      <c r="AD239" s="277"/>
      <c r="AE239" s="277"/>
      <c r="AF239" s="277"/>
      <c r="AG239" s="277" t="s">
        <v>53</v>
      </c>
      <c r="AH239" s="277" t="s">
        <v>54</v>
      </c>
      <c r="AI239" s="277"/>
      <c r="AJ239" s="291"/>
      <c r="AK239" s="291"/>
      <c r="AL239" s="277"/>
      <c r="AM239" s="277"/>
      <c r="AN239" s="277"/>
      <c r="AO239" s="285"/>
      <c r="AP239" s="285"/>
      <c r="AR239" s="121">
        <f t="shared" si="76"/>
        <v>1</v>
      </c>
      <c r="AS239" s="121" t="str">
        <f t="shared" si="77"/>
        <v>2021_09_20_a</v>
      </c>
      <c r="AT239" s="122"/>
      <c r="AU239" s="121" t="str">
        <f t="shared" si="78"/>
        <v>2021</v>
      </c>
      <c r="AV239" s="121" t="str">
        <f t="shared" si="79"/>
        <v>09</v>
      </c>
      <c r="AW239" s="121" t="str">
        <f t="shared" si="80"/>
        <v>20</v>
      </c>
      <c r="AX239" s="121">
        <f t="shared" si="81"/>
        <v>44459</v>
      </c>
      <c r="AY239" s="123"/>
      <c r="AZ239" s="124">
        <f t="shared" si="82"/>
        <v>44459</v>
      </c>
      <c r="BA239" s="121" t="b">
        <f t="shared" si="83"/>
        <v>1</v>
      </c>
      <c r="BB239" s="121">
        <f t="shared" si="84"/>
        <v>44459</v>
      </c>
      <c r="BC239" s="121" t="str">
        <f t="shared" si="85"/>
        <v>no</v>
      </c>
      <c r="BD239" s="121" t="b">
        <f t="shared" si="86"/>
        <v>0</v>
      </c>
      <c r="BE239" s="125" t="s">
        <v>56</v>
      </c>
      <c r="BF239" s="287"/>
    </row>
    <row r="240" spans="1:58" s="276" customFormat="1" ht="154">
      <c r="A240" s="283"/>
      <c r="B240" s="283" t="s">
        <v>573</v>
      </c>
      <c r="C240" s="283"/>
      <c r="D240" s="283">
        <v>10225019</v>
      </c>
      <c r="E240" s="283"/>
      <c r="F240" s="525" t="s">
        <v>535</v>
      </c>
      <c r="G240" s="292" t="s">
        <v>574</v>
      </c>
      <c r="H240" s="293">
        <v>44487</v>
      </c>
      <c r="I240" s="289"/>
      <c r="J240" s="290">
        <f t="shared" si="89"/>
        <v>44501</v>
      </c>
      <c r="K240" s="289"/>
      <c r="L240" s="289"/>
      <c r="M240" s="289"/>
      <c r="N240" s="289"/>
      <c r="O240" s="289"/>
      <c r="P240" s="289"/>
      <c r="Q240" s="277" t="s">
        <v>121</v>
      </c>
      <c r="R240" s="277" t="s">
        <v>537</v>
      </c>
      <c r="S240" s="277">
        <f t="shared" si="88"/>
        <v>20</v>
      </c>
      <c r="T240" s="277"/>
      <c r="U240" s="277">
        <v>0</v>
      </c>
      <c r="V240" s="277">
        <v>20</v>
      </c>
      <c r="W240" s="277"/>
      <c r="X240" s="277"/>
      <c r="Y240" s="277"/>
      <c r="Z240" s="277"/>
      <c r="AA240" s="277"/>
      <c r="AB240" s="277"/>
      <c r="AC240" s="277"/>
      <c r="AD240" s="277"/>
      <c r="AE240" s="277"/>
      <c r="AF240" s="277"/>
      <c r="AG240" s="277" t="s">
        <v>53</v>
      </c>
      <c r="AH240" s="277" t="s">
        <v>54</v>
      </c>
      <c r="AI240" s="277"/>
      <c r="AJ240" s="291"/>
      <c r="AK240" s="291"/>
      <c r="AL240" s="277"/>
      <c r="AM240" s="277"/>
      <c r="AN240" s="277"/>
      <c r="AO240" s="285"/>
      <c r="AP240" s="285"/>
      <c r="AR240" s="121">
        <f t="shared" si="76"/>
        <v>1</v>
      </c>
      <c r="AS240" s="121" t="str">
        <f t="shared" si="77"/>
        <v>2021_10_18_a</v>
      </c>
      <c r="AT240" s="122"/>
      <c r="AU240" s="121" t="str">
        <f t="shared" si="78"/>
        <v>2021</v>
      </c>
      <c r="AV240" s="121" t="str">
        <f t="shared" si="79"/>
        <v>10</v>
      </c>
      <c r="AW240" s="121" t="str">
        <f t="shared" si="80"/>
        <v>18</v>
      </c>
      <c r="AX240" s="121">
        <f t="shared" si="81"/>
        <v>44487</v>
      </c>
      <c r="AY240" s="123"/>
      <c r="AZ240" s="124">
        <f t="shared" si="82"/>
        <v>44487</v>
      </c>
      <c r="BA240" s="121" t="b">
        <f t="shared" si="83"/>
        <v>1</v>
      </c>
      <c r="BB240" s="121">
        <f t="shared" si="84"/>
        <v>44487</v>
      </c>
      <c r="BC240" s="121" t="str">
        <f t="shared" si="85"/>
        <v>no</v>
      </c>
      <c r="BD240" s="121" t="b">
        <f t="shared" si="86"/>
        <v>0</v>
      </c>
      <c r="BE240" s="125" t="s">
        <v>56</v>
      </c>
      <c r="BF240" s="287"/>
    </row>
    <row r="241" spans="1:58" s="276" customFormat="1" ht="154">
      <c r="A241" s="283"/>
      <c r="B241" s="283" t="s">
        <v>575</v>
      </c>
      <c r="C241" s="283"/>
      <c r="D241" s="283">
        <v>10226218</v>
      </c>
      <c r="E241" s="283"/>
      <c r="F241" s="525" t="s">
        <v>535</v>
      </c>
      <c r="G241" s="292" t="s">
        <v>576</v>
      </c>
      <c r="H241" s="293">
        <v>44503</v>
      </c>
      <c r="I241" s="289"/>
      <c r="J241" s="290">
        <f t="shared" si="89"/>
        <v>44517</v>
      </c>
      <c r="K241" s="289"/>
      <c r="L241" s="289"/>
      <c r="M241" s="289"/>
      <c r="N241" s="289"/>
      <c r="O241" s="289"/>
      <c r="P241" s="289"/>
      <c r="Q241" s="277" t="s">
        <v>121</v>
      </c>
      <c r="R241" s="277" t="s">
        <v>548</v>
      </c>
      <c r="S241" s="277">
        <f t="shared" si="88"/>
        <v>25</v>
      </c>
      <c r="T241" s="277"/>
      <c r="U241" s="277">
        <v>0</v>
      </c>
      <c r="V241" s="277">
        <v>25</v>
      </c>
      <c r="W241" s="277"/>
      <c r="X241" s="277"/>
      <c r="Y241" s="277"/>
      <c r="Z241" s="277"/>
      <c r="AA241" s="277"/>
      <c r="AB241" s="277"/>
      <c r="AC241" s="277"/>
      <c r="AD241" s="277"/>
      <c r="AE241" s="277"/>
      <c r="AF241" s="277"/>
      <c r="AG241" s="277" t="s">
        <v>53</v>
      </c>
      <c r="AH241" s="277" t="s">
        <v>54</v>
      </c>
      <c r="AI241" s="277"/>
      <c r="AJ241" s="291"/>
      <c r="AK241" s="291"/>
      <c r="AL241" s="277"/>
      <c r="AM241" s="277"/>
      <c r="AN241" s="277"/>
      <c r="AO241" s="285"/>
      <c r="AP241" s="285"/>
      <c r="AR241" s="121">
        <f t="shared" si="76"/>
        <v>1</v>
      </c>
      <c r="AS241" s="121" t="str">
        <f t="shared" si="77"/>
        <v>2021_11_03_a</v>
      </c>
      <c r="AT241" s="122"/>
      <c r="AU241" s="121" t="str">
        <f t="shared" si="78"/>
        <v>2021</v>
      </c>
      <c r="AV241" s="121" t="str">
        <f t="shared" si="79"/>
        <v>11</v>
      </c>
      <c r="AW241" s="121" t="str">
        <f t="shared" si="80"/>
        <v>03</v>
      </c>
      <c r="AX241" s="121">
        <f t="shared" si="81"/>
        <v>44503</v>
      </c>
      <c r="AY241" s="123"/>
      <c r="AZ241" s="124">
        <f t="shared" si="82"/>
        <v>44503</v>
      </c>
      <c r="BA241" s="121" t="b">
        <f t="shared" si="83"/>
        <v>1</v>
      </c>
      <c r="BB241" s="121">
        <f t="shared" si="84"/>
        <v>44503</v>
      </c>
      <c r="BC241" s="121" t="str">
        <f t="shared" si="85"/>
        <v>no</v>
      </c>
      <c r="BD241" s="121" t="b">
        <f t="shared" si="86"/>
        <v>0</v>
      </c>
      <c r="BE241" s="125" t="s">
        <v>56</v>
      </c>
      <c r="BF241" s="287"/>
    </row>
    <row r="242" spans="1:58" s="276" customFormat="1" ht="154">
      <c r="A242" s="283"/>
      <c r="B242" s="283" t="s">
        <v>577</v>
      </c>
      <c r="C242" s="283"/>
      <c r="D242" s="283">
        <v>10227174</v>
      </c>
      <c r="E242" s="283"/>
      <c r="F242" s="525" t="s">
        <v>535</v>
      </c>
      <c r="G242" s="292" t="s">
        <v>578</v>
      </c>
      <c r="H242" s="293">
        <v>44537</v>
      </c>
      <c r="I242" s="289"/>
      <c r="J242" s="290">
        <f t="shared" si="89"/>
        <v>44551</v>
      </c>
      <c r="K242" s="289"/>
      <c r="L242" s="289"/>
      <c r="M242" s="289"/>
      <c r="N242" s="289"/>
      <c r="O242" s="289"/>
      <c r="P242" s="289"/>
      <c r="Q242" s="277" t="s">
        <v>121</v>
      </c>
      <c r="R242" s="277" t="s">
        <v>548</v>
      </c>
      <c r="S242" s="277">
        <f t="shared" si="88"/>
        <v>35</v>
      </c>
      <c r="T242" s="277"/>
      <c r="U242" s="277">
        <v>0</v>
      </c>
      <c r="V242" s="277">
        <v>35</v>
      </c>
      <c r="W242" s="277"/>
      <c r="X242" s="277"/>
      <c r="Y242" s="277"/>
      <c r="Z242" s="277"/>
      <c r="AA242" s="277"/>
      <c r="AB242" s="277"/>
      <c r="AC242" s="277"/>
      <c r="AD242" s="277"/>
      <c r="AE242" s="277"/>
      <c r="AF242" s="277"/>
      <c r="AG242" s="277" t="s">
        <v>53</v>
      </c>
      <c r="AH242" s="277" t="s">
        <v>54</v>
      </c>
      <c r="AI242" s="277"/>
      <c r="AJ242" s="291"/>
      <c r="AK242" s="291"/>
      <c r="AL242" s="277"/>
      <c r="AM242" s="277"/>
      <c r="AN242" s="277"/>
      <c r="AO242" s="285"/>
      <c r="AP242" s="285"/>
      <c r="AR242" s="121">
        <f t="shared" si="76"/>
        <v>1</v>
      </c>
      <c r="AS242" s="121" t="str">
        <f t="shared" si="77"/>
        <v>2021_12_07_a</v>
      </c>
      <c r="AT242" s="122"/>
      <c r="AU242" s="121" t="str">
        <f t="shared" si="78"/>
        <v>2021</v>
      </c>
      <c r="AV242" s="121" t="str">
        <f t="shared" si="79"/>
        <v>12</v>
      </c>
      <c r="AW242" s="121" t="str">
        <f t="shared" si="80"/>
        <v>07</v>
      </c>
      <c r="AX242" s="121">
        <f t="shared" si="81"/>
        <v>44537</v>
      </c>
      <c r="AY242" s="123"/>
      <c r="AZ242" s="124">
        <f t="shared" si="82"/>
        <v>44537</v>
      </c>
      <c r="BA242" s="121" t="b">
        <f t="shared" si="83"/>
        <v>1</v>
      </c>
      <c r="BB242" s="121">
        <f t="shared" si="84"/>
        <v>44537</v>
      </c>
      <c r="BC242" s="121" t="str">
        <f t="shared" si="85"/>
        <v>no</v>
      </c>
      <c r="BD242" s="121" t="b">
        <f t="shared" si="86"/>
        <v>0</v>
      </c>
      <c r="BE242" s="125" t="s">
        <v>56</v>
      </c>
      <c r="BF242" s="287"/>
    </row>
    <row r="243" spans="1:58" s="276" customFormat="1" ht="154">
      <c r="A243" s="283"/>
      <c r="B243" s="283" t="s">
        <v>579</v>
      </c>
      <c r="C243" s="283"/>
      <c r="D243" s="283"/>
      <c r="E243" s="283"/>
      <c r="F243" s="288" t="s">
        <v>535</v>
      </c>
      <c r="G243" s="289" t="s">
        <v>576</v>
      </c>
      <c r="H243" s="290">
        <v>44522</v>
      </c>
      <c r="I243" s="289"/>
      <c r="J243" s="290">
        <f>H243+14</f>
        <v>44536</v>
      </c>
      <c r="K243" s="289"/>
      <c r="L243" s="289"/>
      <c r="M243" s="289"/>
      <c r="N243" s="289"/>
      <c r="O243" s="289"/>
      <c r="P243" s="289"/>
      <c r="Q243" s="277" t="s">
        <v>121</v>
      </c>
      <c r="R243" s="277" t="s">
        <v>545</v>
      </c>
      <c r="S243" s="277">
        <f>U243+V243</f>
        <v>35</v>
      </c>
      <c r="T243" s="277"/>
      <c r="U243" s="277">
        <v>0</v>
      </c>
      <c r="V243" s="277">
        <v>35</v>
      </c>
      <c r="W243" s="277"/>
      <c r="X243" s="277"/>
      <c r="Y243" s="277"/>
      <c r="Z243" s="277"/>
      <c r="AA243" s="277"/>
      <c r="AB243" s="277"/>
      <c r="AC243" s="277"/>
      <c r="AD243" s="277"/>
      <c r="AE243" s="277"/>
      <c r="AF243" s="277"/>
      <c r="AG243" s="277" t="s">
        <v>53</v>
      </c>
      <c r="AH243" s="277" t="s">
        <v>54</v>
      </c>
      <c r="AI243" s="277"/>
      <c r="AJ243" s="291"/>
      <c r="AK243" s="291"/>
      <c r="AL243" s="277"/>
      <c r="AM243" s="277"/>
      <c r="AN243" s="277"/>
      <c r="AO243" s="285"/>
      <c r="AP243" s="285"/>
      <c r="AR243" s="121">
        <f t="shared" si="76"/>
        <v>1</v>
      </c>
      <c r="AS243" s="121" t="str">
        <f t="shared" si="77"/>
        <v>2021_11_22_a</v>
      </c>
      <c r="AT243" s="122"/>
      <c r="AU243" s="121" t="str">
        <f t="shared" si="78"/>
        <v>2021</v>
      </c>
      <c r="AV243" s="121" t="str">
        <f t="shared" si="79"/>
        <v>11</v>
      </c>
      <c r="AW243" s="121" t="str">
        <f t="shared" si="80"/>
        <v>22</v>
      </c>
      <c r="AX243" s="121">
        <f t="shared" si="81"/>
        <v>44522</v>
      </c>
      <c r="AY243" s="123"/>
      <c r="AZ243" s="124">
        <f t="shared" si="82"/>
        <v>44522</v>
      </c>
      <c r="BA243" s="121" t="b">
        <f t="shared" si="83"/>
        <v>1</v>
      </c>
      <c r="BB243" s="121">
        <f t="shared" si="84"/>
        <v>44522</v>
      </c>
      <c r="BC243" s="121" t="str">
        <f t="shared" si="85"/>
        <v>no</v>
      </c>
      <c r="BD243" s="121" t="b">
        <f t="shared" si="86"/>
        <v>0</v>
      </c>
      <c r="BE243" s="125" t="s">
        <v>56</v>
      </c>
      <c r="BF243" s="287"/>
    </row>
    <row r="244" spans="1:58" s="276" customFormat="1" ht="154">
      <c r="A244" s="283"/>
      <c r="B244" s="283" t="s">
        <v>580</v>
      </c>
      <c r="C244" s="283"/>
      <c r="D244" s="283">
        <v>10233446</v>
      </c>
      <c r="E244" s="283"/>
      <c r="F244" s="288" t="s">
        <v>535</v>
      </c>
      <c r="G244" s="289" t="s">
        <v>576</v>
      </c>
      <c r="H244" s="290">
        <v>44522</v>
      </c>
      <c r="I244" s="289"/>
      <c r="J244" s="290">
        <f>H244+14</f>
        <v>44536</v>
      </c>
      <c r="K244" s="289"/>
      <c r="L244" s="289"/>
      <c r="M244" s="289"/>
      <c r="N244" s="289"/>
      <c r="O244" s="289"/>
      <c r="P244" s="289"/>
      <c r="Q244" s="277" t="s">
        <v>121</v>
      </c>
      <c r="R244" s="277" t="s">
        <v>537</v>
      </c>
      <c r="S244" s="277">
        <f t="shared" si="88"/>
        <v>20</v>
      </c>
      <c r="T244" s="277"/>
      <c r="U244" s="277">
        <v>0</v>
      </c>
      <c r="V244" s="277">
        <v>20</v>
      </c>
      <c r="W244" s="277"/>
      <c r="X244" s="277"/>
      <c r="Y244" s="277"/>
      <c r="Z244" s="277"/>
      <c r="AA244" s="277"/>
      <c r="AB244" s="277"/>
      <c r="AC244" s="277"/>
      <c r="AD244" s="277"/>
      <c r="AE244" s="277"/>
      <c r="AF244" s="277"/>
      <c r="AG244" s="277" t="s">
        <v>53</v>
      </c>
      <c r="AH244" s="277" t="s">
        <v>54</v>
      </c>
      <c r="AI244" s="277"/>
      <c r="AJ244" s="291"/>
      <c r="AK244" s="291"/>
      <c r="AL244" s="277"/>
      <c r="AM244" s="277"/>
      <c r="AN244" s="277"/>
      <c r="AO244" s="285"/>
      <c r="AP244" s="285"/>
      <c r="AR244" s="121">
        <f t="shared" si="76"/>
        <v>1</v>
      </c>
      <c r="AS244" s="121" t="str">
        <f t="shared" si="77"/>
        <v>2021_11_22_a</v>
      </c>
      <c r="AT244" s="122"/>
      <c r="AU244" s="121" t="str">
        <f t="shared" si="78"/>
        <v>2021</v>
      </c>
      <c r="AV244" s="121" t="str">
        <f t="shared" si="79"/>
        <v>11</v>
      </c>
      <c r="AW244" s="121" t="str">
        <f t="shared" si="80"/>
        <v>22</v>
      </c>
      <c r="AX244" s="121">
        <f t="shared" si="81"/>
        <v>44522</v>
      </c>
      <c r="AY244" s="123"/>
      <c r="AZ244" s="124">
        <f t="shared" si="82"/>
        <v>44522</v>
      </c>
      <c r="BA244" s="121" t="b">
        <f t="shared" si="83"/>
        <v>1</v>
      </c>
      <c r="BB244" s="121">
        <f t="shared" si="84"/>
        <v>44522</v>
      </c>
      <c r="BC244" s="121" t="str">
        <f t="shared" si="85"/>
        <v>no</v>
      </c>
      <c r="BD244" s="121" t="b">
        <f t="shared" si="86"/>
        <v>0</v>
      </c>
      <c r="BE244" s="125" t="s">
        <v>56</v>
      </c>
      <c r="BF244" s="287"/>
    </row>
    <row r="245" spans="1:58" s="276" customFormat="1" ht="154">
      <c r="A245" s="283"/>
      <c r="B245" s="283" t="s">
        <v>581</v>
      </c>
      <c r="C245" s="283"/>
      <c r="D245" s="283">
        <v>10236683</v>
      </c>
      <c r="E245" s="283"/>
      <c r="F245" s="288" t="s">
        <v>535</v>
      </c>
      <c r="G245" s="289" t="s">
        <v>578</v>
      </c>
      <c r="H245" s="290">
        <v>44544</v>
      </c>
      <c r="I245" s="289"/>
      <c r="J245" s="290">
        <f>H245+14</f>
        <v>44558</v>
      </c>
      <c r="K245" s="289"/>
      <c r="L245" s="289"/>
      <c r="M245" s="289"/>
      <c r="N245" s="289"/>
      <c r="O245" s="289"/>
      <c r="P245" s="289"/>
      <c r="Q245" s="277" t="s">
        <v>121</v>
      </c>
      <c r="R245" s="277" t="s">
        <v>537</v>
      </c>
      <c r="S245" s="277">
        <f t="shared" si="88"/>
        <v>100</v>
      </c>
      <c r="T245" s="277"/>
      <c r="U245" s="277">
        <v>0</v>
      </c>
      <c r="V245" s="277">
        <v>100</v>
      </c>
      <c r="W245" s="277"/>
      <c r="X245" s="277"/>
      <c r="Y245" s="277"/>
      <c r="Z245" s="277"/>
      <c r="AA245" s="277"/>
      <c r="AB245" s="277"/>
      <c r="AC245" s="277"/>
      <c r="AD245" s="277"/>
      <c r="AE245" s="277"/>
      <c r="AF245" s="277"/>
      <c r="AG245" s="277" t="s">
        <v>53</v>
      </c>
      <c r="AH245" s="277" t="s">
        <v>54</v>
      </c>
      <c r="AI245" s="277"/>
      <c r="AJ245" s="291"/>
      <c r="AK245" s="291"/>
      <c r="AL245" s="277"/>
      <c r="AM245" s="277"/>
      <c r="AN245" s="277"/>
      <c r="AO245" s="285"/>
      <c r="AP245" s="285"/>
      <c r="AR245" s="121">
        <f t="shared" si="76"/>
        <v>1</v>
      </c>
      <c r="AS245" s="121" t="str">
        <f t="shared" si="77"/>
        <v>2021_12_14_a</v>
      </c>
      <c r="AT245" s="122"/>
      <c r="AU245" s="121" t="str">
        <f t="shared" si="78"/>
        <v>2021</v>
      </c>
      <c r="AV245" s="121" t="str">
        <f t="shared" si="79"/>
        <v>12</v>
      </c>
      <c r="AW245" s="121" t="str">
        <f t="shared" si="80"/>
        <v>14</v>
      </c>
      <c r="AX245" s="121">
        <f t="shared" si="81"/>
        <v>44544</v>
      </c>
      <c r="AY245" s="123"/>
      <c r="AZ245" s="124">
        <f t="shared" si="82"/>
        <v>44544</v>
      </c>
      <c r="BA245" s="121" t="b">
        <f t="shared" si="83"/>
        <v>1</v>
      </c>
      <c r="BB245" s="121">
        <f t="shared" si="84"/>
        <v>44544</v>
      </c>
      <c r="BC245" s="121" t="str">
        <f t="shared" si="85"/>
        <v>no</v>
      </c>
      <c r="BD245" s="121" t="b">
        <f t="shared" si="86"/>
        <v>0</v>
      </c>
      <c r="BE245" s="125" t="s">
        <v>56</v>
      </c>
      <c r="BF245" s="287"/>
    </row>
    <row r="246" spans="1:58" s="276" customFormat="1" ht="154">
      <c r="A246" s="283"/>
      <c r="B246" s="281" t="s">
        <v>582</v>
      </c>
      <c r="C246" s="283"/>
      <c r="D246" s="283">
        <v>10236684</v>
      </c>
      <c r="E246" s="283"/>
      <c r="F246" s="282" t="s">
        <v>535</v>
      </c>
      <c r="G246" s="283" t="s">
        <v>536</v>
      </c>
      <c r="H246" s="284">
        <v>44579</v>
      </c>
      <c r="I246" s="282"/>
      <c r="J246" s="284">
        <f t="shared" ref="J246:J279" si="90">H246+14</f>
        <v>44593</v>
      </c>
      <c r="K246" s="282"/>
      <c r="L246" s="282"/>
      <c r="M246" s="282"/>
      <c r="N246" s="282"/>
      <c r="O246" s="282"/>
      <c r="P246" s="282"/>
      <c r="Q246" s="283" t="s">
        <v>47</v>
      </c>
      <c r="R246" s="283" t="s">
        <v>537</v>
      </c>
      <c r="S246" s="277">
        <f t="shared" si="88"/>
        <v>50</v>
      </c>
      <c r="T246" s="283"/>
      <c r="U246" s="283">
        <v>0</v>
      </c>
      <c r="V246" s="285">
        <v>50</v>
      </c>
      <c r="W246" s="283"/>
      <c r="X246" s="283"/>
      <c r="Y246" s="283"/>
      <c r="Z246" s="283"/>
      <c r="AA246" s="283"/>
      <c r="AB246" s="283"/>
      <c r="AC246" s="283"/>
      <c r="AD246" s="283"/>
      <c r="AE246" s="283"/>
      <c r="AF246" s="283"/>
      <c r="AG246" s="277" t="s">
        <v>53</v>
      </c>
      <c r="AH246" s="277" t="s">
        <v>54</v>
      </c>
      <c r="AI246" s="283"/>
      <c r="AJ246" s="283"/>
      <c r="AK246" s="283"/>
      <c r="AL246" s="286"/>
      <c r="AM246" s="277"/>
      <c r="AN246" s="277"/>
      <c r="AO246" s="285"/>
      <c r="AP246" s="285"/>
      <c r="AR246" s="121">
        <f t="shared" si="76"/>
        <v>1</v>
      </c>
      <c r="AS246" s="121" t="str">
        <f t="shared" si="77"/>
        <v>2022_01_18_a</v>
      </c>
      <c r="AT246" s="122"/>
      <c r="AU246" s="121" t="str">
        <f t="shared" si="78"/>
        <v>2022</v>
      </c>
      <c r="AV246" s="121" t="str">
        <f t="shared" si="79"/>
        <v>01</v>
      </c>
      <c r="AW246" s="121" t="str">
        <f t="shared" si="80"/>
        <v>18</v>
      </c>
      <c r="AX246" s="121">
        <f t="shared" si="81"/>
        <v>44579</v>
      </c>
      <c r="AY246" s="123"/>
      <c r="AZ246" s="124">
        <f t="shared" si="82"/>
        <v>44579</v>
      </c>
      <c r="BA246" s="121" t="b">
        <f t="shared" si="83"/>
        <v>1</v>
      </c>
      <c r="BB246" s="121">
        <f t="shared" si="84"/>
        <v>44579</v>
      </c>
      <c r="BC246" s="121" t="str">
        <f t="shared" si="85"/>
        <v>no</v>
      </c>
      <c r="BD246" s="121" t="b">
        <f t="shared" si="86"/>
        <v>0</v>
      </c>
      <c r="BE246" s="125" t="s">
        <v>56</v>
      </c>
      <c r="BF246" s="287"/>
    </row>
    <row r="247" spans="1:58" s="276" customFormat="1" ht="154">
      <c r="A247" s="283"/>
      <c r="B247" s="281" t="s">
        <v>583</v>
      </c>
      <c r="C247" s="283"/>
      <c r="D247" s="283">
        <v>10258854</v>
      </c>
      <c r="E247" s="283"/>
      <c r="F247" s="282" t="s">
        <v>535</v>
      </c>
      <c r="G247" s="283" t="s">
        <v>543</v>
      </c>
      <c r="H247" s="284">
        <v>44607</v>
      </c>
      <c r="I247" s="282"/>
      <c r="J247" s="284">
        <f t="shared" si="90"/>
        <v>44621</v>
      </c>
      <c r="K247" s="282"/>
      <c r="L247" s="282"/>
      <c r="M247" s="282"/>
      <c r="N247" s="282"/>
      <c r="O247" s="282"/>
      <c r="P247" s="282"/>
      <c r="Q247" s="283" t="s">
        <v>47</v>
      </c>
      <c r="R247" s="283" t="s">
        <v>537</v>
      </c>
      <c r="S247" s="277">
        <f t="shared" si="88"/>
        <v>50</v>
      </c>
      <c r="T247" s="283"/>
      <c r="U247" s="283">
        <v>0</v>
      </c>
      <c r="V247" s="285">
        <v>50</v>
      </c>
      <c r="W247" s="283"/>
      <c r="X247" s="283"/>
      <c r="Y247" s="283"/>
      <c r="Z247" s="283"/>
      <c r="AA247" s="283"/>
      <c r="AB247" s="283"/>
      <c r="AC247" s="283"/>
      <c r="AD247" s="283"/>
      <c r="AE247" s="283"/>
      <c r="AF247" s="283"/>
      <c r="AG247" s="277" t="s">
        <v>53</v>
      </c>
      <c r="AH247" s="277" t="s">
        <v>54</v>
      </c>
      <c r="AI247" s="283"/>
      <c r="AJ247" s="283"/>
      <c r="AK247" s="283"/>
      <c r="AL247" s="286"/>
      <c r="AM247" s="277"/>
      <c r="AN247" s="277"/>
      <c r="AO247" s="285"/>
      <c r="AP247" s="285"/>
      <c r="AR247" s="121">
        <f t="shared" si="76"/>
        <v>1</v>
      </c>
      <c r="AS247" s="121" t="str">
        <f t="shared" si="77"/>
        <v>2022_02_15_a</v>
      </c>
      <c r="AT247" s="122"/>
      <c r="AU247" s="121" t="str">
        <f t="shared" si="78"/>
        <v>2022</v>
      </c>
      <c r="AV247" s="121" t="str">
        <f t="shared" si="79"/>
        <v>02</v>
      </c>
      <c r="AW247" s="121" t="str">
        <f t="shared" si="80"/>
        <v>15</v>
      </c>
      <c r="AX247" s="121">
        <f t="shared" si="81"/>
        <v>44607</v>
      </c>
      <c r="AY247" s="123"/>
      <c r="AZ247" s="124">
        <f t="shared" si="82"/>
        <v>44607</v>
      </c>
      <c r="BA247" s="121" t="b">
        <f t="shared" si="83"/>
        <v>1</v>
      </c>
      <c r="BB247" s="121">
        <f t="shared" si="84"/>
        <v>44607</v>
      </c>
      <c r="BC247" s="121" t="str">
        <f t="shared" si="85"/>
        <v>no</v>
      </c>
      <c r="BD247" s="121" t="b">
        <f t="shared" si="86"/>
        <v>0</v>
      </c>
      <c r="BE247" s="125" t="s">
        <v>56</v>
      </c>
      <c r="BF247" s="287"/>
    </row>
    <row r="248" spans="1:58" s="276" customFormat="1" ht="154">
      <c r="A248" s="283"/>
      <c r="B248" s="281" t="s">
        <v>584</v>
      </c>
      <c r="C248" s="283"/>
      <c r="D248" s="283">
        <v>10258856</v>
      </c>
      <c r="E248" s="283"/>
      <c r="F248" s="282" t="s">
        <v>535</v>
      </c>
      <c r="G248" s="283" t="s">
        <v>547</v>
      </c>
      <c r="H248" s="284">
        <v>44635</v>
      </c>
      <c r="I248" s="282"/>
      <c r="J248" s="284">
        <f t="shared" si="90"/>
        <v>44649</v>
      </c>
      <c r="K248" s="282"/>
      <c r="L248" s="282"/>
      <c r="M248" s="282"/>
      <c r="N248" s="282"/>
      <c r="O248" s="282"/>
      <c r="P248" s="282"/>
      <c r="Q248" s="283" t="s">
        <v>47</v>
      </c>
      <c r="R248" s="283" t="s">
        <v>537</v>
      </c>
      <c r="S248" s="277">
        <f t="shared" si="88"/>
        <v>50</v>
      </c>
      <c r="T248" s="283"/>
      <c r="U248" s="283">
        <v>0</v>
      </c>
      <c r="V248" s="285">
        <v>50</v>
      </c>
      <c r="W248" s="283"/>
      <c r="X248" s="283"/>
      <c r="Y248" s="283"/>
      <c r="Z248" s="283"/>
      <c r="AA248" s="283"/>
      <c r="AB248" s="283"/>
      <c r="AC248" s="283"/>
      <c r="AD248" s="283"/>
      <c r="AE248" s="283"/>
      <c r="AF248" s="283"/>
      <c r="AG248" s="277" t="s">
        <v>53</v>
      </c>
      <c r="AH248" s="277" t="s">
        <v>54</v>
      </c>
      <c r="AI248" s="283"/>
      <c r="AJ248" s="283"/>
      <c r="AK248" s="283"/>
      <c r="AL248" s="286"/>
      <c r="AM248" s="277"/>
      <c r="AN248" s="277"/>
      <c r="AO248" s="285"/>
      <c r="AP248" s="285"/>
      <c r="AR248" s="121">
        <f t="shared" si="76"/>
        <v>1</v>
      </c>
      <c r="AS248" s="121" t="str">
        <f t="shared" si="77"/>
        <v>2022_03_15_a</v>
      </c>
      <c r="AT248" s="122"/>
      <c r="AU248" s="121" t="str">
        <f t="shared" si="78"/>
        <v>2022</v>
      </c>
      <c r="AV248" s="121" t="str">
        <f t="shared" si="79"/>
        <v>03</v>
      </c>
      <c r="AW248" s="121" t="str">
        <f t="shared" si="80"/>
        <v>15</v>
      </c>
      <c r="AX248" s="121">
        <f t="shared" si="81"/>
        <v>44635</v>
      </c>
      <c r="AY248" s="123"/>
      <c r="AZ248" s="124">
        <f t="shared" si="82"/>
        <v>44635</v>
      </c>
      <c r="BA248" s="121" t="b">
        <f t="shared" si="83"/>
        <v>1</v>
      </c>
      <c r="BB248" s="121">
        <f t="shared" si="84"/>
        <v>44635</v>
      </c>
      <c r="BC248" s="121" t="str">
        <f t="shared" si="85"/>
        <v>no</v>
      </c>
      <c r="BD248" s="121" t="b">
        <f t="shared" si="86"/>
        <v>0</v>
      </c>
      <c r="BE248" s="125" t="s">
        <v>56</v>
      </c>
      <c r="BF248" s="287"/>
    </row>
    <row r="249" spans="1:58" s="276" customFormat="1" ht="154">
      <c r="A249" s="283"/>
      <c r="B249" s="281" t="s">
        <v>585</v>
      </c>
      <c r="C249" s="283"/>
      <c r="D249" s="283">
        <v>10280508</v>
      </c>
      <c r="E249" s="283"/>
      <c r="F249" s="282" t="s">
        <v>535</v>
      </c>
      <c r="G249" s="283" t="s">
        <v>551</v>
      </c>
      <c r="H249" s="284">
        <v>44663</v>
      </c>
      <c r="I249" s="282"/>
      <c r="J249" s="284">
        <f t="shared" si="90"/>
        <v>44677</v>
      </c>
      <c r="K249" s="282"/>
      <c r="L249" s="282"/>
      <c r="M249" s="282"/>
      <c r="N249" s="282"/>
      <c r="O249" s="282"/>
      <c r="P249" s="282"/>
      <c r="Q249" s="283" t="s">
        <v>78</v>
      </c>
      <c r="R249" s="283" t="s">
        <v>537</v>
      </c>
      <c r="S249" s="277">
        <f t="shared" si="88"/>
        <v>50</v>
      </c>
      <c r="T249" s="283"/>
      <c r="U249" s="283">
        <v>0</v>
      </c>
      <c r="V249" s="285">
        <v>50</v>
      </c>
      <c r="W249" s="283"/>
      <c r="X249" s="283"/>
      <c r="Y249" s="283"/>
      <c r="Z249" s="283"/>
      <c r="AA249" s="283"/>
      <c r="AB249" s="283"/>
      <c r="AC249" s="283"/>
      <c r="AD249" s="283"/>
      <c r="AE249" s="283"/>
      <c r="AF249" s="283"/>
      <c r="AG249" s="277" t="s">
        <v>53</v>
      </c>
      <c r="AH249" s="277" t="s">
        <v>54</v>
      </c>
      <c r="AI249" s="283"/>
      <c r="AJ249" s="283"/>
      <c r="AK249" s="283"/>
      <c r="AL249" s="286"/>
      <c r="AM249" s="277"/>
      <c r="AN249" s="277"/>
      <c r="AO249" s="285"/>
      <c r="AP249" s="285"/>
      <c r="AR249" s="121">
        <f t="shared" si="76"/>
        <v>1</v>
      </c>
      <c r="AS249" s="121" t="str">
        <f t="shared" si="77"/>
        <v>2022_04_12_a</v>
      </c>
      <c r="AT249" s="122"/>
      <c r="AU249" s="121" t="str">
        <f t="shared" si="78"/>
        <v>2022</v>
      </c>
      <c r="AV249" s="121" t="str">
        <f t="shared" si="79"/>
        <v>04</v>
      </c>
      <c r="AW249" s="121" t="str">
        <f t="shared" si="80"/>
        <v>12</v>
      </c>
      <c r="AX249" s="121">
        <f t="shared" si="81"/>
        <v>44663</v>
      </c>
      <c r="AY249" s="123"/>
      <c r="AZ249" s="124">
        <f t="shared" si="82"/>
        <v>44663</v>
      </c>
      <c r="BA249" s="121" t="b">
        <f t="shared" si="83"/>
        <v>1</v>
      </c>
      <c r="BB249" s="121">
        <f t="shared" si="84"/>
        <v>44663</v>
      </c>
      <c r="BC249" s="121" t="str">
        <f t="shared" si="85"/>
        <v>no</v>
      </c>
      <c r="BD249" s="121" t="b">
        <f t="shared" si="86"/>
        <v>0</v>
      </c>
      <c r="BE249" s="125" t="s">
        <v>56</v>
      </c>
      <c r="BF249" s="287"/>
    </row>
    <row r="250" spans="1:58" s="276" customFormat="1" ht="154">
      <c r="A250" s="283"/>
      <c r="B250" s="281" t="s">
        <v>586</v>
      </c>
      <c r="C250" s="283"/>
      <c r="D250" s="283" t="s">
        <v>587</v>
      </c>
      <c r="E250" s="283"/>
      <c r="F250" s="282" t="s">
        <v>535</v>
      </c>
      <c r="G250" s="283" t="s">
        <v>555</v>
      </c>
      <c r="H250" s="284">
        <v>44698</v>
      </c>
      <c r="I250" s="282"/>
      <c r="J250" s="284">
        <f t="shared" si="90"/>
        <v>44712</v>
      </c>
      <c r="K250" s="282"/>
      <c r="L250" s="282"/>
      <c r="M250" s="282"/>
      <c r="N250" s="282"/>
      <c r="O250" s="282"/>
      <c r="P250" s="282"/>
      <c r="Q250" s="283" t="s">
        <v>78</v>
      </c>
      <c r="R250" s="283" t="s">
        <v>537</v>
      </c>
      <c r="S250" s="277">
        <f t="shared" si="88"/>
        <v>50</v>
      </c>
      <c r="T250" s="283"/>
      <c r="U250" s="283">
        <v>0</v>
      </c>
      <c r="V250" s="285">
        <v>50</v>
      </c>
      <c r="W250" s="283"/>
      <c r="X250" s="283"/>
      <c r="Y250" s="283"/>
      <c r="Z250" s="283"/>
      <c r="AA250" s="283"/>
      <c r="AB250" s="283"/>
      <c r="AC250" s="283"/>
      <c r="AD250" s="283"/>
      <c r="AE250" s="283"/>
      <c r="AF250" s="283"/>
      <c r="AG250" s="277" t="s">
        <v>53</v>
      </c>
      <c r="AH250" s="277" t="s">
        <v>54</v>
      </c>
      <c r="AI250" s="283"/>
      <c r="AJ250" s="283"/>
      <c r="AK250" s="283"/>
      <c r="AL250" s="286"/>
      <c r="AM250" s="277"/>
      <c r="AN250" s="277"/>
      <c r="AO250" s="285"/>
      <c r="AP250" s="285"/>
      <c r="AR250" s="121">
        <f t="shared" si="76"/>
        <v>1</v>
      </c>
      <c r="AS250" s="121" t="str">
        <f t="shared" si="77"/>
        <v>2022_05_17_a</v>
      </c>
      <c r="AT250" s="122"/>
      <c r="AU250" s="121" t="str">
        <f t="shared" si="78"/>
        <v>2022</v>
      </c>
      <c r="AV250" s="121" t="str">
        <f t="shared" si="79"/>
        <v>05</v>
      </c>
      <c r="AW250" s="121" t="str">
        <f t="shared" si="80"/>
        <v>17</v>
      </c>
      <c r="AX250" s="121">
        <f t="shared" si="81"/>
        <v>44698</v>
      </c>
      <c r="AY250" s="123"/>
      <c r="AZ250" s="124">
        <f t="shared" si="82"/>
        <v>44698</v>
      </c>
      <c r="BA250" s="121" t="b">
        <f t="shared" si="83"/>
        <v>1</v>
      </c>
      <c r="BB250" s="121">
        <f t="shared" si="84"/>
        <v>44698</v>
      </c>
      <c r="BC250" s="121" t="str">
        <f t="shared" si="85"/>
        <v>no</v>
      </c>
      <c r="BD250" s="121" t="b">
        <f t="shared" si="86"/>
        <v>0</v>
      </c>
      <c r="BE250" s="125" t="s">
        <v>56</v>
      </c>
      <c r="BF250" s="287"/>
    </row>
    <row r="251" spans="1:58" s="276" customFormat="1" ht="154">
      <c r="A251" s="283"/>
      <c r="B251" s="281" t="s">
        <v>588</v>
      </c>
      <c r="C251" s="283"/>
      <c r="D251" s="283">
        <v>10291069</v>
      </c>
      <c r="E251" s="283"/>
      <c r="F251" s="282" t="s">
        <v>535</v>
      </c>
      <c r="G251" s="283" t="s">
        <v>559</v>
      </c>
      <c r="H251" s="284">
        <v>44726</v>
      </c>
      <c r="I251" s="282"/>
      <c r="J251" s="284">
        <f t="shared" si="90"/>
        <v>44740</v>
      </c>
      <c r="K251" s="282"/>
      <c r="L251" s="282"/>
      <c r="M251" s="282"/>
      <c r="N251" s="282"/>
      <c r="O251" s="282"/>
      <c r="P251" s="282"/>
      <c r="Q251" s="283" t="s">
        <v>78</v>
      </c>
      <c r="R251" s="283" t="s">
        <v>537</v>
      </c>
      <c r="S251" s="277">
        <f t="shared" si="88"/>
        <v>50</v>
      </c>
      <c r="T251" s="283"/>
      <c r="U251" s="283">
        <v>0</v>
      </c>
      <c r="V251" s="285">
        <v>50</v>
      </c>
      <c r="W251" s="283"/>
      <c r="X251" s="283"/>
      <c r="Y251" s="283"/>
      <c r="Z251" s="283"/>
      <c r="AA251" s="283"/>
      <c r="AB251" s="283"/>
      <c r="AC251" s="283"/>
      <c r="AD251" s="283"/>
      <c r="AE251" s="283"/>
      <c r="AF251" s="283"/>
      <c r="AG251" s="277" t="s">
        <v>53</v>
      </c>
      <c r="AH251" s="277" t="s">
        <v>54</v>
      </c>
      <c r="AI251" s="283"/>
      <c r="AJ251" s="283"/>
      <c r="AK251" s="283"/>
      <c r="AL251" s="286"/>
      <c r="AM251" s="277"/>
      <c r="AN251" s="277"/>
      <c r="AO251" s="285"/>
      <c r="AP251" s="285"/>
      <c r="AR251" s="121">
        <f t="shared" si="76"/>
        <v>1</v>
      </c>
      <c r="AS251" s="121" t="str">
        <f t="shared" si="77"/>
        <v>2022_06_14_a</v>
      </c>
      <c r="AT251" s="122"/>
      <c r="AU251" s="121" t="str">
        <f t="shared" si="78"/>
        <v>2022</v>
      </c>
      <c r="AV251" s="121" t="str">
        <f t="shared" si="79"/>
        <v>06</v>
      </c>
      <c r="AW251" s="121" t="str">
        <f t="shared" si="80"/>
        <v>14</v>
      </c>
      <c r="AX251" s="121">
        <f t="shared" si="81"/>
        <v>44726</v>
      </c>
      <c r="AY251" s="123"/>
      <c r="AZ251" s="124">
        <f t="shared" si="82"/>
        <v>44726</v>
      </c>
      <c r="BA251" s="121" t="b">
        <f t="shared" si="83"/>
        <v>1</v>
      </c>
      <c r="BB251" s="121">
        <f t="shared" si="84"/>
        <v>44726</v>
      </c>
      <c r="BC251" s="121" t="str">
        <f t="shared" si="85"/>
        <v>no</v>
      </c>
      <c r="BD251" s="121" t="b">
        <f t="shared" si="86"/>
        <v>0</v>
      </c>
      <c r="BE251" s="125" t="s">
        <v>56</v>
      </c>
      <c r="BF251" s="287"/>
    </row>
    <row r="252" spans="1:58" s="276" customFormat="1" ht="154">
      <c r="A252" s="283"/>
      <c r="B252" s="281" t="s">
        <v>589</v>
      </c>
      <c r="C252" s="283"/>
      <c r="D252" s="283">
        <v>10291071</v>
      </c>
      <c r="E252" s="283"/>
      <c r="F252" s="282" t="s">
        <v>535</v>
      </c>
      <c r="G252" s="283" t="s">
        <v>564</v>
      </c>
      <c r="H252" s="284">
        <v>44754</v>
      </c>
      <c r="I252" s="282"/>
      <c r="J252" s="284">
        <f t="shared" si="90"/>
        <v>44768</v>
      </c>
      <c r="K252" s="282"/>
      <c r="L252" s="282"/>
      <c r="M252" s="282"/>
      <c r="N252" s="282"/>
      <c r="O252" s="282"/>
      <c r="P252" s="282"/>
      <c r="Q252" s="283" t="s">
        <v>99</v>
      </c>
      <c r="R252" s="283" t="s">
        <v>537</v>
      </c>
      <c r="S252" s="277">
        <f t="shared" si="88"/>
        <v>50</v>
      </c>
      <c r="T252" s="283"/>
      <c r="U252" s="283">
        <v>0</v>
      </c>
      <c r="V252" s="285">
        <v>50</v>
      </c>
      <c r="W252" s="283"/>
      <c r="X252" s="283"/>
      <c r="Y252" s="283"/>
      <c r="Z252" s="283"/>
      <c r="AA252" s="283"/>
      <c r="AB252" s="283"/>
      <c r="AC252" s="283"/>
      <c r="AD252" s="283"/>
      <c r="AE252" s="283"/>
      <c r="AF252" s="283"/>
      <c r="AG252" s="277" t="s">
        <v>53</v>
      </c>
      <c r="AH252" s="277" t="s">
        <v>54</v>
      </c>
      <c r="AI252" s="283"/>
      <c r="AJ252" s="283"/>
      <c r="AK252" s="283"/>
      <c r="AL252" s="286"/>
      <c r="AM252" s="277"/>
      <c r="AN252" s="277"/>
      <c r="AO252" s="285"/>
      <c r="AP252" s="285"/>
      <c r="AR252" s="121">
        <f t="shared" si="76"/>
        <v>1</v>
      </c>
      <c r="AS252" s="121" t="str">
        <f t="shared" si="77"/>
        <v>2022_07_12_a</v>
      </c>
      <c r="AT252" s="122"/>
      <c r="AU252" s="121" t="str">
        <f t="shared" si="78"/>
        <v>2022</v>
      </c>
      <c r="AV252" s="121" t="str">
        <f t="shared" si="79"/>
        <v>07</v>
      </c>
      <c r="AW252" s="121" t="str">
        <f t="shared" si="80"/>
        <v>12</v>
      </c>
      <c r="AX252" s="121">
        <f t="shared" si="81"/>
        <v>44754</v>
      </c>
      <c r="AY252" s="123"/>
      <c r="AZ252" s="124">
        <f t="shared" si="82"/>
        <v>44754</v>
      </c>
      <c r="BA252" s="121" t="b">
        <f t="shared" si="83"/>
        <v>1</v>
      </c>
      <c r="BB252" s="121">
        <f t="shared" si="84"/>
        <v>44754</v>
      </c>
      <c r="BC252" s="121" t="str">
        <f t="shared" si="85"/>
        <v>no</v>
      </c>
      <c r="BD252" s="121" t="b">
        <f t="shared" si="86"/>
        <v>0</v>
      </c>
      <c r="BE252" s="125" t="s">
        <v>56</v>
      </c>
      <c r="BF252" s="287"/>
    </row>
    <row r="253" spans="1:58" s="276" customFormat="1" ht="154">
      <c r="A253" s="283"/>
      <c r="B253" s="281" t="s">
        <v>590</v>
      </c>
      <c r="C253" s="283"/>
      <c r="D253" s="283"/>
      <c r="E253" s="283"/>
      <c r="F253" s="282" t="s">
        <v>535</v>
      </c>
      <c r="G253" s="283" t="s">
        <v>566</v>
      </c>
      <c r="H253" s="284">
        <v>44788</v>
      </c>
      <c r="I253" s="282"/>
      <c r="J253" s="284">
        <f t="shared" si="90"/>
        <v>44802</v>
      </c>
      <c r="K253" s="282"/>
      <c r="L253" s="282"/>
      <c r="M253" s="282"/>
      <c r="N253" s="282"/>
      <c r="O253" s="282"/>
      <c r="P253" s="282"/>
      <c r="Q253" s="283" t="s">
        <v>99</v>
      </c>
      <c r="R253" s="283" t="s">
        <v>537</v>
      </c>
      <c r="S253" s="277">
        <f t="shared" si="88"/>
        <v>50</v>
      </c>
      <c r="T253" s="283"/>
      <c r="U253" s="283">
        <v>0</v>
      </c>
      <c r="V253" s="285">
        <v>50</v>
      </c>
      <c r="W253" s="283"/>
      <c r="X253" s="283"/>
      <c r="Y253" s="283"/>
      <c r="Z253" s="283"/>
      <c r="AA253" s="283"/>
      <c r="AB253" s="283"/>
      <c r="AC253" s="283"/>
      <c r="AD253" s="283"/>
      <c r="AE253" s="283"/>
      <c r="AF253" s="283"/>
      <c r="AG253" s="277" t="s">
        <v>53</v>
      </c>
      <c r="AH253" s="277" t="s">
        <v>54</v>
      </c>
      <c r="AI253" s="283"/>
      <c r="AJ253" s="283"/>
      <c r="AK253" s="283"/>
      <c r="AL253" s="286"/>
      <c r="AM253" s="277"/>
      <c r="AN253" s="277"/>
      <c r="AO253" s="285"/>
      <c r="AP253" s="285"/>
      <c r="AR253" s="121">
        <f t="shared" si="76"/>
        <v>1</v>
      </c>
      <c r="AS253" s="121" t="str">
        <f t="shared" si="77"/>
        <v>2022_08_15_a</v>
      </c>
      <c r="AT253" s="122"/>
      <c r="AU253" s="121" t="str">
        <f t="shared" si="78"/>
        <v>2022</v>
      </c>
      <c r="AV253" s="121" t="str">
        <f t="shared" si="79"/>
        <v>08</v>
      </c>
      <c r="AW253" s="121" t="str">
        <f t="shared" si="80"/>
        <v>15</v>
      </c>
      <c r="AX253" s="121">
        <f t="shared" si="81"/>
        <v>44788</v>
      </c>
      <c r="AY253" s="123"/>
      <c r="AZ253" s="124">
        <f t="shared" si="82"/>
        <v>44788</v>
      </c>
      <c r="BA253" s="121" t="b">
        <f t="shared" si="83"/>
        <v>1</v>
      </c>
      <c r="BB253" s="121">
        <f t="shared" si="84"/>
        <v>44788</v>
      </c>
      <c r="BC253" s="121" t="str">
        <f t="shared" si="85"/>
        <v>no</v>
      </c>
      <c r="BD253" s="121" t="b">
        <f t="shared" si="86"/>
        <v>0</v>
      </c>
      <c r="BE253" s="125" t="s">
        <v>56</v>
      </c>
      <c r="BF253" s="287"/>
    </row>
    <row r="254" spans="1:58" s="276" customFormat="1" ht="154">
      <c r="A254" s="283"/>
      <c r="B254" s="281" t="s">
        <v>591</v>
      </c>
      <c r="C254" s="283"/>
      <c r="D254" s="283"/>
      <c r="E254" s="283"/>
      <c r="F254" s="282" t="s">
        <v>535</v>
      </c>
      <c r="G254" s="283" t="s">
        <v>571</v>
      </c>
      <c r="H254" s="284">
        <v>44817</v>
      </c>
      <c r="I254" s="282"/>
      <c r="J254" s="284">
        <f t="shared" si="90"/>
        <v>44831</v>
      </c>
      <c r="K254" s="282"/>
      <c r="L254" s="282"/>
      <c r="M254" s="282"/>
      <c r="N254" s="282"/>
      <c r="O254" s="282"/>
      <c r="P254" s="282"/>
      <c r="Q254" s="283" t="s">
        <v>99</v>
      </c>
      <c r="R254" s="283" t="s">
        <v>537</v>
      </c>
      <c r="S254" s="277">
        <f t="shared" si="88"/>
        <v>50</v>
      </c>
      <c r="T254" s="283"/>
      <c r="U254" s="283">
        <v>0</v>
      </c>
      <c r="V254" s="285">
        <v>50</v>
      </c>
      <c r="W254" s="283"/>
      <c r="X254" s="283"/>
      <c r="Y254" s="283"/>
      <c r="Z254" s="283"/>
      <c r="AA254" s="283"/>
      <c r="AB254" s="283"/>
      <c r="AC254" s="283"/>
      <c r="AD254" s="283"/>
      <c r="AE254" s="283"/>
      <c r="AF254" s="283"/>
      <c r="AG254" s="277" t="s">
        <v>53</v>
      </c>
      <c r="AH254" s="277" t="s">
        <v>54</v>
      </c>
      <c r="AI254" s="283"/>
      <c r="AJ254" s="283"/>
      <c r="AK254" s="283"/>
      <c r="AL254" s="286"/>
      <c r="AM254" s="277"/>
      <c r="AN254" s="277"/>
      <c r="AO254" s="285"/>
      <c r="AP254" s="285"/>
      <c r="AR254" s="121">
        <f t="shared" si="76"/>
        <v>1</v>
      </c>
      <c r="AS254" s="121" t="str">
        <f t="shared" si="77"/>
        <v>2022_09_13_a</v>
      </c>
      <c r="AT254" s="122"/>
      <c r="AU254" s="121" t="str">
        <f t="shared" si="78"/>
        <v>2022</v>
      </c>
      <c r="AV254" s="121" t="str">
        <f t="shared" si="79"/>
        <v>09</v>
      </c>
      <c r="AW254" s="121" t="str">
        <f t="shared" si="80"/>
        <v>13</v>
      </c>
      <c r="AX254" s="121">
        <f t="shared" si="81"/>
        <v>44817</v>
      </c>
      <c r="AY254" s="123"/>
      <c r="AZ254" s="124">
        <f t="shared" si="82"/>
        <v>44817</v>
      </c>
      <c r="BA254" s="121" t="b">
        <f t="shared" si="83"/>
        <v>1</v>
      </c>
      <c r="BB254" s="121">
        <f t="shared" si="84"/>
        <v>44817</v>
      </c>
      <c r="BC254" s="121" t="str">
        <f t="shared" si="85"/>
        <v>no</v>
      </c>
      <c r="BD254" s="121" t="b">
        <f t="shared" si="86"/>
        <v>0</v>
      </c>
      <c r="BE254" s="125" t="s">
        <v>56</v>
      </c>
      <c r="BF254" s="287"/>
    </row>
    <row r="255" spans="1:58" s="276" customFormat="1" ht="154">
      <c r="A255" s="283"/>
      <c r="B255" s="281" t="s">
        <v>592</v>
      </c>
      <c r="C255" s="283"/>
      <c r="D255" s="283"/>
      <c r="E255" s="283"/>
      <c r="F255" s="282" t="s">
        <v>535</v>
      </c>
      <c r="G255" s="283" t="s">
        <v>574</v>
      </c>
      <c r="H255" s="284">
        <v>44852</v>
      </c>
      <c r="I255" s="282"/>
      <c r="J255" s="284">
        <f t="shared" si="90"/>
        <v>44866</v>
      </c>
      <c r="K255" s="282"/>
      <c r="L255" s="282"/>
      <c r="M255" s="282"/>
      <c r="N255" s="282"/>
      <c r="O255" s="282"/>
      <c r="P255" s="282"/>
      <c r="Q255" s="283" t="s">
        <v>121</v>
      </c>
      <c r="R255" s="283" t="s">
        <v>537</v>
      </c>
      <c r="S255" s="277">
        <f t="shared" si="88"/>
        <v>50</v>
      </c>
      <c r="T255" s="283"/>
      <c r="U255" s="283">
        <v>0</v>
      </c>
      <c r="V255" s="285">
        <v>50</v>
      </c>
      <c r="W255" s="283"/>
      <c r="X255" s="283"/>
      <c r="Y255" s="283"/>
      <c r="Z255" s="283"/>
      <c r="AA255" s="283"/>
      <c r="AB255" s="283"/>
      <c r="AC255" s="283"/>
      <c r="AD255" s="283"/>
      <c r="AE255" s="283"/>
      <c r="AF255" s="283"/>
      <c r="AG255" s="277" t="s">
        <v>53</v>
      </c>
      <c r="AH255" s="277" t="s">
        <v>54</v>
      </c>
      <c r="AI255" s="283"/>
      <c r="AJ255" s="283"/>
      <c r="AK255" s="283"/>
      <c r="AL255" s="286"/>
      <c r="AM255" s="277"/>
      <c r="AN255" s="277"/>
      <c r="AO255" s="285"/>
      <c r="AP255" s="285"/>
      <c r="AR255" s="121">
        <f t="shared" si="76"/>
        <v>1</v>
      </c>
      <c r="AS255" s="121" t="str">
        <f t="shared" si="77"/>
        <v>2022_10_18_a</v>
      </c>
      <c r="AT255" s="122"/>
      <c r="AU255" s="121" t="str">
        <f t="shared" si="78"/>
        <v>2022</v>
      </c>
      <c r="AV255" s="121" t="str">
        <f t="shared" si="79"/>
        <v>10</v>
      </c>
      <c r="AW255" s="121" t="str">
        <f t="shared" si="80"/>
        <v>18</v>
      </c>
      <c r="AX255" s="121">
        <f t="shared" si="81"/>
        <v>44852</v>
      </c>
      <c r="AY255" s="123"/>
      <c r="AZ255" s="124">
        <f t="shared" si="82"/>
        <v>44852</v>
      </c>
      <c r="BA255" s="121" t="b">
        <f t="shared" si="83"/>
        <v>1</v>
      </c>
      <c r="BB255" s="121">
        <f t="shared" si="84"/>
        <v>44852</v>
      </c>
      <c r="BC255" s="121" t="str">
        <f t="shared" si="85"/>
        <v>no</v>
      </c>
      <c r="BD255" s="121" t="b">
        <f t="shared" si="86"/>
        <v>0</v>
      </c>
      <c r="BE255" s="125" t="s">
        <v>56</v>
      </c>
      <c r="BF255" s="287"/>
    </row>
    <row r="256" spans="1:58" s="276" customFormat="1" ht="154">
      <c r="A256" s="283"/>
      <c r="B256" s="281" t="s">
        <v>593</v>
      </c>
      <c r="C256" s="283"/>
      <c r="D256" s="283"/>
      <c r="E256" s="283"/>
      <c r="F256" s="282" t="s">
        <v>535</v>
      </c>
      <c r="G256" s="283" t="s">
        <v>576</v>
      </c>
      <c r="H256" s="284">
        <v>44879</v>
      </c>
      <c r="I256" s="282"/>
      <c r="J256" s="284">
        <f t="shared" si="90"/>
        <v>44893</v>
      </c>
      <c r="K256" s="282"/>
      <c r="L256" s="282"/>
      <c r="M256" s="282"/>
      <c r="N256" s="282"/>
      <c r="O256" s="282"/>
      <c r="P256" s="282"/>
      <c r="Q256" s="283" t="s">
        <v>121</v>
      </c>
      <c r="R256" s="283" t="s">
        <v>537</v>
      </c>
      <c r="S256" s="277">
        <f t="shared" si="88"/>
        <v>50</v>
      </c>
      <c r="T256" s="283"/>
      <c r="U256" s="283">
        <v>0</v>
      </c>
      <c r="V256" s="285">
        <v>50</v>
      </c>
      <c r="W256" s="283"/>
      <c r="X256" s="283"/>
      <c r="Y256" s="283"/>
      <c r="Z256" s="283"/>
      <c r="AA256" s="283"/>
      <c r="AB256" s="283"/>
      <c r="AC256" s="283"/>
      <c r="AD256" s="283"/>
      <c r="AE256" s="283"/>
      <c r="AF256" s="283"/>
      <c r="AG256" s="277" t="s">
        <v>53</v>
      </c>
      <c r="AH256" s="277" t="s">
        <v>54</v>
      </c>
      <c r="AI256" s="283"/>
      <c r="AJ256" s="283"/>
      <c r="AK256" s="283"/>
      <c r="AL256" s="286"/>
      <c r="AM256" s="277"/>
      <c r="AN256" s="277"/>
      <c r="AO256" s="285"/>
      <c r="AP256" s="285"/>
      <c r="AR256" s="121">
        <f t="shared" si="76"/>
        <v>1</v>
      </c>
      <c r="AS256" s="121" t="str">
        <f t="shared" si="77"/>
        <v>2022_11_14_a</v>
      </c>
      <c r="AT256" s="122"/>
      <c r="AU256" s="121" t="str">
        <f t="shared" si="78"/>
        <v>2022</v>
      </c>
      <c r="AV256" s="121" t="str">
        <f t="shared" si="79"/>
        <v>11</v>
      </c>
      <c r="AW256" s="121" t="str">
        <f t="shared" si="80"/>
        <v>14</v>
      </c>
      <c r="AX256" s="121">
        <f t="shared" si="81"/>
        <v>44879</v>
      </c>
      <c r="AY256" s="123"/>
      <c r="AZ256" s="124">
        <f t="shared" si="82"/>
        <v>44879</v>
      </c>
      <c r="BA256" s="121" t="b">
        <f t="shared" si="83"/>
        <v>1</v>
      </c>
      <c r="BB256" s="121">
        <f t="shared" si="84"/>
        <v>44879</v>
      </c>
      <c r="BC256" s="121" t="str">
        <f t="shared" si="85"/>
        <v>no</v>
      </c>
      <c r="BD256" s="121" t="b">
        <f t="shared" si="86"/>
        <v>0</v>
      </c>
      <c r="BE256" s="125" t="s">
        <v>56</v>
      </c>
      <c r="BF256" s="287"/>
    </row>
    <row r="257" spans="1:58" s="276" customFormat="1" ht="154">
      <c r="A257" s="283"/>
      <c r="B257" s="281" t="s">
        <v>594</v>
      </c>
      <c r="C257" s="283"/>
      <c r="D257" s="283"/>
      <c r="E257" s="283"/>
      <c r="F257" s="282" t="s">
        <v>535</v>
      </c>
      <c r="G257" s="283" t="s">
        <v>578</v>
      </c>
      <c r="H257" s="284">
        <v>44908</v>
      </c>
      <c r="I257" s="282"/>
      <c r="J257" s="284">
        <f t="shared" si="90"/>
        <v>44922</v>
      </c>
      <c r="K257" s="282"/>
      <c r="L257" s="282"/>
      <c r="M257" s="282"/>
      <c r="N257" s="282"/>
      <c r="O257" s="282"/>
      <c r="P257" s="282"/>
      <c r="Q257" s="283" t="s">
        <v>121</v>
      </c>
      <c r="R257" s="283" t="s">
        <v>537</v>
      </c>
      <c r="S257" s="277">
        <f t="shared" si="88"/>
        <v>50</v>
      </c>
      <c r="T257" s="283"/>
      <c r="U257" s="283">
        <v>0</v>
      </c>
      <c r="V257" s="285">
        <v>50</v>
      </c>
      <c r="W257" s="283"/>
      <c r="X257" s="283"/>
      <c r="Y257" s="283"/>
      <c r="Z257" s="283"/>
      <c r="AA257" s="283"/>
      <c r="AB257" s="283"/>
      <c r="AC257" s="283"/>
      <c r="AD257" s="283"/>
      <c r="AE257" s="283"/>
      <c r="AF257" s="283"/>
      <c r="AG257" s="277" t="s">
        <v>53</v>
      </c>
      <c r="AH257" s="277" t="s">
        <v>54</v>
      </c>
      <c r="AI257" s="283"/>
      <c r="AJ257" s="283"/>
      <c r="AK257" s="283"/>
      <c r="AL257" s="286"/>
      <c r="AM257" s="277"/>
      <c r="AN257" s="277"/>
      <c r="AO257" s="285"/>
      <c r="AP257" s="285"/>
      <c r="AR257" s="121">
        <f t="shared" si="76"/>
        <v>1</v>
      </c>
      <c r="AS257" s="121" t="str">
        <f t="shared" si="77"/>
        <v>2022_12_13_a</v>
      </c>
      <c r="AT257" s="122"/>
      <c r="AU257" s="121" t="str">
        <f t="shared" si="78"/>
        <v>2022</v>
      </c>
      <c r="AV257" s="121" t="str">
        <f t="shared" si="79"/>
        <v>12</v>
      </c>
      <c r="AW257" s="121" t="str">
        <f t="shared" si="80"/>
        <v>13</v>
      </c>
      <c r="AX257" s="121">
        <f t="shared" si="81"/>
        <v>44908</v>
      </c>
      <c r="AY257" s="123"/>
      <c r="AZ257" s="124">
        <f t="shared" si="82"/>
        <v>44908</v>
      </c>
      <c r="BA257" s="121" t="b">
        <f t="shared" si="83"/>
        <v>1</v>
      </c>
      <c r="BB257" s="121">
        <f t="shared" si="84"/>
        <v>44908</v>
      </c>
      <c r="BC257" s="121" t="str">
        <f t="shared" si="85"/>
        <v>no</v>
      </c>
      <c r="BD257" s="121" t="b">
        <f t="shared" si="86"/>
        <v>0</v>
      </c>
      <c r="BE257" s="125" t="s">
        <v>56</v>
      </c>
      <c r="BF257" s="287"/>
    </row>
    <row r="258" spans="1:58" s="276" customFormat="1" ht="154">
      <c r="A258" s="283"/>
      <c r="B258" s="281" t="s">
        <v>595</v>
      </c>
      <c r="C258" s="283"/>
      <c r="D258" s="283">
        <v>10260677</v>
      </c>
      <c r="E258" s="283"/>
      <c r="F258" s="282" t="s">
        <v>535</v>
      </c>
      <c r="G258" s="283" t="s">
        <v>536</v>
      </c>
      <c r="H258" s="284">
        <v>44579</v>
      </c>
      <c r="I258" s="282"/>
      <c r="J258" s="284">
        <f t="shared" si="90"/>
        <v>44593</v>
      </c>
      <c r="K258" s="282"/>
      <c r="L258" s="282"/>
      <c r="M258" s="282"/>
      <c r="N258" s="282"/>
      <c r="O258" s="282"/>
      <c r="P258" s="282"/>
      <c r="Q258" s="283" t="s">
        <v>47</v>
      </c>
      <c r="R258" s="283" t="s">
        <v>548</v>
      </c>
      <c r="S258" s="277">
        <f t="shared" si="88"/>
        <v>25</v>
      </c>
      <c r="T258" s="283"/>
      <c r="U258" s="283">
        <v>0</v>
      </c>
      <c r="V258" s="285">
        <v>25</v>
      </c>
      <c r="W258" s="283"/>
      <c r="X258" s="283"/>
      <c r="Y258" s="283"/>
      <c r="Z258" s="283"/>
      <c r="AA258" s="283"/>
      <c r="AB258" s="283"/>
      <c r="AC258" s="283"/>
      <c r="AD258" s="283"/>
      <c r="AE258" s="283"/>
      <c r="AF258" s="283"/>
      <c r="AG258" s="277" t="s">
        <v>53</v>
      </c>
      <c r="AH258" s="277" t="s">
        <v>54</v>
      </c>
      <c r="AI258" s="283"/>
      <c r="AJ258" s="283"/>
      <c r="AK258" s="283"/>
      <c r="AL258" s="286"/>
      <c r="AM258" s="277"/>
      <c r="AN258" s="277"/>
      <c r="AO258" s="285"/>
      <c r="AP258" s="285"/>
      <c r="AR258" s="121">
        <f t="shared" si="76"/>
        <v>1</v>
      </c>
      <c r="AS258" s="121" t="str">
        <f t="shared" si="77"/>
        <v>2022_01_18_a</v>
      </c>
      <c r="AT258" s="122"/>
      <c r="AU258" s="121" t="str">
        <f t="shared" si="78"/>
        <v>2022</v>
      </c>
      <c r="AV258" s="121" t="str">
        <f t="shared" si="79"/>
        <v>01</v>
      </c>
      <c r="AW258" s="121" t="str">
        <f t="shared" si="80"/>
        <v>18</v>
      </c>
      <c r="AX258" s="121">
        <f t="shared" si="81"/>
        <v>44579</v>
      </c>
      <c r="AY258" s="123"/>
      <c r="AZ258" s="124">
        <f t="shared" si="82"/>
        <v>44579</v>
      </c>
      <c r="BA258" s="121" t="b">
        <f t="shared" si="83"/>
        <v>1</v>
      </c>
      <c r="BB258" s="121">
        <f t="shared" si="84"/>
        <v>44579</v>
      </c>
      <c r="BC258" s="121" t="str">
        <f t="shared" si="85"/>
        <v>no</v>
      </c>
      <c r="BD258" s="121" t="b">
        <f t="shared" si="86"/>
        <v>0</v>
      </c>
      <c r="BE258" s="125" t="s">
        <v>56</v>
      </c>
      <c r="BF258" s="287"/>
    </row>
    <row r="259" spans="1:58" s="276" customFormat="1" ht="154">
      <c r="A259" s="283"/>
      <c r="B259" s="281" t="s">
        <v>596</v>
      </c>
      <c r="C259" s="283"/>
      <c r="D259" s="283">
        <v>10260680</v>
      </c>
      <c r="E259" s="283"/>
      <c r="F259" s="282" t="s">
        <v>535</v>
      </c>
      <c r="G259" s="283" t="s">
        <v>543</v>
      </c>
      <c r="H259" s="284">
        <v>44607</v>
      </c>
      <c r="I259" s="282"/>
      <c r="J259" s="284">
        <f t="shared" si="90"/>
        <v>44621</v>
      </c>
      <c r="K259" s="282"/>
      <c r="L259" s="282"/>
      <c r="M259" s="282"/>
      <c r="N259" s="282"/>
      <c r="O259" s="282"/>
      <c r="P259" s="282"/>
      <c r="Q259" s="283" t="s">
        <v>47</v>
      </c>
      <c r="R259" s="283" t="s">
        <v>548</v>
      </c>
      <c r="S259" s="277">
        <f t="shared" si="88"/>
        <v>25</v>
      </c>
      <c r="T259" s="283"/>
      <c r="U259" s="283">
        <v>0</v>
      </c>
      <c r="V259" s="285">
        <v>25</v>
      </c>
      <c r="W259" s="283"/>
      <c r="X259" s="283"/>
      <c r="Y259" s="283"/>
      <c r="Z259" s="283"/>
      <c r="AA259" s="283"/>
      <c r="AB259" s="283"/>
      <c r="AC259" s="283"/>
      <c r="AD259" s="283"/>
      <c r="AE259" s="283"/>
      <c r="AF259" s="283"/>
      <c r="AG259" s="277" t="s">
        <v>53</v>
      </c>
      <c r="AH259" s="277" t="s">
        <v>54</v>
      </c>
      <c r="AI259" s="283"/>
      <c r="AJ259" s="283"/>
      <c r="AK259" s="283"/>
      <c r="AL259" s="286"/>
      <c r="AM259" s="277"/>
      <c r="AN259" s="277"/>
      <c r="AO259" s="285"/>
      <c r="AP259" s="285"/>
      <c r="AR259" s="121">
        <f t="shared" ref="AR259:AR322" si="91">COUNTIF(B:B,B259)</f>
        <v>1</v>
      </c>
      <c r="AS259" s="121" t="str">
        <f t="shared" si="77"/>
        <v>2022_02_15_a</v>
      </c>
      <c r="AT259" s="122"/>
      <c r="AU259" s="121" t="str">
        <f t="shared" si="78"/>
        <v>2022</v>
      </c>
      <c r="AV259" s="121" t="str">
        <f t="shared" si="79"/>
        <v>02</v>
      </c>
      <c r="AW259" s="121" t="str">
        <f t="shared" si="80"/>
        <v>15</v>
      </c>
      <c r="AX259" s="121">
        <f t="shared" si="81"/>
        <v>44607</v>
      </c>
      <c r="AY259" s="123"/>
      <c r="AZ259" s="124">
        <f t="shared" si="82"/>
        <v>44607</v>
      </c>
      <c r="BA259" s="121" t="b">
        <f t="shared" si="83"/>
        <v>1</v>
      </c>
      <c r="BB259" s="121">
        <f t="shared" si="84"/>
        <v>44607</v>
      </c>
      <c r="BC259" s="121" t="str">
        <f t="shared" si="85"/>
        <v>no</v>
      </c>
      <c r="BD259" s="121" t="b">
        <f t="shared" si="86"/>
        <v>0</v>
      </c>
      <c r="BE259" s="125" t="s">
        <v>56</v>
      </c>
      <c r="BF259" s="287"/>
    </row>
    <row r="260" spans="1:58" s="276" customFormat="1" ht="154">
      <c r="A260" s="283"/>
      <c r="B260" s="281" t="s">
        <v>597</v>
      </c>
      <c r="C260" s="283"/>
      <c r="D260" s="283">
        <v>10260681</v>
      </c>
      <c r="E260" s="283"/>
      <c r="F260" s="282" t="s">
        <v>535</v>
      </c>
      <c r="G260" s="283" t="s">
        <v>547</v>
      </c>
      <c r="H260" s="284">
        <v>44635</v>
      </c>
      <c r="I260" s="282"/>
      <c r="J260" s="284">
        <f t="shared" si="90"/>
        <v>44649</v>
      </c>
      <c r="K260" s="282"/>
      <c r="L260" s="282"/>
      <c r="M260" s="282"/>
      <c r="N260" s="282"/>
      <c r="O260" s="282"/>
      <c r="P260" s="282"/>
      <c r="Q260" s="283" t="s">
        <v>47</v>
      </c>
      <c r="R260" s="283" t="s">
        <v>548</v>
      </c>
      <c r="S260" s="277">
        <f t="shared" ref="S260:S314" si="92">U260+V260</f>
        <v>25</v>
      </c>
      <c r="T260" s="283"/>
      <c r="U260" s="283">
        <v>0</v>
      </c>
      <c r="V260" s="285">
        <v>25</v>
      </c>
      <c r="W260" s="283"/>
      <c r="X260" s="283"/>
      <c r="Y260" s="283"/>
      <c r="Z260" s="283"/>
      <c r="AA260" s="283"/>
      <c r="AB260" s="283"/>
      <c r="AC260" s="283"/>
      <c r="AD260" s="283"/>
      <c r="AE260" s="283"/>
      <c r="AF260" s="283"/>
      <c r="AG260" s="277" t="s">
        <v>53</v>
      </c>
      <c r="AH260" s="277" t="s">
        <v>54</v>
      </c>
      <c r="AI260" s="283"/>
      <c r="AJ260" s="283"/>
      <c r="AK260" s="283"/>
      <c r="AL260" s="286"/>
      <c r="AM260" s="277"/>
      <c r="AN260" s="277"/>
      <c r="AO260" s="285"/>
      <c r="AP260" s="285"/>
      <c r="AR260" s="121">
        <f t="shared" si="91"/>
        <v>1</v>
      </c>
      <c r="AS260" s="121" t="str">
        <f t="shared" ref="AS260:AS323" si="93">IFERROR(RIGHT(B260,16-SEARCH("_", B260)),0)</f>
        <v>2022_03_15_a</v>
      </c>
      <c r="AT260" s="122"/>
      <c r="AU260" s="121" t="str">
        <f t="shared" ref="AU260:AU323" si="94">LEFT(AS260,4)</f>
        <v>2022</v>
      </c>
      <c r="AV260" s="121" t="str">
        <f t="shared" ref="AV260:AV323" si="95">MID(AS260,6,2)</f>
        <v>03</v>
      </c>
      <c r="AW260" s="121" t="str">
        <f t="shared" ref="AW260:AW323" si="96">MID(AS260,9,2)</f>
        <v>15</v>
      </c>
      <c r="AX260" s="121">
        <f t="shared" ref="AX260:AX323" si="97">IFERROR(DATE(AU260,AV260,AW260)," ")</f>
        <v>44635</v>
      </c>
      <c r="AY260" s="123"/>
      <c r="AZ260" s="124">
        <f t="shared" ref="AZ260:AZ323" si="98">H260</f>
        <v>44635</v>
      </c>
      <c r="BA260" s="121" t="b">
        <f t="shared" ref="BA260:BA323" si="99">IF(AX260=" "," ",AX260=AZ260)</f>
        <v>1</v>
      </c>
      <c r="BB260" s="121">
        <f t="shared" ref="BB260:BB323" si="100">IF(BC260="YES"," ",AZ260)</f>
        <v>44635</v>
      </c>
      <c r="BC260" s="121" t="str">
        <f t="shared" ref="BC260:BC323" si="101">IF(AM260="Apprentice","yes","no")</f>
        <v>no</v>
      </c>
      <c r="BD260" s="121" t="b">
        <f t="shared" ref="BD260:BD323" si="102">IF(OR(U260&lt;&gt;"0", V260&lt;&gt;"0"),U260=V260," ")</f>
        <v>0</v>
      </c>
      <c r="BE260" s="125" t="s">
        <v>56</v>
      </c>
      <c r="BF260" s="287"/>
    </row>
    <row r="261" spans="1:58" s="276" customFormat="1" ht="154">
      <c r="A261" s="283"/>
      <c r="B261" s="281" t="s">
        <v>598</v>
      </c>
      <c r="C261" s="283"/>
      <c r="D261" s="283" t="s">
        <v>599</v>
      </c>
      <c r="E261" s="283"/>
      <c r="F261" s="282" t="s">
        <v>535</v>
      </c>
      <c r="G261" s="283" t="s">
        <v>551</v>
      </c>
      <c r="H261" s="284">
        <v>44663</v>
      </c>
      <c r="I261" s="282"/>
      <c r="J261" s="284">
        <f t="shared" si="90"/>
        <v>44677</v>
      </c>
      <c r="K261" s="282"/>
      <c r="L261" s="282"/>
      <c r="M261" s="282"/>
      <c r="N261" s="282"/>
      <c r="O261" s="282"/>
      <c r="P261" s="282"/>
      <c r="Q261" s="283" t="s">
        <v>78</v>
      </c>
      <c r="R261" s="283" t="s">
        <v>548</v>
      </c>
      <c r="S261" s="277">
        <f t="shared" si="92"/>
        <v>25</v>
      </c>
      <c r="T261" s="283"/>
      <c r="U261" s="283">
        <v>0</v>
      </c>
      <c r="V261" s="285">
        <v>25</v>
      </c>
      <c r="W261" s="283"/>
      <c r="X261" s="283"/>
      <c r="Y261" s="283"/>
      <c r="Z261" s="283"/>
      <c r="AA261" s="283"/>
      <c r="AB261" s="283"/>
      <c r="AC261" s="283"/>
      <c r="AD261" s="283"/>
      <c r="AE261" s="283"/>
      <c r="AF261" s="283"/>
      <c r="AG261" s="277" t="s">
        <v>53</v>
      </c>
      <c r="AH261" s="277" t="s">
        <v>54</v>
      </c>
      <c r="AI261" s="283"/>
      <c r="AJ261" s="283"/>
      <c r="AK261" s="283"/>
      <c r="AL261" s="286"/>
      <c r="AM261" s="277"/>
      <c r="AN261" s="277"/>
      <c r="AO261" s="285"/>
      <c r="AP261" s="285"/>
      <c r="AR261" s="121">
        <f t="shared" si="91"/>
        <v>1</v>
      </c>
      <c r="AS261" s="121" t="str">
        <f t="shared" si="93"/>
        <v>2022_04_12_a</v>
      </c>
      <c r="AT261" s="122"/>
      <c r="AU261" s="121" t="str">
        <f t="shared" si="94"/>
        <v>2022</v>
      </c>
      <c r="AV261" s="121" t="str">
        <f t="shared" si="95"/>
        <v>04</v>
      </c>
      <c r="AW261" s="121" t="str">
        <f t="shared" si="96"/>
        <v>12</v>
      </c>
      <c r="AX261" s="121">
        <f t="shared" si="97"/>
        <v>44663</v>
      </c>
      <c r="AY261" s="123"/>
      <c r="AZ261" s="124">
        <f t="shared" si="98"/>
        <v>44663</v>
      </c>
      <c r="BA261" s="121" t="b">
        <f t="shared" si="99"/>
        <v>1</v>
      </c>
      <c r="BB261" s="121">
        <f t="shared" si="100"/>
        <v>44663</v>
      </c>
      <c r="BC261" s="121" t="str">
        <f t="shared" si="101"/>
        <v>no</v>
      </c>
      <c r="BD261" s="121" t="b">
        <f t="shared" si="102"/>
        <v>0</v>
      </c>
      <c r="BE261" s="125" t="s">
        <v>56</v>
      </c>
      <c r="BF261" s="287"/>
    </row>
    <row r="262" spans="1:58" s="276" customFormat="1" ht="154">
      <c r="A262" s="283"/>
      <c r="B262" s="281" t="s">
        <v>600</v>
      </c>
      <c r="C262" s="283"/>
      <c r="D262" s="283">
        <v>10271153</v>
      </c>
      <c r="E262" s="283"/>
      <c r="F262" s="282" t="s">
        <v>535</v>
      </c>
      <c r="G262" s="283" t="s">
        <v>555</v>
      </c>
      <c r="H262" s="284">
        <v>44698</v>
      </c>
      <c r="I262" s="282"/>
      <c r="J262" s="284">
        <f t="shared" si="90"/>
        <v>44712</v>
      </c>
      <c r="K262" s="282"/>
      <c r="L262" s="282"/>
      <c r="M262" s="282"/>
      <c r="N262" s="282"/>
      <c r="O262" s="282"/>
      <c r="P262" s="282"/>
      <c r="Q262" s="283" t="s">
        <v>78</v>
      </c>
      <c r="R262" s="283" t="s">
        <v>548</v>
      </c>
      <c r="S262" s="277">
        <f t="shared" si="92"/>
        <v>25</v>
      </c>
      <c r="T262" s="283"/>
      <c r="U262" s="283">
        <v>0</v>
      </c>
      <c r="V262" s="285">
        <v>25</v>
      </c>
      <c r="W262" s="283"/>
      <c r="X262" s="283"/>
      <c r="Y262" s="283"/>
      <c r="Z262" s="283"/>
      <c r="AA262" s="283"/>
      <c r="AB262" s="283"/>
      <c r="AC262" s="283"/>
      <c r="AD262" s="283"/>
      <c r="AE262" s="283"/>
      <c r="AF262" s="283"/>
      <c r="AG262" s="277" t="s">
        <v>53</v>
      </c>
      <c r="AH262" s="277" t="s">
        <v>54</v>
      </c>
      <c r="AI262" s="283"/>
      <c r="AJ262" s="283"/>
      <c r="AK262" s="283"/>
      <c r="AL262" s="286"/>
      <c r="AM262" s="277"/>
      <c r="AN262" s="277"/>
      <c r="AO262" s="285"/>
      <c r="AP262" s="285"/>
      <c r="AR262" s="121">
        <f t="shared" si="91"/>
        <v>1</v>
      </c>
      <c r="AS262" s="121" t="str">
        <f t="shared" si="93"/>
        <v>2022_05_17_a</v>
      </c>
      <c r="AT262" s="122"/>
      <c r="AU262" s="121" t="str">
        <f t="shared" si="94"/>
        <v>2022</v>
      </c>
      <c r="AV262" s="121" t="str">
        <f t="shared" si="95"/>
        <v>05</v>
      </c>
      <c r="AW262" s="121" t="str">
        <f t="shared" si="96"/>
        <v>17</v>
      </c>
      <c r="AX262" s="121">
        <f t="shared" si="97"/>
        <v>44698</v>
      </c>
      <c r="AY262" s="123"/>
      <c r="AZ262" s="124">
        <f t="shared" si="98"/>
        <v>44698</v>
      </c>
      <c r="BA262" s="121" t="b">
        <f t="shared" si="99"/>
        <v>1</v>
      </c>
      <c r="BB262" s="121">
        <f t="shared" si="100"/>
        <v>44698</v>
      </c>
      <c r="BC262" s="121" t="str">
        <f t="shared" si="101"/>
        <v>no</v>
      </c>
      <c r="BD262" s="121" t="b">
        <f t="shared" si="102"/>
        <v>0</v>
      </c>
      <c r="BE262" s="125" t="s">
        <v>56</v>
      </c>
      <c r="BF262" s="287"/>
    </row>
    <row r="263" spans="1:58" s="276" customFormat="1" ht="154">
      <c r="A263" s="283"/>
      <c r="B263" s="281" t="s">
        <v>601</v>
      </c>
      <c r="C263" s="283"/>
      <c r="D263" s="283">
        <v>10271163</v>
      </c>
      <c r="E263" s="283"/>
      <c r="F263" s="282" t="s">
        <v>535</v>
      </c>
      <c r="G263" s="283" t="s">
        <v>559</v>
      </c>
      <c r="H263" s="284">
        <v>44726</v>
      </c>
      <c r="I263" s="282"/>
      <c r="J263" s="284">
        <f t="shared" si="90"/>
        <v>44740</v>
      </c>
      <c r="K263" s="282"/>
      <c r="L263" s="282"/>
      <c r="M263" s="282"/>
      <c r="N263" s="282"/>
      <c r="O263" s="282"/>
      <c r="P263" s="282"/>
      <c r="Q263" s="283" t="s">
        <v>78</v>
      </c>
      <c r="R263" s="283" t="s">
        <v>548</v>
      </c>
      <c r="S263" s="277">
        <f t="shared" si="92"/>
        <v>25</v>
      </c>
      <c r="T263" s="283"/>
      <c r="U263" s="283">
        <v>0</v>
      </c>
      <c r="V263" s="285">
        <v>25</v>
      </c>
      <c r="W263" s="283"/>
      <c r="X263" s="283"/>
      <c r="Y263" s="283"/>
      <c r="Z263" s="283"/>
      <c r="AA263" s="283"/>
      <c r="AB263" s="283"/>
      <c r="AC263" s="283"/>
      <c r="AD263" s="283"/>
      <c r="AE263" s="283"/>
      <c r="AF263" s="283"/>
      <c r="AG263" s="277" t="s">
        <v>53</v>
      </c>
      <c r="AH263" s="277" t="s">
        <v>54</v>
      </c>
      <c r="AI263" s="283"/>
      <c r="AJ263" s="283"/>
      <c r="AK263" s="283"/>
      <c r="AL263" s="286"/>
      <c r="AM263" s="277"/>
      <c r="AN263" s="277"/>
      <c r="AO263" s="285"/>
      <c r="AP263" s="285"/>
      <c r="AR263" s="121">
        <f t="shared" si="91"/>
        <v>1</v>
      </c>
      <c r="AS263" s="121" t="str">
        <f t="shared" si="93"/>
        <v>2022_06_14_a</v>
      </c>
      <c r="AT263" s="122"/>
      <c r="AU263" s="121" t="str">
        <f t="shared" si="94"/>
        <v>2022</v>
      </c>
      <c r="AV263" s="121" t="str">
        <f t="shared" si="95"/>
        <v>06</v>
      </c>
      <c r="AW263" s="121" t="str">
        <f t="shared" si="96"/>
        <v>14</v>
      </c>
      <c r="AX263" s="121">
        <f t="shared" si="97"/>
        <v>44726</v>
      </c>
      <c r="AY263" s="123"/>
      <c r="AZ263" s="124">
        <f t="shared" si="98"/>
        <v>44726</v>
      </c>
      <c r="BA263" s="121" t="b">
        <f t="shared" si="99"/>
        <v>1</v>
      </c>
      <c r="BB263" s="121">
        <f t="shared" si="100"/>
        <v>44726</v>
      </c>
      <c r="BC263" s="121" t="str">
        <f t="shared" si="101"/>
        <v>no</v>
      </c>
      <c r="BD263" s="121" t="b">
        <f t="shared" si="102"/>
        <v>0</v>
      </c>
      <c r="BE263" s="125" t="s">
        <v>56</v>
      </c>
      <c r="BF263" s="287"/>
    </row>
    <row r="264" spans="1:58" s="276" customFormat="1" ht="154">
      <c r="A264" s="283"/>
      <c r="B264" s="281" t="s">
        <v>602</v>
      </c>
      <c r="C264" s="283"/>
      <c r="D264" s="283" t="s">
        <v>603</v>
      </c>
      <c r="E264" s="283"/>
      <c r="F264" s="282" t="s">
        <v>535</v>
      </c>
      <c r="G264" s="283" t="s">
        <v>564</v>
      </c>
      <c r="H264" s="284">
        <v>44754</v>
      </c>
      <c r="I264" s="282"/>
      <c r="J264" s="284">
        <f t="shared" si="90"/>
        <v>44768</v>
      </c>
      <c r="K264" s="282"/>
      <c r="L264" s="282"/>
      <c r="M264" s="282"/>
      <c r="N264" s="282"/>
      <c r="O264" s="282"/>
      <c r="P264" s="282"/>
      <c r="Q264" s="283" t="s">
        <v>99</v>
      </c>
      <c r="R264" s="283" t="s">
        <v>548</v>
      </c>
      <c r="S264" s="277">
        <f t="shared" si="92"/>
        <v>25</v>
      </c>
      <c r="T264" s="283"/>
      <c r="U264" s="283">
        <v>0</v>
      </c>
      <c r="V264" s="285">
        <v>25</v>
      </c>
      <c r="W264" s="283"/>
      <c r="X264" s="283"/>
      <c r="Y264" s="283"/>
      <c r="Z264" s="283"/>
      <c r="AA264" s="283"/>
      <c r="AB264" s="283"/>
      <c r="AC264" s="283"/>
      <c r="AD264" s="283"/>
      <c r="AE264" s="283"/>
      <c r="AF264" s="283"/>
      <c r="AG264" s="277" t="s">
        <v>53</v>
      </c>
      <c r="AH264" s="277" t="s">
        <v>54</v>
      </c>
      <c r="AI264" s="283"/>
      <c r="AJ264" s="283"/>
      <c r="AK264" s="283"/>
      <c r="AL264" s="286"/>
      <c r="AM264" s="277"/>
      <c r="AN264" s="277"/>
      <c r="AO264" s="285"/>
      <c r="AP264" s="285"/>
      <c r="AR264" s="121">
        <f t="shared" si="91"/>
        <v>1</v>
      </c>
      <c r="AS264" s="121" t="str">
        <f t="shared" si="93"/>
        <v>2022_07_12_a</v>
      </c>
      <c r="AT264" s="122"/>
      <c r="AU264" s="121" t="str">
        <f t="shared" si="94"/>
        <v>2022</v>
      </c>
      <c r="AV264" s="121" t="str">
        <f t="shared" si="95"/>
        <v>07</v>
      </c>
      <c r="AW264" s="121" t="str">
        <f t="shared" si="96"/>
        <v>12</v>
      </c>
      <c r="AX264" s="121">
        <f t="shared" si="97"/>
        <v>44754</v>
      </c>
      <c r="AY264" s="123"/>
      <c r="AZ264" s="124">
        <f t="shared" si="98"/>
        <v>44754</v>
      </c>
      <c r="BA264" s="121" t="b">
        <f t="shared" si="99"/>
        <v>1</v>
      </c>
      <c r="BB264" s="121">
        <f t="shared" si="100"/>
        <v>44754</v>
      </c>
      <c r="BC264" s="121" t="str">
        <f t="shared" si="101"/>
        <v>no</v>
      </c>
      <c r="BD264" s="121" t="b">
        <f t="shared" si="102"/>
        <v>0</v>
      </c>
      <c r="BE264" s="125" t="s">
        <v>56</v>
      </c>
      <c r="BF264" s="287"/>
    </row>
    <row r="265" spans="1:58" s="276" customFormat="1" ht="154">
      <c r="A265" s="283"/>
      <c r="B265" s="281" t="s">
        <v>604</v>
      </c>
      <c r="C265" s="283"/>
      <c r="D265" s="283"/>
      <c r="E265" s="283"/>
      <c r="F265" s="282" t="s">
        <v>535</v>
      </c>
      <c r="G265" s="283" t="s">
        <v>566</v>
      </c>
      <c r="H265" s="284">
        <v>44788</v>
      </c>
      <c r="I265" s="282"/>
      <c r="J265" s="284">
        <f t="shared" si="90"/>
        <v>44802</v>
      </c>
      <c r="K265" s="282"/>
      <c r="L265" s="282"/>
      <c r="M265" s="282"/>
      <c r="N265" s="282"/>
      <c r="O265" s="282"/>
      <c r="P265" s="282"/>
      <c r="Q265" s="283" t="s">
        <v>99</v>
      </c>
      <c r="R265" s="283" t="s">
        <v>548</v>
      </c>
      <c r="S265" s="277">
        <f t="shared" si="92"/>
        <v>25</v>
      </c>
      <c r="T265" s="283"/>
      <c r="U265" s="283">
        <v>0</v>
      </c>
      <c r="V265" s="285">
        <v>25</v>
      </c>
      <c r="W265" s="283"/>
      <c r="X265" s="283"/>
      <c r="Y265" s="283"/>
      <c r="Z265" s="283"/>
      <c r="AA265" s="283"/>
      <c r="AB265" s="283"/>
      <c r="AC265" s="283"/>
      <c r="AD265" s="283"/>
      <c r="AE265" s="283"/>
      <c r="AF265" s="283"/>
      <c r="AG265" s="277" t="s">
        <v>53</v>
      </c>
      <c r="AH265" s="277" t="s">
        <v>54</v>
      </c>
      <c r="AI265" s="283"/>
      <c r="AJ265" s="283"/>
      <c r="AK265" s="283"/>
      <c r="AL265" s="286"/>
      <c r="AM265" s="277"/>
      <c r="AN265" s="277"/>
      <c r="AO265" s="285"/>
      <c r="AP265" s="285"/>
      <c r="AR265" s="121">
        <f t="shared" si="91"/>
        <v>1</v>
      </c>
      <c r="AS265" s="121" t="str">
        <f t="shared" si="93"/>
        <v>2022_08_15_a</v>
      </c>
      <c r="AT265" s="122"/>
      <c r="AU265" s="121" t="str">
        <f t="shared" si="94"/>
        <v>2022</v>
      </c>
      <c r="AV265" s="121" t="str">
        <f t="shared" si="95"/>
        <v>08</v>
      </c>
      <c r="AW265" s="121" t="str">
        <f t="shared" si="96"/>
        <v>15</v>
      </c>
      <c r="AX265" s="121">
        <f t="shared" si="97"/>
        <v>44788</v>
      </c>
      <c r="AY265" s="123"/>
      <c r="AZ265" s="124">
        <f t="shared" si="98"/>
        <v>44788</v>
      </c>
      <c r="BA265" s="121" t="b">
        <f t="shared" si="99"/>
        <v>1</v>
      </c>
      <c r="BB265" s="121">
        <f t="shared" si="100"/>
        <v>44788</v>
      </c>
      <c r="BC265" s="121" t="str">
        <f t="shared" si="101"/>
        <v>no</v>
      </c>
      <c r="BD265" s="121" t="b">
        <f t="shared" si="102"/>
        <v>0</v>
      </c>
      <c r="BE265" s="125" t="s">
        <v>56</v>
      </c>
      <c r="BF265" s="287"/>
    </row>
    <row r="266" spans="1:58" s="276" customFormat="1" ht="154">
      <c r="A266" s="283"/>
      <c r="B266" s="281" t="s">
        <v>605</v>
      </c>
      <c r="C266" s="283"/>
      <c r="D266" s="283"/>
      <c r="E266" s="283"/>
      <c r="F266" s="282" t="s">
        <v>535</v>
      </c>
      <c r="G266" s="283" t="s">
        <v>571</v>
      </c>
      <c r="H266" s="284">
        <v>44817</v>
      </c>
      <c r="I266" s="282"/>
      <c r="J266" s="284">
        <f t="shared" si="90"/>
        <v>44831</v>
      </c>
      <c r="K266" s="282"/>
      <c r="L266" s="282"/>
      <c r="M266" s="282"/>
      <c r="N266" s="282"/>
      <c r="O266" s="282"/>
      <c r="P266" s="282"/>
      <c r="Q266" s="283" t="s">
        <v>99</v>
      </c>
      <c r="R266" s="283" t="s">
        <v>548</v>
      </c>
      <c r="S266" s="277">
        <f t="shared" si="92"/>
        <v>25</v>
      </c>
      <c r="T266" s="283"/>
      <c r="U266" s="283">
        <v>0</v>
      </c>
      <c r="V266" s="285">
        <v>25</v>
      </c>
      <c r="W266" s="283"/>
      <c r="X266" s="283"/>
      <c r="Y266" s="283"/>
      <c r="Z266" s="283"/>
      <c r="AA266" s="283"/>
      <c r="AB266" s="283"/>
      <c r="AC266" s="283"/>
      <c r="AD266" s="283"/>
      <c r="AE266" s="283"/>
      <c r="AF266" s="283"/>
      <c r="AG266" s="277" t="s">
        <v>53</v>
      </c>
      <c r="AH266" s="277" t="s">
        <v>54</v>
      </c>
      <c r="AI266" s="283"/>
      <c r="AJ266" s="283"/>
      <c r="AK266" s="283"/>
      <c r="AL266" s="286"/>
      <c r="AM266" s="277"/>
      <c r="AN266" s="277"/>
      <c r="AO266" s="285"/>
      <c r="AP266" s="285"/>
      <c r="AR266" s="121">
        <f t="shared" si="91"/>
        <v>1</v>
      </c>
      <c r="AS266" s="121" t="str">
        <f t="shared" si="93"/>
        <v>2022_09_13_a</v>
      </c>
      <c r="AT266" s="122"/>
      <c r="AU266" s="121" t="str">
        <f t="shared" si="94"/>
        <v>2022</v>
      </c>
      <c r="AV266" s="121" t="str">
        <f t="shared" si="95"/>
        <v>09</v>
      </c>
      <c r="AW266" s="121" t="str">
        <f t="shared" si="96"/>
        <v>13</v>
      </c>
      <c r="AX266" s="121">
        <f t="shared" si="97"/>
        <v>44817</v>
      </c>
      <c r="AY266" s="123"/>
      <c r="AZ266" s="124">
        <f t="shared" si="98"/>
        <v>44817</v>
      </c>
      <c r="BA266" s="121" t="b">
        <f t="shared" si="99"/>
        <v>1</v>
      </c>
      <c r="BB266" s="121">
        <f t="shared" si="100"/>
        <v>44817</v>
      </c>
      <c r="BC266" s="121" t="str">
        <f t="shared" si="101"/>
        <v>no</v>
      </c>
      <c r="BD266" s="121" t="b">
        <f t="shared" si="102"/>
        <v>0</v>
      </c>
      <c r="BE266" s="125" t="s">
        <v>56</v>
      </c>
      <c r="BF266" s="287"/>
    </row>
    <row r="267" spans="1:58" s="276" customFormat="1" ht="154">
      <c r="A267" s="283"/>
      <c r="B267" s="281" t="s">
        <v>606</v>
      </c>
      <c r="C267" s="283"/>
      <c r="D267" s="283"/>
      <c r="E267" s="283"/>
      <c r="F267" s="282" t="s">
        <v>535</v>
      </c>
      <c r="G267" s="283" t="s">
        <v>574</v>
      </c>
      <c r="H267" s="284">
        <v>44852</v>
      </c>
      <c r="I267" s="282"/>
      <c r="J267" s="284">
        <f t="shared" si="90"/>
        <v>44866</v>
      </c>
      <c r="K267" s="282"/>
      <c r="L267" s="282"/>
      <c r="M267" s="282"/>
      <c r="N267" s="282"/>
      <c r="O267" s="282"/>
      <c r="P267" s="282"/>
      <c r="Q267" s="283" t="s">
        <v>121</v>
      </c>
      <c r="R267" s="283" t="s">
        <v>548</v>
      </c>
      <c r="S267" s="277">
        <f t="shared" si="92"/>
        <v>25</v>
      </c>
      <c r="T267" s="283"/>
      <c r="U267" s="283">
        <v>0</v>
      </c>
      <c r="V267" s="285">
        <v>25</v>
      </c>
      <c r="W267" s="283"/>
      <c r="X267" s="283"/>
      <c r="Y267" s="283"/>
      <c r="Z267" s="283"/>
      <c r="AA267" s="283"/>
      <c r="AB267" s="283"/>
      <c r="AC267" s="283"/>
      <c r="AD267" s="283"/>
      <c r="AE267" s="283"/>
      <c r="AF267" s="283"/>
      <c r="AG267" s="277" t="s">
        <v>53</v>
      </c>
      <c r="AH267" s="277" t="s">
        <v>54</v>
      </c>
      <c r="AI267" s="283"/>
      <c r="AJ267" s="283"/>
      <c r="AK267" s="283"/>
      <c r="AL267" s="286"/>
      <c r="AM267" s="277"/>
      <c r="AN267" s="277"/>
      <c r="AO267" s="285"/>
      <c r="AP267" s="285"/>
      <c r="AR267" s="121">
        <f t="shared" si="91"/>
        <v>1</v>
      </c>
      <c r="AS267" s="121" t="str">
        <f t="shared" si="93"/>
        <v>2022_10_18_a</v>
      </c>
      <c r="AT267" s="122"/>
      <c r="AU267" s="121" t="str">
        <f t="shared" si="94"/>
        <v>2022</v>
      </c>
      <c r="AV267" s="121" t="str">
        <f t="shared" si="95"/>
        <v>10</v>
      </c>
      <c r="AW267" s="121" t="str">
        <f t="shared" si="96"/>
        <v>18</v>
      </c>
      <c r="AX267" s="121">
        <f t="shared" si="97"/>
        <v>44852</v>
      </c>
      <c r="AY267" s="123"/>
      <c r="AZ267" s="124">
        <f t="shared" si="98"/>
        <v>44852</v>
      </c>
      <c r="BA267" s="121" t="b">
        <f t="shared" si="99"/>
        <v>1</v>
      </c>
      <c r="BB267" s="121">
        <f t="shared" si="100"/>
        <v>44852</v>
      </c>
      <c r="BC267" s="121" t="str">
        <f t="shared" si="101"/>
        <v>no</v>
      </c>
      <c r="BD267" s="121" t="b">
        <f t="shared" si="102"/>
        <v>0</v>
      </c>
      <c r="BE267" s="125" t="s">
        <v>56</v>
      </c>
      <c r="BF267" s="287"/>
    </row>
    <row r="268" spans="1:58" s="276" customFormat="1" ht="154">
      <c r="A268" s="283"/>
      <c r="B268" s="281" t="s">
        <v>607</v>
      </c>
      <c r="C268" s="283"/>
      <c r="D268" s="283"/>
      <c r="E268" s="283"/>
      <c r="F268" s="282" t="s">
        <v>535</v>
      </c>
      <c r="G268" s="283" t="s">
        <v>576</v>
      </c>
      <c r="H268" s="284">
        <v>44879</v>
      </c>
      <c r="I268" s="282"/>
      <c r="J268" s="284">
        <f t="shared" si="90"/>
        <v>44893</v>
      </c>
      <c r="K268" s="282"/>
      <c r="L268" s="282"/>
      <c r="M268" s="282"/>
      <c r="N268" s="282"/>
      <c r="O268" s="282"/>
      <c r="P268" s="282"/>
      <c r="Q268" s="283" t="s">
        <v>121</v>
      </c>
      <c r="R268" s="283" t="s">
        <v>548</v>
      </c>
      <c r="S268" s="277">
        <f t="shared" si="92"/>
        <v>25</v>
      </c>
      <c r="T268" s="283"/>
      <c r="U268" s="283">
        <v>0</v>
      </c>
      <c r="V268" s="285">
        <v>25</v>
      </c>
      <c r="W268" s="283"/>
      <c r="X268" s="283"/>
      <c r="Y268" s="283"/>
      <c r="Z268" s="283"/>
      <c r="AA268" s="283"/>
      <c r="AB268" s="283"/>
      <c r="AC268" s="283"/>
      <c r="AD268" s="283"/>
      <c r="AE268" s="283"/>
      <c r="AF268" s="283"/>
      <c r="AG268" s="277" t="s">
        <v>53</v>
      </c>
      <c r="AH268" s="277" t="s">
        <v>54</v>
      </c>
      <c r="AI268" s="283"/>
      <c r="AJ268" s="283"/>
      <c r="AK268" s="283"/>
      <c r="AL268" s="286"/>
      <c r="AM268" s="277"/>
      <c r="AN268" s="277"/>
      <c r="AO268" s="285"/>
      <c r="AP268" s="285"/>
      <c r="AR268" s="121">
        <f t="shared" si="91"/>
        <v>1</v>
      </c>
      <c r="AS268" s="121" t="str">
        <f t="shared" si="93"/>
        <v>2022_11_14_a</v>
      </c>
      <c r="AT268" s="122"/>
      <c r="AU268" s="121" t="str">
        <f t="shared" si="94"/>
        <v>2022</v>
      </c>
      <c r="AV268" s="121" t="str">
        <f t="shared" si="95"/>
        <v>11</v>
      </c>
      <c r="AW268" s="121" t="str">
        <f t="shared" si="96"/>
        <v>14</v>
      </c>
      <c r="AX268" s="121">
        <f t="shared" si="97"/>
        <v>44879</v>
      </c>
      <c r="AY268" s="123"/>
      <c r="AZ268" s="124">
        <f t="shared" si="98"/>
        <v>44879</v>
      </c>
      <c r="BA268" s="121" t="b">
        <f t="shared" si="99"/>
        <v>1</v>
      </c>
      <c r="BB268" s="121">
        <f t="shared" si="100"/>
        <v>44879</v>
      </c>
      <c r="BC268" s="121" t="str">
        <f t="shared" si="101"/>
        <v>no</v>
      </c>
      <c r="BD268" s="121" t="b">
        <f t="shared" si="102"/>
        <v>0</v>
      </c>
      <c r="BE268" s="125" t="s">
        <v>56</v>
      </c>
      <c r="BF268" s="287"/>
    </row>
    <row r="269" spans="1:58" s="276" customFormat="1" ht="154">
      <c r="A269" s="283"/>
      <c r="B269" s="281" t="s">
        <v>608</v>
      </c>
      <c r="C269" s="283"/>
      <c r="D269" s="283">
        <v>10321666</v>
      </c>
      <c r="E269" s="283"/>
      <c r="F269" s="282" t="s">
        <v>535</v>
      </c>
      <c r="G269" s="283" t="s">
        <v>578</v>
      </c>
      <c r="H269" s="284">
        <v>44908</v>
      </c>
      <c r="I269" s="282"/>
      <c r="J269" s="284">
        <f t="shared" si="90"/>
        <v>44922</v>
      </c>
      <c r="K269" s="282"/>
      <c r="L269" s="282"/>
      <c r="M269" s="282"/>
      <c r="N269" s="282"/>
      <c r="O269" s="282"/>
      <c r="P269" s="282"/>
      <c r="Q269" s="283" t="s">
        <v>121</v>
      </c>
      <c r="R269" s="283" t="s">
        <v>548</v>
      </c>
      <c r="S269" s="277">
        <f t="shared" si="92"/>
        <v>25</v>
      </c>
      <c r="T269" s="283"/>
      <c r="U269" s="283">
        <v>0</v>
      </c>
      <c r="V269" s="285">
        <v>25</v>
      </c>
      <c r="W269" s="283"/>
      <c r="X269" s="283"/>
      <c r="Y269" s="283"/>
      <c r="Z269" s="283"/>
      <c r="AA269" s="283"/>
      <c r="AB269" s="283"/>
      <c r="AC269" s="283"/>
      <c r="AD269" s="283"/>
      <c r="AE269" s="283"/>
      <c r="AF269" s="283"/>
      <c r="AG269" s="277" t="s">
        <v>53</v>
      </c>
      <c r="AH269" s="277" t="s">
        <v>54</v>
      </c>
      <c r="AI269" s="283"/>
      <c r="AJ269" s="283"/>
      <c r="AK269" s="283"/>
      <c r="AL269" s="286"/>
      <c r="AM269" s="277"/>
      <c r="AN269" s="277"/>
      <c r="AO269" s="285"/>
      <c r="AP269" s="285"/>
      <c r="AR269" s="121">
        <f t="shared" si="91"/>
        <v>1</v>
      </c>
      <c r="AS269" s="121" t="str">
        <f t="shared" si="93"/>
        <v>2022_12_13_a</v>
      </c>
      <c r="AT269" s="122"/>
      <c r="AU269" s="121" t="str">
        <f t="shared" si="94"/>
        <v>2022</v>
      </c>
      <c r="AV269" s="121" t="str">
        <f t="shared" si="95"/>
        <v>12</v>
      </c>
      <c r="AW269" s="121" t="str">
        <f t="shared" si="96"/>
        <v>13</v>
      </c>
      <c r="AX269" s="121">
        <f t="shared" si="97"/>
        <v>44908</v>
      </c>
      <c r="AY269" s="123"/>
      <c r="AZ269" s="124">
        <f t="shared" si="98"/>
        <v>44908</v>
      </c>
      <c r="BA269" s="121" t="b">
        <f t="shared" si="99"/>
        <v>1</v>
      </c>
      <c r="BB269" s="121">
        <f t="shared" si="100"/>
        <v>44908</v>
      </c>
      <c r="BC269" s="121" t="str">
        <f t="shared" si="101"/>
        <v>no</v>
      </c>
      <c r="BD269" s="121" t="b">
        <f t="shared" si="102"/>
        <v>0</v>
      </c>
      <c r="BE269" s="125" t="s">
        <v>56</v>
      </c>
      <c r="BF269" s="287"/>
    </row>
    <row r="270" spans="1:58" s="276" customFormat="1" ht="154">
      <c r="A270" s="283"/>
      <c r="B270" s="281" t="s">
        <v>609</v>
      </c>
      <c r="C270" s="283"/>
      <c r="D270" s="283">
        <v>10258505</v>
      </c>
      <c r="E270" s="283"/>
      <c r="F270" s="282" t="s">
        <v>535</v>
      </c>
      <c r="G270" s="283" t="s">
        <v>536</v>
      </c>
      <c r="H270" s="284">
        <v>44579</v>
      </c>
      <c r="I270" s="282"/>
      <c r="J270" s="284">
        <f t="shared" si="90"/>
        <v>44593</v>
      </c>
      <c r="K270" s="282"/>
      <c r="L270" s="282"/>
      <c r="M270" s="282"/>
      <c r="N270" s="282"/>
      <c r="O270" s="282"/>
      <c r="P270" s="282"/>
      <c r="Q270" s="283" t="s">
        <v>47</v>
      </c>
      <c r="R270" s="283" t="s">
        <v>545</v>
      </c>
      <c r="S270" s="277">
        <f t="shared" si="92"/>
        <v>25</v>
      </c>
      <c r="T270" s="283"/>
      <c r="U270" s="283">
        <v>0</v>
      </c>
      <c r="V270" s="285">
        <v>25</v>
      </c>
      <c r="W270" s="283"/>
      <c r="X270" s="283"/>
      <c r="Y270" s="283"/>
      <c r="Z270" s="283"/>
      <c r="AA270" s="283"/>
      <c r="AB270" s="283"/>
      <c r="AC270" s="283"/>
      <c r="AD270" s="283"/>
      <c r="AE270" s="283"/>
      <c r="AF270" s="283"/>
      <c r="AG270" s="277" t="s">
        <v>53</v>
      </c>
      <c r="AH270" s="277" t="s">
        <v>54</v>
      </c>
      <c r="AI270" s="283"/>
      <c r="AJ270" s="283"/>
      <c r="AK270" s="283"/>
      <c r="AL270" s="286"/>
      <c r="AM270" s="277"/>
      <c r="AN270" s="277"/>
      <c r="AO270" s="285"/>
      <c r="AP270" s="285"/>
      <c r="AR270" s="121">
        <f t="shared" si="91"/>
        <v>1</v>
      </c>
      <c r="AS270" s="121" t="str">
        <f t="shared" si="93"/>
        <v>2022_01_18_a</v>
      </c>
      <c r="AT270" s="122"/>
      <c r="AU270" s="121" t="str">
        <f t="shared" si="94"/>
        <v>2022</v>
      </c>
      <c r="AV270" s="121" t="str">
        <f t="shared" si="95"/>
        <v>01</v>
      </c>
      <c r="AW270" s="121" t="str">
        <f t="shared" si="96"/>
        <v>18</v>
      </c>
      <c r="AX270" s="121">
        <f t="shared" si="97"/>
        <v>44579</v>
      </c>
      <c r="AY270" s="123"/>
      <c r="AZ270" s="124">
        <f t="shared" si="98"/>
        <v>44579</v>
      </c>
      <c r="BA270" s="121" t="b">
        <f t="shared" si="99"/>
        <v>1</v>
      </c>
      <c r="BB270" s="121">
        <f t="shared" si="100"/>
        <v>44579</v>
      </c>
      <c r="BC270" s="121" t="str">
        <f t="shared" si="101"/>
        <v>no</v>
      </c>
      <c r="BD270" s="121" t="b">
        <f t="shared" si="102"/>
        <v>0</v>
      </c>
      <c r="BE270" s="125" t="s">
        <v>56</v>
      </c>
      <c r="BF270" s="287"/>
    </row>
    <row r="271" spans="1:58" s="276" customFormat="1" ht="154">
      <c r="A271" s="283"/>
      <c r="B271" s="281" t="s">
        <v>610</v>
      </c>
      <c r="C271" s="283"/>
      <c r="D271" s="283">
        <v>10258510</v>
      </c>
      <c r="E271" s="283"/>
      <c r="F271" s="282" t="s">
        <v>535</v>
      </c>
      <c r="G271" s="283" t="s">
        <v>543</v>
      </c>
      <c r="H271" s="284">
        <v>44607</v>
      </c>
      <c r="I271" s="282"/>
      <c r="J271" s="284">
        <f t="shared" si="90"/>
        <v>44621</v>
      </c>
      <c r="K271" s="282"/>
      <c r="L271" s="282"/>
      <c r="M271" s="282"/>
      <c r="N271" s="282"/>
      <c r="O271" s="282"/>
      <c r="P271" s="282"/>
      <c r="Q271" s="283" t="s">
        <v>47</v>
      </c>
      <c r="R271" s="283" t="s">
        <v>545</v>
      </c>
      <c r="S271" s="277">
        <f t="shared" si="92"/>
        <v>25</v>
      </c>
      <c r="T271" s="283"/>
      <c r="U271" s="283">
        <v>0</v>
      </c>
      <c r="V271" s="285">
        <v>25</v>
      </c>
      <c r="W271" s="283"/>
      <c r="X271" s="283"/>
      <c r="Y271" s="283"/>
      <c r="Z271" s="283"/>
      <c r="AA271" s="283"/>
      <c r="AB271" s="283"/>
      <c r="AC271" s="283"/>
      <c r="AD271" s="283"/>
      <c r="AE271" s="283"/>
      <c r="AF271" s="283"/>
      <c r="AG271" s="277" t="s">
        <v>53</v>
      </c>
      <c r="AH271" s="277" t="s">
        <v>54</v>
      </c>
      <c r="AI271" s="283"/>
      <c r="AJ271" s="283"/>
      <c r="AK271" s="283"/>
      <c r="AL271" s="286"/>
      <c r="AM271" s="277"/>
      <c r="AN271" s="277"/>
      <c r="AO271" s="285"/>
      <c r="AP271" s="285"/>
      <c r="AR271" s="121">
        <f t="shared" si="91"/>
        <v>1</v>
      </c>
      <c r="AS271" s="121" t="str">
        <f t="shared" si="93"/>
        <v>2022_02_15_a</v>
      </c>
      <c r="AT271" s="122"/>
      <c r="AU271" s="121" t="str">
        <f t="shared" si="94"/>
        <v>2022</v>
      </c>
      <c r="AV271" s="121" t="str">
        <f t="shared" si="95"/>
        <v>02</v>
      </c>
      <c r="AW271" s="121" t="str">
        <f t="shared" si="96"/>
        <v>15</v>
      </c>
      <c r="AX271" s="121">
        <f t="shared" si="97"/>
        <v>44607</v>
      </c>
      <c r="AY271" s="123"/>
      <c r="AZ271" s="124">
        <f t="shared" si="98"/>
        <v>44607</v>
      </c>
      <c r="BA271" s="121" t="b">
        <f t="shared" si="99"/>
        <v>1</v>
      </c>
      <c r="BB271" s="121">
        <f t="shared" si="100"/>
        <v>44607</v>
      </c>
      <c r="BC271" s="121" t="str">
        <f t="shared" si="101"/>
        <v>no</v>
      </c>
      <c r="BD271" s="121" t="b">
        <f t="shared" si="102"/>
        <v>0</v>
      </c>
      <c r="BE271" s="125" t="s">
        <v>56</v>
      </c>
      <c r="BF271" s="287"/>
    </row>
    <row r="272" spans="1:58" s="276" customFormat="1" ht="154">
      <c r="A272" s="283"/>
      <c r="B272" s="281" t="s">
        <v>611</v>
      </c>
      <c r="C272" s="283"/>
      <c r="D272" s="283">
        <v>10260543</v>
      </c>
      <c r="E272" s="283"/>
      <c r="F272" s="282" t="s">
        <v>535</v>
      </c>
      <c r="G272" s="283" t="s">
        <v>547</v>
      </c>
      <c r="H272" s="284">
        <v>44635</v>
      </c>
      <c r="I272" s="282"/>
      <c r="J272" s="284">
        <f t="shared" si="90"/>
        <v>44649</v>
      </c>
      <c r="K272" s="282"/>
      <c r="L272" s="282"/>
      <c r="M272" s="282"/>
      <c r="N272" s="282"/>
      <c r="O272" s="282"/>
      <c r="P272" s="282"/>
      <c r="Q272" s="283" t="s">
        <v>47</v>
      </c>
      <c r="R272" s="283" t="s">
        <v>545</v>
      </c>
      <c r="S272" s="277">
        <f t="shared" si="92"/>
        <v>25</v>
      </c>
      <c r="T272" s="283"/>
      <c r="U272" s="283">
        <v>0</v>
      </c>
      <c r="V272" s="285">
        <v>25</v>
      </c>
      <c r="W272" s="283"/>
      <c r="X272" s="283"/>
      <c r="Y272" s="283"/>
      <c r="Z272" s="283"/>
      <c r="AA272" s="283"/>
      <c r="AB272" s="283"/>
      <c r="AC272" s="283"/>
      <c r="AD272" s="283"/>
      <c r="AE272" s="283"/>
      <c r="AF272" s="283"/>
      <c r="AG272" s="277" t="s">
        <v>53</v>
      </c>
      <c r="AH272" s="277" t="s">
        <v>54</v>
      </c>
      <c r="AI272" s="283"/>
      <c r="AJ272" s="283"/>
      <c r="AK272" s="283"/>
      <c r="AL272" s="286"/>
      <c r="AM272" s="277"/>
      <c r="AN272" s="277"/>
      <c r="AO272" s="285"/>
      <c r="AP272" s="285"/>
      <c r="AR272" s="121">
        <f t="shared" si="91"/>
        <v>1</v>
      </c>
      <c r="AS272" s="121" t="str">
        <f t="shared" si="93"/>
        <v>2022_03_15_a</v>
      </c>
      <c r="AT272" s="122"/>
      <c r="AU272" s="121" t="str">
        <f t="shared" si="94"/>
        <v>2022</v>
      </c>
      <c r="AV272" s="121" t="str">
        <f t="shared" si="95"/>
        <v>03</v>
      </c>
      <c r="AW272" s="121" t="str">
        <f t="shared" si="96"/>
        <v>15</v>
      </c>
      <c r="AX272" s="121">
        <f t="shared" si="97"/>
        <v>44635</v>
      </c>
      <c r="AY272" s="123"/>
      <c r="AZ272" s="124">
        <f t="shared" si="98"/>
        <v>44635</v>
      </c>
      <c r="BA272" s="121" t="b">
        <f t="shared" si="99"/>
        <v>1</v>
      </c>
      <c r="BB272" s="121">
        <f t="shared" si="100"/>
        <v>44635</v>
      </c>
      <c r="BC272" s="121" t="str">
        <f t="shared" si="101"/>
        <v>no</v>
      </c>
      <c r="BD272" s="121" t="b">
        <f t="shared" si="102"/>
        <v>0</v>
      </c>
      <c r="BE272" s="125" t="s">
        <v>56</v>
      </c>
      <c r="BF272" s="287"/>
    </row>
    <row r="273" spans="1:58" s="276" customFormat="1" ht="154">
      <c r="A273" s="283"/>
      <c r="B273" s="281" t="s">
        <v>612</v>
      </c>
      <c r="C273" s="283"/>
      <c r="D273" s="283">
        <v>10266396</v>
      </c>
      <c r="E273" s="283"/>
      <c r="F273" s="282" t="s">
        <v>535</v>
      </c>
      <c r="G273" s="283" t="s">
        <v>551</v>
      </c>
      <c r="H273" s="284">
        <v>44663</v>
      </c>
      <c r="I273" s="282"/>
      <c r="J273" s="284">
        <f t="shared" si="90"/>
        <v>44677</v>
      </c>
      <c r="K273" s="282"/>
      <c r="L273" s="282"/>
      <c r="M273" s="282"/>
      <c r="N273" s="282"/>
      <c r="O273" s="282"/>
      <c r="P273" s="282"/>
      <c r="Q273" s="283" t="s">
        <v>78</v>
      </c>
      <c r="R273" s="283" t="s">
        <v>545</v>
      </c>
      <c r="S273" s="277">
        <f t="shared" si="92"/>
        <v>25</v>
      </c>
      <c r="T273" s="283"/>
      <c r="U273" s="283">
        <v>0</v>
      </c>
      <c r="V273" s="285">
        <v>25</v>
      </c>
      <c r="W273" s="283"/>
      <c r="X273" s="283"/>
      <c r="Y273" s="283"/>
      <c r="Z273" s="283"/>
      <c r="AA273" s="283"/>
      <c r="AB273" s="283"/>
      <c r="AC273" s="283"/>
      <c r="AD273" s="283"/>
      <c r="AE273" s="283"/>
      <c r="AF273" s="283"/>
      <c r="AG273" s="277" t="s">
        <v>53</v>
      </c>
      <c r="AH273" s="277" t="s">
        <v>54</v>
      </c>
      <c r="AI273" s="283"/>
      <c r="AJ273" s="283"/>
      <c r="AK273" s="283"/>
      <c r="AL273" s="286"/>
      <c r="AM273" s="277"/>
      <c r="AN273" s="277"/>
      <c r="AO273" s="285"/>
      <c r="AP273" s="285"/>
      <c r="AR273" s="121">
        <f t="shared" si="91"/>
        <v>1</v>
      </c>
      <c r="AS273" s="121" t="str">
        <f t="shared" si="93"/>
        <v>2022_04_12_a</v>
      </c>
      <c r="AT273" s="122"/>
      <c r="AU273" s="121" t="str">
        <f t="shared" si="94"/>
        <v>2022</v>
      </c>
      <c r="AV273" s="121" t="str">
        <f t="shared" si="95"/>
        <v>04</v>
      </c>
      <c r="AW273" s="121" t="str">
        <f t="shared" si="96"/>
        <v>12</v>
      </c>
      <c r="AX273" s="121">
        <f t="shared" si="97"/>
        <v>44663</v>
      </c>
      <c r="AY273" s="123"/>
      <c r="AZ273" s="124">
        <f t="shared" si="98"/>
        <v>44663</v>
      </c>
      <c r="BA273" s="121" t="b">
        <f t="shared" si="99"/>
        <v>1</v>
      </c>
      <c r="BB273" s="121">
        <f t="shared" si="100"/>
        <v>44663</v>
      </c>
      <c r="BC273" s="121" t="str">
        <f t="shared" si="101"/>
        <v>no</v>
      </c>
      <c r="BD273" s="121" t="b">
        <f t="shared" si="102"/>
        <v>0</v>
      </c>
      <c r="BE273" s="125" t="s">
        <v>56</v>
      </c>
      <c r="BF273" s="287"/>
    </row>
    <row r="274" spans="1:58" s="276" customFormat="1" ht="154">
      <c r="A274" s="283"/>
      <c r="B274" s="281" t="s">
        <v>613</v>
      </c>
      <c r="C274" s="283"/>
      <c r="D274" s="283">
        <v>10271568</v>
      </c>
      <c r="E274" s="283"/>
      <c r="F274" s="282" t="s">
        <v>535</v>
      </c>
      <c r="G274" s="283" t="s">
        <v>555</v>
      </c>
      <c r="H274" s="284">
        <v>44698</v>
      </c>
      <c r="I274" s="282"/>
      <c r="J274" s="284">
        <f t="shared" si="90"/>
        <v>44712</v>
      </c>
      <c r="K274" s="282"/>
      <c r="L274" s="282"/>
      <c r="M274" s="282"/>
      <c r="N274" s="282"/>
      <c r="O274" s="282"/>
      <c r="P274" s="282"/>
      <c r="Q274" s="283" t="s">
        <v>78</v>
      </c>
      <c r="R274" s="283" t="s">
        <v>545</v>
      </c>
      <c r="S274" s="277">
        <f t="shared" si="92"/>
        <v>25</v>
      </c>
      <c r="T274" s="283"/>
      <c r="U274" s="283">
        <v>0</v>
      </c>
      <c r="V274" s="285">
        <v>25</v>
      </c>
      <c r="W274" s="283"/>
      <c r="X274" s="283"/>
      <c r="Y274" s="283"/>
      <c r="Z274" s="283"/>
      <c r="AA274" s="283"/>
      <c r="AB274" s="283"/>
      <c r="AC274" s="283"/>
      <c r="AD274" s="283"/>
      <c r="AE274" s="283"/>
      <c r="AF274" s="283"/>
      <c r="AG274" s="277" t="s">
        <v>53</v>
      </c>
      <c r="AH274" s="277" t="s">
        <v>54</v>
      </c>
      <c r="AI274" s="283"/>
      <c r="AJ274" s="283"/>
      <c r="AK274" s="283"/>
      <c r="AL274" s="286"/>
      <c r="AM274" s="277"/>
      <c r="AN274" s="277"/>
      <c r="AO274" s="285"/>
      <c r="AP274" s="285"/>
      <c r="AR274" s="121">
        <f t="shared" si="91"/>
        <v>1</v>
      </c>
      <c r="AS274" s="121" t="str">
        <f t="shared" si="93"/>
        <v>2022_05_17_a</v>
      </c>
      <c r="AT274" s="122"/>
      <c r="AU274" s="121" t="str">
        <f t="shared" si="94"/>
        <v>2022</v>
      </c>
      <c r="AV274" s="121" t="str">
        <f t="shared" si="95"/>
        <v>05</v>
      </c>
      <c r="AW274" s="121" t="str">
        <f t="shared" si="96"/>
        <v>17</v>
      </c>
      <c r="AX274" s="121">
        <f t="shared" si="97"/>
        <v>44698</v>
      </c>
      <c r="AY274" s="123"/>
      <c r="AZ274" s="124">
        <f t="shared" si="98"/>
        <v>44698</v>
      </c>
      <c r="BA274" s="121" t="b">
        <f t="shared" si="99"/>
        <v>1</v>
      </c>
      <c r="BB274" s="121">
        <f t="shared" si="100"/>
        <v>44698</v>
      </c>
      <c r="BC274" s="121" t="str">
        <f t="shared" si="101"/>
        <v>no</v>
      </c>
      <c r="BD274" s="121" t="b">
        <f t="shared" si="102"/>
        <v>0</v>
      </c>
      <c r="BE274" s="125" t="s">
        <v>56</v>
      </c>
      <c r="BF274" s="287"/>
    </row>
    <row r="275" spans="1:58" s="276" customFormat="1" ht="154">
      <c r="A275" s="283"/>
      <c r="B275" s="281" t="s">
        <v>614</v>
      </c>
      <c r="C275" s="283"/>
      <c r="D275" s="283" t="s">
        <v>603</v>
      </c>
      <c r="E275" s="283"/>
      <c r="F275" s="282" t="s">
        <v>535</v>
      </c>
      <c r="G275" s="283" t="s">
        <v>564</v>
      </c>
      <c r="H275" s="284">
        <v>44754</v>
      </c>
      <c r="I275" s="282"/>
      <c r="J275" s="284">
        <f t="shared" si="90"/>
        <v>44768</v>
      </c>
      <c r="K275" s="282"/>
      <c r="L275" s="282"/>
      <c r="M275" s="282"/>
      <c r="N275" s="282"/>
      <c r="O275" s="282"/>
      <c r="P275" s="282"/>
      <c r="Q275" s="283" t="s">
        <v>99</v>
      </c>
      <c r="R275" s="283" t="s">
        <v>545</v>
      </c>
      <c r="S275" s="277">
        <f t="shared" si="92"/>
        <v>25</v>
      </c>
      <c r="T275" s="283"/>
      <c r="U275" s="283">
        <v>0</v>
      </c>
      <c r="V275" s="285">
        <v>25</v>
      </c>
      <c r="W275" s="283"/>
      <c r="X275" s="283"/>
      <c r="Y275" s="283"/>
      <c r="Z275" s="283"/>
      <c r="AA275" s="283"/>
      <c r="AB275" s="283"/>
      <c r="AC275" s="283"/>
      <c r="AD275" s="283"/>
      <c r="AE275" s="283"/>
      <c r="AF275" s="283"/>
      <c r="AG275" s="277" t="s">
        <v>53</v>
      </c>
      <c r="AH275" s="277" t="s">
        <v>54</v>
      </c>
      <c r="AI275" s="283"/>
      <c r="AJ275" s="283"/>
      <c r="AK275" s="283"/>
      <c r="AL275" s="286"/>
      <c r="AM275" s="277"/>
      <c r="AN275" s="277"/>
      <c r="AO275" s="285"/>
      <c r="AP275" s="285"/>
      <c r="AR275" s="121">
        <f t="shared" si="91"/>
        <v>1</v>
      </c>
      <c r="AS275" s="121" t="str">
        <f t="shared" si="93"/>
        <v>2022_07_12_a</v>
      </c>
      <c r="AT275" s="122"/>
      <c r="AU275" s="121" t="str">
        <f t="shared" si="94"/>
        <v>2022</v>
      </c>
      <c r="AV275" s="121" t="str">
        <f t="shared" si="95"/>
        <v>07</v>
      </c>
      <c r="AW275" s="121" t="str">
        <f t="shared" si="96"/>
        <v>12</v>
      </c>
      <c r="AX275" s="121">
        <f t="shared" si="97"/>
        <v>44754</v>
      </c>
      <c r="AY275" s="123"/>
      <c r="AZ275" s="124">
        <f t="shared" si="98"/>
        <v>44754</v>
      </c>
      <c r="BA275" s="121" t="b">
        <f t="shared" si="99"/>
        <v>1</v>
      </c>
      <c r="BB275" s="121">
        <f t="shared" si="100"/>
        <v>44754</v>
      </c>
      <c r="BC275" s="121" t="str">
        <f t="shared" si="101"/>
        <v>no</v>
      </c>
      <c r="BD275" s="121" t="b">
        <f t="shared" si="102"/>
        <v>0</v>
      </c>
      <c r="BE275" s="125" t="s">
        <v>56</v>
      </c>
      <c r="BF275" s="287"/>
    </row>
    <row r="276" spans="1:58" s="276" customFormat="1" ht="154">
      <c r="A276" s="283"/>
      <c r="B276" s="281" t="s">
        <v>615</v>
      </c>
      <c r="C276" s="283"/>
      <c r="D276" s="283"/>
      <c r="E276" s="283"/>
      <c r="F276" s="282" t="s">
        <v>535</v>
      </c>
      <c r="G276" s="283" t="s">
        <v>566</v>
      </c>
      <c r="H276" s="284">
        <v>44788</v>
      </c>
      <c r="I276" s="282"/>
      <c r="J276" s="284">
        <f t="shared" si="90"/>
        <v>44802</v>
      </c>
      <c r="K276" s="282"/>
      <c r="L276" s="282"/>
      <c r="M276" s="282"/>
      <c r="N276" s="282"/>
      <c r="O276" s="282"/>
      <c r="P276" s="282"/>
      <c r="Q276" s="283" t="s">
        <v>99</v>
      </c>
      <c r="R276" s="283" t="s">
        <v>545</v>
      </c>
      <c r="S276" s="277">
        <f t="shared" si="92"/>
        <v>25</v>
      </c>
      <c r="T276" s="283"/>
      <c r="U276" s="283">
        <v>0</v>
      </c>
      <c r="V276" s="285">
        <v>25</v>
      </c>
      <c r="W276" s="283"/>
      <c r="X276" s="283"/>
      <c r="Y276" s="283"/>
      <c r="Z276" s="283"/>
      <c r="AA276" s="283"/>
      <c r="AB276" s="283"/>
      <c r="AC276" s="283"/>
      <c r="AD276" s="283"/>
      <c r="AE276" s="283"/>
      <c r="AF276" s="283"/>
      <c r="AG276" s="277" t="s">
        <v>53</v>
      </c>
      <c r="AH276" s="277" t="s">
        <v>54</v>
      </c>
      <c r="AI276" s="283"/>
      <c r="AJ276" s="283"/>
      <c r="AK276" s="283"/>
      <c r="AL276" s="286"/>
      <c r="AM276" s="277"/>
      <c r="AN276" s="277"/>
      <c r="AO276" s="285"/>
      <c r="AP276" s="285"/>
      <c r="AR276" s="121">
        <f t="shared" si="91"/>
        <v>1</v>
      </c>
      <c r="AS276" s="121" t="str">
        <f t="shared" si="93"/>
        <v>2022_08_15_a</v>
      </c>
      <c r="AT276" s="122"/>
      <c r="AU276" s="121" t="str">
        <f t="shared" si="94"/>
        <v>2022</v>
      </c>
      <c r="AV276" s="121" t="str">
        <f t="shared" si="95"/>
        <v>08</v>
      </c>
      <c r="AW276" s="121" t="str">
        <f t="shared" si="96"/>
        <v>15</v>
      </c>
      <c r="AX276" s="121">
        <f t="shared" si="97"/>
        <v>44788</v>
      </c>
      <c r="AY276" s="123"/>
      <c r="AZ276" s="124">
        <f t="shared" si="98"/>
        <v>44788</v>
      </c>
      <c r="BA276" s="121" t="b">
        <f t="shared" si="99"/>
        <v>1</v>
      </c>
      <c r="BB276" s="121">
        <f t="shared" si="100"/>
        <v>44788</v>
      </c>
      <c r="BC276" s="121" t="str">
        <f t="shared" si="101"/>
        <v>no</v>
      </c>
      <c r="BD276" s="121" t="b">
        <f t="shared" si="102"/>
        <v>0</v>
      </c>
      <c r="BE276" s="125" t="s">
        <v>56</v>
      </c>
      <c r="BF276" s="287"/>
    </row>
    <row r="277" spans="1:58" s="276" customFormat="1" ht="154">
      <c r="A277" s="283"/>
      <c r="B277" s="281" t="s">
        <v>616</v>
      </c>
      <c r="C277" s="283"/>
      <c r="D277" s="283"/>
      <c r="E277" s="283"/>
      <c r="F277" s="282" t="s">
        <v>535</v>
      </c>
      <c r="G277" s="283" t="s">
        <v>571</v>
      </c>
      <c r="H277" s="284">
        <v>44817</v>
      </c>
      <c r="I277" s="282"/>
      <c r="J277" s="284">
        <f t="shared" si="90"/>
        <v>44831</v>
      </c>
      <c r="K277" s="282"/>
      <c r="L277" s="282"/>
      <c r="M277" s="282"/>
      <c r="N277" s="282"/>
      <c r="O277" s="282"/>
      <c r="P277" s="282"/>
      <c r="Q277" s="283" t="s">
        <v>99</v>
      </c>
      <c r="R277" s="283" t="s">
        <v>545</v>
      </c>
      <c r="S277" s="277">
        <f t="shared" si="92"/>
        <v>25</v>
      </c>
      <c r="T277" s="283"/>
      <c r="U277" s="283">
        <v>0</v>
      </c>
      <c r="V277" s="285">
        <v>25</v>
      </c>
      <c r="W277" s="283"/>
      <c r="X277" s="283"/>
      <c r="Y277" s="283"/>
      <c r="Z277" s="283"/>
      <c r="AA277" s="283"/>
      <c r="AB277" s="283"/>
      <c r="AC277" s="283"/>
      <c r="AD277" s="283"/>
      <c r="AE277" s="283"/>
      <c r="AF277" s="283"/>
      <c r="AG277" s="277" t="s">
        <v>53</v>
      </c>
      <c r="AH277" s="277" t="s">
        <v>54</v>
      </c>
      <c r="AI277" s="283"/>
      <c r="AJ277" s="283"/>
      <c r="AK277" s="283"/>
      <c r="AL277" s="286"/>
      <c r="AM277" s="277"/>
      <c r="AN277" s="277"/>
      <c r="AO277" s="285"/>
      <c r="AP277" s="285"/>
      <c r="AR277" s="121">
        <f t="shared" si="91"/>
        <v>1</v>
      </c>
      <c r="AS277" s="121" t="str">
        <f t="shared" si="93"/>
        <v>2022_09_13_a</v>
      </c>
      <c r="AT277" s="122"/>
      <c r="AU277" s="121" t="str">
        <f t="shared" si="94"/>
        <v>2022</v>
      </c>
      <c r="AV277" s="121" t="str">
        <f t="shared" si="95"/>
        <v>09</v>
      </c>
      <c r="AW277" s="121" t="str">
        <f t="shared" si="96"/>
        <v>13</v>
      </c>
      <c r="AX277" s="121">
        <f t="shared" si="97"/>
        <v>44817</v>
      </c>
      <c r="AY277" s="123"/>
      <c r="AZ277" s="124">
        <f t="shared" si="98"/>
        <v>44817</v>
      </c>
      <c r="BA277" s="121" t="b">
        <f t="shared" si="99"/>
        <v>1</v>
      </c>
      <c r="BB277" s="121">
        <f t="shared" si="100"/>
        <v>44817</v>
      </c>
      <c r="BC277" s="121" t="str">
        <f t="shared" si="101"/>
        <v>no</v>
      </c>
      <c r="BD277" s="121" t="b">
        <f t="shared" si="102"/>
        <v>0</v>
      </c>
      <c r="BE277" s="125" t="s">
        <v>56</v>
      </c>
      <c r="BF277" s="287"/>
    </row>
    <row r="278" spans="1:58" s="276" customFormat="1" ht="154">
      <c r="A278" s="283"/>
      <c r="B278" s="281" t="s">
        <v>617</v>
      </c>
      <c r="C278" s="283"/>
      <c r="D278" s="283"/>
      <c r="E278" s="283"/>
      <c r="F278" s="282" t="s">
        <v>535</v>
      </c>
      <c r="G278" s="283" t="s">
        <v>574</v>
      </c>
      <c r="H278" s="284">
        <v>44852</v>
      </c>
      <c r="I278" s="282"/>
      <c r="J278" s="284">
        <f t="shared" si="90"/>
        <v>44866</v>
      </c>
      <c r="K278" s="282"/>
      <c r="L278" s="282"/>
      <c r="M278" s="282"/>
      <c r="N278" s="282"/>
      <c r="O278" s="282"/>
      <c r="P278" s="282"/>
      <c r="Q278" s="283" t="s">
        <v>121</v>
      </c>
      <c r="R278" s="283" t="s">
        <v>545</v>
      </c>
      <c r="S278" s="277">
        <f t="shared" si="92"/>
        <v>25</v>
      </c>
      <c r="T278" s="283"/>
      <c r="U278" s="283">
        <v>0</v>
      </c>
      <c r="V278" s="285">
        <v>25</v>
      </c>
      <c r="W278" s="283"/>
      <c r="X278" s="283"/>
      <c r="Y278" s="283"/>
      <c r="Z278" s="283"/>
      <c r="AA278" s="283"/>
      <c r="AB278" s="283"/>
      <c r="AC278" s="283"/>
      <c r="AD278" s="283"/>
      <c r="AE278" s="283"/>
      <c r="AF278" s="283"/>
      <c r="AG278" s="277" t="s">
        <v>53</v>
      </c>
      <c r="AH278" s="277" t="s">
        <v>54</v>
      </c>
      <c r="AI278" s="283"/>
      <c r="AJ278" s="283"/>
      <c r="AK278" s="283"/>
      <c r="AL278" s="286"/>
      <c r="AM278" s="277"/>
      <c r="AN278" s="277"/>
      <c r="AO278" s="285"/>
      <c r="AP278" s="285"/>
      <c r="AR278" s="121">
        <f t="shared" si="91"/>
        <v>1</v>
      </c>
      <c r="AS278" s="121" t="str">
        <f t="shared" si="93"/>
        <v>2022_10_18_a</v>
      </c>
      <c r="AT278" s="122"/>
      <c r="AU278" s="121" t="str">
        <f t="shared" si="94"/>
        <v>2022</v>
      </c>
      <c r="AV278" s="121" t="str">
        <f t="shared" si="95"/>
        <v>10</v>
      </c>
      <c r="AW278" s="121" t="str">
        <f t="shared" si="96"/>
        <v>18</v>
      </c>
      <c r="AX278" s="121">
        <f t="shared" si="97"/>
        <v>44852</v>
      </c>
      <c r="AY278" s="123"/>
      <c r="AZ278" s="124">
        <f t="shared" si="98"/>
        <v>44852</v>
      </c>
      <c r="BA278" s="121" t="b">
        <f t="shared" si="99"/>
        <v>1</v>
      </c>
      <c r="BB278" s="121">
        <f t="shared" si="100"/>
        <v>44852</v>
      </c>
      <c r="BC278" s="121" t="str">
        <f t="shared" si="101"/>
        <v>no</v>
      </c>
      <c r="BD278" s="121" t="b">
        <f t="shared" si="102"/>
        <v>0</v>
      </c>
      <c r="BE278" s="125" t="s">
        <v>56</v>
      </c>
      <c r="BF278" s="287"/>
    </row>
    <row r="279" spans="1:58" s="276" customFormat="1" ht="154">
      <c r="A279" s="283"/>
      <c r="B279" s="281" t="s">
        <v>618</v>
      </c>
      <c r="C279" s="283"/>
      <c r="D279" s="283"/>
      <c r="E279" s="283"/>
      <c r="F279" s="282" t="s">
        <v>535</v>
      </c>
      <c r="G279" s="283" t="s">
        <v>576</v>
      </c>
      <c r="H279" s="284">
        <v>44879</v>
      </c>
      <c r="I279" s="282"/>
      <c r="J279" s="284">
        <f t="shared" si="90"/>
        <v>44893</v>
      </c>
      <c r="K279" s="282"/>
      <c r="L279" s="282"/>
      <c r="M279" s="282"/>
      <c r="N279" s="282"/>
      <c r="O279" s="282"/>
      <c r="P279" s="282"/>
      <c r="Q279" s="283" t="s">
        <v>121</v>
      </c>
      <c r="R279" s="283" t="s">
        <v>545</v>
      </c>
      <c r="S279" s="277">
        <f t="shared" si="92"/>
        <v>25</v>
      </c>
      <c r="T279" s="283"/>
      <c r="U279" s="283">
        <v>0</v>
      </c>
      <c r="V279" s="285">
        <v>25</v>
      </c>
      <c r="W279" s="283"/>
      <c r="X279" s="283"/>
      <c r="Y279" s="283"/>
      <c r="Z279" s="283"/>
      <c r="AA279" s="283"/>
      <c r="AB279" s="283"/>
      <c r="AC279" s="283"/>
      <c r="AD279" s="283"/>
      <c r="AE279" s="283"/>
      <c r="AF279" s="283"/>
      <c r="AG279" s="277" t="s">
        <v>53</v>
      </c>
      <c r="AH279" s="277" t="s">
        <v>54</v>
      </c>
      <c r="AI279" s="283"/>
      <c r="AJ279" s="283"/>
      <c r="AK279" s="283"/>
      <c r="AL279" s="286"/>
      <c r="AM279" s="277"/>
      <c r="AN279" s="277"/>
      <c r="AO279" s="285"/>
      <c r="AP279" s="285"/>
      <c r="AR279" s="121">
        <f t="shared" si="91"/>
        <v>1</v>
      </c>
      <c r="AS279" s="121" t="str">
        <f t="shared" si="93"/>
        <v>2022_11_14_a</v>
      </c>
      <c r="AT279" s="122"/>
      <c r="AU279" s="121" t="str">
        <f t="shared" si="94"/>
        <v>2022</v>
      </c>
      <c r="AV279" s="121" t="str">
        <f t="shared" si="95"/>
        <v>11</v>
      </c>
      <c r="AW279" s="121" t="str">
        <f t="shared" si="96"/>
        <v>14</v>
      </c>
      <c r="AX279" s="121">
        <f t="shared" si="97"/>
        <v>44879</v>
      </c>
      <c r="AY279" s="123"/>
      <c r="AZ279" s="124">
        <f t="shared" si="98"/>
        <v>44879</v>
      </c>
      <c r="BA279" s="121" t="b">
        <f t="shared" si="99"/>
        <v>1</v>
      </c>
      <c r="BB279" s="121">
        <f t="shared" si="100"/>
        <v>44879</v>
      </c>
      <c r="BC279" s="121" t="str">
        <f t="shared" si="101"/>
        <v>no</v>
      </c>
      <c r="BD279" s="121" t="b">
        <f t="shared" si="102"/>
        <v>0</v>
      </c>
      <c r="BE279" s="125" t="s">
        <v>56</v>
      </c>
      <c r="BF279" s="287"/>
    </row>
    <row r="280" spans="1:58" s="276" customFormat="1" ht="154">
      <c r="A280" s="283"/>
      <c r="B280" s="281" t="s">
        <v>619</v>
      </c>
      <c r="C280" s="283"/>
      <c r="D280" s="283">
        <v>10345207</v>
      </c>
      <c r="E280" s="283"/>
      <c r="F280" s="282" t="s">
        <v>535</v>
      </c>
      <c r="G280" s="113">
        <v>44942</v>
      </c>
      <c r="H280" s="284">
        <v>44942</v>
      </c>
      <c r="I280" s="284"/>
      <c r="J280" s="284">
        <v>44954</v>
      </c>
      <c r="K280" s="284"/>
      <c r="L280" s="282"/>
      <c r="M280" s="282"/>
      <c r="N280" s="282"/>
      <c r="O280" s="282"/>
      <c r="P280" s="282"/>
      <c r="Q280" s="283" t="s">
        <v>47</v>
      </c>
      <c r="R280" s="283" t="s">
        <v>620</v>
      </c>
      <c r="S280" s="283">
        <f t="shared" si="92"/>
        <v>70</v>
      </c>
      <c r="T280" s="283"/>
      <c r="U280" s="282">
        <v>70</v>
      </c>
      <c r="V280" s="285">
        <v>0</v>
      </c>
      <c r="W280" s="283"/>
      <c r="X280" s="283"/>
      <c r="Y280" s="283"/>
      <c r="Z280" s="283"/>
      <c r="AA280" s="283"/>
      <c r="AB280" s="283"/>
      <c r="AC280" s="283"/>
      <c r="AD280" s="283"/>
      <c r="AE280" s="283"/>
      <c r="AF280" s="283"/>
      <c r="AG280" s="277" t="s">
        <v>53</v>
      </c>
      <c r="AH280" s="283" t="s">
        <v>54</v>
      </c>
      <c r="AI280" s="283"/>
      <c r="AJ280" s="283"/>
      <c r="AK280" s="283"/>
      <c r="AL280" s="286"/>
      <c r="AM280" s="283"/>
      <c r="AN280" s="283"/>
      <c r="AO280" s="285"/>
      <c r="AP280" s="285"/>
      <c r="AR280" s="121">
        <f t="shared" si="91"/>
        <v>1</v>
      </c>
      <c r="AS280" s="121" t="str">
        <f t="shared" si="93"/>
        <v>2023_01_16_a</v>
      </c>
      <c r="AT280" s="122"/>
      <c r="AU280" s="121" t="str">
        <f t="shared" si="94"/>
        <v>2023</v>
      </c>
      <c r="AV280" s="121" t="str">
        <f t="shared" si="95"/>
        <v>01</v>
      </c>
      <c r="AW280" s="121" t="str">
        <f t="shared" si="96"/>
        <v>16</v>
      </c>
      <c r="AX280" s="121">
        <f t="shared" si="97"/>
        <v>44942</v>
      </c>
      <c r="AY280" s="123"/>
      <c r="AZ280" s="124">
        <f t="shared" si="98"/>
        <v>44942</v>
      </c>
      <c r="BA280" s="121" t="b">
        <f t="shared" si="99"/>
        <v>1</v>
      </c>
      <c r="BB280" s="121">
        <f t="shared" si="100"/>
        <v>44942</v>
      </c>
      <c r="BC280" s="121" t="str">
        <f t="shared" si="101"/>
        <v>no</v>
      </c>
      <c r="BD280" s="121" t="b">
        <f t="shared" si="102"/>
        <v>0</v>
      </c>
      <c r="BE280" s="125" t="s">
        <v>56</v>
      </c>
      <c r="BF280" s="287"/>
    </row>
    <row r="281" spans="1:58" s="276" customFormat="1" ht="154">
      <c r="A281" s="283"/>
      <c r="B281" s="281" t="s">
        <v>621</v>
      </c>
      <c r="C281" s="283"/>
      <c r="D281" s="283">
        <v>10345213</v>
      </c>
      <c r="E281" s="283"/>
      <c r="F281" s="282" t="s">
        <v>535</v>
      </c>
      <c r="G281" s="113">
        <v>44977</v>
      </c>
      <c r="H281" s="284">
        <v>44977</v>
      </c>
      <c r="I281" s="284"/>
      <c r="J281" s="284">
        <v>44989</v>
      </c>
      <c r="K281" s="284"/>
      <c r="L281" s="282"/>
      <c r="M281" s="282"/>
      <c r="N281" s="282"/>
      <c r="O281" s="282"/>
      <c r="P281" s="282"/>
      <c r="Q281" s="283" t="s">
        <v>47</v>
      </c>
      <c r="R281" s="283" t="s">
        <v>620</v>
      </c>
      <c r="S281" s="283">
        <f t="shared" si="92"/>
        <v>70</v>
      </c>
      <c r="T281" s="283"/>
      <c r="U281" s="282">
        <v>70</v>
      </c>
      <c r="V281" s="285">
        <v>0</v>
      </c>
      <c r="W281" s="283"/>
      <c r="X281" s="283"/>
      <c r="Y281" s="283"/>
      <c r="Z281" s="283"/>
      <c r="AA281" s="283"/>
      <c r="AB281" s="283"/>
      <c r="AC281" s="283"/>
      <c r="AD281" s="283"/>
      <c r="AE281" s="283"/>
      <c r="AF281" s="283"/>
      <c r="AG281" s="277" t="s">
        <v>53</v>
      </c>
      <c r="AH281" s="283" t="s">
        <v>54</v>
      </c>
      <c r="AI281" s="283"/>
      <c r="AJ281" s="283"/>
      <c r="AK281" s="283"/>
      <c r="AL281" s="286"/>
      <c r="AM281" s="283"/>
      <c r="AN281" s="283"/>
      <c r="AO281" s="285"/>
      <c r="AP281" s="285"/>
      <c r="AR281" s="121">
        <f t="shared" si="91"/>
        <v>1</v>
      </c>
      <c r="AS281" s="121" t="str">
        <f t="shared" si="93"/>
        <v>2023_02_20_a</v>
      </c>
      <c r="AT281" s="122"/>
      <c r="AU281" s="121" t="str">
        <f t="shared" si="94"/>
        <v>2023</v>
      </c>
      <c r="AV281" s="121" t="str">
        <f t="shared" si="95"/>
        <v>02</v>
      </c>
      <c r="AW281" s="121" t="str">
        <f t="shared" si="96"/>
        <v>20</v>
      </c>
      <c r="AX281" s="121">
        <f t="shared" si="97"/>
        <v>44977</v>
      </c>
      <c r="AY281" s="123"/>
      <c r="AZ281" s="124">
        <f t="shared" si="98"/>
        <v>44977</v>
      </c>
      <c r="BA281" s="121" t="b">
        <f t="shared" si="99"/>
        <v>1</v>
      </c>
      <c r="BB281" s="121">
        <f t="shared" si="100"/>
        <v>44977</v>
      </c>
      <c r="BC281" s="121" t="str">
        <f t="shared" si="101"/>
        <v>no</v>
      </c>
      <c r="BD281" s="121" t="b">
        <f t="shared" si="102"/>
        <v>0</v>
      </c>
      <c r="BE281" s="125" t="s">
        <v>56</v>
      </c>
      <c r="BF281" s="287"/>
    </row>
    <row r="282" spans="1:58" s="276" customFormat="1" ht="154">
      <c r="A282" s="283"/>
      <c r="B282" s="281" t="s">
        <v>622</v>
      </c>
      <c r="C282" s="283"/>
      <c r="D282" s="283">
        <v>10345229</v>
      </c>
      <c r="E282" s="283"/>
      <c r="F282" s="282" t="s">
        <v>535</v>
      </c>
      <c r="G282" s="113">
        <v>45005</v>
      </c>
      <c r="H282" s="284">
        <v>45005</v>
      </c>
      <c r="I282" s="284"/>
      <c r="J282" s="284">
        <v>45017</v>
      </c>
      <c r="K282" s="284"/>
      <c r="L282" s="282"/>
      <c r="M282" s="282"/>
      <c r="N282" s="282"/>
      <c r="O282" s="282"/>
      <c r="P282" s="282"/>
      <c r="Q282" s="283" t="s">
        <v>47</v>
      </c>
      <c r="R282" s="283" t="s">
        <v>620</v>
      </c>
      <c r="S282" s="283">
        <f t="shared" si="92"/>
        <v>70</v>
      </c>
      <c r="T282" s="283"/>
      <c r="U282" s="282">
        <v>70</v>
      </c>
      <c r="V282" s="285">
        <v>0</v>
      </c>
      <c r="W282" s="283"/>
      <c r="X282" s="283"/>
      <c r="Y282" s="283"/>
      <c r="Z282" s="283"/>
      <c r="AA282" s="283"/>
      <c r="AB282" s="283"/>
      <c r="AC282" s="283"/>
      <c r="AD282" s="283"/>
      <c r="AE282" s="283"/>
      <c r="AF282" s="283"/>
      <c r="AG282" s="277" t="s">
        <v>53</v>
      </c>
      <c r="AH282" s="283" t="s">
        <v>54</v>
      </c>
      <c r="AI282" s="283"/>
      <c r="AJ282" s="283"/>
      <c r="AK282" s="283"/>
      <c r="AL282" s="286"/>
      <c r="AM282" s="283"/>
      <c r="AN282" s="283"/>
      <c r="AO282" s="285"/>
      <c r="AP282" s="285"/>
      <c r="AR282" s="121">
        <f t="shared" si="91"/>
        <v>1</v>
      </c>
      <c r="AS282" s="121" t="str">
        <f t="shared" si="93"/>
        <v>2023_03_20_a</v>
      </c>
      <c r="AT282" s="122"/>
      <c r="AU282" s="121" t="str">
        <f t="shared" si="94"/>
        <v>2023</v>
      </c>
      <c r="AV282" s="121" t="str">
        <f t="shared" si="95"/>
        <v>03</v>
      </c>
      <c r="AW282" s="121" t="str">
        <f t="shared" si="96"/>
        <v>20</v>
      </c>
      <c r="AX282" s="121">
        <f t="shared" si="97"/>
        <v>45005</v>
      </c>
      <c r="AY282" s="123"/>
      <c r="AZ282" s="124">
        <f t="shared" si="98"/>
        <v>45005</v>
      </c>
      <c r="BA282" s="121" t="b">
        <f t="shared" si="99"/>
        <v>1</v>
      </c>
      <c r="BB282" s="121">
        <f t="shared" si="100"/>
        <v>45005</v>
      </c>
      <c r="BC282" s="121" t="str">
        <f t="shared" si="101"/>
        <v>no</v>
      </c>
      <c r="BD282" s="121" t="b">
        <f t="shared" si="102"/>
        <v>0</v>
      </c>
      <c r="BE282" s="125" t="s">
        <v>56</v>
      </c>
      <c r="BF282" s="287"/>
    </row>
    <row r="283" spans="1:58" s="276" customFormat="1" ht="154">
      <c r="A283" s="283"/>
      <c r="B283" s="281" t="s">
        <v>623</v>
      </c>
      <c r="C283" s="283"/>
      <c r="D283" s="283"/>
      <c r="E283" s="283"/>
      <c r="F283" s="282" t="s">
        <v>535</v>
      </c>
      <c r="G283" s="113">
        <v>45033</v>
      </c>
      <c r="H283" s="284">
        <v>45033</v>
      </c>
      <c r="I283" s="284"/>
      <c r="J283" s="284">
        <v>45045</v>
      </c>
      <c r="K283" s="284"/>
      <c r="L283" s="282"/>
      <c r="M283" s="282"/>
      <c r="N283" s="282"/>
      <c r="O283" s="282"/>
      <c r="P283" s="282"/>
      <c r="Q283" s="283" t="s">
        <v>78</v>
      </c>
      <c r="R283" s="283" t="s">
        <v>620</v>
      </c>
      <c r="S283" s="283">
        <f t="shared" si="92"/>
        <v>70</v>
      </c>
      <c r="T283" s="283"/>
      <c r="U283" s="282">
        <v>70</v>
      </c>
      <c r="V283" s="285">
        <v>0</v>
      </c>
      <c r="W283" s="283"/>
      <c r="X283" s="283"/>
      <c r="Y283" s="283"/>
      <c r="Z283" s="283"/>
      <c r="AA283" s="283"/>
      <c r="AB283" s="283"/>
      <c r="AC283" s="283"/>
      <c r="AD283" s="283"/>
      <c r="AE283" s="283"/>
      <c r="AF283" s="283"/>
      <c r="AG283" s="277" t="s">
        <v>53</v>
      </c>
      <c r="AH283" s="283" t="s">
        <v>54</v>
      </c>
      <c r="AI283" s="283"/>
      <c r="AJ283" s="283"/>
      <c r="AK283" s="283"/>
      <c r="AL283" s="286"/>
      <c r="AM283" s="283"/>
      <c r="AN283" s="283"/>
      <c r="AO283" s="285"/>
      <c r="AP283" s="285"/>
      <c r="AR283" s="121">
        <f t="shared" si="91"/>
        <v>1</v>
      </c>
      <c r="AS283" s="121" t="str">
        <f t="shared" si="93"/>
        <v>2023_04_17_a</v>
      </c>
      <c r="AT283" s="122"/>
      <c r="AU283" s="121" t="str">
        <f t="shared" si="94"/>
        <v>2023</v>
      </c>
      <c r="AV283" s="121" t="str">
        <f t="shared" si="95"/>
        <v>04</v>
      </c>
      <c r="AW283" s="121" t="str">
        <f t="shared" si="96"/>
        <v>17</v>
      </c>
      <c r="AX283" s="121">
        <f t="shared" si="97"/>
        <v>45033</v>
      </c>
      <c r="AY283" s="123"/>
      <c r="AZ283" s="124">
        <f t="shared" si="98"/>
        <v>45033</v>
      </c>
      <c r="BA283" s="121" t="b">
        <f t="shared" si="99"/>
        <v>1</v>
      </c>
      <c r="BB283" s="121">
        <f t="shared" si="100"/>
        <v>45033</v>
      </c>
      <c r="BC283" s="121" t="str">
        <f t="shared" si="101"/>
        <v>no</v>
      </c>
      <c r="BD283" s="121" t="b">
        <f t="shared" si="102"/>
        <v>0</v>
      </c>
      <c r="BE283" s="125" t="s">
        <v>56</v>
      </c>
      <c r="BF283" s="287"/>
    </row>
    <row r="284" spans="1:58" s="276" customFormat="1" ht="154">
      <c r="A284" s="283"/>
      <c r="B284" s="281" t="s">
        <v>624</v>
      </c>
      <c r="C284" s="283"/>
      <c r="D284" s="283"/>
      <c r="E284" s="283"/>
      <c r="F284" s="282" t="s">
        <v>535</v>
      </c>
      <c r="G284" s="113">
        <v>45061</v>
      </c>
      <c r="H284" s="284">
        <v>45061</v>
      </c>
      <c r="I284" s="284"/>
      <c r="J284" s="284">
        <v>45073</v>
      </c>
      <c r="K284" s="284"/>
      <c r="L284" s="282"/>
      <c r="M284" s="282"/>
      <c r="N284" s="282"/>
      <c r="O284" s="282"/>
      <c r="P284" s="282"/>
      <c r="Q284" s="283" t="s">
        <v>78</v>
      </c>
      <c r="R284" s="283" t="s">
        <v>620</v>
      </c>
      <c r="S284" s="283">
        <f t="shared" si="92"/>
        <v>70</v>
      </c>
      <c r="T284" s="283"/>
      <c r="U284" s="282">
        <v>70</v>
      </c>
      <c r="V284" s="285">
        <v>0</v>
      </c>
      <c r="W284" s="283"/>
      <c r="X284" s="283"/>
      <c r="Y284" s="283"/>
      <c r="Z284" s="283"/>
      <c r="AA284" s="283"/>
      <c r="AB284" s="283"/>
      <c r="AC284" s="283"/>
      <c r="AD284" s="283"/>
      <c r="AE284" s="283"/>
      <c r="AF284" s="283"/>
      <c r="AG284" s="277" t="s">
        <v>53</v>
      </c>
      <c r="AH284" s="283" t="s">
        <v>54</v>
      </c>
      <c r="AI284" s="283"/>
      <c r="AJ284" s="283"/>
      <c r="AK284" s="283"/>
      <c r="AL284" s="286"/>
      <c r="AM284" s="283"/>
      <c r="AN284" s="283"/>
      <c r="AO284" s="285"/>
      <c r="AP284" s="285"/>
      <c r="AR284" s="121">
        <f t="shared" si="91"/>
        <v>1</v>
      </c>
      <c r="AS284" s="121" t="str">
        <f t="shared" si="93"/>
        <v>2023_05_15_a</v>
      </c>
      <c r="AT284" s="122"/>
      <c r="AU284" s="121" t="str">
        <f t="shared" si="94"/>
        <v>2023</v>
      </c>
      <c r="AV284" s="121" t="str">
        <f t="shared" si="95"/>
        <v>05</v>
      </c>
      <c r="AW284" s="121" t="str">
        <f t="shared" si="96"/>
        <v>15</v>
      </c>
      <c r="AX284" s="121">
        <f t="shared" si="97"/>
        <v>45061</v>
      </c>
      <c r="AY284" s="123"/>
      <c r="AZ284" s="124">
        <f t="shared" si="98"/>
        <v>45061</v>
      </c>
      <c r="BA284" s="121" t="b">
        <f t="shared" si="99"/>
        <v>1</v>
      </c>
      <c r="BB284" s="121">
        <f t="shared" si="100"/>
        <v>45061</v>
      </c>
      <c r="BC284" s="121" t="str">
        <f t="shared" si="101"/>
        <v>no</v>
      </c>
      <c r="BD284" s="121" t="b">
        <f t="shared" si="102"/>
        <v>0</v>
      </c>
      <c r="BE284" s="125" t="s">
        <v>56</v>
      </c>
      <c r="BF284" s="287"/>
    </row>
    <row r="285" spans="1:58" s="276" customFormat="1" ht="154">
      <c r="A285" s="283"/>
      <c r="B285" s="281" t="s">
        <v>625</v>
      </c>
      <c r="C285" s="283"/>
      <c r="D285" s="283"/>
      <c r="E285" s="283"/>
      <c r="F285" s="282" t="s">
        <v>535</v>
      </c>
      <c r="G285" s="113">
        <v>45096</v>
      </c>
      <c r="H285" s="284">
        <v>45096</v>
      </c>
      <c r="I285" s="284"/>
      <c r="J285" s="284">
        <v>45108</v>
      </c>
      <c r="K285" s="284"/>
      <c r="L285" s="282"/>
      <c r="M285" s="282"/>
      <c r="N285" s="282"/>
      <c r="O285" s="282"/>
      <c r="P285" s="282"/>
      <c r="Q285" s="283" t="s">
        <v>78</v>
      </c>
      <c r="R285" s="283" t="s">
        <v>620</v>
      </c>
      <c r="S285" s="283">
        <f t="shared" si="92"/>
        <v>70</v>
      </c>
      <c r="T285" s="283"/>
      <c r="U285" s="282">
        <v>70</v>
      </c>
      <c r="V285" s="285">
        <v>0</v>
      </c>
      <c r="W285" s="283"/>
      <c r="X285" s="283"/>
      <c r="Y285" s="283"/>
      <c r="Z285" s="283"/>
      <c r="AA285" s="283"/>
      <c r="AB285" s="283"/>
      <c r="AC285" s="283"/>
      <c r="AD285" s="283"/>
      <c r="AE285" s="283"/>
      <c r="AF285" s="283"/>
      <c r="AG285" s="277" t="s">
        <v>53</v>
      </c>
      <c r="AH285" s="283" t="s">
        <v>54</v>
      </c>
      <c r="AI285" s="283"/>
      <c r="AJ285" s="283"/>
      <c r="AK285" s="283"/>
      <c r="AL285" s="286"/>
      <c r="AM285" s="283"/>
      <c r="AN285" s="283"/>
      <c r="AO285" s="285"/>
      <c r="AP285" s="285"/>
      <c r="AR285" s="121">
        <f t="shared" si="91"/>
        <v>1</v>
      </c>
      <c r="AS285" s="121" t="str">
        <f t="shared" si="93"/>
        <v>2023_06_19_a</v>
      </c>
      <c r="AT285" s="122"/>
      <c r="AU285" s="121" t="str">
        <f t="shared" si="94"/>
        <v>2023</v>
      </c>
      <c r="AV285" s="121" t="str">
        <f t="shared" si="95"/>
        <v>06</v>
      </c>
      <c r="AW285" s="121" t="str">
        <f t="shared" si="96"/>
        <v>19</v>
      </c>
      <c r="AX285" s="121">
        <f t="shared" si="97"/>
        <v>45096</v>
      </c>
      <c r="AY285" s="123"/>
      <c r="AZ285" s="124">
        <f t="shared" si="98"/>
        <v>45096</v>
      </c>
      <c r="BA285" s="121" t="b">
        <f t="shared" si="99"/>
        <v>1</v>
      </c>
      <c r="BB285" s="121">
        <f t="shared" si="100"/>
        <v>45096</v>
      </c>
      <c r="BC285" s="121" t="str">
        <f t="shared" si="101"/>
        <v>no</v>
      </c>
      <c r="BD285" s="121" t="b">
        <f t="shared" si="102"/>
        <v>0</v>
      </c>
      <c r="BE285" s="125" t="s">
        <v>56</v>
      </c>
      <c r="BF285" s="287"/>
    </row>
    <row r="286" spans="1:58" s="276" customFormat="1" ht="154">
      <c r="A286" s="283"/>
      <c r="B286" s="281" t="s">
        <v>626</v>
      </c>
      <c r="C286" s="283"/>
      <c r="D286" s="283"/>
      <c r="E286" s="283"/>
      <c r="F286" s="282" t="s">
        <v>535</v>
      </c>
      <c r="G286" s="113">
        <v>45124</v>
      </c>
      <c r="H286" s="284">
        <v>45124</v>
      </c>
      <c r="I286" s="284"/>
      <c r="J286" s="284">
        <v>45136</v>
      </c>
      <c r="K286" s="284"/>
      <c r="L286" s="282"/>
      <c r="M286" s="282"/>
      <c r="N286" s="282"/>
      <c r="O286" s="282"/>
      <c r="P286" s="282"/>
      <c r="Q286" s="283" t="s">
        <v>99</v>
      </c>
      <c r="R286" s="283" t="s">
        <v>620</v>
      </c>
      <c r="S286" s="283">
        <f t="shared" si="92"/>
        <v>70</v>
      </c>
      <c r="T286" s="283"/>
      <c r="U286" s="282">
        <v>70</v>
      </c>
      <c r="V286" s="285">
        <v>0</v>
      </c>
      <c r="W286" s="283"/>
      <c r="X286" s="283"/>
      <c r="Y286" s="283"/>
      <c r="Z286" s="283"/>
      <c r="AA286" s="283"/>
      <c r="AB286" s="283"/>
      <c r="AC286" s="283"/>
      <c r="AD286" s="283"/>
      <c r="AE286" s="283"/>
      <c r="AF286" s="283"/>
      <c r="AG286" s="277" t="s">
        <v>53</v>
      </c>
      <c r="AH286" s="283" t="s">
        <v>54</v>
      </c>
      <c r="AI286" s="283"/>
      <c r="AJ286" s="283"/>
      <c r="AK286" s="283"/>
      <c r="AL286" s="286"/>
      <c r="AM286" s="283"/>
      <c r="AN286" s="283"/>
      <c r="AO286" s="285"/>
      <c r="AP286" s="285"/>
      <c r="AR286" s="121">
        <f t="shared" si="91"/>
        <v>1</v>
      </c>
      <c r="AS286" s="121" t="str">
        <f t="shared" si="93"/>
        <v>2023_07_17_a</v>
      </c>
      <c r="AT286" s="122"/>
      <c r="AU286" s="121" t="str">
        <f t="shared" si="94"/>
        <v>2023</v>
      </c>
      <c r="AV286" s="121" t="str">
        <f t="shared" si="95"/>
        <v>07</v>
      </c>
      <c r="AW286" s="121" t="str">
        <f t="shared" si="96"/>
        <v>17</v>
      </c>
      <c r="AX286" s="121">
        <f t="shared" si="97"/>
        <v>45124</v>
      </c>
      <c r="AY286" s="123"/>
      <c r="AZ286" s="124">
        <f t="shared" si="98"/>
        <v>45124</v>
      </c>
      <c r="BA286" s="121" t="b">
        <f t="shared" si="99"/>
        <v>1</v>
      </c>
      <c r="BB286" s="121">
        <f t="shared" si="100"/>
        <v>45124</v>
      </c>
      <c r="BC286" s="121" t="str">
        <f t="shared" si="101"/>
        <v>no</v>
      </c>
      <c r="BD286" s="121" t="b">
        <f t="shared" si="102"/>
        <v>0</v>
      </c>
      <c r="BE286" s="125" t="s">
        <v>56</v>
      </c>
      <c r="BF286" s="287"/>
    </row>
    <row r="287" spans="1:58" s="276" customFormat="1" ht="154">
      <c r="A287" s="283"/>
      <c r="B287" s="281" t="s">
        <v>627</v>
      </c>
      <c r="C287" s="283"/>
      <c r="D287" s="283"/>
      <c r="E287" s="283"/>
      <c r="F287" s="282" t="s">
        <v>535</v>
      </c>
      <c r="G287" s="113">
        <v>45159</v>
      </c>
      <c r="H287" s="284">
        <v>45159</v>
      </c>
      <c r="I287" s="284"/>
      <c r="J287" s="284">
        <v>45171</v>
      </c>
      <c r="K287" s="284"/>
      <c r="L287" s="282"/>
      <c r="M287" s="282"/>
      <c r="N287" s="282"/>
      <c r="O287" s="282"/>
      <c r="P287" s="282"/>
      <c r="Q287" s="283" t="s">
        <v>99</v>
      </c>
      <c r="R287" s="283" t="s">
        <v>620</v>
      </c>
      <c r="S287" s="283">
        <f t="shared" si="92"/>
        <v>70</v>
      </c>
      <c r="T287" s="283"/>
      <c r="U287" s="282">
        <v>70</v>
      </c>
      <c r="V287" s="285">
        <v>0</v>
      </c>
      <c r="W287" s="283"/>
      <c r="X287" s="283"/>
      <c r="Y287" s="283"/>
      <c r="Z287" s="283"/>
      <c r="AA287" s="283"/>
      <c r="AB287" s="283"/>
      <c r="AC287" s="283"/>
      <c r="AD287" s="283"/>
      <c r="AE287" s="283"/>
      <c r="AF287" s="283"/>
      <c r="AG287" s="277" t="s">
        <v>53</v>
      </c>
      <c r="AH287" s="283" t="s">
        <v>54</v>
      </c>
      <c r="AI287" s="283"/>
      <c r="AJ287" s="283"/>
      <c r="AK287" s="283"/>
      <c r="AL287" s="286"/>
      <c r="AM287" s="283"/>
      <c r="AN287" s="283"/>
      <c r="AO287" s="285"/>
      <c r="AP287" s="285"/>
      <c r="AR287" s="121">
        <f t="shared" si="91"/>
        <v>1</v>
      </c>
      <c r="AS287" s="121" t="str">
        <f t="shared" si="93"/>
        <v>2023_08_21_a</v>
      </c>
      <c r="AT287" s="122"/>
      <c r="AU287" s="121" t="str">
        <f t="shared" si="94"/>
        <v>2023</v>
      </c>
      <c r="AV287" s="121" t="str">
        <f t="shared" si="95"/>
        <v>08</v>
      </c>
      <c r="AW287" s="121" t="str">
        <f t="shared" si="96"/>
        <v>21</v>
      </c>
      <c r="AX287" s="121">
        <f t="shared" si="97"/>
        <v>45159</v>
      </c>
      <c r="AY287" s="123"/>
      <c r="AZ287" s="124">
        <f t="shared" si="98"/>
        <v>45159</v>
      </c>
      <c r="BA287" s="121" t="b">
        <f t="shared" si="99"/>
        <v>1</v>
      </c>
      <c r="BB287" s="121">
        <f t="shared" si="100"/>
        <v>45159</v>
      </c>
      <c r="BC287" s="121" t="str">
        <f t="shared" si="101"/>
        <v>no</v>
      </c>
      <c r="BD287" s="121" t="b">
        <f t="shared" si="102"/>
        <v>0</v>
      </c>
      <c r="BE287" s="125" t="s">
        <v>56</v>
      </c>
      <c r="BF287" s="287"/>
    </row>
    <row r="288" spans="1:58" s="276" customFormat="1" ht="154">
      <c r="A288" s="283"/>
      <c r="B288" s="281" t="s">
        <v>628</v>
      </c>
      <c r="C288" s="283"/>
      <c r="D288" s="283"/>
      <c r="E288" s="283"/>
      <c r="F288" s="282" t="s">
        <v>535</v>
      </c>
      <c r="G288" s="113">
        <v>45187</v>
      </c>
      <c r="H288" s="284">
        <v>45187</v>
      </c>
      <c r="I288" s="284"/>
      <c r="J288" s="284">
        <v>45199</v>
      </c>
      <c r="K288" s="284"/>
      <c r="L288" s="282"/>
      <c r="M288" s="282"/>
      <c r="N288" s="282"/>
      <c r="O288" s="282"/>
      <c r="P288" s="282"/>
      <c r="Q288" s="283" t="s">
        <v>99</v>
      </c>
      <c r="R288" s="283" t="s">
        <v>620</v>
      </c>
      <c r="S288" s="283">
        <f t="shared" si="92"/>
        <v>70</v>
      </c>
      <c r="T288" s="283"/>
      <c r="U288" s="282">
        <v>70</v>
      </c>
      <c r="V288" s="285">
        <v>0</v>
      </c>
      <c r="W288" s="283"/>
      <c r="X288" s="283"/>
      <c r="Y288" s="283"/>
      <c r="Z288" s="283"/>
      <c r="AA288" s="283"/>
      <c r="AB288" s="283"/>
      <c r="AC288" s="283"/>
      <c r="AD288" s="283"/>
      <c r="AE288" s="283"/>
      <c r="AF288" s="283"/>
      <c r="AG288" s="277" t="s">
        <v>53</v>
      </c>
      <c r="AH288" s="283" t="s">
        <v>54</v>
      </c>
      <c r="AI288" s="283"/>
      <c r="AJ288" s="283"/>
      <c r="AK288" s="283"/>
      <c r="AL288" s="286"/>
      <c r="AM288" s="283"/>
      <c r="AN288" s="283"/>
      <c r="AO288" s="285"/>
      <c r="AP288" s="285"/>
      <c r="AR288" s="121">
        <f t="shared" si="91"/>
        <v>1</v>
      </c>
      <c r="AS288" s="121" t="str">
        <f t="shared" si="93"/>
        <v>2023_09_18_a</v>
      </c>
      <c r="AT288" s="122"/>
      <c r="AU288" s="121" t="str">
        <f t="shared" si="94"/>
        <v>2023</v>
      </c>
      <c r="AV288" s="121" t="str">
        <f t="shared" si="95"/>
        <v>09</v>
      </c>
      <c r="AW288" s="121" t="str">
        <f t="shared" si="96"/>
        <v>18</v>
      </c>
      <c r="AX288" s="121">
        <f t="shared" si="97"/>
        <v>45187</v>
      </c>
      <c r="AY288" s="123"/>
      <c r="AZ288" s="124">
        <f t="shared" si="98"/>
        <v>45187</v>
      </c>
      <c r="BA288" s="121" t="b">
        <f t="shared" si="99"/>
        <v>1</v>
      </c>
      <c r="BB288" s="121">
        <f t="shared" si="100"/>
        <v>45187</v>
      </c>
      <c r="BC288" s="121" t="str">
        <f t="shared" si="101"/>
        <v>no</v>
      </c>
      <c r="BD288" s="121" t="b">
        <f t="shared" si="102"/>
        <v>0</v>
      </c>
      <c r="BE288" s="125" t="s">
        <v>56</v>
      </c>
      <c r="BF288" s="287"/>
    </row>
    <row r="289" spans="1:58" s="276" customFormat="1" ht="154">
      <c r="A289" s="283"/>
      <c r="B289" s="281" t="s">
        <v>629</v>
      </c>
      <c r="C289" s="283"/>
      <c r="D289" s="283"/>
      <c r="E289" s="283"/>
      <c r="F289" s="282" t="s">
        <v>535</v>
      </c>
      <c r="G289" s="113">
        <v>45215</v>
      </c>
      <c r="H289" s="284">
        <v>45215</v>
      </c>
      <c r="I289" s="284"/>
      <c r="J289" s="284">
        <v>45227</v>
      </c>
      <c r="K289" s="284"/>
      <c r="L289" s="282"/>
      <c r="M289" s="282"/>
      <c r="N289" s="282"/>
      <c r="O289" s="282"/>
      <c r="P289" s="282"/>
      <c r="Q289" s="283" t="s">
        <v>121</v>
      </c>
      <c r="R289" s="283" t="s">
        <v>620</v>
      </c>
      <c r="S289" s="283">
        <f t="shared" si="92"/>
        <v>70</v>
      </c>
      <c r="T289" s="283"/>
      <c r="U289" s="282">
        <v>70</v>
      </c>
      <c r="V289" s="285">
        <v>0</v>
      </c>
      <c r="W289" s="283"/>
      <c r="X289" s="283"/>
      <c r="Y289" s="283"/>
      <c r="Z289" s="283"/>
      <c r="AA289" s="283"/>
      <c r="AB289" s="283"/>
      <c r="AC289" s="283"/>
      <c r="AD289" s="283"/>
      <c r="AE289" s="283"/>
      <c r="AF289" s="283"/>
      <c r="AG289" s="277" t="s">
        <v>53</v>
      </c>
      <c r="AH289" s="283" t="s">
        <v>54</v>
      </c>
      <c r="AI289" s="283"/>
      <c r="AJ289" s="283"/>
      <c r="AK289" s="283"/>
      <c r="AL289" s="286"/>
      <c r="AM289" s="283"/>
      <c r="AN289" s="283"/>
      <c r="AO289" s="285"/>
      <c r="AP289" s="285"/>
      <c r="AR289" s="121">
        <f t="shared" si="91"/>
        <v>1</v>
      </c>
      <c r="AS289" s="121" t="str">
        <f t="shared" si="93"/>
        <v>2023_10_16_a</v>
      </c>
      <c r="AT289" s="122"/>
      <c r="AU289" s="121" t="str">
        <f t="shared" si="94"/>
        <v>2023</v>
      </c>
      <c r="AV289" s="121" t="str">
        <f t="shared" si="95"/>
        <v>10</v>
      </c>
      <c r="AW289" s="121" t="str">
        <f t="shared" si="96"/>
        <v>16</v>
      </c>
      <c r="AX289" s="121">
        <f t="shared" si="97"/>
        <v>45215</v>
      </c>
      <c r="AY289" s="123"/>
      <c r="AZ289" s="124">
        <f t="shared" si="98"/>
        <v>45215</v>
      </c>
      <c r="BA289" s="121" t="b">
        <f t="shared" si="99"/>
        <v>1</v>
      </c>
      <c r="BB289" s="121">
        <f t="shared" si="100"/>
        <v>45215</v>
      </c>
      <c r="BC289" s="121" t="str">
        <f t="shared" si="101"/>
        <v>no</v>
      </c>
      <c r="BD289" s="121" t="b">
        <f t="shared" si="102"/>
        <v>0</v>
      </c>
      <c r="BE289" s="125" t="s">
        <v>56</v>
      </c>
      <c r="BF289" s="287"/>
    </row>
    <row r="290" spans="1:58" s="276" customFormat="1" ht="154">
      <c r="A290" s="283"/>
      <c r="B290" s="281" t="s">
        <v>630</v>
      </c>
      <c r="C290" s="283"/>
      <c r="D290" s="283"/>
      <c r="E290" s="283"/>
      <c r="F290" s="282" t="s">
        <v>535</v>
      </c>
      <c r="G290" s="113">
        <v>45250</v>
      </c>
      <c r="H290" s="284">
        <v>45250</v>
      </c>
      <c r="I290" s="284"/>
      <c r="J290" s="284">
        <v>45262</v>
      </c>
      <c r="K290" s="284"/>
      <c r="L290" s="282"/>
      <c r="M290" s="282"/>
      <c r="N290" s="282"/>
      <c r="O290" s="282"/>
      <c r="P290" s="282"/>
      <c r="Q290" s="283" t="s">
        <v>121</v>
      </c>
      <c r="R290" s="283" t="s">
        <v>620</v>
      </c>
      <c r="S290" s="283">
        <f t="shared" si="92"/>
        <v>70</v>
      </c>
      <c r="T290" s="283"/>
      <c r="U290" s="282">
        <v>70</v>
      </c>
      <c r="V290" s="285">
        <v>0</v>
      </c>
      <c r="W290" s="283"/>
      <c r="X290" s="283"/>
      <c r="Y290" s="283"/>
      <c r="Z290" s="283"/>
      <c r="AA290" s="283"/>
      <c r="AB290" s="283"/>
      <c r="AC290" s="283"/>
      <c r="AD290" s="283"/>
      <c r="AE290" s="283"/>
      <c r="AF290" s="283"/>
      <c r="AG290" s="277" t="s">
        <v>53</v>
      </c>
      <c r="AH290" s="283" t="s">
        <v>54</v>
      </c>
      <c r="AI290" s="283"/>
      <c r="AJ290" s="283"/>
      <c r="AK290" s="283"/>
      <c r="AL290" s="286"/>
      <c r="AM290" s="283"/>
      <c r="AN290" s="283"/>
      <c r="AO290" s="285"/>
      <c r="AP290" s="285"/>
      <c r="AR290" s="121">
        <f t="shared" si="91"/>
        <v>1</v>
      </c>
      <c r="AS290" s="121" t="str">
        <f t="shared" si="93"/>
        <v>2023_11_20_a</v>
      </c>
      <c r="AT290" s="122"/>
      <c r="AU290" s="121" t="str">
        <f t="shared" si="94"/>
        <v>2023</v>
      </c>
      <c r="AV290" s="121" t="str">
        <f t="shared" si="95"/>
        <v>11</v>
      </c>
      <c r="AW290" s="121" t="str">
        <f t="shared" si="96"/>
        <v>20</v>
      </c>
      <c r="AX290" s="121">
        <f t="shared" si="97"/>
        <v>45250</v>
      </c>
      <c r="AY290" s="123"/>
      <c r="AZ290" s="124">
        <f t="shared" si="98"/>
        <v>45250</v>
      </c>
      <c r="BA290" s="121" t="b">
        <f t="shared" si="99"/>
        <v>1</v>
      </c>
      <c r="BB290" s="121">
        <f t="shared" si="100"/>
        <v>45250</v>
      </c>
      <c r="BC290" s="121" t="str">
        <f t="shared" si="101"/>
        <v>no</v>
      </c>
      <c r="BD290" s="121" t="b">
        <f t="shared" si="102"/>
        <v>0</v>
      </c>
      <c r="BE290" s="125" t="s">
        <v>56</v>
      </c>
      <c r="BF290" s="287"/>
    </row>
    <row r="291" spans="1:58" s="276" customFormat="1" ht="154">
      <c r="A291" s="283"/>
      <c r="B291" s="281" t="s">
        <v>631</v>
      </c>
      <c r="C291" s="283"/>
      <c r="D291" s="283"/>
      <c r="E291" s="283"/>
      <c r="F291" s="282" t="s">
        <v>535</v>
      </c>
      <c r="G291" s="113">
        <v>45278</v>
      </c>
      <c r="H291" s="284">
        <v>45278</v>
      </c>
      <c r="I291" s="284"/>
      <c r="J291" s="284">
        <v>45290</v>
      </c>
      <c r="K291" s="284"/>
      <c r="L291" s="282"/>
      <c r="M291" s="282"/>
      <c r="N291" s="282"/>
      <c r="O291" s="282"/>
      <c r="P291" s="282"/>
      <c r="Q291" s="283" t="s">
        <v>121</v>
      </c>
      <c r="R291" s="283" t="s">
        <v>620</v>
      </c>
      <c r="S291" s="283">
        <f t="shared" si="92"/>
        <v>70</v>
      </c>
      <c r="T291" s="283"/>
      <c r="U291" s="282">
        <v>70</v>
      </c>
      <c r="V291" s="285">
        <v>0</v>
      </c>
      <c r="W291" s="283"/>
      <c r="X291" s="283"/>
      <c r="Y291" s="283"/>
      <c r="Z291" s="283"/>
      <c r="AA291" s="283"/>
      <c r="AB291" s="283"/>
      <c r="AC291" s="283"/>
      <c r="AD291" s="283"/>
      <c r="AE291" s="283"/>
      <c r="AF291" s="283"/>
      <c r="AG291" s="277" t="s">
        <v>53</v>
      </c>
      <c r="AH291" s="283" t="s">
        <v>54</v>
      </c>
      <c r="AI291" s="283"/>
      <c r="AJ291" s="283"/>
      <c r="AK291" s="283"/>
      <c r="AL291" s="286"/>
      <c r="AM291" s="283"/>
      <c r="AN291" s="283"/>
      <c r="AO291" s="285"/>
      <c r="AP291" s="285"/>
      <c r="AR291" s="121">
        <f t="shared" si="91"/>
        <v>1</v>
      </c>
      <c r="AS291" s="121" t="str">
        <f t="shared" si="93"/>
        <v>2023_12_18_a</v>
      </c>
      <c r="AT291" s="122"/>
      <c r="AU291" s="121" t="str">
        <f t="shared" si="94"/>
        <v>2023</v>
      </c>
      <c r="AV291" s="121" t="str">
        <f t="shared" si="95"/>
        <v>12</v>
      </c>
      <c r="AW291" s="121" t="str">
        <f t="shared" si="96"/>
        <v>18</v>
      </c>
      <c r="AX291" s="121">
        <f t="shared" si="97"/>
        <v>45278</v>
      </c>
      <c r="AY291" s="123"/>
      <c r="AZ291" s="124">
        <f t="shared" si="98"/>
        <v>45278</v>
      </c>
      <c r="BA291" s="121" t="b">
        <f t="shared" si="99"/>
        <v>1</v>
      </c>
      <c r="BB291" s="121">
        <f t="shared" si="100"/>
        <v>45278</v>
      </c>
      <c r="BC291" s="121" t="str">
        <f t="shared" si="101"/>
        <v>no</v>
      </c>
      <c r="BD291" s="121" t="b">
        <f t="shared" si="102"/>
        <v>0</v>
      </c>
      <c r="BE291" s="125" t="s">
        <v>56</v>
      </c>
      <c r="BF291" s="287"/>
    </row>
    <row r="292" spans="1:58" s="276" customFormat="1" ht="154">
      <c r="A292" s="283"/>
      <c r="B292" s="281" t="s">
        <v>632</v>
      </c>
      <c r="C292" s="283"/>
      <c r="D292" s="283"/>
      <c r="E292" s="283"/>
      <c r="F292" s="282" t="s">
        <v>535</v>
      </c>
      <c r="G292" s="113">
        <v>44977</v>
      </c>
      <c r="H292" s="284">
        <v>44977</v>
      </c>
      <c r="I292" s="284"/>
      <c r="J292" s="284">
        <v>44989</v>
      </c>
      <c r="K292" s="284"/>
      <c r="L292" s="282"/>
      <c r="M292" s="282"/>
      <c r="N292" s="282"/>
      <c r="O292" s="282"/>
      <c r="P292" s="282"/>
      <c r="Q292" s="283" t="s">
        <v>47</v>
      </c>
      <c r="R292" s="283" t="s">
        <v>633</v>
      </c>
      <c r="S292" s="283">
        <f t="shared" si="92"/>
        <v>25</v>
      </c>
      <c r="T292" s="283"/>
      <c r="U292" s="282">
        <v>25</v>
      </c>
      <c r="V292" s="285">
        <v>0</v>
      </c>
      <c r="W292" s="283"/>
      <c r="X292" s="283"/>
      <c r="Y292" s="283"/>
      <c r="Z292" s="283"/>
      <c r="AA292" s="283"/>
      <c r="AB292" s="283"/>
      <c r="AC292" s="283"/>
      <c r="AD292" s="283"/>
      <c r="AE292" s="283"/>
      <c r="AF292" s="283"/>
      <c r="AG292" s="277" t="s">
        <v>53</v>
      </c>
      <c r="AH292" s="283" t="s">
        <v>54</v>
      </c>
      <c r="AI292" s="283"/>
      <c r="AJ292" s="283"/>
      <c r="AK292" s="283"/>
      <c r="AL292" s="286"/>
      <c r="AM292" s="283"/>
      <c r="AN292" s="283"/>
      <c r="AO292" s="285"/>
      <c r="AP292" s="285"/>
      <c r="AR292" s="121">
        <f t="shared" si="91"/>
        <v>1</v>
      </c>
      <c r="AS292" s="121" t="str">
        <f t="shared" si="93"/>
        <v>2023_02_20_a</v>
      </c>
      <c r="AT292" s="122"/>
      <c r="AU292" s="121" t="str">
        <f t="shared" si="94"/>
        <v>2023</v>
      </c>
      <c r="AV292" s="121" t="str">
        <f t="shared" si="95"/>
        <v>02</v>
      </c>
      <c r="AW292" s="121" t="str">
        <f t="shared" si="96"/>
        <v>20</v>
      </c>
      <c r="AX292" s="121">
        <f t="shared" si="97"/>
        <v>44977</v>
      </c>
      <c r="AY292" s="123"/>
      <c r="AZ292" s="124">
        <f t="shared" si="98"/>
        <v>44977</v>
      </c>
      <c r="BA292" s="121" t="b">
        <f t="shared" si="99"/>
        <v>1</v>
      </c>
      <c r="BB292" s="121">
        <f t="shared" si="100"/>
        <v>44977</v>
      </c>
      <c r="BC292" s="121" t="str">
        <f t="shared" si="101"/>
        <v>no</v>
      </c>
      <c r="BD292" s="121" t="b">
        <f t="shared" si="102"/>
        <v>0</v>
      </c>
      <c r="BE292" s="125" t="s">
        <v>56</v>
      </c>
      <c r="BF292" s="287"/>
    </row>
    <row r="293" spans="1:58" s="276" customFormat="1" ht="154">
      <c r="A293" s="283"/>
      <c r="B293" s="281" t="s">
        <v>634</v>
      </c>
      <c r="C293" s="283"/>
      <c r="D293" s="283"/>
      <c r="E293" s="283"/>
      <c r="F293" s="282" t="s">
        <v>535</v>
      </c>
      <c r="G293" s="113">
        <v>45005</v>
      </c>
      <c r="H293" s="284">
        <v>45005</v>
      </c>
      <c r="I293" s="284"/>
      <c r="J293" s="284">
        <v>45017</v>
      </c>
      <c r="K293" s="284"/>
      <c r="L293" s="282"/>
      <c r="M293" s="282"/>
      <c r="N293" s="282"/>
      <c r="O293" s="282"/>
      <c r="P293" s="282"/>
      <c r="Q293" s="283" t="s">
        <v>47</v>
      </c>
      <c r="R293" s="283" t="s">
        <v>633</v>
      </c>
      <c r="S293" s="283">
        <f t="shared" si="92"/>
        <v>25</v>
      </c>
      <c r="T293" s="283"/>
      <c r="U293" s="282">
        <v>25</v>
      </c>
      <c r="V293" s="285">
        <v>0</v>
      </c>
      <c r="W293" s="283"/>
      <c r="X293" s="283"/>
      <c r="Y293" s="283"/>
      <c r="Z293" s="283"/>
      <c r="AA293" s="283"/>
      <c r="AB293" s="283"/>
      <c r="AC293" s="283"/>
      <c r="AD293" s="283"/>
      <c r="AE293" s="283"/>
      <c r="AF293" s="283"/>
      <c r="AG293" s="277" t="s">
        <v>53</v>
      </c>
      <c r="AH293" s="283" t="s">
        <v>54</v>
      </c>
      <c r="AI293" s="283"/>
      <c r="AJ293" s="283"/>
      <c r="AK293" s="283"/>
      <c r="AL293" s="286"/>
      <c r="AM293" s="283"/>
      <c r="AN293" s="283"/>
      <c r="AO293" s="285"/>
      <c r="AP293" s="285"/>
      <c r="AR293" s="121">
        <f t="shared" si="91"/>
        <v>1</v>
      </c>
      <c r="AS293" s="121" t="str">
        <f t="shared" si="93"/>
        <v>2023_03_20_a</v>
      </c>
      <c r="AT293" s="122"/>
      <c r="AU293" s="121" t="str">
        <f t="shared" si="94"/>
        <v>2023</v>
      </c>
      <c r="AV293" s="121" t="str">
        <f t="shared" si="95"/>
        <v>03</v>
      </c>
      <c r="AW293" s="121" t="str">
        <f t="shared" si="96"/>
        <v>20</v>
      </c>
      <c r="AX293" s="121">
        <f t="shared" si="97"/>
        <v>45005</v>
      </c>
      <c r="AY293" s="123"/>
      <c r="AZ293" s="124">
        <f t="shared" si="98"/>
        <v>45005</v>
      </c>
      <c r="BA293" s="121" t="b">
        <f t="shared" si="99"/>
        <v>1</v>
      </c>
      <c r="BB293" s="121">
        <f t="shared" si="100"/>
        <v>45005</v>
      </c>
      <c r="BC293" s="121" t="str">
        <f t="shared" si="101"/>
        <v>no</v>
      </c>
      <c r="BD293" s="121" t="b">
        <f t="shared" si="102"/>
        <v>0</v>
      </c>
      <c r="BE293" s="125" t="s">
        <v>56</v>
      </c>
      <c r="BF293" s="287"/>
    </row>
    <row r="294" spans="1:58" s="276" customFormat="1" ht="154">
      <c r="A294" s="283"/>
      <c r="B294" s="281" t="s">
        <v>635</v>
      </c>
      <c r="C294" s="283"/>
      <c r="D294" s="283"/>
      <c r="E294" s="283"/>
      <c r="F294" s="282" t="s">
        <v>535</v>
      </c>
      <c r="G294" s="113">
        <v>45033</v>
      </c>
      <c r="H294" s="284">
        <v>45033</v>
      </c>
      <c r="I294" s="284"/>
      <c r="J294" s="284">
        <v>45045</v>
      </c>
      <c r="K294" s="284"/>
      <c r="L294" s="282"/>
      <c r="M294" s="282"/>
      <c r="N294" s="282"/>
      <c r="O294" s="282"/>
      <c r="P294" s="282"/>
      <c r="Q294" s="283" t="s">
        <v>78</v>
      </c>
      <c r="R294" s="283" t="s">
        <v>633</v>
      </c>
      <c r="S294" s="283">
        <f t="shared" si="92"/>
        <v>25</v>
      </c>
      <c r="T294" s="283"/>
      <c r="U294" s="282">
        <v>25</v>
      </c>
      <c r="V294" s="285">
        <v>0</v>
      </c>
      <c r="W294" s="283"/>
      <c r="X294" s="283"/>
      <c r="Y294" s="283"/>
      <c r="Z294" s="283"/>
      <c r="AA294" s="283"/>
      <c r="AB294" s="283"/>
      <c r="AC294" s="283"/>
      <c r="AD294" s="283"/>
      <c r="AE294" s="283"/>
      <c r="AF294" s="283"/>
      <c r="AG294" s="277" t="s">
        <v>53</v>
      </c>
      <c r="AH294" s="283" t="s">
        <v>54</v>
      </c>
      <c r="AI294" s="283"/>
      <c r="AJ294" s="283"/>
      <c r="AK294" s="283"/>
      <c r="AL294" s="286"/>
      <c r="AM294" s="283"/>
      <c r="AN294" s="283"/>
      <c r="AO294" s="285"/>
      <c r="AP294" s="285"/>
      <c r="AR294" s="121">
        <f t="shared" si="91"/>
        <v>1</v>
      </c>
      <c r="AS294" s="121" t="str">
        <f t="shared" si="93"/>
        <v>2023_04_17_a</v>
      </c>
      <c r="AT294" s="122"/>
      <c r="AU294" s="121" t="str">
        <f t="shared" si="94"/>
        <v>2023</v>
      </c>
      <c r="AV294" s="121" t="str">
        <f t="shared" si="95"/>
        <v>04</v>
      </c>
      <c r="AW294" s="121" t="str">
        <f t="shared" si="96"/>
        <v>17</v>
      </c>
      <c r="AX294" s="121">
        <f t="shared" si="97"/>
        <v>45033</v>
      </c>
      <c r="AY294" s="123"/>
      <c r="AZ294" s="124">
        <f t="shared" si="98"/>
        <v>45033</v>
      </c>
      <c r="BA294" s="121" t="b">
        <f t="shared" si="99"/>
        <v>1</v>
      </c>
      <c r="BB294" s="121">
        <f t="shared" si="100"/>
        <v>45033</v>
      </c>
      <c r="BC294" s="121" t="str">
        <f t="shared" si="101"/>
        <v>no</v>
      </c>
      <c r="BD294" s="121" t="b">
        <f t="shared" si="102"/>
        <v>0</v>
      </c>
      <c r="BE294" s="125" t="s">
        <v>56</v>
      </c>
      <c r="BF294" s="287"/>
    </row>
    <row r="295" spans="1:58" s="276" customFormat="1" ht="154">
      <c r="A295" s="283"/>
      <c r="B295" s="281" t="s">
        <v>636</v>
      </c>
      <c r="C295" s="283"/>
      <c r="D295" s="283"/>
      <c r="E295" s="283"/>
      <c r="F295" s="282" t="s">
        <v>535</v>
      </c>
      <c r="G295" s="113">
        <v>45061</v>
      </c>
      <c r="H295" s="284">
        <v>45061</v>
      </c>
      <c r="I295" s="284"/>
      <c r="J295" s="284">
        <v>45073</v>
      </c>
      <c r="K295" s="284"/>
      <c r="L295" s="282"/>
      <c r="M295" s="282"/>
      <c r="N295" s="282"/>
      <c r="O295" s="282"/>
      <c r="P295" s="282"/>
      <c r="Q295" s="283" t="s">
        <v>78</v>
      </c>
      <c r="R295" s="283" t="s">
        <v>633</v>
      </c>
      <c r="S295" s="283">
        <f t="shared" si="92"/>
        <v>25</v>
      </c>
      <c r="T295" s="283"/>
      <c r="U295" s="282">
        <v>25</v>
      </c>
      <c r="V295" s="285">
        <v>0</v>
      </c>
      <c r="W295" s="283"/>
      <c r="X295" s="283"/>
      <c r="Y295" s="283"/>
      <c r="Z295" s="283"/>
      <c r="AA295" s="283"/>
      <c r="AB295" s="283"/>
      <c r="AC295" s="283"/>
      <c r="AD295" s="283"/>
      <c r="AE295" s="283"/>
      <c r="AF295" s="283"/>
      <c r="AG295" s="277" t="s">
        <v>53</v>
      </c>
      <c r="AH295" s="283" t="s">
        <v>54</v>
      </c>
      <c r="AI295" s="283"/>
      <c r="AJ295" s="283"/>
      <c r="AK295" s="283"/>
      <c r="AL295" s="286"/>
      <c r="AM295" s="283"/>
      <c r="AN295" s="283"/>
      <c r="AO295" s="285"/>
      <c r="AP295" s="285"/>
      <c r="AR295" s="121">
        <f t="shared" si="91"/>
        <v>1</v>
      </c>
      <c r="AS295" s="121" t="str">
        <f t="shared" si="93"/>
        <v>2023_05_15_a</v>
      </c>
      <c r="AT295" s="122"/>
      <c r="AU295" s="121" t="str">
        <f t="shared" si="94"/>
        <v>2023</v>
      </c>
      <c r="AV295" s="121" t="str">
        <f t="shared" si="95"/>
        <v>05</v>
      </c>
      <c r="AW295" s="121" t="str">
        <f t="shared" si="96"/>
        <v>15</v>
      </c>
      <c r="AX295" s="121">
        <f t="shared" si="97"/>
        <v>45061</v>
      </c>
      <c r="AY295" s="123"/>
      <c r="AZ295" s="124">
        <f t="shared" si="98"/>
        <v>45061</v>
      </c>
      <c r="BA295" s="121" t="b">
        <f t="shared" si="99"/>
        <v>1</v>
      </c>
      <c r="BB295" s="121">
        <f t="shared" si="100"/>
        <v>45061</v>
      </c>
      <c r="BC295" s="121" t="str">
        <f t="shared" si="101"/>
        <v>no</v>
      </c>
      <c r="BD295" s="121" t="b">
        <f t="shared" si="102"/>
        <v>0</v>
      </c>
      <c r="BE295" s="125" t="s">
        <v>56</v>
      </c>
      <c r="BF295" s="287"/>
    </row>
    <row r="296" spans="1:58" s="276" customFormat="1" ht="154">
      <c r="A296" s="283"/>
      <c r="B296" s="281" t="s">
        <v>637</v>
      </c>
      <c r="C296" s="283"/>
      <c r="D296" s="283"/>
      <c r="E296" s="283"/>
      <c r="F296" s="282" t="s">
        <v>535</v>
      </c>
      <c r="G296" s="113">
        <v>45096</v>
      </c>
      <c r="H296" s="284">
        <v>45096</v>
      </c>
      <c r="I296" s="284"/>
      <c r="J296" s="284">
        <v>45108</v>
      </c>
      <c r="K296" s="284"/>
      <c r="L296" s="282"/>
      <c r="M296" s="282"/>
      <c r="N296" s="282"/>
      <c r="O296" s="282"/>
      <c r="P296" s="282"/>
      <c r="Q296" s="283" t="s">
        <v>78</v>
      </c>
      <c r="R296" s="283" t="s">
        <v>633</v>
      </c>
      <c r="S296" s="283">
        <f t="shared" si="92"/>
        <v>25</v>
      </c>
      <c r="T296" s="283"/>
      <c r="U296" s="282">
        <v>25</v>
      </c>
      <c r="V296" s="285">
        <v>0</v>
      </c>
      <c r="W296" s="283"/>
      <c r="X296" s="283"/>
      <c r="Y296" s="283"/>
      <c r="Z296" s="283"/>
      <c r="AA296" s="283"/>
      <c r="AB296" s="283"/>
      <c r="AC296" s="283"/>
      <c r="AD296" s="283"/>
      <c r="AE296" s="283"/>
      <c r="AF296" s="283"/>
      <c r="AG296" s="277" t="s">
        <v>53</v>
      </c>
      <c r="AH296" s="283" t="s">
        <v>54</v>
      </c>
      <c r="AI296" s="283"/>
      <c r="AJ296" s="283"/>
      <c r="AK296" s="283"/>
      <c r="AL296" s="286"/>
      <c r="AM296" s="283"/>
      <c r="AN296" s="283"/>
      <c r="AO296" s="285"/>
      <c r="AP296" s="285"/>
      <c r="AR296" s="121">
        <f t="shared" si="91"/>
        <v>1</v>
      </c>
      <c r="AS296" s="121" t="str">
        <f t="shared" si="93"/>
        <v>2023_06_19_a</v>
      </c>
      <c r="AT296" s="122"/>
      <c r="AU296" s="121" t="str">
        <f t="shared" si="94"/>
        <v>2023</v>
      </c>
      <c r="AV296" s="121" t="str">
        <f t="shared" si="95"/>
        <v>06</v>
      </c>
      <c r="AW296" s="121" t="str">
        <f t="shared" si="96"/>
        <v>19</v>
      </c>
      <c r="AX296" s="121">
        <f t="shared" si="97"/>
        <v>45096</v>
      </c>
      <c r="AY296" s="123"/>
      <c r="AZ296" s="124">
        <f t="shared" si="98"/>
        <v>45096</v>
      </c>
      <c r="BA296" s="121" t="b">
        <f t="shared" si="99"/>
        <v>1</v>
      </c>
      <c r="BB296" s="121">
        <f t="shared" si="100"/>
        <v>45096</v>
      </c>
      <c r="BC296" s="121" t="str">
        <f t="shared" si="101"/>
        <v>no</v>
      </c>
      <c r="BD296" s="121" t="b">
        <f t="shared" si="102"/>
        <v>0</v>
      </c>
      <c r="BE296" s="125" t="s">
        <v>56</v>
      </c>
      <c r="BF296" s="287"/>
    </row>
    <row r="297" spans="1:58" s="276" customFormat="1" ht="154">
      <c r="A297" s="283"/>
      <c r="B297" s="281" t="s">
        <v>638</v>
      </c>
      <c r="C297" s="283"/>
      <c r="D297" s="283"/>
      <c r="E297" s="283"/>
      <c r="F297" s="282" t="s">
        <v>535</v>
      </c>
      <c r="G297" s="113">
        <v>45124</v>
      </c>
      <c r="H297" s="284">
        <v>45124</v>
      </c>
      <c r="I297" s="284"/>
      <c r="J297" s="284">
        <v>45136</v>
      </c>
      <c r="K297" s="284"/>
      <c r="L297" s="282"/>
      <c r="M297" s="282"/>
      <c r="N297" s="282"/>
      <c r="O297" s="282"/>
      <c r="P297" s="282"/>
      <c r="Q297" s="283" t="s">
        <v>99</v>
      </c>
      <c r="R297" s="283" t="s">
        <v>633</v>
      </c>
      <c r="S297" s="283">
        <f t="shared" si="92"/>
        <v>25</v>
      </c>
      <c r="T297" s="283"/>
      <c r="U297" s="282">
        <v>25</v>
      </c>
      <c r="V297" s="285">
        <v>0</v>
      </c>
      <c r="W297" s="283"/>
      <c r="X297" s="283"/>
      <c r="Y297" s="283"/>
      <c r="Z297" s="283"/>
      <c r="AA297" s="283"/>
      <c r="AB297" s="283"/>
      <c r="AC297" s="283"/>
      <c r="AD297" s="283"/>
      <c r="AE297" s="283"/>
      <c r="AF297" s="283"/>
      <c r="AG297" s="277" t="s">
        <v>53</v>
      </c>
      <c r="AH297" s="283" t="s">
        <v>54</v>
      </c>
      <c r="AI297" s="283"/>
      <c r="AJ297" s="283"/>
      <c r="AK297" s="283"/>
      <c r="AL297" s="286"/>
      <c r="AM297" s="283"/>
      <c r="AN297" s="283"/>
      <c r="AO297" s="285"/>
      <c r="AP297" s="285"/>
      <c r="AR297" s="121">
        <f t="shared" si="91"/>
        <v>1</v>
      </c>
      <c r="AS297" s="121" t="str">
        <f t="shared" si="93"/>
        <v>2023_07_17_a</v>
      </c>
      <c r="AT297" s="122"/>
      <c r="AU297" s="121" t="str">
        <f t="shared" si="94"/>
        <v>2023</v>
      </c>
      <c r="AV297" s="121" t="str">
        <f t="shared" si="95"/>
        <v>07</v>
      </c>
      <c r="AW297" s="121" t="str">
        <f t="shared" si="96"/>
        <v>17</v>
      </c>
      <c r="AX297" s="121">
        <f t="shared" si="97"/>
        <v>45124</v>
      </c>
      <c r="AY297" s="123"/>
      <c r="AZ297" s="124">
        <f t="shared" si="98"/>
        <v>45124</v>
      </c>
      <c r="BA297" s="121" t="b">
        <f t="shared" si="99"/>
        <v>1</v>
      </c>
      <c r="BB297" s="121">
        <f t="shared" si="100"/>
        <v>45124</v>
      </c>
      <c r="BC297" s="121" t="str">
        <f t="shared" si="101"/>
        <v>no</v>
      </c>
      <c r="BD297" s="121" t="b">
        <f t="shared" si="102"/>
        <v>0</v>
      </c>
      <c r="BE297" s="125" t="s">
        <v>56</v>
      </c>
      <c r="BF297" s="287"/>
    </row>
    <row r="298" spans="1:58" s="276" customFormat="1" ht="154">
      <c r="A298" s="283"/>
      <c r="B298" s="281" t="s">
        <v>639</v>
      </c>
      <c r="C298" s="283"/>
      <c r="D298" s="283"/>
      <c r="E298" s="283"/>
      <c r="F298" s="282" t="s">
        <v>535</v>
      </c>
      <c r="G298" s="113">
        <v>45159</v>
      </c>
      <c r="H298" s="284">
        <v>45159</v>
      </c>
      <c r="I298" s="284"/>
      <c r="J298" s="284">
        <v>45171</v>
      </c>
      <c r="K298" s="284"/>
      <c r="L298" s="282"/>
      <c r="M298" s="282"/>
      <c r="N298" s="282"/>
      <c r="O298" s="282"/>
      <c r="P298" s="282"/>
      <c r="Q298" s="283" t="s">
        <v>99</v>
      </c>
      <c r="R298" s="283" t="s">
        <v>633</v>
      </c>
      <c r="S298" s="283">
        <f t="shared" si="92"/>
        <v>25</v>
      </c>
      <c r="T298" s="283"/>
      <c r="U298" s="282">
        <v>25</v>
      </c>
      <c r="V298" s="285">
        <v>0</v>
      </c>
      <c r="W298" s="283"/>
      <c r="X298" s="283"/>
      <c r="Y298" s="283"/>
      <c r="Z298" s="283"/>
      <c r="AA298" s="283"/>
      <c r="AB298" s="283"/>
      <c r="AC298" s="283"/>
      <c r="AD298" s="283"/>
      <c r="AE298" s="283"/>
      <c r="AF298" s="283"/>
      <c r="AG298" s="277" t="s">
        <v>53</v>
      </c>
      <c r="AH298" s="283" t="s">
        <v>54</v>
      </c>
      <c r="AI298" s="283"/>
      <c r="AJ298" s="283"/>
      <c r="AK298" s="283"/>
      <c r="AL298" s="286"/>
      <c r="AM298" s="283"/>
      <c r="AN298" s="283"/>
      <c r="AO298" s="285"/>
      <c r="AP298" s="285"/>
      <c r="AR298" s="121">
        <f t="shared" si="91"/>
        <v>1</v>
      </c>
      <c r="AS298" s="121" t="str">
        <f t="shared" si="93"/>
        <v>2023_08_21_a</v>
      </c>
      <c r="AT298" s="122"/>
      <c r="AU298" s="121" t="str">
        <f t="shared" si="94"/>
        <v>2023</v>
      </c>
      <c r="AV298" s="121" t="str">
        <f t="shared" si="95"/>
        <v>08</v>
      </c>
      <c r="AW298" s="121" t="str">
        <f t="shared" si="96"/>
        <v>21</v>
      </c>
      <c r="AX298" s="121">
        <f t="shared" si="97"/>
        <v>45159</v>
      </c>
      <c r="AY298" s="123"/>
      <c r="AZ298" s="124">
        <f t="shared" si="98"/>
        <v>45159</v>
      </c>
      <c r="BA298" s="121" t="b">
        <f t="shared" si="99"/>
        <v>1</v>
      </c>
      <c r="BB298" s="121">
        <f t="shared" si="100"/>
        <v>45159</v>
      </c>
      <c r="BC298" s="121" t="str">
        <f t="shared" si="101"/>
        <v>no</v>
      </c>
      <c r="BD298" s="121" t="b">
        <f t="shared" si="102"/>
        <v>0</v>
      </c>
      <c r="BE298" s="125" t="s">
        <v>56</v>
      </c>
      <c r="BF298" s="287"/>
    </row>
    <row r="299" spans="1:58" s="276" customFormat="1" ht="154">
      <c r="A299" s="283"/>
      <c r="B299" s="281" t="s">
        <v>640</v>
      </c>
      <c r="C299" s="283"/>
      <c r="D299" s="283"/>
      <c r="E299" s="283"/>
      <c r="F299" s="282" t="s">
        <v>535</v>
      </c>
      <c r="G299" s="113">
        <v>45187</v>
      </c>
      <c r="H299" s="284">
        <v>45187</v>
      </c>
      <c r="I299" s="284"/>
      <c r="J299" s="284">
        <v>45199</v>
      </c>
      <c r="K299" s="284"/>
      <c r="L299" s="282"/>
      <c r="M299" s="282"/>
      <c r="N299" s="282"/>
      <c r="O299" s="282"/>
      <c r="P299" s="282"/>
      <c r="Q299" s="283" t="s">
        <v>99</v>
      </c>
      <c r="R299" s="283" t="s">
        <v>633</v>
      </c>
      <c r="S299" s="283">
        <f t="shared" si="92"/>
        <v>25</v>
      </c>
      <c r="T299" s="283"/>
      <c r="U299" s="282">
        <v>25</v>
      </c>
      <c r="V299" s="285">
        <v>0</v>
      </c>
      <c r="W299" s="283"/>
      <c r="X299" s="283"/>
      <c r="Y299" s="283"/>
      <c r="Z299" s="283"/>
      <c r="AA299" s="283"/>
      <c r="AB299" s="283"/>
      <c r="AC299" s="283"/>
      <c r="AD299" s="283"/>
      <c r="AE299" s="283"/>
      <c r="AF299" s="283"/>
      <c r="AG299" s="277" t="s">
        <v>53</v>
      </c>
      <c r="AH299" s="283" t="s">
        <v>54</v>
      </c>
      <c r="AI299" s="283"/>
      <c r="AJ299" s="283"/>
      <c r="AK299" s="283"/>
      <c r="AL299" s="286"/>
      <c r="AM299" s="283"/>
      <c r="AN299" s="283"/>
      <c r="AO299" s="285"/>
      <c r="AP299" s="285"/>
      <c r="AR299" s="121">
        <f t="shared" si="91"/>
        <v>1</v>
      </c>
      <c r="AS299" s="121" t="str">
        <f t="shared" si="93"/>
        <v>2023_09_18_a</v>
      </c>
      <c r="AT299" s="122"/>
      <c r="AU299" s="121" t="str">
        <f t="shared" si="94"/>
        <v>2023</v>
      </c>
      <c r="AV299" s="121" t="str">
        <f t="shared" si="95"/>
        <v>09</v>
      </c>
      <c r="AW299" s="121" t="str">
        <f t="shared" si="96"/>
        <v>18</v>
      </c>
      <c r="AX299" s="121">
        <f t="shared" si="97"/>
        <v>45187</v>
      </c>
      <c r="AY299" s="123"/>
      <c r="AZ299" s="124">
        <f t="shared" si="98"/>
        <v>45187</v>
      </c>
      <c r="BA299" s="121" t="b">
        <f t="shared" si="99"/>
        <v>1</v>
      </c>
      <c r="BB299" s="121">
        <f t="shared" si="100"/>
        <v>45187</v>
      </c>
      <c r="BC299" s="121" t="str">
        <f t="shared" si="101"/>
        <v>no</v>
      </c>
      <c r="BD299" s="121" t="b">
        <f t="shared" si="102"/>
        <v>0</v>
      </c>
      <c r="BE299" s="125" t="s">
        <v>56</v>
      </c>
      <c r="BF299" s="287"/>
    </row>
    <row r="300" spans="1:58" s="276" customFormat="1" ht="154">
      <c r="A300" s="283"/>
      <c r="B300" s="281" t="s">
        <v>641</v>
      </c>
      <c r="C300" s="283"/>
      <c r="D300" s="283"/>
      <c r="E300" s="283"/>
      <c r="F300" s="282" t="s">
        <v>535</v>
      </c>
      <c r="G300" s="113">
        <v>45215</v>
      </c>
      <c r="H300" s="284">
        <v>45215</v>
      </c>
      <c r="I300" s="284"/>
      <c r="J300" s="284">
        <v>45227</v>
      </c>
      <c r="K300" s="284"/>
      <c r="L300" s="282"/>
      <c r="M300" s="282"/>
      <c r="N300" s="282"/>
      <c r="O300" s="282"/>
      <c r="P300" s="282"/>
      <c r="Q300" s="283" t="s">
        <v>121</v>
      </c>
      <c r="R300" s="283" t="s">
        <v>633</v>
      </c>
      <c r="S300" s="283">
        <f t="shared" si="92"/>
        <v>25</v>
      </c>
      <c r="T300" s="283"/>
      <c r="U300" s="282">
        <v>25</v>
      </c>
      <c r="V300" s="285">
        <v>0</v>
      </c>
      <c r="W300" s="283"/>
      <c r="X300" s="283"/>
      <c r="Y300" s="283"/>
      <c r="Z300" s="283"/>
      <c r="AA300" s="283"/>
      <c r="AB300" s="283"/>
      <c r="AC300" s="283"/>
      <c r="AD300" s="283"/>
      <c r="AE300" s="283"/>
      <c r="AF300" s="283"/>
      <c r="AG300" s="277" t="s">
        <v>53</v>
      </c>
      <c r="AH300" s="283" t="s">
        <v>54</v>
      </c>
      <c r="AI300" s="283"/>
      <c r="AJ300" s="283"/>
      <c r="AK300" s="283"/>
      <c r="AL300" s="286"/>
      <c r="AM300" s="283"/>
      <c r="AN300" s="283"/>
      <c r="AO300" s="285"/>
      <c r="AP300" s="285"/>
      <c r="AR300" s="121">
        <f t="shared" si="91"/>
        <v>1</v>
      </c>
      <c r="AS300" s="121" t="str">
        <f t="shared" si="93"/>
        <v>2023_10_16_a</v>
      </c>
      <c r="AT300" s="122"/>
      <c r="AU300" s="121" t="str">
        <f t="shared" si="94"/>
        <v>2023</v>
      </c>
      <c r="AV300" s="121" t="str">
        <f t="shared" si="95"/>
        <v>10</v>
      </c>
      <c r="AW300" s="121" t="str">
        <f t="shared" si="96"/>
        <v>16</v>
      </c>
      <c r="AX300" s="121">
        <f t="shared" si="97"/>
        <v>45215</v>
      </c>
      <c r="AY300" s="123"/>
      <c r="AZ300" s="124">
        <f t="shared" si="98"/>
        <v>45215</v>
      </c>
      <c r="BA300" s="121" t="b">
        <f t="shared" si="99"/>
        <v>1</v>
      </c>
      <c r="BB300" s="121">
        <f t="shared" si="100"/>
        <v>45215</v>
      </c>
      <c r="BC300" s="121" t="str">
        <f t="shared" si="101"/>
        <v>no</v>
      </c>
      <c r="BD300" s="121" t="b">
        <f t="shared" si="102"/>
        <v>0</v>
      </c>
      <c r="BE300" s="125" t="s">
        <v>56</v>
      </c>
      <c r="BF300" s="287"/>
    </row>
    <row r="301" spans="1:58" s="276" customFormat="1" ht="154">
      <c r="A301" s="283"/>
      <c r="B301" s="281" t="s">
        <v>642</v>
      </c>
      <c r="C301" s="283"/>
      <c r="D301" s="283"/>
      <c r="E301" s="283"/>
      <c r="F301" s="282" t="s">
        <v>535</v>
      </c>
      <c r="G301" s="113">
        <v>45250</v>
      </c>
      <c r="H301" s="284">
        <v>45250</v>
      </c>
      <c r="I301" s="284"/>
      <c r="J301" s="284">
        <v>45262</v>
      </c>
      <c r="K301" s="284"/>
      <c r="L301" s="282"/>
      <c r="M301" s="282"/>
      <c r="N301" s="282"/>
      <c r="O301" s="282"/>
      <c r="P301" s="282"/>
      <c r="Q301" s="283" t="s">
        <v>121</v>
      </c>
      <c r="R301" s="283" t="s">
        <v>633</v>
      </c>
      <c r="S301" s="283">
        <f t="shared" si="92"/>
        <v>25</v>
      </c>
      <c r="T301" s="283"/>
      <c r="U301" s="282">
        <v>25</v>
      </c>
      <c r="V301" s="285">
        <v>0</v>
      </c>
      <c r="W301" s="283"/>
      <c r="X301" s="283"/>
      <c r="Y301" s="283"/>
      <c r="Z301" s="283"/>
      <c r="AA301" s="283"/>
      <c r="AB301" s="283"/>
      <c r="AC301" s="283"/>
      <c r="AD301" s="283"/>
      <c r="AE301" s="283"/>
      <c r="AF301" s="283"/>
      <c r="AG301" s="277" t="s">
        <v>53</v>
      </c>
      <c r="AH301" s="283" t="s">
        <v>54</v>
      </c>
      <c r="AI301" s="283"/>
      <c r="AJ301" s="283"/>
      <c r="AK301" s="283"/>
      <c r="AL301" s="286"/>
      <c r="AM301" s="283"/>
      <c r="AN301" s="283"/>
      <c r="AO301" s="285"/>
      <c r="AP301" s="285"/>
      <c r="AR301" s="121">
        <f t="shared" si="91"/>
        <v>1</v>
      </c>
      <c r="AS301" s="121" t="str">
        <f t="shared" si="93"/>
        <v>2023_11_20_a</v>
      </c>
      <c r="AT301" s="122"/>
      <c r="AU301" s="121" t="str">
        <f t="shared" si="94"/>
        <v>2023</v>
      </c>
      <c r="AV301" s="121" t="str">
        <f t="shared" si="95"/>
        <v>11</v>
      </c>
      <c r="AW301" s="121" t="str">
        <f t="shared" si="96"/>
        <v>20</v>
      </c>
      <c r="AX301" s="121">
        <f t="shared" si="97"/>
        <v>45250</v>
      </c>
      <c r="AY301" s="123"/>
      <c r="AZ301" s="124">
        <f t="shared" si="98"/>
        <v>45250</v>
      </c>
      <c r="BA301" s="121" t="b">
        <f t="shared" si="99"/>
        <v>1</v>
      </c>
      <c r="BB301" s="121">
        <f t="shared" si="100"/>
        <v>45250</v>
      </c>
      <c r="BC301" s="121" t="str">
        <f t="shared" si="101"/>
        <v>no</v>
      </c>
      <c r="BD301" s="121" t="b">
        <f t="shared" si="102"/>
        <v>0</v>
      </c>
      <c r="BE301" s="125" t="s">
        <v>56</v>
      </c>
      <c r="BF301" s="287"/>
    </row>
    <row r="302" spans="1:58" s="276" customFormat="1" ht="154">
      <c r="A302" s="283"/>
      <c r="B302" s="281" t="s">
        <v>643</v>
      </c>
      <c r="C302" s="283"/>
      <c r="D302" s="283"/>
      <c r="E302" s="283"/>
      <c r="F302" s="282" t="s">
        <v>535</v>
      </c>
      <c r="G302" s="113">
        <v>45278</v>
      </c>
      <c r="H302" s="284">
        <v>45278</v>
      </c>
      <c r="I302" s="284"/>
      <c r="J302" s="284">
        <v>45290</v>
      </c>
      <c r="K302" s="284"/>
      <c r="L302" s="282"/>
      <c r="M302" s="282"/>
      <c r="N302" s="282"/>
      <c r="O302" s="282"/>
      <c r="P302" s="282"/>
      <c r="Q302" s="283" t="s">
        <v>121</v>
      </c>
      <c r="R302" s="283" t="s">
        <v>633</v>
      </c>
      <c r="S302" s="283">
        <f t="shared" si="92"/>
        <v>25</v>
      </c>
      <c r="T302" s="283"/>
      <c r="U302" s="282">
        <v>25</v>
      </c>
      <c r="V302" s="285">
        <v>0</v>
      </c>
      <c r="W302" s="283"/>
      <c r="X302" s="283"/>
      <c r="Y302" s="283"/>
      <c r="Z302" s="283"/>
      <c r="AA302" s="283"/>
      <c r="AB302" s="283"/>
      <c r="AC302" s="283"/>
      <c r="AD302" s="283"/>
      <c r="AE302" s="283"/>
      <c r="AF302" s="283"/>
      <c r="AG302" s="277" t="s">
        <v>53</v>
      </c>
      <c r="AH302" s="283" t="s">
        <v>54</v>
      </c>
      <c r="AI302" s="283"/>
      <c r="AJ302" s="283"/>
      <c r="AK302" s="283"/>
      <c r="AL302" s="286"/>
      <c r="AM302" s="283"/>
      <c r="AN302" s="283"/>
      <c r="AO302" s="285"/>
      <c r="AP302" s="285"/>
      <c r="AR302" s="121">
        <f t="shared" si="91"/>
        <v>1</v>
      </c>
      <c r="AS302" s="121" t="str">
        <f t="shared" si="93"/>
        <v>2023_12_18_a</v>
      </c>
      <c r="AT302" s="122"/>
      <c r="AU302" s="121" t="str">
        <f t="shared" si="94"/>
        <v>2023</v>
      </c>
      <c r="AV302" s="121" t="str">
        <f t="shared" si="95"/>
        <v>12</v>
      </c>
      <c r="AW302" s="121" t="str">
        <f t="shared" si="96"/>
        <v>18</v>
      </c>
      <c r="AX302" s="121">
        <f t="shared" si="97"/>
        <v>45278</v>
      </c>
      <c r="AY302" s="123"/>
      <c r="AZ302" s="124">
        <f t="shared" si="98"/>
        <v>45278</v>
      </c>
      <c r="BA302" s="121" t="b">
        <f t="shared" si="99"/>
        <v>1</v>
      </c>
      <c r="BB302" s="121">
        <f t="shared" si="100"/>
        <v>45278</v>
      </c>
      <c r="BC302" s="121" t="str">
        <f t="shared" si="101"/>
        <v>no</v>
      </c>
      <c r="BD302" s="121" t="b">
        <f t="shared" si="102"/>
        <v>0</v>
      </c>
      <c r="BE302" s="125" t="s">
        <v>56</v>
      </c>
      <c r="BF302" s="287"/>
    </row>
    <row r="303" spans="1:58" s="276" customFormat="1" ht="154">
      <c r="A303" s="283"/>
      <c r="B303" s="281" t="s">
        <v>644</v>
      </c>
      <c r="C303" s="283"/>
      <c r="D303" s="283"/>
      <c r="E303" s="283"/>
      <c r="F303" s="282" t="s">
        <v>535</v>
      </c>
      <c r="G303" s="305">
        <v>44942</v>
      </c>
      <c r="H303" s="284">
        <v>44942</v>
      </c>
      <c r="I303" s="284"/>
      <c r="J303" s="284">
        <v>44954</v>
      </c>
      <c r="K303" s="284"/>
      <c r="L303" s="282"/>
      <c r="M303" s="282"/>
      <c r="N303" s="282"/>
      <c r="O303" s="282"/>
      <c r="P303" s="282"/>
      <c r="Q303" s="283" t="s">
        <v>47</v>
      </c>
      <c r="R303" s="283" t="s">
        <v>645</v>
      </c>
      <c r="S303" s="283">
        <f t="shared" si="92"/>
        <v>15</v>
      </c>
      <c r="T303" s="283"/>
      <c r="U303" s="282">
        <v>15</v>
      </c>
      <c r="V303" s="285">
        <v>0</v>
      </c>
      <c r="W303" s="283"/>
      <c r="X303" s="283"/>
      <c r="Y303" s="283"/>
      <c r="Z303" s="283"/>
      <c r="AA303" s="283"/>
      <c r="AB303" s="283"/>
      <c r="AC303" s="283"/>
      <c r="AD303" s="283"/>
      <c r="AE303" s="283"/>
      <c r="AF303" s="283"/>
      <c r="AG303" s="277" t="s">
        <v>53</v>
      </c>
      <c r="AH303" s="283" t="s">
        <v>54</v>
      </c>
      <c r="AI303" s="283"/>
      <c r="AJ303" s="283"/>
      <c r="AK303" s="283"/>
      <c r="AL303" s="286"/>
      <c r="AM303" s="283"/>
      <c r="AN303" s="283"/>
      <c r="AO303" s="285"/>
      <c r="AP303" s="285"/>
      <c r="AR303" s="121">
        <f t="shared" si="91"/>
        <v>1</v>
      </c>
      <c r="AS303" s="121" t="str">
        <f t="shared" si="93"/>
        <v>2023_01_16_a</v>
      </c>
      <c r="AT303" s="122"/>
      <c r="AU303" s="121" t="str">
        <f t="shared" si="94"/>
        <v>2023</v>
      </c>
      <c r="AV303" s="121" t="str">
        <f t="shared" si="95"/>
        <v>01</v>
      </c>
      <c r="AW303" s="121" t="str">
        <f t="shared" si="96"/>
        <v>16</v>
      </c>
      <c r="AX303" s="121">
        <f t="shared" si="97"/>
        <v>44942</v>
      </c>
      <c r="AY303" s="123"/>
      <c r="AZ303" s="124">
        <f t="shared" si="98"/>
        <v>44942</v>
      </c>
      <c r="BA303" s="121" t="b">
        <f t="shared" si="99"/>
        <v>1</v>
      </c>
      <c r="BB303" s="121">
        <f t="shared" si="100"/>
        <v>44942</v>
      </c>
      <c r="BC303" s="121" t="str">
        <f t="shared" si="101"/>
        <v>no</v>
      </c>
      <c r="BD303" s="121" t="b">
        <f t="shared" si="102"/>
        <v>0</v>
      </c>
      <c r="BE303" s="125" t="s">
        <v>56</v>
      </c>
      <c r="BF303" s="287"/>
    </row>
    <row r="304" spans="1:58" s="276" customFormat="1" ht="154">
      <c r="A304" s="283"/>
      <c r="B304" s="281" t="s">
        <v>646</v>
      </c>
      <c r="C304" s="283"/>
      <c r="D304" s="283"/>
      <c r="E304" s="283"/>
      <c r="F304" s="282" t="s">
        <v>535</v>
      </c>
      <c r="G304" s="306">
        <v>44977</v>
      </c>
      <c r="H304" s="284">
        <v>44977</v>
      </c>
      <c r="I304" s="284"/>
      <c r="J304" s="284">
        <v>44989</v>
      </c>
      <c r="K304" s="284"/>
      <c r="L304" s="282"/>
      <c r="M304" s="282"/>
      <c r="N304" s="282"/>
      <c r="O304" s="282"/>
      <c r="P304" s="282"/>
      <c r="Q304" s="283" t="s">
        <v>47</v>
      </c>
      <c r="R304" s="283" t="s">
        <v>645</v>
      </c>
      <c r="S304" s="283">
        <f t="shared" si="92"/>
        <v>15</v>
      </c>
      <c r="T304" s="283"/>
      <c r="U304" s="282">
        <v>15</v>
      </c>
      <c r="V304" s="285">
        <v>0</v>
      </c>
      <c r="W304" s="283"/>
      <c r="X304" s="283"/>
      <c r="Y304" s="283"/>
      <c r="Z304" s="283"/>
      <c r="AA304" s="283"/>
      <c r="AB304" s="283"/>
      <c r="AC304" s="283"/>
      <c r="AD304" s="283"/>
      <c r="AE304" s="283"/>
      <c r="AF304" s="283"/>
      <c r="AG304" s="277" t="s">
        <v>53</v>
      </c>
      <c r="AH304" s="283" t="s">
        <v>54</v>
      </c>
      <c r="AI304" s="283"/>
      <c r="AJ304" s="283"/>
      <c r="AK304" s="283"/>
      <c r="AL304" s="286"/>
      <c r="AM304" s="283"/>
      <c r="AN304" s="283"/>
      <c r="AO304" s="285"/>
      <c r="AP304" s="285"/>
      <c r="AR304" s="121">
        <f t="shared" si="91"/>
        <v>1</v>
      </c>
      <c r="AS304" s="121" t="str">
        <f t="shared" si="93"/>
        <v>2023_02_20_a</v>
      </c>
      <c r="AT304" s="122"/>
      <c r="AU304" s="121" t="str">
        <f t="shared" si="94"/>
        <v>2023</v>
      </c>
      <c r="AV304" s="121" t="str">
        <f t="shared" si="95"/>
        <v>02</v>
      </c>
      <c r="AW304" s="121" t="str">
        <f t="shared" si="96"/>
        <v>20</v>
      </c>
      <c r="AX304" s="121">
        <f t="shared" si="97"/>
        <v>44977</v>
      </c>
      <c r="AY304" s="123"/>
      <c r="AZ304" s="124">
        <f t="shared" si="98"/>
        <v>44977</v>
      </c>
      <c r="BA304" s="121" t="b">
        <f t="shared" si="99"/>
        <v>1</v>
      </c>
      <c r="BB304" s="121">
        <f t="shared" si="100"/>
        <v>44977</v>
      </c>
      <c r="BC304" s="121" t="str">
        <f t="shared" si="101"/>
        <v>no</v>
      </c>
      <c r="BD304" s="121" t="b">
        <f t="shared" si="102"/>
        <v>0</v>
      </c>
      <c r="BE304" s="125" t="s">
        <v>56</v>
      </c>
      <c r="BF304" s="287"/>
    </row>
    <row r="305" spans="1:58" s="276" customFormat="1" ht="154">
      <c r="A305" s="283"/>
      <c r="B305" s="281" t="s">
        <v>647</v>
      </c>
      <c r="C305" s="283"/>
      <c r="D305" s="283"/>
      <c r="E305" s="283"/>
      <c r="F305" s="282" t="s">
        <v>535</v>
      </c>
      <c r="G305" s="306">
        <v>45005</v>
      </c>
      <c r="H305" s="284">
        <v>45005</v>
      </c>
      <c r="I305" s="284"/>
      <c r="J305" s="284">
        <v>45017</v>
      </c>
      <c r="K305" s="284"/>
      <c r="L305" s="282"/>
      <c r="M305" s="282"/>
      <c r="N305" s="282"/>
      <c r="O305" s="282"/>
      <c r="P305" s="282"/>
      <c r="Q305" s="283" t="s">
        <v>47</v>
      </c>
      <c r="R305" s="283" t="s">
        <v>645</v>
      </c>
      <c r="S305" s="283">
        <f t="shared" si="92"/>
        <v>15</v>
      </c>
      <c r="T305" s="283"/>
      <c r="U305" s="282">
        <v>15</v>
      </c>
      <c r="V305" s="285">
        <v>0</v>
      </c>
      <c r="W305" s="283"/>
      <c r="X305" s="283"/>
      <c r="Y305" s="283"/>
      <c r="Z305" s="283"/>
      <c r="AA305" s="283"/>
      <c r="AB305" s="283"/>
      <c r="AC305" s="283"/>
      <c r="AD305" s="283"/>
      <c r="AE305" s="283"/>
      <c r="AF305" s="283"/>
      <c r="AG305" s="277" t="s">
        <v>53</v>
      </c>
      <c r="AH305" s="283" t="s">
        <v>54</v>
      </c>
      <c r="AI305" s="283"/>
      <c r="AJ305" s="283"/>
      <c r="AK305" s="283"/>
      <c r="AL305" s="286"/>
      <c r="AM305" s="283"/>
      <c r="AN305" s="283"/>
      <c r="AO305" s="285"/>
      <c r="AP305" s="285"/>
      <c r="AR305" s="121">
        <f t="shared" si="91"/>
        <v>1</v>
      </c>
      <c r="AS305" s="121" t="str">
        <f t="shared" si="93"/>
        <v>2023_03_20_a</v>
      </c>
      <c r="AT305" s="122"/>
      <c r="AU305" s="121" t="str">
        <f t="shared" si="94"/>
        <v>2023</v>
      </c>
      <c r="AV305" s="121" t="str">
        <f t="shared" si="95"/>
        <v>03</v>
      </c>
      <c r="AW305" s="121" t="str">
        <f t="shared" si="96"/>
        <v>20</v>
      </c>
      <c r="AX305" s="121">
        <f t="shared" si="97"/>
        <v>45005</v>
      </c>
      <c r="AY305" s="123"/>
      <c r="AZ305" s="124">
        <f t="shared" si="98"/>
        <v>45005</v>
      </c>
      <c r="BA305" s="121" t="b">
        <f t="shared" si="99"/>
        <v>1</v>
      </c>
      <c r="BB305" s="121">
        <f t="shared" si="100"/>
        <v>45005</v>
      </c>
      <c r="BC305" s="121" t="str">
        <f t="shared" si="101"/>
        <v>no</v>
      </c>
      <c r="BD305" s="121" t="b">
        <f t="shared" si="102"/>
        <v>0</v>
      </c>
      <c r="BE305" s="125" t="s">
        <v>56</v>
      </c>
      <c r="BF305" s="287"/>
    </row>
    <row r="306" spans="1:58" s="276" customFormat="1" ht="154">
      <c r="A306" s="283"/>
      <c r="B306" s="281" t="s">
        <v>648</v>
      </c>
      <c r="C306" s="283"/>
      <c r="D306" s="283"/>
      <c r="E306" s="283"/>
      <c r="F306" s="282" t="s">
        <v>535</v>
      </c>
      <c r="G306" s="306">
        <v>45033</v>
      </c>
      <c r="H306" s="284">
        <v>45033</v>
      </c>
      <c r="I306" s="284"/>
      <c r="J306" s="284">
        <v>45045</v>
      </c>
      <c r="K306" s="284"/>
      <c r="L306" s="282"/>
      <c r="M306" s="282"/>
      <c r="N306" s="282"/>
      <c r="O306" s="282"/>
      <c r="P306" s="282"/>
      <c r="Q306" s="283" t="s">
        <v>78</v>
      </c>
      <c r="R306" s="283" t="s">
        <v>645</v>
      </c>
      <c r="S306" s="283">
        <f t="shared" si="92"/>
        <v>15</v>
      </c>
      <c r="T306" s="283"/>
      <c r="U306" s="282">
        <v>15</v>
      </c>
      <c r="V306" s="285">
        <v>0</v>
      </c>
      <c r="W306" s="283"/>
      <c r="X306" s="283"/>
      <c r="Y306" s="283"/>
      <c r="Z306" s="283"/>
      <c r="AA306" s="283"/>
      <c r="AB306" s="283"/>
      <c r="AC306" s="283"/>
      <c r="AD306" s="283"/>
      <c r="AE306" s="283"/>
      <c r="AF306" s="283"/>
      <c r="AG306" s="277" t="s">
        <v>53</v>
      </c>
      <c r="AH306" s="283" t="s">
        <v>54</v>
      </c>
      <c r="AI306" s="283"/>
      <c r="AJ306" s="283"/>
      <c r="AK306" s="283"/>
      <c r="AL306" s="286"/>
      <c r="AM306" s="283"/>
      <c r="AN306" s="283"/>
      <c r="AO306" s="285"/>
      <c r="AP306" s="285"/>
      <c r="AR306" s="121">
        <f t="shared" si="91"/>
        <v>1</v>
      </c>
      <c r="AS306" s="121" t="str">
        <f t="shared" si="93"/>
        <v>2023_04_17_a</v>
      </c>
      <c r="AT306" s="122"/>
      <c r="AU306" s="121" t="str">
        <f t="shared" si="94"/>
        <v>2023</v>
      </c>
      <c r="AV306" s="121" t="str">
        <f t="shared" si="95"/>
        <v>04</v>
      </c>
      <c r="AW306" s="121" t="str">
        <f t="shared" si="96"/>
        <v>17</v>
      </c>
      <c r="AX306" s="121">
        <f t="shared" si="97"/>
        <v>45033</v>
      </c>
      <c r="AY306" s="123"/>
      <c r="AZ306" s="124">
        <f t="shared" si="98"/>
        <v>45033</v>
      </c>
      <c r="BA306" s="121" t="b">
        <f t="shared" si="99"/>
        <v>1</v>
      </c>
      <c r="BB306" s="121">
        <f t="shared" si="100"/>
        <v>45033</v>
      </c>
      <c r="BC306" s="121" t="str">
        <f t="shared" si="101"/>
        <v>no</v>
      </c>
      <c r="BD306" s="121" t="b">
        <f t="shared" si="102"/>
        <v>0</v>
      </c>
      <c r="BE306" s="125" t="s">
        <v>56</v>
      </c>
      <c r="BF306" s="287"/>
    </row>
    <row r="307" spans="1:58" s="276" customFormat="1" ht="154">
      <c r="A307" s="283"/>
      <c r="B307" s="281" t="s">
        <v>649</v>
      </c>
      <c r="C307" s="283"/>
      <c r="D307" s="283"/>
      <c r="E307" s="283"/>
      <c r="F307" s="282" t="s">
        <v>535</v>
      </c>
      <c r="G307" s="306">
        <v>45061</v>
      </c>
      <c r="H307" s="284">
        <v>45061</v>
      </c>
      <c r="I307" s="284"/>
      <c r="J307" s="284">
        <v>45073</v>
      </c>
      <c r="K307" s="284"/>
      <c r="L307" s="282"/>
      <c r="M307" s="282"/>
      <c r="N307" s="282"/>
      <c r="O307" s="282"/>
      <c r="P307" s="282"/>
      <c r="Q307" s="283" t="s">
        <v>78</v>
      </c>
      <c r="R307" s="283" t="s">
        <v>645</v>
      </c>
      <c r="S307" s="283">
        <f t="shared" si="92"/>
        <v>15</v>
      </c>
      <c r="T307" s="283"/>
      <c r="U307" s="282">
        <v>15</v>
      </c>
      <c r="V307" s="285">
        <v>0</v>
      </c>
      <c r="W307" s="283"/>
      <c r="X307" s="283"/>
      <c r="Y307" s="283"/>
      <c r="Z307" s="283"/>
      <c r="AA307" s="283"/>
      <c r="AB307" s="283"/>
      <c r="AC307" s="283"/>
      <c r="AD307" s="283"/>
      <c r="AE307" s="283"/>
      <c r="AF307" s="283"/>
      <c r="AG307" s="277" t="s">
        <v>53</v>
      </c>
      <c r="AH307" s="283" t="s">
        <v>54</v>
      </c>
      <c r="AI307" s="283"/>
      <c r="AJ307" s="283"/>
      <c r="AK307" s="283"/>
      <c r="AL307" s="286"/>
      <c r="AM307" s="283"/>
      <c r="AN307" s="283"/>
      <c r="AO307" s="285"/>
      <c r="AP307" s="285"/>
      <c r="AR307" s="121">
        <f t="shared" si="91"/>
        <v>1</v>
      </c>
      <c r="AS307" s="121" t="str">
        <f t="shared" si="93"/>
        <v>2023_05_15_a</v>
      </c>
      <c r="AT307" s="122"/>
      <c r="AU307" s="121" t="str">
        <f t="shared" si="94"/>
        <v>2023</v>
      </c>
      <c r="AV307" s="121" t="str">
        <f t="shared" si="95"/>
        <v>05</v>
      </c>
      <c r="AW307" s="121" t="str">
        <f t="shared" si="96"/>
        <v>15</v>
      </c>
      <c r="AX307" s="121">
        <f t="shared" si="97"/>
        <v>45061</v>
      </c>
      <c r="AY307" s="123"/>
      <c r="AZ307" s="124">
        <f t="shared" si="98"/>
        <v>45061</v>
      </c>
      <c r="BA307" s="121" t="b">
        <f t="shared" si="99"/>
        <v>1</v>
      </c>
      <c r="BB307" s="121">
        <f t="shared" si="100"/>
        <v>45061</v>
      </c>
      <c r="BC307" s="121" t="str">
        <f t="shared" si="101"/>
        <v>no</v>
      </c>
      <c r="BD307" s="121" t="b">
        <f t="shared" si="102"/>
        <v>0</v>
      </c>
      <c r="BE307" s="125" t="s">
        <v>56</v>
      </c>
      <c r="BF307" s="287"/>
    </row>
    <row r="308" spans="1:58" s="276" customFormat="1" ht="154">
      <c r="A308" s="283"/>
      <c r="B308" s="281" t="s">
        <v>650</v>
      </c>
      <c r="C308" s="283"/>
      <c r="D308" s="283"/>
      <c r="E308" s="283"/>
      <c r="F308" s="282" t="s">
        <v>535</v>
      </c>
      <c r="G308" s="306">
        <v>45096</v>
      </c>
      <c r="H308" s="284">
        <v>45096</v>
      </c>
      <c r="I308" s="284"/>
      <c r="J308" s="284">
        <v>45108</v>
      </c>
      <c r="K308" s="284"/>
      <c r="L308" s="282"/>
      <c r="M308" s="282"/>
      <c r="N308" s="282"/>
      <c r="O308" s="282"/>
      <c r="P308" s="282"/>
      <c r="Q308" s="283" t="s">
        <v>78</v>
      </c>
      <c r="R308" s="283" t="s">
        <v>645</v>
      </c>
      <c r="S308" s="283">
        <f t="shared" si="92"/>
        <v>15</v>
      </c>
      <c r="T308" s="283"/>
      <c r="U308" s="282">
        <v>15</v>
      </c>
      <c r="V308" s="285">
        <v>0</v>
      </c>
      <c r="W308" s="283"/>
      <c r="X308" s="283"/>
      <c r="Y308" s="283"/>
      <c r="Z308" s="283"/>
      <c r="AA308" s="283"/>
      <c r="AB308" s="283"/>
      <c r="AC308" s="283"/>
      <c r="AD308" s="283"/>
      <c r="AE308" s="283"/>
      <c r="AF308" s="283"/>
      <c r="AG308" s="277" t="s">
        <v>53</v>
      </c>
      <c r="AH308" s="283" t="s">
        <v>54</v>
      </c>
      <c r="AI308" s="283"/>
      <c r="AJ308" s="283"/>
      <c r="AK308" s="283"/>
      <c r="AL308" s="286"/>
      <c r="AM308" s="283"/>
      <c r="AN308" s="283"/>
      <c r="AO308" s="285"/>
      <c r="AP308" s="285"/>
      <c r="AR308" s="121">
        <f t="shared" si="91"/>
        <v>1</v>
      </c>
      <c r="AS308" s="121" t="str">
        <f t="shared" si="93"/>
        <v>2023_06_19_a</v>
      </c>
      <c r="AT308" s="122"/>
      <c r="AU308" s="121" t="str">
        <f t="shared" si="94"/>
        <v>2023</v>
      </c>
      <c r="AV308" s="121" t="str">
        <f t="shared" si="95"/>
        <v>06</v>
      </c>
      <c r="AW308" s="121" t="str">
        <f t="shared" si="96"/>
        <v>19</v>
      </c>
      <c r="AX308" s="121">
        <f t="shared" si="97"/>
        <v>45096</v>
      </c>
      <c r="AY308" s="123"/>
      <c r="AZ308" s="124">
        <f t="shared" si="98"/>
        <v>45096</v>
      </c>
      <c r="BA308" s="121" t="b">
        <f t="shared" si="99"/>
        <v>1</v>
      </c>
      <c r="BB308" s="121">
        <f t="shared" si="100"/>
        <v>45096</v>
      </c>
      <c r="BC308" s="121" t="str">
        <f t="shared" si="101"/>
        <v>no</v>
      </c>
      <c r="BD308" s="121" t="b">
        <f t="shared" si="102"/>
        <v>0</v>
      </c>
      <c r="BE308" s="125" t="s">
        <v>56</v>
      </c>
      <c r="BF308" s="287"/>
    </row>
    <row r="309" spans="1:58" s="276" customFormat="1" ht="154">
      <c r="A309" s="283"/>
      <c r="B309" s="281" t="s">
        <v>651</v>
      </c>
      <c r="C309" s="283"/>
      <c r="D309" s="283"/>
      <c r="E309" s="283"/>
      <c r="F309" s="282" t="s">
        <v>535</v>
      </c>
      <c r="G309" s="306">
        <v>45124</v>
      </c>
      <c r="H309" s="284">
        <v>45124</v>
      </c>
      <c r="I309" s="284"/>
      <c r="J309" s="284">
        <v>45136</v>
      </c>
      <c r="K309" s="284"/>
      <c r="L309" s="282"/>
      <c r="M309" s="282"/>
      <c r="N309" s="282"/>
      <c r="O309" s="282"/>
      <c r="P309" s="282"/>
      <c r="Q309" s="283" t="s">
        <v>99</v>
      </c>
      <c r="R309" s="283" t="s">
        <v>645</v>
      </c>
      <c r="S309" s="283">
        <f t="shared" si="92"/>
        <v>15</v>
      </c>
      <c r="T309" s="283"/>
      <c r="U309" s="282">
        <v>15</v>
      </c>
      <c r="V309" s="285">
        <v>0</v>
      </c>
      <c r="W309" s="283"/>
      <c r="X309" s="283"/>
      <c r="Y309" s="283"/>
      <c r="Z309" s="283"/>
      <c r="AA309" s="283"/>
      <c r="AB309" s="283"/>
      <c r="AC309" s="283"/>
      <c r="AD309" s="283"/>
      <c r="AE309" s="283"/>
      <c r="AF309" s="283"/>
      <c r="AG309" s="277" t="s">
        <v>53</v>
      </c>
      <c r="AH309" s="283" t="s">
        <v>54</v>
      </c>
      <c r="AI309" s="283"/>
      <c r="AJ309" s="283"/>
      <c r="AK309" s="283"/>
      <c r="AL309" s="286"/>
      <c r="AM309" s="283"/>
      <c r="AN309" s="283"/>
      <c r="AO309" s="285"/>
      <c r="AP309" s="285"/>
      <c r="AR309" s="121">
        <f t="shared" si="91"/>
        <v>1</v>
      </c>
      <c r="AS309" s="121" t="str">
        <f t="shared" si="93"/>
        <v>2023_07_17_a</v>
      </c>
      <c r="AT309" s="122"/>
      <c r="AU309" s="121" t="str">
        <f t="shared" si="94"/>
        <v>2023</v>
      </c>
      <c r="AV309" s="121" t="str">
        <f t="shared" si="95"/>
        <v>07</v>
      </c>
      <c r="AW309" s="121" t="str">
        <f t="shared" si="96"/>
        <v>17</v>
      </c>
      <c r="AX309" s="121">
        <f t="shared" si="97"/>
        <v>45124</v>
      </c>
      <c r="AY309" s="123"/>
      <c r="AZ309" s="124">
        <f t="shared" si="98"/>
        <v>45124</v>
      </c>
      <c r="BA309" s="121" t="b">
        <f t="shared" si="99"/>
        <v>1</v>
      </c>
      <c r="BB309" s="121">
        <f t="shared" si="100"/>
        <v>45124</v>
      </c>
      <c r="BC309" s="121" t="str">
        <f t="shared" si="101"/>
        <v>no</v>
      </c>
      <c r="BD309" s="121" t="b">
        <f t="shared" si="102"/>
        <v>0</v>
      </c>
      <c r="BE309" s="125" t="s">
        <v>56</v>
      </c>
      <c r="BF309" s="287"/>
    </row>
    <row r="310" spans="1:58" s="276" customFormat="1" ht="154">
      <c r="A310" s="283"/>
      <c r="B310" s="281" t="s">
        <v>652</v>
      </c>
      <c r="C310" s="283"/>
      <c r="D310" s="283"/>
      <c r="E310" s="283"/>
      <c r="F310" s="282" t="s">
        <v>535</v>
      </c>
      <c r="G310" s="306">
        <v>45159</v>
      </c>
      <c r="H310" s="284">
        <v>45159</v>
      </c>
      <c r="I310" s="284"/>
      <c r="J310" s="284">
        <v>45171</v>
      </c>
      <c r="K310" s="284"/>
      <c r="L310" s="282"/>
      <c r="M310" s="282"/>
      <c r="N310" s="282"/>
      <c r="O310" s="282"/>
      <c r="P310" s="282"/>
      <c r="Q310" s="283" t="s">
        <v>99</v>
      </c>
      <c r="R310" s="283" t="s">
        <v>645</v>
      </c>
      <c r="S310" s="283">
        <f t="shared" si="92"/>
        <v>15</v>
      </c>
      <c r="T310" s="283"/>
      <c r="U310" s="282">
        <v>15</v>
      </c>
      <c r="V310" s="285">
        <v>0</v>
      </c>
      <c r="W310" s="283"/>
      <c r="X310" s="283"/>
      <c r="Y310" s="283"/>
      <c r="Z310" s="283"/>
      <c r="AA310" s="283"/>
      <c r="AB310" s="283"/>
      <c r="AC310" s="283"/>
      <c r="AD310" s="283"/>
      <c r="AE310" s="283"/>
      <c r="AF310" s="283"/>
      <c r="AG310" s="277" t="s">
        <v>53</v>
      </c>
      <c r="AH310" s="283" t="s">
        <v>54</v>
      </c>
      <c r="AI310" s="283"/>
      <c r="AJ310" s="283"/>
      <c r="AK310" s="283"/>
      <c r="AL310" s="286"/>
      <c r="AM310" s="283"/>
      <c r="AN310" s="283"/>
      <c r="AO310" s="285"/>
      <c r="AP310" s="285"/>
      <c r="AR310" s="121">
        <f t="shared" si="91"/>
        <v>1</v>
      </c>
      <c r="AS310" s="121" t="str">
        <f t="shared" si="93"/>
        <v>2023_08_21_a</v>
      </c>
      <c r="AT310" s="122"/>
      <c r="AU310" s="121" t="str">
        <f t="shared" si="94"/>
        <v>2023</v>
      </c>
      <c r="AV310" s="121" t="str">
        <f t="shared" si="95"/>
        <v>08</v>
      </c>
      <c r="AW310" s="121" t="str">
        <f t="shared" si="96"/>
        <v>21</v>
      </c>
      <c r="AX310" s="121">
        <f t="shared" si="97"/>
        <v>45159</v>
      </c>
      <c r="AY310" s="123"/>
      <c r="AZ310" s="124">
        <f t="shared" si="98"/>
        <v>45159</v>
      </c>
      <c r="BA310" s="121" t="b">
        <f t="shared" si="99"/>
        <v>1</v>
      </c>
      <c r="BB310" s="121">
        <f t="shared" si="100"/>
        <v>45159</v>
      </c>
      <c r="BC310" s="121" t="str">
        <f t="shared" si="101"/>
        <v>no</v>
      </c>
      <c r="BD310" s="121" t="b">
        <f t="shared" si="102"/>
        <v>0</v>
      </c>
      <c r="BE310" s="125" t="s">
        <v>56</v>
      </c>
      <c r="BF310" s="287"/>
    </row>
    <row r="311" spans="1:58" s="276" customFormat="1" ht="154">
      <c r="A311" s="283"/>
      <c r="B311" s="281" t="s">
        <v>653</v>
      </c>
      <c r="C311" s="283"/>
      <c r="D311" s="283"/>
      <c r="E311" s="283"/>
      <c r="F311" s="282" t="s">
        <v>535</v>
      </c>
      <c r="G311" s="306">
        <v>45187</v>
      </c>
      <c r="H311" s="284">
        <v>45187</v>
      </c>
      <c r="I311" s="284"/>
      <c r="J311" s="284">
        <v>45199</v>
      </c>
      <c r="K311" s="284"/>
      <c r="L311" s="282"/>
      <c r="M311" s="282"/>
      <c r="N311" s="282"/>
      <c r="O311" s="282"/>
      <c r="P311" s="282"/>
      <c r="Q311" s="283" t="s">
        <v>99</v>
      </c>
      <c r="R311" s="283" t="s">
        <v>645</v>
      </c>
      <c r="S311" s="283">
        <f t="shared" si="92"/>
        <v>15</v>
      </c>
      <c r="T311" s="283"/>
      <c r="U311" s="282">
        <v>15</v>
      </c>
      <c r="V311" s="285">
        <v>0</v>
      </c>
      <c r="W311" s="283"/>
      <c r="X311" s="283"/>
      <c r="Y311" s="283"/>
      <c r="Z311" s="283"/>
      <c r="AA311" s="283"/>
      <c r="AB311" s="283"/>
      <c r="AC311" s="283"/>
      <c r="AD311" s="283"/>
      <c r="AE311" s="283"/>
      <c r="AF311" s="283"/>
      <c r="AG311" s="277" t="s">
        <v>53</v>
      </c>
      <c r="AH311" s="283" t="s">
        <v>54</v>
      </c>
      <c r="AI311" s="283"/>
      <c r="AJ311" s="283"/>
      <c r="AK311" s="283"/>
      <c r="AL311" s="286"/>
      <c r="AM311" s="283"/>
      <c r="AN311" s="283"/>
      <c r="AO311" s="285"/>
      <c r="AP311" s="285"/>
      <c r="AR311" s="121">
        <f t="shared" si="91"/>
        <v>1</v>
      </c>
      <c r="AS311" s="121" t="str">
        <f t="shared" si="93"/>
        <v>2023_09_18_a</v>
      </c>
      <c r="AT311" s="122"/>
      <c r="AU311" s="121" t="str">
        <f t="shared" si="94"/>
        <v>2023</v>
      </c>
      <c r="AV311" s="121" t="str">
        <f t="shared" si="95"/>
        <v>09</v>
      </c>
      <c r="AW311" s="121" t="str">
        <f t="shared" si="96"/>
        <v>18</v>
      </c>
      <c r="AX311" s="121">
        <f t="shared" si="97"/>
        <v>45187</v>
      </c>
      <c r="AY311" s="123"/>
      <c r="AZ311" s="124">
        <f t="shared" si="98"/>
        <v>45187</v>
      </c>
      <c r="BA311" s="121" t="b">
        <f t="shared" si="99"/>
        <v>1</v>
      </c>
      <c r="BB311" s="121">
        <f t="shared" si="100"/>
        <v>45187</v>
      </c>
      <c r="BC311" s="121" t="str">
        <f t="shared" si="101"/>
        <v>no</v>
      </c>
      <c r="BD311" s="121" t="b">
        <f t="shared" si="102"/>
        <v>0</v>
      </c>
      <c r="BE311" s="125" t="s">
        <v>56</v>
      </c>
      <c r="BF311" s="287"/>
    </row>
    <row r="312" spans="1:58" s="276" customFormat="1" ht="154">
      <c r="A312" s="283"/>
      <c r="B312" s="281" t="s">
        <v>654</v>
      </c>
      <c r="C312" s="283"/>
      <c r="D312" s="283"/>
      <c r="E312" s="283"/>
      <c r="F312" s="282" t="s">
        <v>535</v>
      </c>
      <c r="G312" s="306">
        <v>45215</v>
      </c>
      <c r="H312" s="284">
        <v>45215</v>
      </c>
      <c r="I312" s="284"/>
      <c r="J312" s="284">
        <v>45227</v>
      </c>
      <c r="K312" s="284"/>
      <c r="L312" s="282"/>
      <c r="M312" s="282"/>
      <c r="N312" s="282"/>
      <c r="O312" s="282"/>
      <c r="P312" s="282"/>
      <c r="Q312" s="283" t="s">
        <v>121</v>
      </c>
      <c r="R312" s="283" t="s">
        <v>645</v>
      </c>
      <c r="S312" s="283">
        <f t="shared" si="92"/>
        <v>15</v>
      </c>
      <c r="T312" s="283"/>
      <c r="U312" s="282">
        <v>15</v>
      </c>
      <c r="V312" s="285">
        <v>0</v>
      </c>
      <c r="W312" s="283"/>
      <c r="X312" s="283"/>
      <c r="Y312" s="283"/>
      <c r="Z312" s="283"/>
      <c r="AA312" s="283"/>
      <c r="AB312" s="283"/>
      <c r="AC312" s="283"/>
      <c r="AD312" s="283"/>
      <c r="AE312" s="283"/>
      <c r="AF312" s="283"/>
      <c r="AG312" s="277" t="s">
        <v>53</v>
      </c>
      <c r="AH312" s="283" t="s">
        <v>54</v>
      </c>
      <c r="AI312" s="283"/>
      <c r="AJ312" s="283"/>
      <c r="AK312" s="283"/>
      <c r="AL312" s="286"/>
      <c r="AM312" s="283"/>
      <c r="AN312" s="283"/>
      <c r="AO312" s="285"/>
      <c r="AP312" s="285"/>
      <c r="AR312" s="121">
        <f t="shared" si="91"/>
        <v>1</v>
      </c>
      <c r="AS312" s="121" t="str">
        <f t="shared" si="93"/>
        <v>2023_10_16_a</v>
      </c>
      <c r="AT312" s="122"/>
      <c r="AU312" s="121" t="str">
        <f t="shared" si="94"/>
        <v>2023</v>
      </c>
      <c r="AV312" s="121" t="str">
        <f t="shared" si="95"/>
        <v>10</v>
      </c>
      <c r="AW312" s="121" t="str">
        <f t="shared" si="96"/>
        <v>16</v>
      </c>
      <c r="AX312" s="121">
        <f t="shared" si="97"/>
        <v>45215</v>
      </c>
      <c r="AY312" s="123"/>
      <c r="AZ312" s="124">
        <f t="shared" si="98"/>
        <v>45215</v>
      </c>
      <c r="BA312" s="121" t="b">
        <f t="shared" si="99"/>
        <v>1</v>
      </c>
      <c r="BB312" s="121">
        <f t="shared" si="100"/>
        <v>45215</v>
      </c>
      <c r="BC312" s="121" t="str">
        <f t="shared" si="101"/>
        <v>no</v>
      </c>
      <c r="BD312" s="121" t="b">
        <f t="shared" si="102"/>
        <v>0</v>
      </c>
      <c r="BE312" s="125" t="s">
        <v>56</v>
      </c>
      <c r="BF312" s="287"/>
    </row>
    <row r="313" spans="1:58" s="276" customFormat="1" ht="154">
      <c r="A313" s="283"/>
      <c r="B313" s="281" t="s">
        <v>655</v>
      </c>
      <c r="C313" s="283"/>
      <c r="D313" s="283"/>
      <c r="E313" s="283"/>
      <c r="F313" s="282" t="s">
        <v>535</v>
      </c>
      <c r="G313" s="306">
        <v>45250</v>
      </c>
      <c r="H313" s="284">
        <v>45250</v>
      </c>
      <c r="I313" s="284"/>
      <c r="J313" s="284">
        <v>45262</v>
      </c>
      <c r="K313" s="284"/>
      <c r="L313" s="282"/>
      <c r="M313" s="282"/>
      <c r="N313" s="282"/>
      <c r="O313" s="282"/>
      <c r="P313" s="282"/>
      <c r="Q313" s="283" t="s">
        <v>121</v>
      </c>
      <c r="R313" s="283" t="s">
        <v>645</v>
      </c>
      <c r="S313" s="283">
        <f t="shared" si="92"/>
        <v>10</v>
      </c>
      <c r="T313" s="283"/>
      <c r="U313" s="282">
        <v>10</v>
      </c>
      <c r="V313" s="285">
        <v>0</v>
      </c>
      <c r="W313" s="283"/>
      <c r="X313" s="283"/>
      <c r="Y313" s="283"/>
      <c r="Z313" s="283"/>
      <c r="AA313" s="283"/>
      <c r="AB313" s="283"/>
      <c r="AC313" s="283"/>
      <c r="AD313" s="283"/>
      <c r="AE313" s="283"/>
      <c r="AF313" s="283"/>
      <c r="AG313" s="277" t="s">
        <v>53</v>
      </c>
      <c r="AH313" s="283" t="s">
        <v>54</v>
      </c>
      <c r="AI313" s="283"/>
      <c r="AJ313" s="283"/>
      <c r="AK313" s="283"/>
      <c r="AL313" s="286"/>
      <c r="AM313" s="283"/>
      <c r="AN313" s="283"/>
      <c r="AO313" s="285"/>
      <c r="AP313" s="285"/>
      <c r="AR313" s="121">
        <f t="shared" si="91"/>
        <v>1</v>
      </c>
      <c r="AS313" s="121" t="str">
        <f t="shared" si="93"/>
        <v>2023_11_20_a</v>
      </c>
      <c r="AT313" s="122"/>
      <c r="AU313" s="121" t="str">
        <f t="shared" si="94"/>
        <v>2023</v>
      </c>
      <c r="AV313" s="121" t="str">
        <f t="shared" si="95"/>
        <v>11</v>
      </c>
      <c r="AW313" s="121" t="str">
        <f t="shared" si="96"/>
        <v>20</v>
      </c>
      <c r="AX313" s="121">
        <f t="shared" si="97"/>
        <v>45250</v>
      </c>
      <c r="AY313" s="123"/>
      <c r="AZ313" s="124">
        <f t="shared" si="98"/>
        <v>45250</v>
      </c>
      <c r="BA313" s="121" t="b">
        <f t="shared" si="99"/>
        <v>1</v>
      </c>
      <c r="BB313" s="121">
        <f t="shared" si="100"/>
        <v>45250</v>
      </c>
      <c r="BC313" s="121" t="str">
        <f t="shared" si="101"/>
        <v>no</v>
      </c>
      <c r="BD313" s="121" t="b">
        <f t="shared" si="102"/>
        <v>0</v>
      </c>
      <c r="BE313" s="125" t="s">
        <v>56</v>
      </c>
      <c r="BF313" s="287"/>
    </row>
    <row r="314" spans="1:58" s="276" customFormat="1" ht="154">
      <c r="A314" s="283"/>
      <c r="B314" s="281" t="s">
        <v>656</v>
      </c>
      <c r="C314" s="283"/>
      <c r="D314" s="283"/>
      <c r="E314" s="283"/>
      <c r="F314" s="282" t="s">
        <v>535</v>
      </c>
      <c r="G314" s="306">
        <v>45278</v>
      </c>
      <c r="H314" s="284">
        <v>45278</v>
      </c>
      <c r="I314" s="284"/>
      <c r="J314" s="284">
        <v>45290</v>
      </c>
      <c r="K314" s="284"/>
      <c r="L314" s="282"/>
      <c r="M314" s="282"/>
      <c r="N314" s="282"/>
      <c r="O314" s="282"/>
      <c r="P314" s="282"/>
      <c r="Q314" s="283" t="s">
        <v>121</v>
      </c>
      <c r="R314" s="283" t="s">
        <v>645</v>
      </c>
      <c r="S314" s="283">
        <f t="shared" si="92"/>
        <v>10</v>
      </c>
      <c r="T314" s="283"/>
      <c r="U314" s="282">
        <v>10</v>
      </c>
      <c r="V314" s="285">
        <v>0</v>
      </c>
      <c r="W314" s="283"/>
      <c r="X314" s="283"/>
      <c r="Y314" s="283"/>
      <c r="Z314" s="283"/>
      <c r="AA314" s="283"/>
      <c r="AB314" s="283"/>
      <c r="AC314" s="283"/>
      <c r="AD314" s="283"/>
      <c r="AE314" s="283"/>
      <c r="AF314" s="283"/>
      <c r="AG314" s="277" t="s">
        <v>53</v>
      </c>
      <c r="AH314" s="283" t="s">
        <v>54</v>
      </c>
      <c r="AI314" s="283"/>
      <c r="AJ314" s="283"/>
      <c r="AK314" s="283"/>
      <c r="AL314" s="286"/>
      <c r="AM314" s="283"/>
      <c r="AN314" s="283"/>
      <c r="AO314" s="285"/>
      <c r="AP314" s="285"/>
      <c r="AR314" s="121">
        <f t="shared" si="91"/>
        <v>1</v>
      </c>
      <c r="AS314" s="121" t="str">
        <f t="shared" si="93"/>
        <v>2023_12_18_a</v>
      </c>
      <c r="AT314" s="122"/>
      <c r="AU314" s="121" t="str">
        <f t="shared" si="94"/>
        <v>2023</v>
      </c>
      <c r="AV314" s="121" t="str">
        <f t="shared" si="95"/>
        <v>12</v>
      </c>
      <c r="AW314" s="121" t="str">
        <f t="shared" si="96"/>
        <v>18</v>
      </c>
      <c r="AX314" s="121">
        <f t="shared" si="97"/>
        <v>45278</v>
      </c>
      <c r="AY314" s="123"/>
      <c r="AZ314" s="124">
        <f t="shared" si="98"/>
        <v>45278</v>
      </c>
      <c r="BA314" s="121" t="b">
        <f t="shared" si="99"/>
        <v>1</v>
      </c>
      <c r="BB314" s="121">
        <f t="shared" si="100"/>
        <v>45278</v>
      </c>
      <c r="BC314" s="121" t="str">
        <f t="shared" si="101"/>
        <v>no</v>
      </c>
      <c r="BD314" s="121" t="b">
        <f t="shared" si="102"/>
        <v>0</v>
      </c>
      <c r="BE314" s="125" t="s">
        <v>56</v>
      </c>
      <c r="BF314" s="287"/>
    </row>
    <row r="315" spans="1:58" s="114" customFormat="1" ht="154">
      <c r="A315" s="283"/>
      <c r="F315" s="533" t="s">
        <v>263</v>
      </c>
      <c r="G315" s="534"/>
      <c r="H315" s="534"/>
      <c r="I315" s="534"/>
      <c r="J315" s="534"/>
      <c r="K315" s="534"/>
      <c r="L315" s="534"/>
      <c r="M315" s="534"/>
      <c r="N315" s="534"/>
      <c r="O315" s="534"/>
      <c r="P315" s="534"/>
      <c r="Q315" s="534"/>
      <c r="R315" s="534"/>
      <c r="S315" s="114">
        <f>SUMIFS(S219:S245, AA219:AA245, "=Complete")</f>
        <v>0</v>
      </c>
      <c r="U315" s="12">
        <f>SUMIFS(U219:U245, AA219:AA245, "=Complete")</f>
        <v>0</v>
      </c>
      <c r="V315" s="114">
        <f>SUMIFS(V219:V245, Z219:Z245, "=Complete")</f>
        <v>48</v>
      </c>
      <c r="X315" s="156"/>
      <c r="Y315" s="156"/>
      <c r="AA315" s="114">
        <f>COUNTIFS(AA219:AA245, "=Complete")</f>
        <v>0</v>
      </c>
      <c r="AG315" s="114">
        <f>COUNTIFS(AG219:AG245, "=Legacy")</f>
        <v>0</v>
      </c>
      <c r="AH315" s="114">
        <f>COUNTIFS(AH219:AH245, "=Virtual")</f>
        <v>27</v>
      </c>
      <c r="AR315" s="121">
        <f t="shared" si="91"/>
        <v>0</v>
      </c>
      <c r="AS315" s="121">
        <f t="shared" si="93"/>
        <v>0</v>
      </c>
      <c r="AT315" s="122"/>
      <c r="AU315" s="121" t="str">
        <f t="shared" si="94"/>
        <v>0</v>
      </c>
      <c r="AV315" s="121" t="str">
        <f t="shared" si="95"/>
        <v/>
      </c>
      <c r="AW315" s="121" t="str">
        <f t="shared" si="96"/>
        <v/>
      </c>
      <c r="AX315" s="121" t="str">
        <f t="shared" si="97"/>
        <v xml:space="preserve"> </v>
      </c>
      <c r="AY315" s="123"/>
      <c r="AZ315" s="124">
        <f t="shared" si="98"/>
        <v>0</v>
      </c>
      <c r="BA315" s="121" t="str">
        <f t="shared" si="99"/>
        <v xml:space="preserve"> </v>
      </c>
      <c r="BB315" s="121">
        <f t="shared" si="100"/>
        <v>0</v>
      </c>
      <c r="BC315" s="121" t="str">
        <f t="shared" si="101"/>
        <v>no</v>
      </c>
      <c r="BD315" s="121" t="b">
        <f t="shared" si="102"/>
        <v>0</v>
      </c>
      <c r="BE315" s="125" t="s">
        <v>56</v>
      </c>
      <c r="BF315" s="122"/>
    </row>
    <row r="316" spans="1:58" s="114" customFormat="1" ht="154">
      <c r="F316" s="533" t="s">
        <v>264</v>
      </c>
      <c r="G316" s="533"/>
      <c r="H316" s="533"/>
      <c r="I316" s="533"/>
      <c r="J316" s="533"/>
      <c r="K316" s="533"/>
      <c r="L316" s="533"/>
      <c r="M316" s="533"/>
      <c r="N316" s="533"/>
      <c r="O316" s="533"/>
      <c r="P316" s="533"/>
      <c r="Q316" s="533"/>
      <c r="R316" s="533"/>
      <c r="S316" s="114">
        <f>SUMIFS(S219:S245, AA219:AA245, "=In Progress")</f>
        <v>48</v>
      </c>
      <c r="U316" s="12">
        <f>SUMIFS(U219:U245, AA219:AA245, "=In Progress")</f>
        <v>0</v>
      </c>
      <c r="V316" s="114">
        <f>SUMIFS(V219:V245, Z219:Z245, "=In Progress")</f>
        <v>0</v>
      </c>
      <c r="X316" s="156"/>
      <c r="Y316" s="156"/>
      <c r="AA316" s="114">
        <f>COUNTIFS(AA219:AA245, "=In Progress")</f>
        <v>2</v>
      </c>
      <c r="AR316" s="121">
        <f t="shared" si="91"/>
        <v>0</v>
      </c>
      <c r="AS316" s="121">
        <f t="shared" si="93"/>
        <v>0</v>
      </c>
      <c r="AT316" s="122"/>
      <c r="AU316" s="121" t="str">
        <f t="shared" si="94"/>
        <v>0</v>
      </c>
      <c r="AV316" s="121" t="str">
        <f t="shared" si="95"/>
        <v/>
      </c>
      <c r="AW316" s="121" t="str">
        <f t="shared" si="96"/>
        <v/>
      </c>
      <c r="AX316" s="121" t="str">
        <f t="shared" si="97"/>
        <v xml:space="preserve"> </v>
      </c>
      <c r="AY316" s="123"/>
      <c r="AZ316" s="124">
        <f t="shared" si="98"/>
        <v>0</v>
      </c>
      <c r="BA316" s="121" t="str">
        <f t="shared" si="99"/>
        <v xml:space="preserve"> </v>
      </c>
      <c r="BB316" s="121">
        <f t="shared" si="100"/>
        <v>0</v>
      </c>
      <c r="BC316" s="121" t="str">
        <f t="shared" si="101"/>
        <v>no</v>
      </c>
      <c r="BD316" s="121" t="b">
        <f t="shared" si="102"/>
        <v>1</v>
      </c>
      <c r="BE316" s="125" t="s">
        <v>56</v>
      </c>
      <c r="BF316" s="122"/>
    </row>
    <row r="317" spans="1:58" s="114" customFormat="1" ht="154">
      <c r="F317" s="533" t="s">
        <v>265</v>
      </c>
      <c r="G317" s="534"/>
      <c r="H317" s="534"/>
      <c r="I317" s="534"/>
      <c r="J317" s="534"/>
      <c r="K317" s="534"/>
      <c r="L317" s="534"/>
      <c r="M317" s="534"/>
      <c r="N317" s="534"/>
      <c r="O317" s="534"/>
      <c r="P317" s="534"/>
      <c r="Q317" s="534"/>
      <c r="R317" s="534"/>
      <c r="S317" s="114">
        <f>SUMIFS(S219:S245, AA219:AA245, "=Planned")</f>
        <v>0</v>
      </c>
      <c r="U317" s="12">
        <f>SUMIFS(U219:U245, AA219:AA245, "=Planned")</f>
        <v>0</v>
      </c>
      <c r="V317" s="114">
        <f>SUMIFS(V219:V245, Z219:Z245, "=Planned")</f>
        <v>0</v>
      </c>
      <c r="X317" s="156"/>
      <c r="Y317" s="156"/>
      <c r="AA317" s="114">
        <f>COUNTIFS(AA219:AA245, "=Planned")</f>
        <v>0</v>
      </c>
      <c r="AG317" s="114">
        <f>COUNTIFS(AG219:AG245, "=New")</f>
        <v>0</v>
      </c>
      <c r="AH317" s="114">
        <f>COUNTIFS(AH219:AH245, "=F2F")</f>
        <v>0</v>
      </c>
      <c r="AR317" s="121">
        <f t="shared" si="91"/>
        <v>0</v>
      </c>
      <c r="AS317" s="121">
        <f t="shared" si="93"/>
        <v>0</v>
      </c>
      <c r="AT317" s="122"/>
      <c r="AU317" s="121" t="str">
        <f t="shared" si="94"/>
        <v>0</v>
      </c>
      <c r="AV317" s="121" t="str">
        <f t="shared" si="95"/>
        <v/>
      </c>
      <c r="AW317" s="121" t="str">
        <f t="shared" si="96"/>
        <v/>
      </c>
      <c r="AX317" s="121" t="str">
        <f t="shared" si="97"/>
        <v xml:space="preserve"> </v>
      </c>
      <c r="AY317" s="123"/>
      <c r="AZ317" s="124">
        <f t="shared" si="98"/>
        <v>0</v>
      </c>
      <c r="BA317" s="121" t="str">
        <f t="shared" si="99"/>
        <v xml:space="preserve"> </v>
      </c>
      <c r="BB317" s="121">
        <f t="shared" si="100"/>
        <v>0</v>
      </c>
      <c r="BC317" s="121" t="str">
        <f t="shared" si="101"/>
        <v>no</v>
      </c>
      <c r="BD317" s="121" t="b">
        <f t="shared" si="102"/>
        <v>1</v>
      </c>
      <c r="BE317" s="125" t="s">
        <v>56</v>
      </c>
      <c r="BF317" s="122"/>
    </row>
    <row r="318" spans="1:58" s="114" customFormat="1" ht="154">
      <c r="F318" s="533" t="s">
        <v>266</v>
      </c>
      <c r="G318" s="533"/>
      <c r="H318" s="533"/>
      <c r="I318" s="533"/>
      <c r="J318" s="533"/>
      <c r="K318" s="533"/>
      <c r="L318" s="533"/>
      <c r="M318" s="533"/>
      <c r="N318" s="533"/>
      <c r="O318" s="533"/>
      <c r="P318" s="533"/>
      <c r="Q318" s="533"/>
      <c r="R318" s="533"/>
      <c r="S318" s="114">
        <f>SUMIFS(S219:S245, AA219:AA245, "=Tentative")</f>
        <v>0</v>
      </c>
      <c r="U318" s="12">
        <f>SUMIFS(U219:U245, AA219:AA245, "=Tentative")</f>
        <v>0</v>
      </c>
      <c r="V318" s="114">
        <f>SUMIFS(V219:V245, Z219:Z245, "=Tentative")</f>
        <v>0</v>
      </c>
      <c r="X318" s="156"/>
      <c r="Y318" s="156"/>
      <c r="AA318" s="114">
        <f>COUNTIFS(AA219:AA245, "=Tentative")</f>
        <v>0</v>
      </c>
      <c r="AR318" s="121">
        <f t="shared" si="91"/>
        <v>0</v>
      </c>
      <c r="AS318" s="121">
        <f t="shared" si="93"/>
        <v>0</v>
      </c>
      <c r="AT318" s="122"/>
      <c r="AU318" s="121" t="str">
        <f t="shared" si="94"/>
        <v>0</v>
      </c>
      <c r="AV318" s="121" t="str">
        <f t="shared" si="95"/>
        <v/>
      </c>
      <c r="AW318" s="121" t="str">
        <f t="shared" si="96"/>
        <v/>
      </c>
      <c r="AX318" s="121" t="str">
        <f t="shared" si="97"/>
        <v xml:space="preserve"> </v>
      </c>
      <c r="AY318" s="123"/>
      <c r="AZ318" s="124">
        <f t="shared" si="98"/>
        <v>0</v>
      </c>
      <c r="BA318" s="121" t="str">
        <f t="shared" si="99"/>
        <v xml:space="preserve"> </v>
      </c>
      <c r="BB318" s="121">
        <f t="shared" si="100"/>
        <v>0</v>
      </c>
      <c r="BC318" s="121" t="str">
        <f t="shared" si="101"/>
        <v>no</v>
      </c>
      <c r="BD318" s="121" t="b">
        <f t="shared" si="102"/>
        <v>1</v>
      </c>
      <c r="BE318" s="125" t="s">
        <v>56</v>
      </c>
      <c r="BF318" s="122"/>
    </row>
    <row r="319" spans="1:58" s="114" customFormat="1" ht="154">
      <c r="F319" s="538" t="s">
        <v>267</v>
      </c>
      <c r="G319" s="534"/>
      <c r="H319" s="534"/>
      <c r="I319" s="534"/>
      <c r="J319" s="534"/>
      <c r="K319" s="534"/>
      <c r="L319" s="534"/>
      <c r="M319" s="534"/>
      <c r="N319" s="534"/>
      <c r="O319" s="534"/>
      <c r="P319" s="534"/>
      <c r="Q319" s="534"/>
      <c r="R319" s="534"/>
      <c r="S319" s="523">
        <f>SUM(S219:S245)</f>
        <v>839</v>
      </c>
      <c r="U319" s="160">
        <f>SUM(U219:U245)</f>
        <v>0</v>
      </c>
      <c r="V319" s="523">
        <f>SUM(V219:V245)</f>
        <v>839</v>
      </c>
      <c r="X319" s="156"/>
      <c r="Y319" s="156"/>
      <c r="AR319" s="121">
        <f t="shared" si="91"/>
        <v>0</v>
      </c>
      <c r="AS319" s="121">
        <f t="shared" si="93"/>
        <v>0</v>
      </c>
      <c r="AT319" s="122"/>
      <c r="AU319" s="121" t="str">
        <f t="shared" si="94"/>
        <v>0</v>
      </c>
      <c r="AV319" s="121" t="str">
        <f t="shared" si="95"/>
        <v/>
      </c>
      <c r="AW319" s="121" t="str">
        <f t="shared" si="96"/>
        <v/>
      </c>
      <c r="AX319" s="121" t="str">
        <f t="shared" si="97"/>
        <v xml:space="preserve"> </v>
      </c>
      <c r="AY319" s="123"/>
      <c r="AZ319" s="124">
        <f t="shared" si="98"/>
        <v>0</v>
      </c>
      <c r="BA319" s="121" t="str">
        <f t="shared" si="99"/>
        <v xml:space="preserve"> </v>
      </c>
      <c r="BB319" s="121">
        <f t="shared" si="100"/>
        <v>0</v>
      </c>
      <c r="BC319" s="121" t="str">
        <f t="shared" si="101"/>
        <v>no</v>
      </c>
      <c r="BD319" s="121" t="b">
        <f t="shared" si="102"/>
        <v>0</v>
      </c>
      <c r="BE319" s="125" t="s">
        <v>56</v>
      </c>
      <c r="BF319" s="122"/>
    </row>
    <row r="320" spans="1:58" s="127" customFormat="1" ht="24" customHeight="1">
      <c r="A320" s="114"/>
      <c r="B320" s="163" t="s">
        <v>657</v>
      </c>
      <c r="D320" s="186">
        <v>10097032</v>
      </c>
      <c r="F320" s="164" t="s">
        <v>658</v>
      </c>
      <c r="G320" s="165">
        <v>44221</v>
      </c>
      <c r="H320" s="166">
        <v>44221</v>
      </c>
      <c r="I320" s="165"/>
      <c r="J320" s="166">
        <v>44235</v>
      </c>
      <c r="K320" s="165">
        <v>44221</v>
      </c>
      <c r="L320" s="129"/>
      <c r="M320" s="129"/>
      <c r="N320" s="129"/>
      <c r="O320" s="129"/>
      <c r="P320" s="129"/>
      <c r="S320" s="277">
        <f t="shared" ref="S320:S373" si="103">U320+V320</f>
        <v>42</v>
      </c>
      <c r="T320" s="297">
        <v>42</v>
      </c>
      <c r="U320" s="297">
        <v>12</v>
      </c>
      <c r="V320" s="297">
        <v>30</v>
      </c>
      <c r="Z320" s="127" t="s">
        <v>51</v>
      </c>
      <c r="AG320" s="120" t="s">
        <v>53</v>
      </c>
      <c r="AH320" s="120" t="s">
        <v>54</v>
      </c>
      <c r="AL320" s="127" t="s">
        <v>55</v>
      </c>
      <c r="AR320" s="121">
        <f t="shared" si="91"/>
        <v>1</v>
      </c>
      <c r="AS320" s="121" t="str">
        <f t="shared" si="93"/>
        <v>2021_01_25_a</v>
      </c>
      <c r="AT320" s="122"/>
      <c r="AU320" s="121" t="str">
        <f t="shared" si="94"/>
        <v>2021</v>
      </c>
      <c r="AV320" s="121" t="str">
        <f t="shared" si="95"/>
        <v>01</v>
      </c>
      <c r="AW320" s="121" t="str">
        <f t="shared" si="96"/>
        <v>25</v>
      </c>
      <c r="AX320" s="121">
        <f t="shared" si="97"/>
        <v>44221</v>
      </c>
      <c r="AY320" s="123"/>
      <c r="AZ320" s="124">
        <f t="shared" si="98"/>
        <v>44221</v>
      </c>
      <c r="BA320" s="121" t="b">
        <f t="shared" si="99"/>
        <v>1</v>
      </c>
      <c r="BB320" s="121">
        <f t="shared" si="100"/>
        <v>44221</v>
      </c>
      <c r="BC320" s="121" t="str">
        <f t="shared" si="101"/>
        <v>no</v>
      </c>
      <c r="BD320" s="121" t="b">
        <f t="shared" si="102"/>
        <v>0</v>
      </c>
      <c r="BE320" s="125" t="s">
        <v>56</v>
      </c>
      <c r="BF320" s="116"/>
    </row>
    <row r="321" spans="1:58" s="127" customFormat="1" ht="24" customHeight="1">
      <c r="B321" s="168" t="s">
        <v>659</v>
      </c>
      <c r="C321" s="169"/>
      <c r="D321" s="194" t="s">
        <v>660</v>
      </c>
      <c r="E321" s="170"/>
      <c r="F321" s="164" t="s">
        <v>658</v>
      </c>
      <c r="G321" s="171">
        <v>44222</v>
      </c>
      <c r="H321" s="171">
        <v>44222</v>
      </c>
      <c r="I321" s="171"/>
      <c r="J321" s="171">
        <v>44222</v>
      </c>
      <c r="K321" s="172"/>
      <c r="L321" s="172"/>
      <c r="M321" s="172"/>
      <c r="N321" s="172"/>
      <c r="O321" s="172"/>
      <c r="P321" s="172"/>
      <c r="Q321" s="120"/>
      <c r="R321" s="120"/>
      <c r="S321" s="277">
        <f t="shared" si="103"/>
        <v>4</v>
      </c>
      <c r="T321" s="298">
        <v>4</v>
      </c>
      <c r="U321" s="298">
        <v>0</v>
      </c>
      <c r="V321" s="298">
        <v>4</v>
      </c>
      <c r="W321" s="120"/>
      <c r="X321" s="126"/>
      <c r="Y321" s="126"/>
      <c r="Z321" s="120"/>
      <c r="AA321" s="120"/>
      <c r="AB321" s="120"/>
      <c r="AC321" s="120"/>
      <c r="AD321" s="173"/>
      <c r="AE321" s="116"/>
      <c r="AF321" s="116"/>
      <c r="AG321" s="277" t="s">
        <v>53</v>
      </c>
      <c r="AH321" s="120" t="s">
        <v>54</v>
      </c>
      <c r="AI321" s="120"/>
      <c r="AM321" s="127" t="s">
        <v>661</v>
      </c>
      <c r="AR321" s="121">
        <f t="shared" si="91"/>
        <v>1</v>
      </c>
      <c r="AS321" s="121" t="str">
        <f t="shared" si="93"/>
        <v>2021_01_26_a</v>
      </c>
      <c r="AT321" s="122"/>
      <c r="AU321" s="121" t="str">
        <f t="shared" si="94"/>
        <v>2021</v>
      </c>
      <c r="AV321" s="121" t="str">
        <f t="shared" si="95"/>
        <v>01</v>
      </c>
      <c r="AW321" s="121" t="str">
        <f t="shared" si="96"/>
        <v>26</v>
      </c>
      <c r="AX321" s="121">
        <f t="shared" si="97"/>
        <v>44222</v>
      </c>
      <c r="AY321" s="123"/>
      <c r="AZ321" s="124">
        <f t="shared" si="98"/>
        <v>44222</v>
      </c>
      <c r="BA321" s="121" t="b">
        <f t="shared" si="99"/>
        <v>1</v>
      </c>
      <c r="BB321" s="121" t="str">
        <f t="shared" si="100"/>
        <v xml:space="preserve"> </v>
      </c>
      <c r="BC321" s="121" t="str">
        <f t="shared" si="101"/>
        <v>yes</v>
      </c>
      <c r="BD321" s="121" t="b">
        <f t="shared" si="102"/>
        <v>0</v>
      </c>
      <c r="BE321" s="125" t="s">
        <v>56</v>
      </c>
      <c r="BF321" s="116"/>
    </row>
    <row r="322" spans="1:58" s="127" customFormat="1" ht="24" customHeight="1">
      <c r="A322" s="167"/>
      <c r="B322" s="168" t="s">
        <v>662</v>
      </c>
      <c r="C322" s="169"/>
      <c r="D322" s="194" t="s">
        <v>660</v>
      </c>
      <c r="E322" s="170"/>
      <c r="F322" s="164" t="s">
        <v>658</v>
      </c>
      <c r="G322" s="171">
        <v>44228</v>
      </c>
      <c r="H322" s="171">
        <v>44228</v>
      </c>
      <c r="I322" s="171"/>
      <c r="J322" s="171">
        <v>44228</v>
      </c>
      <c r="K322" s="172"/>
      <c r="L322" s="172"/>
      <c r="M322" s="172"/>
      <c r="N322" s="172"/>
      <c r="O322" s="172"/>
      <c r="P322" s="172"/>
      <c r="Q322" s="120"/>
      <c r="R322" s="120"/>
      <c r="S322" s="277">
        <f t="shared" si="103"/>
        <v>4</v>
      </c>
      <c r="T322" s="298">
        <v>4</v>
      </c>
      <c r="U322" s="298">
        <v>0</v>
      </c>
      <c r="V322" s="298">
        <v>4</v>
      </c>
      <c r="W322" s="120"/>
      <c r="X322" s="126"/>
      <c r="Y322" s="126"/>
      <c r="Z322" s="120"/>
      <c r="AA322" s="120"/>
      <c r="AB322" s="120"/>
      <c r="AC322" s="120"/>
      <c r="AD322" s="173"/>
      <c r="AE322" s="116"/>
      <c r="AF322" s="116"/>
      <c r="AG322" s="277" t="s">
        <v>53</v>
      </c>
      <c r="AH322" s="120" t="s">
        <v>54</v>
      </c>
      <c r="AI322" s="120"/>
      <c r="AM322" s="127" t="s">
        <v>661</v>
      </c>
      <c r="AR322" s="121">
        <f t="shared" si="91"/>
        <v>1</v>
      </c>
      <c r="AS322" s="121" t="str">
        <f t="shared" si="93"/>
        <v>2021_02_01_a</v>
      </c>
      <c r="AT322" s="122"/>
      <c r="AU322" s="121" t="str">
        <f t="shared" si="94"/>
        <v>2021</v>
      </c>
      <c r="AV322" s="121" t="str">
        <f t="shared" si="95"/>
        <v>02</v>
      </c>
      <c r="AW322" s="121" t="str">
        <f t="shared" si="96"/>
        <v>01</v>
      </c>
      <c r="AX322" s="121">
        <f t="shared" si="97"/>
        <v>44228</v>
      </c>
      <c r="AY322" s="123"/>
      <c r="AZ322" s="124">
        <f t="shared" si="98"/>
        <v>44228</v>
      </c>
      <c r="BA322" s="121" t="b">
        <f t="shared" si="99"/>
        <v>1</v>
      </c>
      <c r="BB322" s="121" t="str">
        <f t="shared" si="100"/>
        <v xml:space="preserve"> </v>
      </c>
      <c r="BC322" s="121" t="str">
        <f t="shared" si="101"/>
        <v>yes</v>
      </c>
      <c r="BD322" s="121" t="b">
        <f t="shared" si="102"/>
        <v>0</v>
      </c>
      <c r="BE322" s="125" t="s">
        <v>56</v>
      </c>
      <c r="BF322" s="116"/>
    </row>
    <row r="323" spans="1:58" s="127" customFormat="1" ht="24" customHeight="1">
      <c r="A323" s="167"/>
      <c r="B323" s="168" t="s">
        <v>663</v>
      </c>
      <c r="C323" s="169"/>
      <c r="D323" s="194" t="s">
        <v>660</v>
      </c>
      <c r="E323" s="170"/>
      <c r="F323" s="164" t="s">
        <v>658</v>
      </c>
      <c r="G323" s="171">
        <v>44242</v>
      </c>
      <c r="H323" s="171">
        <v>44242</v>
      </c>
      <c r="I323" s="171"/>
      <c r="J323" s="171">
        <v>44242</v>
      </c>
      <c r="K323" s="172"/>
      <c r="L323" s="172"/>
      <c r="M323" s="172"/>
      <c r="N323" s="172"/>
      <c r="O323" s="172"/>
      <c r="P323" s="172"/>
      <c r="Q323" s="120"/>
      <c r="R323" s="120"/>
      <c r="S323" s="277">
        <f t="shared" si="103"/>
        <v>8</v>
      </c>
      <c r="T323" s="298">
        <v>8</v>
      </c>
      <c r="U323" s="298">
        <v>0</v>
      </c>
      <c r="V323" s="298">
        <v>8</v>
      </c>
      <c r="W323" s="120"/>
      <c r="X323" s="126"/>
      <c r="Y323" s="126"/>
      <c r="Z323" s="120"/>
      <c r="AA323" s="120"/>
      <c r="AB323" s="120"/>
      <c r="AC323" s="120"/>
      <c r="AD323" s="173"/>
      <c r="AE323" s="116"/>
      <c r="AF323" s="116"/>
      <c r="AG323" s="277" t="s">
        <v>53</v>
      </c>
      <c r="AH323" s="120" t="s">
        <v>54</v>
      </c>
      <c r="AI323" s="120"/>
      <c r="AM323" s="127" t="s">
        <v>661</v>
      </c>
      <c r="AR323" s="121">
        <f t="shared" ref="AR323:AR386" si="104">COUNTIF(B:B,B323)</f>
        <v>1</v>
      </c>
      <c r="AS323" s="121" t="str">
        <f t="shared" si="93"/>
        <v>2021_02_15_a</v>
      </c>
      <c r="AT323" s="122"/>
      <c r="AU323" s="121" t="str">
        <f t="shared" si="94"/>
        <v>2021</v>
      </c>
      <c r="AV323" s="121" t="str">
        <f t="shared" si="95"/>
        <v>02</v>
      </c>
      <c r="AW323" s="121" t="str">
        <f t="shared" si="96"/>
        <v>15</v>
      </c>
      <c r="AX323" s="121">
        <f t="shared" si="97"/>
        <v>44242</v>
      </c>
      <c r="AY323" s="123"/>
      <c r="AZ323" s="124">
        <f t="shared" si="98"/>
        <v>44242</v>
      </c>
      <c r="BA323" s="121" t="b">
        <f t="shared" si="99"/>
        <v>1</v>
      </c>
      <c r="BB323" s="121" t="str">
        <f t="shared" si="100"/>
        <v xml:space="preserve"> </v>
      </c>
      <c r="BC323" s="121" t="str">
        <f t="shared" si="101"/>
        <v>yes</v>
      </c>
      <c r="BD323" s="121" t="b">
        <f t="shared" si="102"/>
        <v>0</v>
      </c>
      <c r="BE323" s="125" t="s">
        <v>56</v>
      </c>
      <c r="BF323" s="116"/>
    </row>
    <row r="324" spans="1:58" s="127" customFormat="1" ht="24" customHeight="1">
      <c r="A324" s="167"/>
      <c r="B324" s="168" t="s">
        <v>664</v>
      </c>
      <c r="C324" s="169"/>
      <c r="D324" s="194" t="s">
        <v>660</v>
      </c>
      <c r="E324" s="170"/>
      <c r="F324" s="164" t="s">
        <v>658</v>
      </c>
      <c r="G324" s="171">
        <v>44250</v>
      </c>
      <c r="H324" s="171">
        <v>44250</v>
      </c>
      <c r="I324" s="171"/>
      <c r="J324" s="171">
        <v>44250</v>
      </c>
      <c r="K324" s="172"/>
      <c r="L324" s="172"/>
      <c r="M324" s="172"/>
      <c r="N324" s="172"/>
      <c r="O324" s="172"/>
      <c r="P324" s="172"/>
      <c r="Q324" s="120"/>
      <c r="R324" s="120"/>
      <c r="S324" s="277">
        <f t="shared" si="103"/>
        <v>11</v>
      </c>
      <c r="T324" s="298">
        <v>11</v>
      </c>
      <c r="U324" s="298">
        <v>0</v>
      </c>
      <c r="V324" s="298">
        <v>11</v>
      </c>
      <c r="W324" s="120"/>
      <c r="X324" s="126"/>
      <c r="Y324" s="126"/>
      <c r="Z324" s="120"/>
      <c r="AA324" s="120"/>
      <c r="AB324" s="120"/>
      <c r="AC324" s="120"/>
      <c r="AD324" s="173"/>
      <c r="AE324" s="116"/>
      <c r="AF324" s="116"/>
      <c r="AG324" s="277" t="s">
        <v>53</v>
      </c>
      <c r="AH324" s="120" t="s">
        <v>54</v>
      </c>
      <c r="AI324" s="120"/>
      <c r="AM324" s="127" t="s">
        <v>661</v>
      </c>
      <c r="AR324" s="121">
        <f t="shared" si="104"/>
        <v>1</v>
      </c>
      <c r="AS324" s="121" t="str">
        <f t="shared" ref="AS324:AS388" si="105">IFERROR(RIGHT(B324,16-SEARCH("_", B324)),0)</f>
        <v>2021_02_23_a</v>
      </c>
      <c r="AT324" s="122"/>
      <c r="AU324" s="121" t="str">
        <f t="shared" ref="AU324:AU388" si="106">LEFT(AS324,4)</f>
        <v>2021</v>
      </c>
      <c r="AV324" s="121" t="str">
        <f t="shared" ref="AV324:AV388" si="107">MID(AS324,6,2)</f>
        <v>02</v>
      </c>
      <c r="AW324" s="121" t="str">
        <f t="shared" ref="AW324:AW388" si="108">MID(AS324,9,2)</f>
        <v>23</v>
      </c>
      <c r="AX324" s="121">
        <f t="shared" ref="AX324:AX388" si="109">IFERROR(DATE(AU324,AV324,AW324)," ")</f>
        <v>44250</v>
      </c>
      <c r="AY324" s="123"/>
      <c r="AZ324" s="124">
        <f t="shared" ref="AZ324:AZ388" si="110">H324</f>
        <v>44250</v>
      </c>
      <c r="BA324" s="121" t="b">
        <f t="shared" ref="BA324:BA388" si="111">IF(AX324=" "," ",AX324=AZ324)</f>
        <v>1</v>
      </c>
      <c r="BB324" s="121" t="str">
        <f t="shared" ref="BB324:BB388" si="112">IF(BC324="YES"," ",AZ324)</f>
        <v xml:space="preserve"> </v>
      </c>
      <c r="BC324" s="121" t="str">
        <f t="shared" ref="BC324:BC388" si="113">IF(AM324="Apprentice","yes","no")</f>
        <v>yes</v>
      </c>
      <c r="BD324" s="121" t="b">
        <f t="shared" ref="BD324:BD388" si="114">IF(OR(U324&lt;&gt;"0", V324&lt;&gt;"0"),U324=V324," ")</f>
        <v>0</v>
      </c>
      <c r="BE324" s="125" t="s">
        <v>56</v>
      </c>
      <c r="BF324" s="116"/>
    </row>
    <row r="325" spans="1:58" s="127" customFormat="1" ht="24" customHeight="1">
      <c r="A325" s="167"/>
      <c r="B325" s="174" t="s">
        <v>665</v>
      </c>
      <c r="C325" s="169"/>
      <c r="D325" s="194">
        <v>10096979</v>
      </c>
      <c r="E325" s="170"/>
      <c r="F325" s="164" t="s">
        <v>658</v>
      </c>
      <c r="G325" s="165">
        <v>44256</v>
      </c>
      <c r="H325" s="166">
        <v>44256</v>
      </c>
      <c r="I325" s="129"/>
      <c r="J325" s="166">
        <v>44270</v>
      </c>
      <c r="K325" s="165">
        <v>44221</v>
      </c>
      <c r="L325" s="129"/>
      <c r="M325" s="129"/>
      <c r="N325" s="129"/>
      <c r="O325" s="129"/>
      <c r="P325" s="129"/>
      <c r="S325" s="277">
        <f t="shared" si="103"/>
        <v>56</v>
      </c>
      <c r="T325" s="298">
        <v>56</v>
      </c>
      <c r="U325" s="298">
        <v>0</v>
      </c>
      <c r="V325" s="298">
        <v>56</v>
      </c>
      <c r="Z325" s="127" t="s">
        <v>51</v>
      </c>
      <c r="AG325" s="120" t="s">
        <v>53</v>
      </c>
      <c r="AH325" s="120" t="s">
        <v>54</v>
      </c>
      <c r="AL325" s="127" t="s">
        <v>55</v>
      </c>
      <c r="AR325" s="121">
        <f t="shared" si="104"/>
        <v>1</v>
      </c>
      <c r="AS325" s="121" t="str">
        <f t="shared" si="105"/>
        <v>2021_03_01_a</v>
      </c>
      <c r="AT325" s="122"/>
      <c r="AU325" s="121" t="str">
        <f t="shared" si="106"/>
        <v>2021</v>
      </c>
      <c r="AV325" s="121" t="str">
        <f t="shared" si="107"/>
        <v>03</v>
      </c>
      <c r="AW325" s="121" t="str">
        <f t="shared" si="108"/>
        <v>01</v>
      </c>
      <c r="AX325" s="121">
        <f t="shared" si="109"/>
        <v>44256</v>
      </c>
      <c r="AY325" s="123"/>
      <c r="AZ325" s="124">
        <f t="shared" si="110"/>
        <v>44256</v>
      </c>
      <c r="BA325" s="121" t="b">
        <f t="shared" si="111"/>
        <v>1</v>
      </c>
      <c r="BB325" s="121">
        <f t="shared" si="112"/>
        <v>44256</v>
      </c>
      <c r="BC325" s="121" t="str">
        <f t="shared" si="113"/>
        <v>no</v>
      </c>
      <c r="BD325" s="121" t="b">
        <f t="shared" si="114"/>
        <v>0</v>
      </c>
      <c r="BE325" s="125" t="s">
        <v>56</v>
      </c>
      <c r="BF325" s="116"/>
    </row>
    <row r="326" spans="1:58" s="127" customFormat="1" ht="24" customHeight="1">
      <c r="A326" s="167"/>
      <c r="B326" s="168" t="s">
        <v>666</v>
      </c>
      <c r="C326" s="169"/>
      <c r="D326" s="194" t="s">
        <v>660</v>
      </c>
      <c r="E326" s="170"/>
      <c r="F326" s="164" t="s">
        <v>658</v>
      </c>
      <c r="G326" s="171">
        <v>44256</v>
      </c>
      <c r="H326" s="171">
        <v>44256</v>
      </c>
      <c r="I326" s="171"/>
      <c r="J326" s="171">
        <v>44256</v>
      </c>
      <c r="K326" s="172"/>
      <c r="L326" s="172"/>
      <c r="M326" s="172"/>
      <c r="N326" s="172"/>
      <c r="O326" s="172"/>
      <c r="P326" s="172"/>
      <c r="Q326" s="120"/>
      <c r="R326" s="120"/>
      <c r="S326" s="277">
        <f t="shared" si="103"/>
        <v>13</v>
      </c>
      <c r="T326" s="298">
        <v>13</v>
      </c>
      <c r="U326" s="298">
        <v>0</v>
      </c>
      <c r="V326" s="298">
        <v>13</v>
      </c>
      <c r="W326" s="120"/>
      <c r="X326" s="126"/>
      <c r="Y326" s="126"/>
      <c r="Z326" s="120"/>
      <c r="AA326" s="120"/>
      <c r="AB326" s="120"/>
      <c r="AC326" s="120"/>
      <c r="AD326" s="173"/>
      <c r="AE326" s="116"/>
      <c r="AF326" s="116"/>
      <c r="AG326" s="277" t="s">
        <v>53</v>
      </c>
      <c r="AH326" s="120" t="s">
        <v>54</v>
      </c>
      <c r="AI326" s="120"/>
      <c r="AM326" s="127" t="s">
        <v>661</v>
      </c>
      <c r="AR326" s="121">
        <f t="shared" si="104"/>
        <v>1</v>
      </c>
      <c r="AS326" s="121" t="str">
        <f t="shared" si="105"/>
        <v>2021_03_01_b</v>
      </c>
      <c r="AT326" s="122"/>
      <c r="AU326" s="121" t="str">
        <f t="shared" si="106"/>
        <v>2021</v>
      </c>
      <c r="AV326" s="121" t="str">
        <f t="shared" si="107"/>
        <v>03</v>
      </c>
      <c r="AW326" s="121" t="str">
        <f t="shared" si="108"/>
        <v>01</v>
      </c>
      <c r="AX326" s="121">
        <f t="shared" si="109"/>
        <v>44256</v>
      </c>
      <c r="AY326" s="123"/>
      <c r="AZ326" s="124">
        <f t="shared" si="110"/>
        <v>44256</v>
      </c>
      <c r="BA326" s="121" t="b">
        <f t="shared" si="111"/>
        <v>1</v>
      </c>
      <c r="BB326" s="121" t="str">
        <f t="shared" si="112"/>
        <v xml:space="preserve"> </v>
      </c>
      <c r="BC326" s="121" t="str">
        <f t="shared" si="113"/>
        <v>yes</v>
      </c>
      <c r="BD326" s="121" t="b">
        <f t="shared" si="114"/>
        <v>0</v>
      </c>
      <c r="BE326" s="125" t="s">
        <v>56</v>
      </c>
      <c r="BF326" s="116"/>
    </row>
    <row r="327" spans="1:58" s="127" customFormat="1" ht="24" customHeight="1">
      <c r="A327" s="167"/>
      <c r="B327" s="175" t="s">
        <v>667</v>
      </c>
      <c r="C327" s="169"/>
      <c r="D327" s="186" t="s">
        <v>660</v>
      </c>
      <c r="E327" s="170"/>
      <c r="F327" s="164" t="s">
        <v>658</v>
      </c>
      <c r="G327" s="171">
        <v>44272</v>
      </c>
      <c r="H327" s="171">
        <v>44272</v>
      </c>
      <c r="I327" s="171"/>
      <c r="J327" s="171">
        <v>44272</v>
      </c>
      <c r="K327" s="172"/>
      <c r="L327" s="172"/>
      <c r="M327" s="172"/>
      <c r="N327" s="172"/>
      <c r="O327" s="172"/>
      <c r="P327" s="172"/>
      <c r="Q327" s="120"/>
      <c r="R327" s="120"/>
      <c r="S327" s="277">
        <f t="shared" si="103"/>
        <v>6</v>
      </c>
      <c r="T327" s="297">
        <v>6</v>
      </c>
      <c r="U327" s="297">
        <v>0</v>
      </c>
      <c r="V327" s="297">
        <v>6</v>
      </c>
      <c r="W327" s="120"/>
      <c r="X327" s="126"/>
      <c r="Y327" s="126"/>
      <c r="Z327" s="120"/>
      <c r="AA327" s="120"/>
      <c r="AB327" s="120"/>
      <c r="AC327" s="120"/>
      <c r="AD327" s="173"/>
      <c r="AE327" s="116"/>
      <c r="AF327" s="116"/>
      <c r="AG327" s="277" t="s">
        <v>53</v>
      </c>
      <c r="AH327" s="120" t="s">
        <v>54</v>
      </c>
      <c r="AI327" s="120"/>
      <c r="AM327" s="127" t="s">
        <v>661</v>
      </c>
      <c r="AR327" s="121">
        <f t="shared" si="104"/>
        <v>1</v>
      </c>
      <c r="AS327" s="121" t="str">
        <f t="shared" si="105"/>
        <v>2021_03_17_a</v>
      </c>
      <c r="AT327" s="122"/>
      <c r="AU327" s="121" t="str">
        <f t="shared" si="106"/>
        <v>2021</v>
      </c>
      <c r="AV327" s="121" t="str">
        <f t="shared" si="107"/>
        <v>03</v>
      </c>
      <c r="AW327" s="121" t="str">
        <f t="shared" si="108"/>
        <v>17</v>
      </c>
      <c r="AX327" s="121">
        <f t="shared" si="109"/>
        <v>44272</v>
      </c>
      <c r="AY327" s="123"/>
      <c r="AZ327" s="124">
        <f t="shared" si="110"/>
        <v>44272</v>
      </c>
      <c r="BA327" s="121" t="b">
        <f t="shared" si="111"/>
        <v>1</v>
      </c>
      <c r="BB327" s="121" t="str">
        <f t="shared" si="112"/>
        <v xml:space="preserve"> </v>
      </c>
      <c r="BC327" s="121" t="str">
        <f t="shared" si="113"/>
        <v>yes</v>
      </c>
      <c r="BD327" s="121" t="b">
        <f t="shared" si="114"/>
        <v>0</v>
      </c>
      <c r="BE327" s="125" t="s">
        <v>56</v>
      </c>
      <c r="BF327" s="116"/>
    </row>
    <row r="328" spans="1:58" s="127" customFormat="1" ht="24" customHeight="1">
      <c r="A328" s="167"/>
      <c r="B328" s="168" t="s">
        <v>668</v>
      </c>
      <c r="C328" s="169"/>
      <c r="D328" s="194" t="s">
        <v>660</v>
      </c>
      <c r="E328" s="170"/>
      <c r="F328" s="164" t="s">
        <v>658</v>
      </c>
      <c r="G328" s="171">
        <v>44287</v>
      </c>
      <c r="H328" s="171">
        <v>44287</v>
      </c>
      <c r="I328" s="171"/>
      <c r="J328" s="171">
        <v>44287</v>
      </c>
      <c r="K328" s="172"/>
      <c r="L328" s="172"/>
      <c r="M328" s="172"/>
      <c r="N328" s="172"/>
      <c r="O328" s="172"/>
      <c r="P328" s="172"/>
      <c r="Q328" s="120"/>
      <c r="R328" s="120"/>
      <c r="S328" s="277">
        <f t="shared" si="103"/>
        <v>3</v>
      </c>
      <c r="T328" s="298">
        <v>3</v>
      </c>
      <c r="U328" s="298">
        <v>0</v>
      </c>
      <c r="V328" s="298">
        <v>3</v>
      </c>
      <c r="W328" s="120"/>
      <c r="X328" s="126"/>
      <c r="Y328" s="126"/>
      <c r="Z328" s="120"/>
      <c r="AA328" s="120"/>
      <c r="AB328" s="120"/>
      <c r="AC328" s="120"/>
      <c r="AD328" s="173"/>
      <c r="AE328" s="116"/>
      <c r="AF328" s="116"/>
      <c r="AG328" s="277" t="s">
        <v>53</v>
      </c>
      <c r="AH328" s="120" t="s">
        <v>54</v>
      </c>
      <c r="AI328" s="120"/>
      <c r="AM328" s="127" t="s">
        <v>661</v>
      </c>
      <c r="AR328" s="121">
        <f t="shared" si="104"/>
        <v>1</v>
      </c>
      <c r="AS328" s="121" t="str">
        <f t="shared" si="105"/>
        <v>2021_04_01_a</v>
      </c>
      <c r="AT328" s="122"/>
      <c r="AU328" s="121" t="str">
        <f t="shared" si="106"/>
        <v>2021</v>
      </c>
      <c r="AV328" s="121" t="str">
        <f t="shared" si="107"/>
        <v>04</v>
      </c>
      <c r="AW328" s="121" t="str">
        <f t="shared" si="108"/>
        <v>01</v>
      </c>
      <c r="AX328" s="121">
        <f t="shared" si="109"/>
        <v>44287</v>
      </c>
      <c r="AY328" s="123"/>
      <c r="AZ328" s="124">
        <f t="shared" si="110"/>
        <v>44287</v>
      </c>
      <c r="BA328" s="121" t="b">
        <f t="shared" si="111"/>
        <v>1</v>
      </c>
      <c r="BB328" s="121" t="str">
        <f t="shared" si="112"/>
        <v xml:space="preserve"> </v>
      </c>
      <c r="BC328" s="121" t="str">
        <f t="shared" si="113"/>
        <v>yes</v>
      </c>
      <c r="BD328" s="121" t="b">
        <f t="shared" si="114"/>
        <v>0</v>
      </c>
      <c r="BE328" s="125" t="s">
        <v>56</v>
      </c>
      <c r="BF328" s="116"/>
    </row>
    <row r="329" spans="1:58" s="127" customFormat="1" ht="24" customHeight="1">
      <c r="A329" s="167"/>
      <c r="B329" s="174" t="s">
        <v>669</v>
      </c>
      <c r="C329" s="169"/>
      <c r="D329" s="194">
        <v>10099431</v>
      </c>
      <c r="E329" s="170"/>
      <c r="F329" s="164" t="s">
        <v>658</v>
      </c>
      <c r="G329" s="165">
        <v>44298</v>
      </c>
      <c r="H329" s="166">
        <v>44298</v>
      </c>
      <c r="I329" s="129"/>
      <c r="J329" s="166">
        <v>44312</v>
      </c>
      <c r="K329" s="165"/>
      <c r="L329" s="129"/>
      <c r="M329" s="129"/>
      <c r="N329" s="129"/>
      <c r="O329" s="129"/>
      <c r="P329" s="129"/>
      <c r="S329" s="277">
        <f t="shared" si="103"/>
        <v>40</v>
      </c>
      <c r="T329" s="298">
        <v>40</v>
      </c>
      <c r="U329" s="298">
        <v>3</v>
      </c>
      <c r="V329" s="298">
        <v>37</v>
      </c>
      <c r="Z329" s="127" t="s">
        <v>51</v>
      </c>
      <c r="AG329" s="120" t="s">
        <v>53</v>
      </c>
      <c r="AH329" s="120" t="s">
        <v>54</v>
      </c>
      <c r="AL329" s="127" t="s">
        <v>55</v>
      </c>
      <c r="AR329" s="121">
        <f t="shared" si="104"/>
        <v>1</v>
      </c>
      <c r="AS329" s="121" t="str">
        <f t="shared" si="105"/>
        <v>2021_04_12_a</v>
      </c>
      <c r="AT329" s="122"/>
      <c r="AU329" s="121" t="str">
        <f t="shared" si="106"/>
        <v>2021</v>
      </c>
      <c r="AV329" s="121" t="str">
        <f t="shared" si="107"/>
        <v>04</v>
      </c>
      <c r="AW329" s="121" t="str">
        <f t="shared" si="108"/>
        <v>12</v>
      </c>
      <c r="AX329" s="121">
        <f t="shared" si="109"/>
        <v>44298</v>
      </c>
      <c r="AY329" s="123"/>
      <c r="AZ329" s="124">
        <f t="shared" si="110"/>
        <v>44298</v>
      </c>
      <c r="BA329" s="121" t="b">
        <f t="shared" si="111"/>
        <v>1</v>
      </c>
      <c r="BB329" s="121">
        <f t="shared" si="112"/>
        <v>44298</v>
      </c>
      <c r="BC329" s="121" t="str">
        <f t="shared" si="113"/>
        <v>no</v>
      </c>
      <c r="BD329" s="121" t="b">
        <f t="shared" si="114"/>
        <v>0</v>
      </c>
      <c r="BE329" s="125" t="s">
        <v>56</v>
      </c>
      <c r="BF329" s="116"/>
    </row>
    <row r="330" spans="1:58" s="127" customFormat="1" ht="24" customHeight="1">
      <c r="A330" s="167"/>
      <c r="B330" s="176" t="s">
        <v>670</v>
      </c>
      <c r="D330" s="194" t="s">
        <v>660</v>
      </c>
      <c r="F330" s="164" t="s">
        <v>658</v>
      </c>
      <c r="G330" s="171">
        <v>44301</v>
      </c>
      <c r="H330" s="171">
        <v>44301</v>
      </c>
      <c r="I330" s="171"/>
      <c r="J330" s="171">
        <v>44301</v>
      </c>
      <c r="K330" s="172"/>
      <c r="L330" s="172"/>
      <c r="M330" s="172"/>
      <c r="N330" s="172"/>
      <c r="O330" s="172"/>
      <c r="P330" s="172"/>
      <c r="Q330" s="120"/>
      <c r="R330" s="120"/>
      <c r="S330" s="277">
        <f t="shared" si="103"/>
        <v>1</v>
      </c>
      <c r="T330" s="298">
        <v>1</v>
      </c>
      <c r="U330" s="298">
        <v>0</v>
      </c>
      <c r="V330" s="298">
        <v>1</v>
      </c>
      <c r="W330" s="120"/>
      <c r="X330" s="126"/>
      <c r="Y330" s="126"/>
      <c r="Z330" s="120"/>
      <c r="AA330" s="120"/>
      <c r="AB330" s="120"/>
      <c r="AC330" s="120"/>
      <c r="AD330" s="173"/>
      <c r="AE330" s="116"/>
      <c r="AF330" s="116"/>
      <c r="AG330" s="277" t="s">
        <v>53</v>
      </c>
      <c r="AH330" s="120" t="s">
        <v>54</v>
      </c>
      <c r="AI330" s="120"/>
      <c r="AM330" s="127" t="s">
        <v>661</v>
      </c>
      <c r="AR330" s="121">
        <f t="shared" si="104"/>
        <v>1</v>
      </c>
      <c r="AS330" s="121" t="str">
        <f t="shared" si="105"/>
        <v>2021_04_15_a</v>
      </c>
      <c r="AT330" s="122"/>
      <c r="AU330" s="121" t="str">
        <f t="shared" si="106"/>
        <v>2021</v>
      </c>
      <c r="AV330" s="121" t="str">
        <f t="shared" si="107"/>
        <v>04</v>
      </c>
      <c r="AW330" s="121" t="str">
        <f t="shared" si="108"/>
        <v>15</v>
      </c>
      <c r="AX330" s="121">
        <f t="shared" si="109"/>
        <v>44301</v>
      </c>
      <c r="AY330" s="123"/>
      <c r="AZ330" s="124">
        <f t="shared" si="110"/>
        <v>44301</v>
      </c>
      <c r="BA330" s="121" t="b">
        <f t="shared" si="111"/>
        <v>1</v>
      </c>
      <c r="BB330" s="121" t="str">
        <f t="shared" si="112"/>
        <v xml:space="preserve"> </v>
      </c>
      <c r="BC330" s="121" t="str">
        <f t="shared" si="113"/>
        <v>yes</v>
      </c>
      <c r="BD330" s="121" t="b">
        <f t="shared" si="114"/>
        <v>0</v>
      </c>
      <c r="BE330" s="125" t="s">
        <v>56</v>
      </c>
      <c r="BF330" s="116"/>
    </row>
    <row r="331" spans="1:58" s="127" customFormat="1" ht="24" customHeight="1">
      <c r="B331" s="127" t="s">
        <v>671</v>
      </c>
      <c r="D331" s="194">
        <v>10099412</v>
      </c>
      <c r="F331" s="164" t="s">
        <v>658</v>
      </c>
      <c r="G331" s="165">
        <v>44326</v>
      </c>
      <c r="H331" s="166">
        <v>44326</v>
      </c>
      <c r="I331" s="129"/>
      <c r="J331" s="166">
        <v>44340</v>
      </c>
      <c r="K331" s="165"/>
      <c r="L331" s="129"/>
      <c r="M331" s="129"/>
      <c r="N331" s="129"/>
      <c r="O331" s="129"/>
      <c r="P331" s="129"/>
      <c r="S331" s="277">
        <f t="shared" si="103"/>
        <v>57</v>
      </c>
      <c r="T331" s="298">
        <v>57</v>
      </c>
      <c r="U331" s="298">
        <v>0</v>
      </c>
      <c r="V331" s="298">
        <v>57</v>
      </c>
      <c r="Z331" s="127" t="s">
        <v>51</v>
      </c>
      <c r="AG331" s="120" t="s">
        <v>53</v>
      </c>
      <c r="AH331" s="120" t="s">
        <v>54</v>
      </c>
      <c r="AL331" s="127" t="s">
        <v>55</v>
      </c>
      <c r="AR331" s="121">
        <f t="shared" si="104"/>
        <v>1</v>
      </c>
      <c r="AS331" s="121" t="str">
        <f t="shared" si="105"/>
        <v>2021_05_10_a</v>
      </c>
      <c r="AT331" s="122"/>
      <c r="AU331" s="121" t="str">
        <f t="shared" si="106"/>
        <v>2021</v>
      </c>
      <c r="AV331" s="121" t="str">
        <f t="shared" si="107"/>
        <v>05</v>
      </c>
      <c r="AW331" s="121" t="str">
        <f t="shared" si="108"/>
        <v>10</v>
      </c>
      <c r="AX331" s="121">
        <f t="shared" si="109"/>
        <v>44326</v>
      </c>
      <c r="AY331" s="123"/>
      <c r="AZ331" s="124">
        <f t="shared" si="110"/>
        <v>44326</v>
      </c>
      <c r="BA331" s="121" t="b">
        <f t="shared" si="111"/>
        <v>1</v>
      </c>
      <c r="BB331" s="121">
        <f t="shared" si="112"/>
        <v>44326</v>
      </c>
      <c r="BC331" s="121" t="str">
        <f t="shared" si="113"/>
        <v>no</v>
      </c>
      <c r="BD331" s="121" t="b">
        <f t="shared" si="114"/>
        <v>0</v>
      </c>
      <c r="BE331" s="125" t="s">
        <v>56</v>
      </c>
      <c r="BF331" s="116"/>
    </row>
    <row r="332" spans="1:58" s="127" customFormat="1" ht="24" customHeight="1">
      <c r="B332" s="161" t="s">
        <v>672</v>
      </c>
      <c r="D332" s="194" t="s">
        <v>660</v>
      </c>
      <c r="F332" s="164" t="s">
        <v>658</v>
      </c>
      <c r="G332" s="171">
        <v>44345</v>
      </c>
      <c r="H332" s="171">
        <v>44345</v>
      </c>
      <c r="I332" s="171"/>
      <c r="J332" s="171">
        <v>44345</v>
      </c>
      <c r="K332" s="172"/>
      <c r="L332" s="172"/>
      <c r="M332" s="172"/>
      <c r="N332" s="172"/>
      <c r="O332" s="172"/>
      <c r="P332" s="172"/>
      <c r="Q332" s="120"/>
      <c r="R332" s="120"/>
      <c r="S332" s="277">
        <f t="shared" si="103"/>
        <v>1</v>
      </c>
      <c r="T332" s="298">
        <v>1</v>
      </c>
      <c r="U332" s="298">
        <v>0</v>
      </c>
      <c r="V332" s="298">
        <v>1</v>
      </c>
      <c r="W332" s="120"/>
      <c r="X332" s="126"/>
      <c r="Y332" s="126"/>
      <c r="Z332" s="120"/>
      <c r="AA332" s="120"/>
      <c r="AB332" s="120"/>
      <c r="AC332" s="120"/>
      <c r="AD332" s="173"/>
      <c r="AE332" s="116"/>
      <c r="AF332" s="116"/>
      <c r="AG332" s="277" t="s">
        <v>53</v>
      </c>
      <c r="AH332" s="120" t="s">
        <v>54</v>
      </c>
      <c r="AI332" s="120"/>
      <c r="AM332" s="127" t="s">
        <v>661</v>
      </c>
      <c r="AR332" s="121">
        <f t="shared" si="104"/>
        <v>1</v>
      </c>
      <c r="AS332" s="121" t="str">
        <f t="shared" si="105"/>
        <v>2021_05_29_a</v>
      </c>
      <c r="AT332" s="122"/>
      <c r="AU332" s="121" t="str">
        <f t="shared" si="106"/>
        <v>2021</v>
      </c>
      <c r="AV332" s="121" t="str">
        <f t="shared" si="107"/>
        <v>05</v>
      </c>
      <c r="AW332" s="121" t="str">
        <f t="shared" si="108"/>
        <v>29</v>
      </c>
      <c r="AX332" s="121">
        <f t="shared" si="109"/>
        <v>44345</v>
      </c>
      <c r="AY332" s="123"/>
      <c r="AZ332" s="124">
        <f t="shared" si="110"/>
        <v>44345</v>
      </c>
      <c r="BA332" s="121" t="b">
        <f t="shared" si="111"/>
        <v>1</v>
      </c>
      <c r="BB332" s="121" t="str">
        <f t="shared" si="112"/>
        <v xml:space="preserve"> </v>
      </c>
      <c r="BC332" s="121" t="str">
        <f t="shared" si="113"/>
        <v>yes</v>
      </c>
      <c r="BD332" s="121" t="b">
        <f t="shared" si="114"/>
        <v>0</v>
      </c>
      <c r="BE332" s="125" t="s">
        <v>56</v>
      </c>
      <c r="BF332" s="116"/>
    </row>
    <row r="333" spans="1:58" s="127" customFormat="1" ht="24" customHeight="1">
      <c r="B333" s="127" t="s">
        <v>673</v>
      </c>
      <c r="D333" s="177">
        <v>10100995</v>
      </c>
      <c r="F333" s="164" t="s">
        <v>658</v>
      </c>
      <c r="G333" s="165">
        <v>44354</v>
      </c>
      <c r="H333" s="166">
        <v>44354</v>
      </c>
      <c r="I333" s="129"/>
      <c r="J333" s="166">
        <v>44368</v>
      </c>
      <c r="K333" s="129"/>
      <c r="L333" s="129"/>
      <c r="M333" s="129"/>
      <c r="N333" s="129"/>
      <c r="O333" s="129"/>
      <c r="P333" s="129"/>
      <c r="S333" s="277">
        <f t="shared" si="103"/>
        <v>52</v>
      </c>
      <c r="T333" s="297">
        <v>52</v>
      </c>
      <c r="U333" s="297">
        <v>0</v>
      </c>
      <c r="V333" s="297">
        <v>52</v>
      </c>
      <c r="Z333" s="127" t="s">
        <v>51</v>
      </c>
      <c r="AG333" s="120" t="s">
        <v>53</v>
      </c>
      <c r="AH333" s="120" t="s">
        <v>54</v>
      </c>
      <c r="AL333" s="127" t="s">
        <v>55</v>
      </c>
      <c r="AR333" s="121">
        <f t="shared" si="104"/>
        <v>1</v>
      </c>
      <c r="AS333" s="121" t="str">
        <f t="shared" si="105"/>
        <v>2021_06_07_a</v>
      </c>
      <c r="AT333" s="122"/>
      <c r="AU333" s="121" t="str">
        <f t="shared" si="106"/>
        <v>2021</v>
      </c>
      <c r="AV333" s="121" t="str">
        <f t="shared" si="107"/>
        <v>06</v>
      </c>
      <c r="AW333" s="121" t="str">
        <f t="shared" si="108"/>
        <v>07</v>
      </c>
      <c r="AX333" s="121">
        <f t="shared" si="109"/>
        <v>44354</v>
      </c>
      <c r="AY333" s="123"/>
      <c r="AZ333" s="124">
        <f t="shared" si="110"/>
        <v>44354</v>
      </c>
      <c r="BA333" s="121" t="b">
        <f t="shared" si="111"/>
        <v>1</v>
      </c>
      <c r="BB333" s="121">
        <f t="shared" si="112"/>
        <v>44354</v>
      </c>
      <c r="BC333" s="121" t="str">
        <f t="shared" si="113"/>
        <v>no</v>
      </c>
      <c r="BD333" s="121" t="b">
        <f t="shared" si="114"/>
        <v>0</v>
      </c>
      <c r="BE333" s="125" t="s">
        <v>56</v>
      </c>
      <c r="BF333" s="116"/>
    </row>
    <row r="334" spans="1:58" s="127" customFormat="1" ht="24" customHeight="1">
      <c r="B334" s="127" t="s">
        <v>674</v>
      </c>
      <c r="D334" s="194" t="s">
        <v>675</v>
      </c>
      <c r="F334" s="164" t="s">
        <v>658</v>
      </c>
      <c r="G334" s="165">
        <v>44361</v>
      </c>
      <c r="H334" s="166">
        <v>44361</v>
      </c>
      <c r="I334" s="129"/>
      <c r="J334" s="166">
        <v>44375</v>
      </c>
      <c r="K334" s="129"/>
      <c r="L334" s="129"/>
      <c r="M334" s="129"/>
      <c r="N334" s="129"/>
      <c r="O334" s="129"/>
      <c r="P334" s="129"/>
      <c r="S334" s="277">
        <f t="shared" si="103"/>
        <v>146</v>
      </c>
      <c r="T334" s="298">
        <v>146</v>
      </c>
      <c r="U334" s="298">
        <v>0</v>
      </c>
      <c r="V334" s="298">
        <v>146</v>
      </c>
      <c r="Z334" s="127" t="s">
        <v>51</v>
      </c>
      <c r="AG334" s="120" t="s">
        <v>53</v>
      </c>
      <c r="AH334" s="120" t="s">
        <v>54</v>
      </c>
      <c r="AL334" s="127" t="s">
        <v>55</v>
      </c>
      <c r="AR334" s="121">
        <f t="shared" si="104"/>
        <v>1</v>
      </c>
      <c r="AS334" s="121" t="str">
        <f t="shared" si="105"/>
        <v>2021_06_14_a</v>
      </c>
      <c r="AT334" s="122"/>
      <c r="AU334" s="121" t="str">
        <f t="shared" si="106"/>
        <v>2021</v>
      </c>
      <c r="AV334" s="121" t="str">
        <f t="shared" si="107"/>
        <v>06</v>
      </c>
      <c r="AW334" s="121" t="str">
        <f t="shared" si="108"/>
        <v>14</v>
      </c>
      <c r="AX334" s="121">
        <f t="shared" si="109"/>
        <v>44361</v>
      </c>
      <c r="AY334" s="123"/>
      <c r="AZ334" s="124">
        <f t="shared" si="110"/>
        <v>44361</v>
      </c>
      <c r="BA334" s="121" t="b">
        <f t="shared" si="111"/>
        <v>1</v>
      </c>
      <c r="BB334" s="121">
        <f t="shared" si="112"/>
        <v>44361</v>
      </c>
      <c r="BC334" s="121" t="str">
        <f t="shared" si="113"/>
        <v>no</v>
      </c>
      <c r="BD334" s="121" t="b">
        <f t="shared" si="114"/>
        <v>0</v>
      </c>
      <c r="BE334" s="125" t="s">
        <v>56</v>
      </c>
      <c r="BF334" s="116"/>
    </row>
    <row r="335" spans="1:58" s="127" customFormat="1" ht="24" customHeight="1">
      <c r="B335" s="127" t="s">
        <v>676</v>
      </c>
      <c r="D335" s="194">
        <v>10104526</v>
      </c>
      <c r="F335" s="164" t="s">
        <v>658</v>
      </c>
      <c r="G335" s="165">
        <v>44396</v>
      </c>
      <c r="H335" s="166">
        <v>44396</v>
      </c>
      <c r="I335" s="129"/>
      <c r="J335" s="166">
        <v>44410</v>
      </c>
      <c r="K335" s="129"/>
      <c r="L335" s="129"/>
      <c r="M335" s="129"/>
      <c r="N335" s="129"/>
      <c r="O335" s="129"/>
      <c r="P335" s="129"/>
      <c r="S335" s="277">
        <f t="shared" si="103"/>
        <v>17</v>
      </c>
      <c r="T335" s="298">
        <v>17</v>
      </c>
      <c r="U335" s="298">
        <v>8</v>
      </c>
      <c r="V335" s="298">
        <v>9</v>
      </c>
      <c r="Z335" s="127" t="s">
        <v>51</v>
      </c>
      <c r="AG335" s="120" t="s">
        <v>53</v>
      </c>
      <c r="AH335" s="120" t="s">
        <v>54</v>
      </c>
      <c r="AL335" s="127" t="s">
        <v>55</v>
      </c>
      <c r="AR335" s="121">
        <f t="shared" si="104"/>
        <v>1</v>
      </c>
      <c r="AS335" s="121" t="str">
        <f t="shared" si="105"/>
        <v>2021_07_19_a</v>
      </c>
      <c r="AT335" s="122"/>
      <c r="AU335" s="121" t="str">
        <f t="shared" si="106"/>
        <v>2021</v>
      </c>
      <c r="AV335" s="121" t="str">
        <f t="shared" si="107"/>
        <v>07</v>
      </c>
      <c r="AW335" s="121" t="str">
        <f t="shared" si="108"/>
        <v>19</v>
      </c>
      <c r="AX335" s="121">
        <f t="shared" si="109"/>
        <v>44396</v>
      </c>
      <c r="AY335" s="123"/>
      <c r="AZ335" s="124">
        <f t="shared" si="110"/>
        <v>44396</v>
      </c>
      <c r="BA335" s="121" t="b">
        <f t="shared" si="111"/>
        <v>1</v>
      </c>
      <c r="BB335" s="121">
        <f t="shared" si="112"/>
        <v>44396</v>
      </c>
      <c r="BC335" s="121" t="str">
        <f t="shared" si="113"/>
        <v>no</v>
      </c>
      <c r="BD335" s="121" t="b">
        <f t="shared" si="114"/>
        <v>0</v>
      </c>
      <c r="BE335" s="125" t="s">
        <v>56</v>
      </c>
      <c r="BF335" s="116"/>
    </row>
    <row r="336" spans="1:58" s="127" customFormat="1" ht="24" customHeight="1">
      <c r="B336" s="127" t="s">
        <v>677</v>
      </c>
      <c r="D336" s="194">
        <v>10105275</v>
      </c>
      <c r="F336" s="164" t="s">
        <v>658</v>
      </c>
      <c r="G336" s="165">
        <v>44452</v>
      </c>
      <c r="H336" s="166">
        <v>44452</v>
      </c>
      <c r="I336" s="129"/>
      <c r="J336" s="166">
        <v>44466</v>
      </c>
      <c r="K336" s="129"/>
      <c r="L336" s="129"/>
      <c r="M336" s="129"/>
      <c r="N336" s="129"/>
      <c r="O336" s="129"/>
      <c r="P336" s="129"/>
      <c r="S336" s="277">
        <f t="shared" si="103"/>
        <v>49</v>
      </c>
      <c r="T336" s="298">
        <v>49</v>
      </c>
      <c r="U336" s="298">
        <v>12</v>
      </c>
      <c r="V336" s="298">
        <v>37</v>
      </c>
      <c r="Z336" s="127" t="s">
        <v>51</v>
      </c>
      <c r="AG336" s="120" t="s">
        <v>53</v>
      </c>
      <c r="AH336" s="120" t="s">
        <v>54</v>
      </c>
      <c r="AL336" s="127" t="s">
        <v>55</v>
      </c>
      <c r="AR336" s="121">
        <f t="shared" si="104"/>
        <v>1</v>
      </c>
      <c r="AS336" s="121" t="str">
        <f t="shared" si="105"/>
        <v>2021_09_13_a</v>
      </c>
      <c r="AT336" s="122"/>
      <c r="AU336" s="121" t="str">
        <f t="shared" si="106"/>
        <v>2021</v>
      </c>
      <c r="AV336" s="121" t="str">
        <f t="shared" si="107"/>
        <v>09</v>
      </c>
      <c r="AW336" s="121" t="str">
        <f t="shared" si="108"/>
        <v>13</v>
      </c>
      <c r="AX336" s="121">
        <f t="shared" si="109"/>
        <v>44452</v>
      </c>
      <c r="AY336" s="123"/>
      <c r="AZ336" s="124">
        <f t="shared" si="110"/>
        <v>44452</v>
      </c>
      <c r="BA336" s="121" t="b">
        <f t="shared" si="111"/>
        <v>1</v>
      </c>
      <c r="BB336" s="121">
        <f t="shared" si="112"/>
        <v>44452</v>
      </c>
      <c r="BC336" s="121" t="str">
        <f t="shared" si="113"/>
        <v>no</v>
      </c>
      <c r="BD336" s="121" t="b">
        <f t="shared" si="114"/>
        <v>0</v>
      </c>
      <c r="BE336" s="125" t="s">
        <v>56</v>
      </c>
      <c r="BF336" s="116"/>
    </row>
    <row r="337" spans="1:58" s="127" customFormat="1" ht="24" customHeight="1">
      <c r="B337" s="127" t="s">
        <v>678</v>
      </c>
      <c r="D337" s="299" t="s">
        <v>679</v>
      </c>
      <c r="F337" s="164" t="s">
        <v>658</v>
      </c>
      <c r="G337" s="165">
        <v>44466</v>
      </c>
      <c r="H337" s="166">
        <v>44466</v>
      </c>
      <c r="I337" s="129"/>
      <c r="J337" s="166">
        <v>44480</v>
      </c>
      <c r="K337" s="129"/>
      <c r="L337" s="129"/>
      <c r="M337" s="129"/>
      <c r="N337" s="129"/>
      <c r="O337" s="129"/>
      <c r="P337" s="129"/>
      <c r="S337" s="277">
        <f t="shared" si="103"/>
        <v>4</v>
      </c>
      <c r="T337" s="298">
        <v>4</v>
      </c>
      <c r="U337" s="298">
        <v>0</v>
      </c>
      <c r="V337" s="298">
        <v>4</v>
      </c>
      <c r="Z337" s="127" t="s">
        <v>51</v>
      </c>
      <c r="AG337" s="120" t="s">
        <v>53</v>
      </c>
      <c r="AH337" s="120" t="s">
        <v>54</v>
      </c>
      <c r="AL337" s="127" t="s">
        <v>55</v>
      </c>
      <c r="AR337" s="121">
        <f t="shared" si="104"/>
        <v>1</v>
      </c>
      <c r="AS337" s="121" t="str">
        <f t="shared" si="105"/>
        <v>2021_09_27_a</v>
      </c>
      <c r="AT337" s="122"/>
      <c r="AU337" s="121" t="str">
        <f t="shared" si="106"/>
        <v>2021</v>
      </c>
      <c r="AV337" s="121" t="str">
        <f t="shared" si="107"/>
        <v>09</v>
      </c>
      <c r="AW337" s="121" t="str">
        <f t="shared" si="108"/>
        <v>27</v>
      </c>
      <c r="AX337" s="121">
        <f t="shared" si="109"/>
        <v>44466</v>
      </c>
      <c r="AY337" s="123"/>
      <c r="AZ337" s="124">
        <f t="shared" si="110"/>
        <v>44466</v>
      </c>
      <c r="BA337" s="121" t="b">
        <f t="shared" si="111"/>
        <v>1</v>
      </c>
      <c r="BB337" s="121">
        <f t="shared" si="112"/>
        <v>44466</v>
      </c>
      <c r="BC337" s="121" t="str">
        <f t="shared" si="113"/>
        <v>no</v>
      </c>
      <c r="BD337" s="121" t="b">
        <f t="shared" si="114"/>
        <v>0</v>
      </c>
      <c r="BE337" s="125" t="s">
        <v>56</v>
      </c>
      <c r="BF337" s="116"/>
    </row>
    <row r="338" spans="1:58" s="127" customFormat="1" ht="24" customHeight="1">
      <c r="B338" s="163" t="s">
        <v>680</v>
      </c>
      <c r="D338" s="194">
        <v>10236108</v>
      </c>
      <c r="F338" s="164" t="s">
        <v>658</v>
      </c>
      <c r="G338" s="165">
        <v>44536</v>
      </c>
      <c r="H338" s="166">
        <v>44536</v>
      </c>
      <c r="I338" s="129"/>
      <c r="J338" s="166">
        <v>44550</v>
      </c>
      <c r="K338" s="129"/>
      <c r="L338" s="129"/>
      <c r="M338" s="129"/>
      <c r="N338" s="129"/>
      <c r="O338" s="129"/>
      <c r="P338" s="129"/>
      <c r="S338" s="277">
        <f t="shared" si="103"/>
        <v>23</v>
      </c>
      <c r="T338" s="298">
        <v>23</v>
      </c>
      <c r="U338" s="298">
        <v>0</v>
      </c>
      <c r="V338" s="298">
        <v>23</v>
      </c>
      <c r="Z338" s="127" t="s">
        <v>51</v>
      </c>
      <c r="AG338" s="120" t="s">
        <v>53</v>
      </c>
      <c r="AH338" s="120" t="s">
        <v>54</v>
      </c>
      <c r="AL338" s="127" t="s">
        <v>55</v>
      </c>
      <c r="AR338" s="121">
        <f t="shared" si="104"/>
        <v>1</v>
      </c>
      <c r="AS338" s="121" t="str">
        <f t="shared" si="105"/>
        <v>2021_12_06_a</v>
      </c>
      <c r="AT338" s="122"/>
      <c r="AU338" s="121" t="str">
        <f t="shared" si="106"/>
        <v>2021</v>
      </c>
      <c r="AV338" s="121" t="str">
        <f t="shared" si="107"/>
        <v>12</v>
      </c>
      <c r="AW338" s="121" t="str">
        <f t="shared" si="108"/>
        <v>06</v>
      </c>
      <c r="AX338" s="121">
        <f t="shared" si="109"/>
        <v>44536</v>
      </c>
      <c r="AY338" s="123"/>
      <c r="AZ338" s="124">
        <f t="shared" si="110"/>
        <v>44536</v>
      </c>
      <c r="BA338" s="121" t="b">
        <f t="shared" si="111"/>
        <v>1</v>
      </c>
      <c r="BB338" s="121">
        <f t="shared" si="112"/>
        <v>44536</v>
      </c>
      <c r="BC338" s="121" t="str">
        <f t="shared" si="113"/>
        <v>no</v>
      </c>
      <c r="BD338" s="121" t="b">
        <f t="shared" si="114"/>
        <v>0</v>
      </c>
      <c r="BE338" s="125" t="s">
        <v>56</v>
      </c>
      <c r="BF338" s="116"/>
    </row>
    <row r="339" spans="1:58" s="127" customFormat="1" ht="24" customHeight="1">
      <c r="B339" s="177" t="s">
        <v>681</v>
      </c>
      <c r="C339" s="169"/>
      <c r="D339" s="177" t="s">
        <v>679</v>
      </c>
      <c r="E339" s="170"/>
      <c r="F339" s="164" t="s">
        <v>658</v>
      </c>
      <c r="G339" s="165">
        <v>44585</v>
      </c>
      <c r="H339" s="165">
        <v>44585</v>
      </c>
      <c r="I339" s="129"/>
      <c r="J339" s="165">
        <v>44599</v>
      </c>
      <c r="K339" s="129"/>
      <c r="L339" s="129"/>
      <c r="M339" s="129"/>
      <c r="N339" s="129"/>
      <c r="O339" s="129"/>
      <c r="P339" s="129"/>
      <c r="S339" s="277">
        <f t="shared" si="103"/>
        <v>51</v>
      </c>
      <c r="T339" s="297">
        <v>51</v>
      </c>
      <c r="U339" s="297">
        <v>0</v>
      </c>
      <c r="V339" s="297">
        <v>51</v>
      </c>
      <c r="Z339" s="127" t="s">
        <v>51</v>
      </c>
      <c r="AG339" s="120" t="s">
        <v>53</v>
      </c>
      <c r="AH339" s="120" t="s">
        <v>54</v>
      </c>
      <c r="AL339" s="127" t="s">
        <v>55</v>
      </c>
      <c r="AR339" s="121">
        <f t="shared" si="104"/>
        <v>1</v>
      </c>
      <c r="AS339" s="121" t="str">
        <f t="shared" si="105"/>
        <v>2022_01_24_a</v>
      </c>
      <c r="AT339" s="122"/>
      <c r="AU339" s="121" t="str">
        <f t="shared" si="106"/>
        <v>2022</v>
      </c>
      <c r="AV339" s="121" t="str">
        <f t="shared" si="107"/>
        <v>01</v>
      </c>
      <c r="AW339" s="121" t="str">
        <f t="shared" si="108"/>
        <v>24</v>
      </c>
      <c r="AX339" s="121">
        <f t="shared" si="109"/>
        <v>44585</v>
      </c>
      <c r="AY339" s="123"/>
      <c r="AZ339" s="124">
        <f t="shared" si="110"/>
        <v>44585</v>
      </c>
      <c r="BA339" s="121" t="b">
        <f t="shared" si="111"/>
        <v>1</v>
      </c>
      <c r="BB339" s="121">
        <f t="shared" si="112"/>
        <v>44585</v>
      </c>
      <c r="BC339" s="121" t="str">
        <f t="shared" si="113"/>
        <v>no</v>
      </c>
      <c r="BD339" s="121" t="b">
        <f t="shared" si="114"/>
        <v>0</v>
      </c>
      <c r="BE339" s="125" t="s">
        <v>56</v>
      </c>
      <c r="BF339" s="116"/>
    </row>
    <row r="340" spans="1:58" s="127" customFormat="1" ht="24" customHeight="1">
      <c r="A340" s="167"/>
      <c r="B340" s="177" t="s">
        <v>682</v>
      </c>
      <c r="C340" s="169"/>
      <c r="D340" s="194">
        <v>10239708</v>
      </c>
      <c r="E340" s="170"/>
      <c r="F340" s="164" t="s">
        <v>658</v>
      </c>
      <c r="G340" s="165">
        <v>44606</v>
      </c>
      <c r="H340" s="165">
        <v>44606</v>
      </c>
      <c r="I340" s="129"/>
      <c r="J340" s="165">
        <v>44620</v>
      </c>
      <c r="K340" s="129"/>
      <c r="L340" s="129"/>
      <c r="M340" s="129"/>
      <c r="N340" s="129"/>
      <c r="O340" s="129"/>
      <c r="P340" s="129"/>
      <c r="S340" s="277">
        <f t="shared" si="103"/>
        <v>43</v>
      </c>
      <c r="T340" s="298">
        <v>43</v>
      </c>
      <c r="U340" s="298">
        <v>7</v>
      </c>
      <c r="V340" s="298">
        <v>36</v>
      </c>
      <c r="Z340" s="127" t="s">
        <v>51</v>
      </c>
      <c r="AG340" s="120" t="s">
        <v>53</v>
      </c>
      <c r="AH340" s="120" t="s">
        <v>54</v>
      </c>
      <c r="AL340" s="127" t="s">
        <v>55</v>
      </c>
      <c r="AR340" s="121">
        <f t="shared" si="104"/>
        <v>1</v>
      </c>
      <c r="AS340" s="121" t="str">
        <f t="shared" si="105"/>
        <v>2022_02_14_a</v>
      </c>
      <c r="AT340" s="122"/>
      <c r="AU340" s="121" t="str">
        <f t="shared" si="106"/>
        <v>2022</v>
      </c>
      <c r="AV340" s="121" t="str">
        <f t="shared" si="107"/>
        <v>02</v>
      </c>
      <c r="AW340" s="121" t="str">
        <f t="shared" si="108"/>
        <v>14</v>
      </c>
      <c r="AX340" s="121">
        <f t="shared" si="109"/>
        <v>44606</v>
      </c>
      <c r="AY340" s="123"/>
      <c r="AZ340" s="124">
        <f t="shared" si="110"/>
        <v>44606</v>
      </c>
      <c r="BA340" s="121" t="b">
        <f t="shared" si="111"/>
        <v>1</v>
      </c>
      <c r="BB340" s="121">
        <f t="shared" si="112"/>
        <v>44606</v>
      </c>
      <c r="BC340" s="121" t="str">
        <f t="shared" si="113"/>
        <v>no</v>
      </c>
      <c r="BD340" s="121" t="b">
        <f t="shared" si="114"/>
        <v>0</v>
      </c>
      <c r="BE340" s="125" t="s">
        <v>56</v>
      </c>
      <c r="BF340" s="116"/>
    </row>
    <row r="341" spans="1:58" s="127" customFormat="1" ht="24" customHeight="1">
      <c r="A341" s="167"/>
      <c r="B341" s="168" t="s">
        <v>683</v>
      </c>
      <c r="C341" s="169"/>
      <c r="D341" s="194" t="s">
        <v>660</v>
      </c>
      <c r="E341" s="170"/>
      <c r="F341" s="164" t="s">
        <v>658</v>
      </c>
      <c r="G341" s="171">
        <v>44621</v>
      </c>
      <c r="H341" s="171">
        <v>44621</v>
      </c>
      <c r="I341" s="171"/>
      <c r="J341" s="171">
        <v>44621</v>
      </c>
      <c r="K341" s="172"/>
      <c r="L341" s="172"/>
      <c r="M341" s="172"/>
      <c r="N341" s="172"/>
      <c r="O341" s="172"/>
      <c r="P341" s="172"/>
      <c r="Q341" s="120"/>
      <c r="R341" s="120"/>
      <c r="S341" s="277">
        <f t="shared" si="103"/>
        <v>2</v>
      </c>
      <c r="T341" s="298">
        <v>2</v>
      </c>
      <c r="U341" s="298">
        <v>0</v>
      </c>
      <c r="V341" s="298">
        <v>2</v>
      </c>
      <c r="W341" s="120"/>
      <c r="X341" s="126"/>
      <c r="Y341" s="126"/>
      <c r="Z341" s="120"/>
      <c r="AA341" s="120"/>
      <c r="AB341" s="120"/>
      <c r="AC341" s="120"/>
      <c r="AD341" s="173"/>
      <c r="AE341" s="116"/>
      <c r="AF341" s="116"/>
      <c r="AG341" s="277" t="s">
        <v>53</v>
      </c>
      <c r="AH341" s="120" t="s">
        <v>54</v>
      </c>
      <c r="AI341" s="120"/>
      <c r="AM341" s="127" t="s">
        <v>661</v>
      </c>
      <c r="AR341" s="121">
        <f t="shared" si="104"/>
        <v>1</v>
      </c>
      <c r="AS341" s="121" t="str">
        <f t="shared" si="105"/>
        <v>2022_03_01_a</v>
      </c>
      <c r="AT341" s="122"/>
      <c r="AU341" s="121" t="str">
        <f t="shared" si="106"/>
        <v>2022</v>
      </c>
      <c r="AV341" s="121" t="str">
        <f t="shared" si="107"/>
        <v>03</v>
      </c>
      <c r="AW341" s="121" t="str">
        <f t="shared" si="108"/>
        <v>01</v>
      </c>
      <c r="AX341" s="121">
        <f t="shared" si="109"/>
        <v>44621</v>
      </c>
      <c r="AY341" s="123"/>
      <c r="AZ341" s="124">
        <f t="shared" si="110"/>
        <v>44621</v>
      </c>
      <c r="BA341" s="121" t="b">
        <f t="shared" si="111"/>
        <v>1</v>
      </c>
      <c r="BB341" s="121" t="str">
        <f t="shared" si="112"/>
        <v xml:space="preserve"> </v>
      </c>
      <c r="BC341" s="121" t="str">
        <f t="shared" si="113"/>
        <v>yes</v>
      </c>
      <c r="BD341" s="121" t="b">
        <f t="shared" si="114"/>
        <v>0</v>
      </c>
      <c r="BE341" s="125" t="s">
        <v>56</v>
      </c>
      <c r="BF341" s="116"/>
    </row>
    <row r="342" spans="1:58" s="127" customFormat="1" ht="24" customHeight="1">
      <c r="A342" s="167"/>
      <c r="B342" s="177" t="s">
        <v>684</v>
      </c>
      <c r="C342" s="169"/>
      <c r="D342" s="194">
        <v>10239740</v>
      </c>
      <c r="E342" s="170"/>
      <c r="F342" s="164" t="s">
        <v>658</v>
      </c>
      <c r="G342" s="165">
        <v>44627</v>
      </c>
      <c r="H342" s="165">
        <v>44627</v>
      </c>
      <c r="I342" s="129"/>
      <c r="J342" s="165">
        <v>44641</v>
      </c>
      <c r="K342" s="129"/>
      <c r="L342" s="129"/>
      <c r="M342" s="129"/>
      <c r="N342" s="129"/>
      <c r="O342" s="129"/>
      <c r="P342" s="129"/>
      <c r="S342" s="277">
        <f t="shared" si="103"/>
        <v>33</v>
      </c>
      <c r="T342" s="298">
        <v>33</v>
      </c>
      <c r="U342" s="298">
        <v>0</v>
      </c>
      <c r="V342" s="298">
        <v>33</v>
      </c>
      <c r="Z342" s="127" t="s">
        <v>51</v>
      </c>
      <c r="AG342" s="120" t="s">
        <v>53</v>
      </c>
      <c r="AH342" s="120" t="s">
        <v>54</v>
      </c>
      <c r="AL342" s="127" t="s">
        <v>55</v>
      </c>
      <c r="AR342" s="121">
        <f t="shared" si="104"/>
        <v>1</v>
      </c>
      <c r="AS342" s="121" t="str">
        <f t="shared" si="105"/>
        <v>2022_03_07_a</v>
      </c>
      <c r="AT342" s="122"/>
      <c r="AU342" s="121" t="str">
        <f t="shared" si="106"/>
        <v>2022</v>
      </c>
      <c r="AV342" s="121" t="str">
        <f t="shared" si="107"/>
        <v>03</v>
      </c>
      <c r="AW342" s="121" t="str">
        <f t="shared" si="108"/>
        <v>07</v>
      </c>
      <c r="AX342" s="121">
        <f t="shared" si="109"/>
        <v>44627</v>
      </c>
      <c r="AY342" s="123"/>
      <c r="AZ342" s="124">
        <f t="shared" si="110"/>
        <v>44627</v>
      </c>
      <c r="BA342" s="121" t="b">
        <f t="shared" si="111"/>
        <v>1</v>
      </c>
      <c r="BB342" s="121">
        <f t="shared" si="112"/>
        <v>44627</v>
      </c>
      <c r="BC342" s="121" t="str">
        <f t="shared" si="113"/>
        <v>no</v>
      </c>
      <c r="BD342" s="121" t="b">
        <f t="shared" si="114"/>
        <v>0</v>
      </c>
      <c r="BE342" s="125" t="s">
        <v>56</v>
      </c>
      <c r="BF342" s="116"/>
    </row>
    <row r="343" spans="1:58" s="127" customFormat="1" ht="24" customHeight="1">
      <c r="A343" s="167"/>
      <c r="B343" s="168" t="s">
        <v>685</v>
      </c>
      <c r="C343" s="169"/>
      <c r="D343" s="194" t="s">
        <v>660</v>
      </c>
      <c r="E343" s="170"/>
      <c r="F343" s="164" t="s">
        <v>658</v>
      </c>
      <c r="G343" s="165">
        <v>44634</v>
      </c>
      <c r="H343" s="165">
        <v>44634</v>
      </c>
      <c r="I343" s="129"/>
      <c r="J343" s="165">
        <v>44634</v>
      </c>
      <c r="K343" s="129"/>
      <c r="L343" s="129"/>
      <c r="M343" s="129"/>
      <c r="N343" s="129"/>
      <c r="O343" s="129"/>
      <c r="P343" s="129"/>
      <c r="S343" s="277">
        <f t="shared" si="103"/>
        <v>1</v>
      </c>
      <c r="T343" s="298">
        <v>1</v>
      </c>
      <c r="U343" s="298">
        <v>0</v>
      </c>
      <c r="V343" s="298">
        <v>1</v>
      </c>
      <c r="AG343" s="277" t="s">
        <v>53</v>
      </c>
      <c r="AH343" s="120" t="s">
        <v>54</v>
      </c>
      <c r="AL343" s="127" t="s">
        <v>55</v>
      </c>
      <c r="AM343" s="127" t="s">
        <v>661</v>
      </c>
      <c r="AR343" s="121">
        <f t="shared" si="104"/>
        <v>1</v>
      </c>
      <c r="AS343" s="121" t="str">
        <f t="shared" si="105"/>
        <v>2022_03_14_a</v>
      </c>
      <c r="AT343" s="122"/>
      <c r="AU343" s="121" t="str">
        <f t="shared" si="106"/>
        <v>2022</v>
      </c>
      <c r="AV343" s="121" t="str">
        <f t="shared" si="107"/>
        <v>03</v>
      </c>
      <c r="AW343" s="121" t="str">
        <f t="shared" si="108"/>
        <v>14</v>
      </c>
      <c r="AX343" s="121">
        <f t="shared" si="109"/>
        <v>44634</v>
      </c>
      <c r="AY343" s="123"/>
      <c r="AZ343" s="124">
        <f t="shared" si="110"/>
        <v>44634</v>
      </c>
      <c r="BA343" s="121" t="b">
        <f t="shared" si="111"/>
        <v>1</v>
      </c>
      <c r="BB343" s="121" t="str">
        <f t="shared" si="112"/>
        <v xml:space="preserve"> </v>
      </c>
      <c r="BC343" s="121" t="str">
        <f t="shared" si="113"/>
        <v>yes</v>
      </c>
      <c r="BD343" s="121" t="b">
        <f t="shared" si="114"/>
        <v>0</v>
      </c>
      <c r="BE343" s="125" t="s">
        <v>56</v>
      </c>
      <c r="BF343" s="116"/>
    </row>
    <row r="344" spans="1:58" s="127" customFormat="1" ht="24" customHeight="1">
      <c r="A344" s="167"/>
      <c r="B344" s="168" t="s">
        <v>686</v>
      </c>
      <c r="C344" s="169"/>
      <c r="D344" s="194" t="s">
        <v>660</v>
      </c>
      <c r="E344" s="170"/>
      <c r="F344" s="164" t="s">
        <v>658</v>
      </c>
      <c r="G344" s="165">
        <v>44635</v>
      </c>
      <c r="H344" s="165">
        <v>44635</v>
      </c>
      <c r="I344" s="129"/>
      <c r="J344" s="165">
        <v>44635</v>
      </c>
      <c r="K344" s="129"/>
      <c r="L344" s="129"/>
      <c r="M344" s="129"/>
      <c r="N344" s="129"/>
      <c r="O344" s="129"/>
      <c r="P344" s="129"/>
      <c r="S344" s="277">
        <f t="shared" si="103"/>
        <v>3</v>
      </c>
      <c r="T344" s="298">
        <v>3</v>
      </c>
      <c r="U344" s="298">
        <v>0</v>
      </c>
      <c r="V344" s="298">
        <v>3</v>
      </c>
      <c r="AG344" s="277" t="s">
        <v>53</v>
      </c>
      <c r="AH344" s="120" t="s">
        <v>54</v>
      </c>
      <c r="AL344" s="127" t="s">
        <v>55</v>
      </c>
      <c r="AM344" s="127" t="s">
        <v>661</v>
      </c>
      <c r="AR344" s="121">
        <f t="shared" si="104"/>
        <v>1</v>
      </c>
      <c r="AS344" s="121" t="str">
        <f t="shared" si="105"/>
        <v>2022_03_15_a</v>
      </c>
      <c r="AT344" s="122"/>
      <c r="AU344" s="121" t="str">
        <f t="shared" si="106"/>
        <v>2022</v>
      </c>
      <c r="AV344" s="121" t="str">
        <f t="shared" si="107"/>
        <v>03</v>
      </c>
      <c r="AW344" s="121" t="str">
        <f t="shared" si="108"/>
        <v>15</v>
      </c>
      <c r="AX344" s="121">
        <f t="shared" si="109"/>
        <v>44635</v>
      </c>
      <c r="AY344" s="123"/>
      <c r="AZ344" s="124">
        <f t="shared" si="110"/>
        <v>44635</v>
      </c>
      <c r="BA344" s="121" t="b">
        <f t="shared" si="111"/>
        <v>1</v>
      </c>
      <c r="BB344" s="121" t="str">
        <f t="shared" si="112"/>
        <v xml:space="preserve"> </v>
      </c>
      <c r="BC344" s="121" t="str">
        <f t="shared" si="113"/>
        <v>yes</v>
      </c>
      <c r="BD344" s="121" t="b">
        <f t="shared" si="114"/>
        <v>0</v>
      </c>
      <c r="BE344" s="125" t="s">
        <v>56</v>
      </c>
      <c r="BF344" s="116"/>
    </row>
    <row r="345" spans="1:58" s="127" customFormat="1" ht="24" customHeight="1">
      <c r="A345" s="167"/>
      <c r="B345" s="177" t="s">
        <v>687</v>
      </c>
      <c r="C345" s="169"/>
      <c r="D345" s="194">
        <v>10261056</v>
      </c>
      <c r="E345" s="170"/>
      <c r="F345" s="164" t="s">
        <v>658</v>
      </c>
      <c r="G345" s="165">
        <v>44676</v>
      </c>
      <c r="H345" s="165">
        <v>44676</v>
      </c>
      <c r="I345" s="129"/>
      <c r="J345" s="165">
        <v>44690</v>
      </c>
      <c r="K345" s="129"/>
      <c r="L345" s="129"/>
      <c r="M345" s="129"/>
      <c r="N345" s="129"/>
      <c r="O345" s="129"/>
      <c r="P345" s="129"/>
      <c r="S345" s="277">
        <f t="shared" si="103"/>
        <v>31</v>
      </c>
      <c r="T345" s="298">
        <v>31</v>
      </c>
      <c r="U345" s="298">
        <v>0</v>
      </c>
      <c r="V345" s="298">
        <v>31</v>
      </c>
      <c r="Z345" s="127" t="s">
        <v>51</v>
      </c>
      <c r="AG345" s="120" t="s">
        <v>53</v>
      </c>
      <c r="AH345" s="120" t="s">
        <v>54</v>
      </c>
      <c r="AL345" s="127" t="s">
        <v>55</v>
      </c>
      <c r="AR345" s="121">
        <f t="shared" si="104"/>
        <v>1</v>
      </c>
      <c r="AS345" s="121" t="str">
        <f t="shared" si="105"/>
        <v>2022_04_25_a</v>
      </c>
      <c r="AT345" s="122"/>
      <c r="AU345" s="121" t="str">
        <f t="shared" si="106"/>
        <v>2022</v>
      </c>
      <c r="AV345" s="121" t="str">
        <f t="shared" si="107"/>
        <v>04</v>
      </c>
      <c r="AW345" s="121" t="str">
        <f t="shared" si="108"/>
        <v>25</v>
      </c>
      <c r="AX345" s="121">
        <f t="shared" si="109"/>
        <v>44676</v>
      </c>
      <c r="AY345" s="123"/>
      <c r="AZ345" s="124">
        <f t="shared" si="110"/>
        <v>44676</v>
      </c>
      <c r="BA345" s="121" t="b">
        <f t="shared" si="111"/>
        <v>1</v>
      </c>
      <c r="BB345" s="121">
        <f t="shared" si="112"/>
        <v>44676</v>
      </c>
      <c r="BC345" s="121" t="str">
        <f t="shared" si="113"/>
        <v>no</v>
      </c>
      <c r="BD345" s="121" t="b">
        <f t="shared" si="114"/>
        <v>0</v>
      </c>
      <c r="BE345" s="125" t="s">
        <v>56</v>
      </c>
      <c r="BF345" s="116"/>
    </row>
    <row r="346" spans="1:58" s="127" customFormat="1" ht="24" customHeight="1">
      <c r="A346" s="167"/>
      <c r="B346" s="177" t="s">
        <v>688</v>
      </c>
      <c r="C346" s="169"/>
      <c r="D346" s="186" t="s">
        <v>689</v>
      </c>
      <c r="E346" s="170"/>
      <c r="F346" s="164" t="s">
        <v>658</v>
      </c>
      <c r="G346" s="165">
        <v>44690</v>
      </c>
      <c r="H346" s="165">
        <v>44690</v>
      </c>
      <c r="I346" s="129"/>
      <c r="J346" s="165">
        <v>44704</v>
      </c>
      <c r="K346" s="129"/>
      <c r="L346" s="129"/>
      <c r="M346" s="129"/>
      <c r="N346" s="129"/>
      <c r="O346" s="129"/>
      <c r="P346" s="129"/>
      <c r="S346" s="277">
        <f t="shared" si="103"/>
        <v>0</v>
      </c>
      <c r="T346" s="297">
        <v>0</v>
      </c>
      <c r="U346" s="297">
        <v>0</v>
      </c>
      <c r="V346" s="297">
        <v>0</v>
      </c>
      <c r="Z346" s="127" t="s">
        <v>51</v>
      </c>
      <c r="AG346" s="120" t="s">
        <v>53</v>
      </c>
      <c r="AH346" s="120" t="s">
        <v>54</v>
      </c>
      <c r="AL346" s="127" t="s">
        <v>55</v>
      </c>
      <c r="AR346" s="121">
        <f t="shared" si="104"/>
        <v>1</v>
      </c>
      <c r="AS346" s="121" t="str">
        <f t="shared" si="105"/>
        <v>2022_05_09_a</v>
      </c>
      <c r="AT346" s="122"/>
      <c r="AU346" s="121" t="str">
        <f t="shared" si="106"/>
        <v>2022</v>
      </c>
      <c r="AV346" s="121" t="str">
        <f t="shared" si="107"/>
        <v>05</v>
      </c>
      <c r="AW346" s="121" t="str">
        <f t="shared" si="108"/>
        <v>09</v>
      </c>
      <c r="AX346" s="121">
        <f t="shared" si="109"/>
        <v>44690</v>
      </c>
      <c r="AY346" s="123"/>
      <c r="AZ346" s="124">
        <f t="shared" si="110"/>
        <v>44690</v>
      </c>
      <c r="BA346" s="121" t="b">
        <f t="shared" si="111"/>
        <v>1</v>
      </c>
      <c r="BB346" s="121">
        <f t="shared" si="112"/>
        <v>44690</v>
      </c>
      <c r="BC346" s="121" t="str">
        <f t="shared" si="113"/>
        <v>no</v>
      </c>
      <c r="BD346" s="121" t="b">
        <f t="shared" si="114"/>
        <v>1</v>
      </c>
      <c r="BE346" s="125" t="s">
        <v>56</v>
      </c>
      <c r="BF346" s="116"/>
    </row>
    <row r="347" spans="1:58" s="127" customFormat="1" ht="24" customHeight="1">
      <c r="A347" s="167"/>
      <c r="B347" s="178" t="s">
        <v>690</v>
      </c>
      <c r="C347" s="169"/>
      <c r="D347" s="194" t="s">
        <v>660</v>
      </c>
      <c r="E347" s="170"/>
      <c r="F347" s="164" t="s">
        <v>658</v>
      </c>
      <c r="G347" s="171">
        <v>44704</v>
      </c>
      <c r="H347" s="171">
        <v>44704</v>
      </c>
      <c r="I347" s="171"/>
      <c r="J347" s="171">
        <v>44704</v>
      </c>
      <c r="K347" s="172"/>
      <c r="L347" s="172"/>
      <c r="M347" s="172"/>
      <c r="N347" s="172"/>
      <c r="O347" s="172"/>
      <c r="P347" s="172"/>
      <c r="Q347" s="120"/>
      <c r="R347" s="120"/>
      <c r="S347" s="277">
        <f t="shared" si="103"/>
        <v>31</v>
      </c>
      <c r="T347" s="298">
        <v>31</v>
      </c>
      <c r="U347" s="298">
        <v>0</v>
      </c>
      <c r="V347" s="298">
        <v>31</v>
      </c>
      <c r="W347" s="120"/>
      <c r="X347" s="126"/>
      <c r="Y347" s="126"/>
      <c r="Z347" s="120"/>
      <c r="AA347" s="120"/>
      <c r="AB347" s="120"/>
      <c r="AC347" s="120"/>
      <c r="AD347" s="173"/>
      <c r="AE347" s="116"/>
      <c r="AF347" s="116"/>
      <c r="AG347" s="277" t="s">
        <v>53</v>
      </c>
      <c r="AH347" s="120" t="s">
        <v>54</v>
      </c>
      <c r="AI347" s="120"/>
      <c r="AM347" s="127" t="s">
        <v>661</v>
      </c>
      <c r="AR347" s="121">
        <f t="shared" si="104"/>
        <v>1</v>
      </c>
      <c r="AS347" s="121" t="str">
        <f t="shared" si="105"/>
        <v>2022_05_23_a</v>
      </c>
      <c r="AT347" s="122"/>
      <c r="AU347" s="121" t="str">
        <f t="shared" si="106"/>
        <v>2022</v>
      </c>
      <c r="AV347" s="121" t="str">
        <f t="shared" si="107"/>
        <v>05</v>
      </c>
      <c r="AW347" s="121" t="str">
        <f t="shared" si="108"/>
        <v>23</v>
      </c>
      <c r="AX347" s="121">
        <f t="shared" si="109"/>
        <v>44704</v>
      </c>
      <c r="AY347" s="123"/>
      <c r="AZ347" s="124">
        <f t="shared" si="110"/>
        <v>44704</v>
      </c>
      <c r="BA347" s="121" t="b">
        <f t="shared" si="111"/>
        <v>1</v>
      </c>
      <c r="BB347" s="121" t="str">
        <f t="shared" si="112"/>
        <v xml:space="preserve"> </v>
      </c>
      <c r="BC347" s="121" t="str">
        <f t="shared" si="113"/>
        <v>yes</v>
      </c>
      <c r="BD347" s="121" t="b">
        <f t="shared" si="114"/>
        <v>0</v>
      </c>
      <c r="BE347" s="125" t="s">
        <v>56</v>
      </c>
      <c r="BF347" s="116"/>
    </row>
    <row r="348" spans="1:58" s="127" customFormat="1" ht="24" customHeight="1">
      <c r="A348" s="167"/>
      <c r="B348" s="177" t="s">
        <v>691</v>
      </c>
      <c r="C348" s="169"/>
      <c r="D348" s="194">
        <v>10261057</v>
      </c>
      <c r="E348" s="170"/>
      <c r="F348" s="164" t="s">
        <v>658</v>
      </c>
      <c r="G348" s="165">
        <v>44718</v>
      </c>
      <c r="H348" s="165">
        <v>44718</v>
      </c>
      <c r="I348" s="129"/>
      <c r="J348" s="165">
        <v>44732</v>
      </c>
      <c r="K348" s="129"/>
      <c r="L348" s="129"/>
      <c r="M348" s="129"/>
      <c r="N348" s="129"/>
      <c r="O348" s="129"/>
      <c r="P348" s="129"/>
      <c r="S348" s="277">
        <f t="shared" si="103"/>
        <v>40</v>
      </c>
      <c r="T348" s="298">
        <v>40</v>
      </c>
      <c r="U348" s="298">
        <v>0</v>
      </c>
      <c r="V348" s="298">
        <v>40</v>
      </c>
      <c r="Z348" s="127" t="s">
        <v>51</v>
      </c>
      <c r="AG348" s="120" t="s">
        <v>53</v>
      </c>
      <c r="AH348" s="120" t="s">
        <v>54</v>
      </c>
      <c r="AL348" s="127" t="s">
        <v>55</v>
      </c>
      <c r="AR348" s="121">
        <f t="shared" si="104"/>
        <v>1</v>
      </c>
      <c r="AS348" s="121" t="str">
        <f t="shared" si="105"/>
        <v>2022_06_06_a</v>
      </c>
      <c r="AT348" s="122"/>
      <c r="AU348" s="121" t="str">
        <f t="shared" si="106"/>
        <v>2022</v>
      </c>
      <c r="AV348" s="121" t="str">
        <f t="shared" si="107"/>
        <v>06</v>
      </c>
      <c r="AW348" s="121" t="str">
        <f t="shared" si="108"/>
        <v>06</v>
      </c>
      <c r="AX348" s="121">
        <f t="shared" si="109"/>
        <v>44718</v>
      </c>
      <c r="AY348" s="123"/>
      <c r="AZ348" s="124">
        <f t="shared" si="110"/>
        <v>44718</v>
      </c>
      <c r="BA348" s="121" t="b">
        <f t="shared" si="111"/>
        <v>1</v>
      </c>
      <c r="BB348" s="121">
        <f t="shared" si="112"/>
        <v>44718</v>
      </c>
      <c r="BC348" s="121" t="str">
        <f t="shared" si="113"/>
        <v>no</v>
      </c>
      <c r="BD348" s="121" t="b">
        <f t="shared" si="114"/>
        <v>0</v>
      </c>
      <c r="BE348" s="125" t="s">
        <v>56</v>
      </c>
      <c r="BF348" s="116"/>
    </row>
    <row r="349" spans="1:58" s="127" customFormat="1" ht="24" customHeight="1">
      <c r="A349" s="167"/>
      <c r="B349" s="177" t="s">
        <v>692</v>
      </c>
      <c r="C349" s="169"/>
      <c r="D349" s="194">
        <v>10261087</v>
      </c>
      <c r="E349" s="170"/>
      <c r="F349" s="164" t="s">
        <v>658</v>
      </c>
      <c r="G349" s="165">
        <v>44718</v>
      </c>
      <c r="H349" s="165">
        <v>44718</v>
      </c>
      <c r="I349" s="129"/>
      <c r="J349" s="165">
        <v>44732</v>
      </c>
      <c r="K349" s="129"/>
      <c r="L349" s="129"/>
      <c r="M349" s="129"/>
      <c r="N349" s="129"/>
      <c r="O349" s="129"/>
      <c r="P349" s="129"/>
      <c r="S349" s="277">
        <f t="shared" si="103"/>
        <v>43</v>
      </c>
      <c r="T349" s="298">
        <v>43</v>
      </c>
      <c r="U349" s="298">
        <v>7</v>
      </c>
      <c r="V349" s="298">
        <v>36</v>
      </c>
      <c r="Z349" s="127" t="s">
        <v>51</v>
      </c>
      <c r="AG349" s="120" t="s">
        <v>53</v>
      </c>
      <c r="AH349" s="120" t="s">
        <v>54</v>
      </c>
      <c r="AL349" s="127" t="s">
        <v>55</v>
      </c>
      <c r="AR349" s="121">
        <f t="shared" si="104"/>
        <v>1</v>
      </c>
      <c r="AS349" s="121" t="str">
        <f t="shared" si="105"/>
        <v>2022_06_06_b</v>
      </c>
      <c r="AT349" s="122"/>
      <c r="AU349" s="121" t="str">
        <f t="shared" si="106"/>
        <v>2022</v>
      </c>
      <c r="AV349" s="121" t="str">
        <f t="shared" si="107"/>
        <v>06</v>
      </c>
      <c r="AW349" s="121" t="str">
        <f t="shared" si="108"/>
        <v>06</v>
      </c>
      <c r="AX349" s="121">
        <f t="shared" si="109"/>
        <v>44718</v>
      </c>
      <c r="AY349" s="123"/>
      <c r="AZ349" s="124">
        <f t="shared" si="110"/>
        <v>44718</v>
      </c>
      <c r="BA349" s="121" t="b">
        <f t="shared" si="111"/>
        <v>1</v>
      </c>
      <c r="BB349" s="121">
        <f t="shared" si="112"/>
        <v>44718</v>
      </c>
      <c r="BC349" s="121" t="str">
        <f t="shared" si="113"/>
        <v>no</v>
      </c>
      <c r="BD349" s="121" t="b">
        <f t="shared" si="114"/>
        <v>0</v>
      </c>
      <c r="BE349" s="125" t="s">
        <v>56</v>
      </c>
      <c r="BF349" s="116"/>
    </row>
    <row r="350" spans="1:58" s="161" customFormat="1" ht="24" customHeight="1">
      <c r="A350" s="167"/>
      <c r="B350" s="180" t="s">
        <v>693</v>
      </c>
      <c r="C350" s="181"/>
      <c r="D350" s="194" t="s">
        <v>660</v>
      </c>
      <c r="E350" s="182"/>
      <c r="F350" s="131" t="s">
        <v>658</v>
      </c>
      <c r="G350" s="183">
        <v>44735</v>
      </c>
      <c r="H350" s="183">
        <v>44735</v>
      </c>
      <c r="I350" s="184"/>
      <c r="J350" s="183">
        <v>44735</v>
      </c>
      <c r="K350" s="184"/>
      <c r="L350" s="184"/>
      <c r="M350" s="184"/>
      <c r="N350" s="184"/>
      <c r="O350" s="184"/>
      <c r="P350" s="184"/>
      <c r="S350" s="277">
        <f t="shared" si="103"/>
        <v>1</v>
      </c>
      <c r="T350" s="298">
        <v>1</v>
      </c>
      <c r="U350" s="298">
        <v>0</v>
      </c>
      <c r="V350" s="298">
        <v>1</v>
      </c>
      <c r="Z350" s="161" t="s">
        <v>51</v>
      </c>
      <c r="AG350" s="161" t="s">
        <v>53</v>
      </c>
      <c r="AH350" s="161" t="s">
        <v>54</v>
      </c>
      <c r="AL350" s="161" t="s">
        <v>55</v>
      </c>
      <c r="AM350" s="161" t="s">
        <v>661</v>
      </c>
      <c r="AR350" s="121">
        <f t="shared" si="104"/>
        <v>1</v>
      </c>
      <c r="AS350" s="121" t="str">
        <f t="shared" si="105"/>
        <v>2022_06_23_a</v>
      </c>
      <c r="AT350" s="122"/>
      <c r="AU350" s="121" t="str">
        <f t="shared" si="106"/>
        <v>2022</v>
      </c>
      <c r="AV350" s="121" t="str">
        <f t="shared" si="107"/>
        <v>06</v>
      </c>
      <c r="AW350" s="121" t="str">
        <f t="shared" si="108"/>
        <v>23</v>
      </c>
      <c r="AX350" s="121">
        <f t="shared" si="109"/>
        <v>44735</v>
      </c>
      <c r="AY350" s="123"/>
      <c r="AZ350" s="124">
        <f t="shared" si="110"/>
        <v>44735</v>
      </c>
      <c r="BA350" s="121" t="b">
        <f t="shared" si="111"/>
        <v>1</v>
      </c>
      <c r="BB350" s="121" t="str">
        <f t="shared" si="112"/>
        <v xml:space="preserve"> </v>
      </c>
      <c r="BC350" s="121" t="str">
        <f t="shared" si="113"/>
        <v>yes</v>
      </c>
      <c r="BD350" s="121" t="b">
        <f t="shared" si="114"/>
        <v>0</v>
      </c>
      <c r="BE350" s="125" t="s">
        <v>56</v>
      </c>
    </row>
    <row r="351" spans="1:58" s="161" customFormat="1" ht="24" customHeight="1">
      <c r="A351" s="179"/>
      <c r="B351" s="180" t="s">
        <v>694</v>
      </c>
      <c r="C351" s="181"/>
      <c r="D351" s="194">
        <v>10282916</v>
      </c>
      <c r="E351" s="182"/>
      <c r="F351" s="131" t="s">
        <v>658</v>
      </c>
      <c r="G351" s="183">
        <v>44753</v>
      </c>
      <c r="H351" s="183">
        <v>44753</v>
      </c>
      <c r="I351" s="184"/>
      <c r="J351" s="183">
        <v>44767</v>
      </c>
      <c r="K351" s="184"/>
      <c r="L351" s="184"/>
      <c r="M351" s="184"/>
      <c r="N351" s="184"/>
      <c r="O351" s="184"/>
      <c r="P351" s="184"/>
      <c r="S351" s="277">
        <f t="shared" si="103"/>
        <v>32</v>
      </c>
      <c r="T351" s="298">
        <v>32</v>
      </c>
      <c r="U351" s="298">
        <v>0</v>
      </c>
      <c r="V351" s="298">
        <v>32</v>
      </c>
      <c r="Z351" s="161" t="s">
        <v>51</v>
      </c>
      <c r="AG351" s="161" t="s">
        <v>53</v>
      </c>
      <c r="AH351" s="161" t="s">
        <v>345</v>
      </c>
      <c r="AL351" s="161" t="s">
        <v>55</v>
      </c>
      <c r="AR351" s="121">
        <f t="shared" si="104"/>
        <v>1</v>
      </c>
      <c r="AS351" s="121" t="str">
        <f t="shared" si="105"/>
        <v>2022_07_11_a</v>
      </c>
      <c r="AT351" s="122"/>
      <c r="AU351" s="121" t="str">
        <f t="shared" si="106"/>
        <v>2022</v>
      </c>
      <c r="AV351" s="121" t="str">
        <f t="shared" si="107"/>
        <v>07</v>
      </c>
      <c r="AW351" s="121" t="str">
        <f t="shared" si="108"/>
        <v>11</v>
      </c>
      <c r="AX351" s="121">
        <f t="shared" si="109"/>
        <v>44753</v>
      </c>
      <c r="AY351" s="123"/>
      <c r="AZ351" s="124">
        <f t="shared" si="110"/>
        <v>44753</v>
      </c>
      <c r="BA351" s="121" t="b">
        <f t="shared" si="111"/>
        <v>1</v>
      </c>
      <c r="BB351" s="121">
        <f t="shared" si="112"/>
        <v>44753</v>
      </c>
      <c r="BC351" s="121" t="str">
        <f t="shared" si="113"/>
        <v>no</v>
      </c>
      <c r="BD351" s="121" t="b">
        <f t="shared" si="114"/>
        <v>0</v>
      </c>
      <c r="BE351" s="125" t="s">
        <v>56</v>
      </c>
    </row>
    <row r="352" spans="1:58" s="161" customFormat="1" ht="24" customHeight="1">
      <c r="A352" s="179"/>
      <c r="B352" s="180" t="s">
        <v>695</v>
      </c>
      <c r="C352" s="181"/>
      <c r="D352" s="194">
        <v>10283860</v>
      </c>
      <c r="E352" s="182"/>
      <c r="F352" s="131" t="s">
        <v>658</v>
      </c>
      <c r="G352" s="183">
        <v>44760</v>
      </c>
      <c r="H352" s="183">
        <v>44760</v>
      </c>
      <c r="I352" s="184"/>
      <c r="J352" s="183">
        <v>44774</v>
      </c>
      <c r="K352" s="184"/>
      <c r="L352" s="184"/>
      <c r="M352" s="184"/>
      <c r="N352" s="184"/>
      <c r="O352" s="184"/>
      <c r="P352" s="184"/>
      <c r="S352" s="277">
        <f t="shared" si="103"/>
        <v>8</v>
      </c>
      <c r="T352" s="298">
        <v>8</v>
      </c>
      <c r="U352" s="298">
        <v>0</v>
      </c>
      <c r="V352" s="298">
        <v>8</v>
      </c>
      <c r="Z352" s="161" t="s">
        <v>51</v>
      </c>
      <c r="AG352" s="161" t="s">
        <v>53</v>
      </c>
      <c r="AH352" s="161" t="s">
        <v>54</v>
      </c>
      <c r="AL352" s="161" t="s">
        <v>55</v>
      </c>
      <c r="AR352" s="121">
        <f t="shared" si="104"/>
        <v>1</v>
      </c>
      <c r="AS352" s="121" t="str">
        <f t="shared" si="105"/>
        <v>2022_07_18_a</v>
      </c>
      <c r="AT352" s="122"/>
      <c r="AU352" s="121" t="str">
        <f t="shared" si="106"/>
        <v>2022</v>
      </c>
      <c r="AV352" s="121" t="str">
        <f t="shared" si="107"/>
        <v>07</v>
      </c>
      <c r="AW352" s="121" t="str">
        <f t="shared" si="108"/>
        <v>18</v>
      </c>
      <c r="AX352" s="121">
        <f t="shared" si="109"/>
        <v>44760</v>
      </c>
      <c r="AY352" s="123"/>
      <c r="AZ352" s="124">
        <f t="shared" si="110"/>
        <v>44760</v>
      </c>
      <c r="BA352" s="121" t="b">
        <f t="shared" si="111"/>
        <v>1</v>
      </c>
      <c r="BB352" s="121">
        <f t="shared" si="112"/>
        <v>44760</v>
      </c>
      <c r="BC352" s="121" t="str">
        <f t="shared" si="113"/>
        <v>no</v>
      </c>
      <c r="BD352" s="121" t="b">
        <f t="shared" si="114"/>
        <v>0</v>
      </c>
      <c r="BE352" s="125" t="s">
        <v>56</v>
      </c>
    </row>
    <row r="353" spans="1:59" s="127" customFormat="1" ht="24" customHeight="1">
      <c r="A353" s="179"/>
      <c r="B353" s="180" t="s">
        <v>696</v>
      </c>
      <c r="C353" s="178"/>
      <c r="D353" s="186" t="s">
        <v>660</v>
      </c>
      <c r="E353" s="204"/>
      <c r="F353" s="205" t="s">
        <v>697</v>
      </c>
      <c r="G353" s="206">
        <v>44768</v>
      </c>
      <c r="H353" s="207">
        <v>44768</v>
      </c>
      <c r="I353" s="208"/>
      <c r="J353" s="207">
        <v>44781</v>
      </c>
      <c r="K353" s="208"/>
      <c r="L353" s="208"/>
      <c r="M353" s="208"/>
      <c r="N353" s="208"/>
      <c r="O353" s="208"/>
      <c r="P353" s="208"/>
      <c r="Q353" s="178"/>
      <c r="R353" s="178"/>
      <c r="S353" s="277">
        <f t="shared" si="103"/>
        <v>2</v>
      </c>
      <c r="T353" s="297">
        <v>2</v>
      </c>
      <c r="U353" s="297">
        <v>0</v>
      </c>
      <c r="V353" s="297">
        <v>2</v>
      </c>
      <c r="W353" s="178"/>
      <c r="X353" s="178"/>
      <c r="Y353" s="178"/>
      <c r="Z353" s="209" t="s">
        <v>51</v>
      </c>
      <c r="AA353" s="178"/>
      <c r="AB353" s="178"/>
      <c r="AC353" s="178"/>
      <c r="AD353" s="178"/>
      <c r="AE353" s="178"/>
      <c r="AF353" s="178"/>
      <c r="AG353" s="209" t="s">
        <v>53</v>
      </c>
      <c r="AH353" s="161" t="s">
        <v>54</v>
      </c>
      <c r="AI353" s="178"/>
      <c r="AJ353" s="178"/>
      <c r="AK353" s="178"/>
      <c r="AL353" s="209" t="s">
        <v>55</v>
      </c>
      <c r="AM353" s="178"/>
      <c r="AN353" s="178"/>
      <c r="AO353" s="178"/>
      <c r="AP353" s="178"/>
      <c r="AQ353" s="178"/>
      <c r="AR353" s="121">
        <f t="shared" si="104"/>
        <v>1</v>
      </c>
      <c r="AS353" s="121" t="str">
        <f t="shared" si="105"/>
        <v>2022_07_26_a</v>
      </c>
      <c r="AT353" s="122"/>
      <c r="AU353" s="121" t="str">
        <f t="shared" si="106"/>
        <v>2022</v>
      </c>
      <c r="AV353" s="121" t="str">
        <f t="shared" si="107"/>
        <v>07</v>
      </c>
      <c r="AW353" s="121" t="str">
        <f t="shared" si="108"/>
        <v>26</v>
      </c>
      <c r="AX353" s="121">
        <f t="shared" si="109"/>
        <v>44768</v>
      </c>
      <c r="AY353" s="123"/>
      <c r="AZ353" s="124">
        <f t="shared" si="110"/>
        <v>44768</v>
      </c>
      <c r="BA353" s="121" t="b">
        <f t="shared" si="111"/>
        <v>1</v>
      </c>
      <c r="BB353" s="121">
        <f t="shared" si="112"/>
        <v>44768</v>
      </c>
      <c r="BC353" s="121" t="str">
        <f t="shared" si="113"/>
        <v>no</v>
      </c>
      <c r="BD353" s="121" t="b">
        <f t="shared" si="114"/>
        <v>0</v>
      </c>
      <c r="BE353" s="125" t="s">
        <v>56</v>
      </c>
      <c r="BF353" s="161"/>
      <c r="BG353" s="182"/>
    </row>
    <row r="354" spans="1:59" s="127" customFormat="1" ht="24" customHeight="1">
      <c r="A354" s="179"/>
      <c r="B354" s="177" t="s">
        <v>698</v>
      </c>
      <c r="C354" s="169"/>
      <c r="D354" s="194">
        <v>10292876</v>
      </c>
      <c r="E354" s="170"/>
      <c r="F354" s="164" t="s">
        <v>658</v>
      </c>
      <c r="G354" s="165">
        <v>44781</v>
      </c>
      <c r="H354" s="165">
        <v>44781</v>
      </c>
      <c r="I354" s="129"/>
      <c r="J354" s="165">
        <v>44795</v>
      </c>
      <c r="K354" s="129"/>
      <c r="L354" s="129"/>
      <c r="M354" s="129"/>
      <c r="N354" s="129"/>
      <c r="O354" s="129"/>
      <c r="P354" s="129"/>
      <c r="S354" s="277">
        <f t="shared" si="103"/>
        <v>17</v>
      </c>
      <c r="T354" s="298">
        <v>17</v>
      </c>
      <c r="U354" s="298">
        <v>1</v>
      </c>
      <c r="V354" s="298">
        <v>16</v>
      </c>
      <c r="Z354" s="127" t="s">
        <v>51</v>
      </c>
      <c r="AG354" s="120" t="s">
        <v>53</v>
      </c>
      <c r="AH354" s="127" t="s">
        <v>54</v>
      </c>
      <c r="AL354" s="127" t="s">
        <v>55</v>
      </c>
      <c r="AR354" s="121">
        <f t="shared" si="104"/>
        <v>1</v>
      </c>
      <c r="AS354" s="121" t="str">
        <f t="shared" si="105"/>
        <v>2022_08_08_a</v>
      </c>
      <c r="AT354" s="122"/>
      <c r="AU354" s="121" t="str">
        <f t="shared" si="106"/>
        <v>2022</v>
      </c>
      <c r="AV354" s="121" t="str">
        <f t="shared" si="107"/>
        <v>08</v>
      </c>
      <c r="AW354" s="121" t="str">
        <f t="shared" si="108"/>
        <v>08</v>
      </c>
      <c r="AX354" s="121">
        <f t="shared" si="109"/>
        <v>44781</v>
      </c>
      <c r="AY354" s="123"/>
      <c r="AZ354" s="124">
        <f t="shared" si="110"/>
        <v>44781</v>
      </c>
      <c r="BA354" s="121" t="b">
        <f t="shared" si="111"/>
        <v>1</v>
      </c>
      <c r="BB354" s="121">
        <f t="shared" si="112"/>
        <v>44781</v>
      </c>
      <c r="BC354" s="121" t="str">
        <f t="shared" si="113"/>
        <v>no</v>
      </c>
      <c r="BD354" s="121" t="b">
        <f t="shared" si="114"/>
        <v>0</v>
      </c>
      <c r="BE354" s="125" t="s">
        <v>56</v>
      </c>
      <c r="BF354" s="116"/>
    </row>
    <row r="355" spans="1:59" s="127" customFormat="1" ht="24" customHeight="1">
      <c r="A355" s="167"/>
      <c r="B355" s="177" t="s">
        <v>699</v>
      </c>
      <c r="C355" s="169"/>
      <c r="D355" s="194">
        <v>10289364</v>
      </c>
      <c r="E355" s="170"/>
      <c r="F355" s="164" t="s">
        <v>658</v>
      </c>
      <c r="G355" s="165">
        <v>44788</v>
      </c>
      <c r="H355" s="165">
        <v>44788</v>
      </c>
      <c r="I355" s="129"/>
      <c r="J355" s="165">
        <v>44802</v>
      </c>
      <c r="K355" s="129"/>
      <c r="L355" s="129"/>
      <c r="M355" s="129"/>
      <c r="N355" s="129"/>
      <c r="O355" s="129"/>
      <c r="P355" s="129"/>
      <c r="S355" s="277">
        <f t="shared" si="103"/>
        <v>29</v>
      </c>
      <c r="T355" s="298">
        <v>29</v>
      </c>
      <c r="U355" s="298">
        <v>0</v>
      </c>
      <c r="V355" s="298">
        <v>29</v>
      </c>
      <c r="Z355" s="127" t="s">
        <v>51</v>
      </c>
      <c r="AG355" s="120" t="s">
        <v>53</v>
      </c>
      <c r="AH355" s="127" t="s">
        <v>54</v>
      </c>
      <c r="AL355" s="127" t="s">
        <v>55</v>
      </c>
      <c r="AR355" s="121">
        <f t="shared" si="104"/>
        <v>1</v>
      </c>
      <c r="AS355" s="121" t="str">
        <f t="shared" si="105"/>
        <v>2022_08_15_a</v>
      </c>
      <c r="AT355" s="122"/>
      <c r="AU355" s="121" t="str">
        <f t="shared" si="106"/>
        <v>2022</v>
      </c>
      <c r="AV355" s="121" t="str">
        <f t="shared" si="107"/>
        <v>08</v>
      </c>
      <c r="AW355" s="121" t="str">
        <f t="shared" si="108"/>
        <v>15</v>
      </c>
      <c r="AX355" s="121">
        <f t="shared" si="109"/>
        <v>44788</v>
      </c>
      <c r="AY355" s="123"/>
      <c r="AZ355" s="124">
        <f t="shared" si="110"/>
        <v>44788</v>
      </c>
      <c r="BA355" s="121" t="b">
        <f t="shared" si="111"/>
        <v>1</v>
      </c>
      <c r="BB355" s="121">
        <f t="shared" si="112"/>
        <v>44788</v>
      </c>
      <c r="BC355" s="121" t="str">
        <f t="shared" si="113"/>
        <v>no</v>
      </c>
      <c r="BD355" s="121" t="b">
        <f t="shared" si="114"/>
        <v>0</v>
      </c>
      <c r="BE355" s="125" t="s">
        <v>56</v>
      </c>
      <c r="BF355" s="116"/>
    </row>
    <row r="356" spans="1:59" s="161" customFormat="1" ht="24" customHeight="1">
      <c r="A356" s="167"/>
      <c r="B356" s="180" t="s">
        <v>700</v>
      </c>
      <c r="C356" s="181"/>
      <c r="D356" s="194" t="s">
        <v>660</v>
      </c>
      <c r="E356" s="182"/>
      <c r="F356" s="131" t="s">
        <v>658</v>
      </c>
      <c r="G356" s="183">
        <v>44788</v>
      </c>
      <c r="H356" s="183">
        <v>44788</v>
      </c>
      <c r="I356" s="184"/>
      <c r="J356" s="183">
        <v>44788</v>
      </c>
      <c r="K356" s="184"/>
      <c r="L356" s="184"/>
      <c r="M356" s="184"/>
      <c r="N356" s="184"/>
      <c r="O356" s="184"/>
      <c r="P356" s="184"/>
      <c r="S356" s="277">
        <f t="shared" si="103"/>
        <v>1</v>
      </c>
      <c r="T356" s="298">
        <v>1</v>
      </c>
      <c r="U356" s="298">
        <v>0</v>
      </c>
      <c r="V356" s="298">
        <v>1</v>
      </c>
      <c r="Z356" s="161" t="s">
        <v>51</v>
      </c>
      <c r="AG356" s="161" t="s">
        <v>53</v>
      </c>
      <c r="AH356" s="161" t="s">
        <v>54</v>
      </c>
      <c r="AL356" s="161" t="s">
        <v>55</v>
      </c>
      <c r="AM356" s="161" t="s">
        <v>661</v>
      </c>
      <c r="AR356" s="121">
        <f t="shared" si="104"/>
        <v>1</v>
      </c>
      <c r="AS356" s="121" t="str">
        <f t="shared" si="105"/>
        <v>2022_08_15_b</v>
      </c>
      <c r="AT356" s="122"/>
      <c r="AU356" s="121" t="str">
        <f t="shared" si="106"/>
        <v>2022</v>
      </c>
      <c r="AV356" s="121" t="str">
        <f t="shared" si="107"/>
        <v>08</v>
      </c>
      <c r="AW356" s="121" t="str">
        <f t="shared" si="108"/>
        <v>15</v>
      </c>
      <c r="AX356" s="121">
        <f t="shared" si="109"/>
        <v>44788</v>
      </c>
      <c r="AY356" s="123"/>
      <c r="AZ356" s="124">
        <f t="shared" si="110"/>
        <v>44788</v>
      </c>
      <c r="BA356" s="121" t="b">
        <f t="shared" si="111"/>
        <v>1</v>
      </c>
      <c r="BB356" s="121" t="str">
        <f t="shared" si="112"/>
        <v xml:space="preserve"> </v>
      </c>
      <c r="BC356" s="121" t="str">
        <f t="shared" si="113"/>
        <v>yes</v>
      </c>
      <c r="BD356" s="121" t="b">
        <f t="shared" si="114"/>
        <v>0</v>
      </c>
      <c r="BE356" s="125" t="s">
        <v>56</v>
      </c>
    </row>
    <row r="357" spans="1:59" s="127" customFormat="1" ht="24" customHeight="1">
      <c r="A357" s="179"/>
      <c r="B357" s="177" t="s">
        <v>701</v>
      </c>
      <c r="C357" s="169"/>
      <c r="D357" s="194">
        <v>10297275</v>
      </c>
      <c r="E357" s="170"/>
      <c r="F357" s="164" t="s">
        <v>658</v>
      </c>
      <c r="G357" s="165">
        <v>44816</v>
      </c>
      <c r="H357" s="165">
        <v>44816</v>
      </c>
      <c r="I357" s="129"/>
      <c r="J357" s="165">
        <v>44830</v>
      </c>
      <c r="K357" s="129"/>
      <c r="L357" s="129"/>
      <c r="M357" s="129"/>
      <c r="N357" s="129"/>
      <c r="O357" s="129"/>
      <c r="P357" s="129"/>
      <c r="R357" s="200" t="s">
        <v>702</v>
      </c>
      <c r="S357" s="277">
        <f t="shared" si="103"/>
        <v>60</v>
      </c>
      <c r="T357" s="298">
        <v>60</v>
      </c>
      <c r="U357" s="298">
        <v>0</v>
      </c>
      <c r="V357" s="298">
        <v>60</v>
      </c>
      <c r="Z357" s="127" t="s">
        <v>51</v>
      </c>
      <c r="AG357" s="120" t="s">
        <v>53</v>
      </c>
      <c r="AH357" s="127" t="s">
        <v>54</v>
      </c>
      <c r="AL357" s="127" t="s">
        <v>55</v>
      </c>
      <c r="AR357" s="121">
        <f t="shared" si="104"/>
        <v>1</v>
      </c>
      <c r="AS357" s="121" t="str">
        <f t="shared" si="105"/>
        <v>2022_09_12_a</v>
      </c>
      <c r="AT357" s="122"/>
      <c r="AU357" s="121" t="str">
        <f t="shared" si="106"/>
        <v>2022</v>
      </c>
      <c r="AV357" s="121" t="str">
        <f t="shared" si="107"/>
        <v>09</v>
      </c>
      <c r="AW357" s="121" t="str">
        <f t="shared" si="108"/>
        <v>12</v>
      </c>
      <c r="AX357" s="121">
        <f t="shared" si="109"/>
        <v>44816</v>
      </c>
      <c r="AY357" s="123"/>
      <c r="AZ357" s="124">
        <f t="shared" si="110"/>
        <v>44816</v>
      </c>
      <c r="BA357" s="121" t="b">
        <f t="shared" si="111"/>
        <v>1</v>
      </c>
      <c r="BB357" s="121">
        <f t="shared" si="112"/>
        <v>44816</v>
      </c>
      <c r="BC357" s="121" t="str">
        <f t="shared" si="113"/>
        <v>no</v>
      </c>
      <c r="BD357" s="121" t="b">
        <f t="shared" si="114"/>
        <v>0</v>
      </c>
      <c r="BE357" s="125" t="s">
        <v>56</v>
      </c>
      <c r="BF357" s="116"/>
    </row>
    <row r="358" spans="1:59" s="161" customFormat="1" ht="24" customHeight="1">
      <c r="A358" s="167"/>
      <c r="B358" s="180" t="s">
        <v>703</v>
      </c>
      <c r="C358" s="181"/>
      <c r="D358" s="194" t="s">
        <v>660</v>
      </c>
      <c r="E358" s="182"/>
      <c r="F358" s="131" t="s">
        <v>658</v>
      </c>
      <c r="G358" s="183">
        <v>44872</v>
      </c>
      <c r="H358" s="183">
        <v>44851</v>
      </c>
      <c r="I358" s="184"/>
      <c r="J358" s="183">
        <v>44851</v>
      </c>
      <c r="K358" s="184"/>
      <c r="L358" s="184"/>
      <c r="M358" s="184"/>
      <c r="N358" s="184"/>
      <c r="O358" s="184"/>
      <c r="P358" s="184"/>
      <c r="S358" s="277">
        <f t="shared" si="103"/>
        <v>2</v>
      </c>
      <c r="T358" s="298">
        <v>2</v>
      </c>
      <c r="U358" s="298">
        <v>0</v>
      </c>
      <c r="V358" s="298">
        <v>2</v>
      </c>
      <c r="Z358" s="161" t="s">
        <v>51</v>
      </c>
      <c r="AG358" s="161" t="s">
        <v>53</v>
      </c>
      <c r="AH358" s="161" t="s">
        <v>54</v>
      </c>
      <c r="AL358" s="161" t="s">
        <v>55</v>
      </c>
      <c r="AR358" s="121">
        <f t="shared" si="104"/>
        <v>1</v>
      </c>
      <c r="AS358" s="121" t="str">
        <f t="shared" si="105"/>
        <v>2022_10_17_a</v>
      </c>
      <c r="AT358" s="122"/>
      <c r="AU358" s="121" t="str">
        <f t="shared" si="106"/>
        <v>2022</v>
      </c>
      <c r="AV358" s="121" t="str">
        <f t="shared" si="107"/>
        <v>10</v>
      </c>
      <c r="AW358" s="121" t="str">
        <f t="shared" si="108"/>
        <v>17</v>
      </c>
      <c r="AX358" s="121">
        <f t="shared" si="109"/>
        <v>44851</v>
      </c>
      <c r="AY358" s="123"/>
      <c r="AZ358" s="124">
        <f t="shared" si="110"/>
        <v>44851</v>
      </c>
      <c r="BA358" s="121" t="b">
        <f t="shared" si="111"/>
        <v>1</v>
      </c>
      <c r="BB358" s="121">
        <f t="shared" si="112"/>
        <v>44851</v>
      </c>
      <c r="BC358" s="121" t="str">
        <f t="shared" si="113"/>
        <v>no</v>
      </c>
      <c r="BD358" s="121" t="b">
        <f t="shared" si="114"/>
        <v>0</v>
      </c>
      <c r="BE358" s="125" t="s">
        <v>56</v>
      </c>
    </row>
    <row r="359" spans="1:59" s="161" customFormat="1" ht="24" customHeight="1">
      <c r="A359" s="179"/>
      <c r="B359" s="180" t="s">
        <v>704</v>
      </c>
      <c r="C359" s="181"/>
      <c r="D359" s="194" t="s">
        <v>660</v>
      </c>
      <c r="E359" s="182"/>
      <c r="F359" s="131" t="s">
        <v>658</v>
      </c>
      <c r="G359" s="183">
        <v>44872</v>
      </c>
      <c r="H359" s="183">
        <v>44872</v>
      </c>
      <c r="I359" s="184"/>
      <c r="J359" s="183">
        <v>44872</v>
      </c>
      <c r="K359" s="184"/>
      <c r="L359" s="184"/>
      <c r="M359" s="184"/>
      <c r="N359" s="184"/>
      <c r="O359" s="184"/>
      <c r="P359" s="184"/>
      <c r="S359" s="277">
        <f t="shared" ref="S359" si="115">U359+V359</f>
        <v>1</v>
      </c>
      <c r="T359" s="298">
        <v>1</v>
      </c>
      <c r="U359" s="298">
        <v>0</v>
      </c>
      <c r="V359" s="298">
        <v>1</v>
      </c>
      <c r="Z359" s="161" t="s">
        <v>51</v>
      </c>
      <c r="AG359" s="161" t="s">
        <v>53</v>
      </c>
      <c r="AH359" s="161" t="s">
        <v>54</v>
      </c>
      <c r="AL359" s="161" t="s">
        <v>55</v>
      </c>
      <c r="AM359" s="161" t="s">
        <v>661</v>
      </c>
      <c r="AR359" s="121">
        <f t="shared" si="104"/>
        <v>1</v>
      </c>
      <c r="AS359" s="121" t="str">
        <f t="shared" si="105"/>
        <v>2022_11_07_a</v>
      </c>
      <c r="AT359" s="122"/>
      <c r="AU359" s="121" t="str">
        <f t="shared" si="106"/>
        <v>2022</v>
      </c>
      <c r="AV359" s="121" t="str">
        <f t="shared" si="107"/>
        <v>11</v>
      </c>
      <c r="AW359" s="121" t="str">
        <f t="shared" si="108"/>
        <v>07</v>
      </c>
      <c r="AX359" s="121">
        <f t="shared" si="109"/>
        <v>44872</v>
      </c>
      <c r="AY359" s="123"/>
      <c r="AZ359" s="124">
        <f t="shared" si="110"/>
        <v>44872</v>
      </c>
      <c r="BA359" s="121" t="b">
        <f t="shared" si="111"/>
        <v>1</v>
      </c>
      <c r="BB359" s="121" t="str">
        <f t="shared" si="112"/>
        <v xml:space="preserve"> </v>
      </c>
      <c r="BC359" s="121" t="str">
        <f t="shared" si="113"/>
        <v>yes</v>
      </c>
      <c r="BD359" s="121" t="b">
        <f t="shared" si="114"/>
        <v>0</v>
      </c>
      <c r="BE359" s="125" t="s">
        <v>56</v>
      </c>
    </row>
    <row r="360" spans="1:59" s="127" customFormat="1" ht="24" customHeight="1">
      <c r="A360" s="179"/>
      <c r="B360" s="177" t="s">
        <v>705</v>
      </c>
      <c r="C360" s="169"/>
      <c r="D360" s="194">
        <v>10310866</v>
      </c>
      <c r="E360" s="170"/>
      <c r="F360" s="164" t="s">
        <v>658</v>
      </c>
      <c r="G360" s="165">
        <v>44900</v>
      </c>
      <c r="H360" s="165">
        <v>44900</v>
      </c>
      <c r="I360" s="129"/>
      <c r="J360" s="165">
        <v>44914</v>
      </c>
      <c r="K360" s="129"/>
      <c r="L360" s="129"/>
      <c r="M360" s="129"/>
      <c r="N360" s="129"/>
      <c r="O360" s="129"/>
      <c r="P360" s="129"/>
      <c r="S360" s="277">
        <f t="shared" si="103"/>
        <v>60</v>
      </c>
      <c r="T360" s="298">
        <v>60</v>
      </c>
      <c r="U360" s="298">
        <v>0</v>
      </c>
      <c r="V360" s="298">
        <v>60</v>
      </c>
      <c r="Z360" s="127" t="s">
        <v>51</v>
      </c>
      <c r="AG360" s="120" t="s">
        <v>53</v>
      </c>
      <c r="AH360" s="127" t="s">
        <v>54</v>
      </c>
      <c r="AL360" s="127" t="s">
        <v>55</v>
      </c>
      <c r="AR360" s="121">
        <f t="shared" si="104"/>
        <v>1</v>
      </c>
      <c r="AS360" s="121" t="str">
        <f t="shared" si="105"/>
        <v>2022_12_05_a</v>
      </c>
      <c r="AT360" s="122"/>
      <c r="AU360" s="121" t="str">
        <f t="shared" si="106"/>
        <v>2022</v>
      </c>
      <c r="AV360" s="121" t="str">
        <f t="shared" si="107"/>
        <v>12</v>
      </c>
      <c r="AW360" s="121" t="str">
        <f t="shared" si="108"/>
        <v>05</v>
      </c>
      <c r="AX360" s="121">
        <f t="shared" si="109"/>
        <v>44900</v>
      </c>
      <c r="AY360" s="123"/>
      <c r="AZ360" s="124">
        <f t="shared" si="110"/>
        <v>44900</v>
      </c>
      <c r="BA360" s="121" t="b">
        <f t="shared" si="111"/>
        <v>1</v>
      </c>
      <c r="BB360" s="121">
        <f t="shared" si="112"/>
        <v>44900</v>
      </c>
      <c r="BC360" s="121" t="str">
        <f t="shared" si="113"/>
        <v>no</v>
      </c>
      <c r="BD360" s="121" t="b">
        <f t="shared" si="114"/>
        <v>0</v>
      </c>
      <c r="BE360" s="125" t="s">
        <v>56</v>
      </c>
      <c r="BF360" s="116"/>
    </row>
    <row r="361" spans="1:59" s="127" customFormat="1" ht="24" customHeight="1">
      <c r="A361" s="167"/>
      <c r="B361" s="177" t="s">
        <v>706</v>
      </c>
      <c r="C361" s="169"/>
      <c r="D361" s="194"/>
      <c r="E361" s="170"/>
      <c r="F361" s="164" t="s">
        <v>658</v>
      </c>
      <c r="G361" s="165">
        <v>44942</v>
      </c>
      <c r="H361" s="165">
        <v>44942</v>
      </c>
      <c r="I361" s="129"/>
      <c r="J361" s="165">
        <v>44942</v>
      </c>
      <c r="K361" s="129"/>
      <c r="L361" s="129"/>
      <c r="M361" s="129"/>
      <c r="N361" s="129"/>
      <c r="O361" s="129"/>
      <c r="P361" s="129"/>
      <c r="S361" s="277">
        <f t="shared" si="103"/>
        <v>3</v>
      </c>
      <c r="T361" s="298">
        <v>3</v>
      </c>
      <c r="U361" s="298">
        <v>0</v>
      </c>
      <c r="V361" s="298">
        <v>3</v>
      </c>
      <c r="Z361" s="127" t="s">
        <v>51</v>
      </c>
      <c r="AG361" s="120" t="s">
        <v>53</v>
      </c>
      <c r="AH361" s="127" t="s">
        <v>54</v>
      </c>
      <c r="AL361" s="127" t="s">
        <v>55</v>
      </c>
      <c r="AR361" s="121">
        <f t="shared" si="104"/>
        <v>1</v>
      </c>
      <c r="AS361" s="121" t="str">
        <f t="shared" si="105"/>
        <v>2023_01_16_a</v>
      </c>
      <c r="AT361" s="122"/>
      <c r="AU361" s="121" t="str">
        <f t="shared" si="106"/>
        <v>2023</v>
      </c>
      <c r="AV361" s="121" t="str">
        <f t="shared" si="107"/>
        <v>01</v>
      </c>
      <c r="AW361" s="121" t="str">
        <f t="shared" si="108"/>
        <v>16</v>
      </c>
      <c r="AX361" s="121">
        <f t="shared" si="109"/>
        <v>44942</v>
      </c>
      <c r="AY361" s="123"/>
      <c r="AZ361" s="124">
        <f t="shared" si="110"/>
        <v>44942</v>
      </c>
      <c r="BA361" s="121" t="b">
        <f t="shared" si="111"/>
        <v>1</v>
      </c>
      <c r="BB361" s="121">
        <f t="shared" si="112"/>
        <v>44942</v>
      </c>
      <c r="BC361" s="121" t="str">
        <f t="shared" si="113"/>
        <v>no</v>
      </c>
      <c r="BD361" s="121" t="b">
        <f t="shared" si="114"/>
        <v>0</v>
      </c>
      <c r="BE361" s="125" t="s">
        <v>56</v>
      </c>
      <c r="BF361" s="116"/>
    </row>
    <row r="362" spans="1:59" s="161" customFormat="1" ht="24" customHeight="1">
      <c r="A362" s="167"/>
      <c r="B362" s="180" t="s">
        <v>707</v>
      </c>
      <c r="C362" s="181"/>
      <c r="D362" s="339" t="s">
        <v>708</v>
      </c>
      <c r="E362" s="182"/>
      <c r="F362" s="131" t="s">
        <v>658</v>
      </c>
      <c r="G362" s="183">
        <v>44963</v>
      </c>
      <c r="H362" s="183">
        <v>44963</v>
      </c>
      <c r="I362" s="184"/>
      <c r="J362" s="183">
        <v>44977</v>
      </c>
      <c r="K362" s="184"/>
      <c r="L362" s="184"/>
      <c r="M362" s="184"/>
      <c r="N362" s="184"/>
      <c r="O362" s="184"/>
      <c r="P362" s="184"/>
      <c r="S362" s="277">
        <f t="shared" si="103"/>
        <v>1</v>
      </c>
      <c r="T362" s="340">
        <v>1</v>
      </c>
      <c r="U362" s="340">
        <v>0</v>
      </c>
      <c r="V362" s="340">
        <v>1</v>
      </c>
      <c r="Z362" s="161" t="s">
        <v>51</v>
      </c>
      <c r="AG362" s="161" t="s">
        <v>53</v>
      </c>
      <c r="AH362" s="161" t="s">
        <v>54</v>
      </c>
      <c r="AL362" s="161" t="s">
        <v>55</v>
      </c>
      <c r="AR362" s="121">
        <f t="shared" si="104"/>
        <v>1</v>
      </c>
      <c r="AS362" s="121" t="str">
        <f t="shared" si="105"/>
        <v>2023_02_06_a</v>
      </c>
      <c r="AT362" s="122"/>
      <c r="AU362" s="121" t="str">
        <f t="shared" si="106"/>
        <v>2023</v>
      </c>
      <c r="AV362" s="121" t="str">
        <f t="shared" si="107"/>
        <v>02</v>
      </c>
      <c r="AW362" s="121" t="str">
        <f t="shared" si="108"/>
        <v>06</v>
      </c>
      <c r="AX362" s="121">
        <f t="shared" si="109"/>
        <v>44963</v>
      </c>
      <c r="AY362" s="123"/>
      <c r="AZ362" s="124">
        <f t="shared" si="110"/>
        <v>44963</v>
      </c>
      <c r="BA362" s="121" t="b">
        <f t="shared" si="111"/>
        <v>1</v>
      </c>
      <c r="BB362" s="121">
        <f t="shared" si="112"/>
        <v>44963</v>
      </c>
      <c r="BC362" s="121" t="str">
        <f t="shared" si="113"/>
        <v>no</v>
      </c>
      <c r="BD362" s="121" t="b">
        <f t="shared" si="114"/>
        <v>0</v>
      </c>
      <c r="BE362" s="125" t="s">
        <v>56</v>
      </c>
    </row>
    <row r="363" spans="1:59" s="161" customFormat="1" ht="24" customHeight="1">
      <c r="A363" s="179"/>
      <c r="B363" s="180" t="s">
        <v>709</v>
      </c>
      <c r="C363" s="181"/>
      <c r="D363" s="339">
        <v>10331048</v>
      </c>
      <c r="E363" s="182"/>
      <c r="F363" s="131" t="s">
        <v>658</v>
      </c>
      <c r="G363" s="183">
        <v>44970</v>
      </c>
      <c r="H363" s="183">
        <v>44970</v>
      </c>
      <c r="I363" s="184"/>
      <c r="J363" s="183">
        <v>44984</v>
      </c>
      <c r="K363" s="184"/>
      <c r="L363" s="184"/>
      <c r="M363" s="184"/>
      <c r="N363" s="184"/>
      <c r="O363" s="184"/>
      <c r="P363" s="184"/>
      <c r="S363" s="277">
        <f t="shared" si="103"/>
        <v>11</v>
      </c>
      <c r="T363" s="340">
        <v>11</v>
      </c>
      <c r="U363" s="340">
        <v>0</v>
      </c>
      <c r="V363" s="340">
        <v>11</v>
      </c>
      <c r="Z363" s="161" t="s">
        <v>51</v>
      </c>
      <c r="AG363" s="161" t="s">
        <v>53</v>
      </c>
      <c r="AH363" s="161" t="s">
        <v>345</v>
      </c>
      <c r="AL363" s="161" t="s">
        <v>55</v>
      </c>
      <c r="AR363" s="121">
        <f t="shared" si="104"/>
        <v>1</v>
      </c>
      <c r="AS363" s="121" t="str">
        <f t="shared" si="105"/>
        <v>2023_02_13_a</v>
      </c>
      <c r="AT363" s="122"/>
      <c r="AU363" s="121" t="str">
        <f t="shared" si="106"/>
        <v>2023</v>
      </c>
      <c r="AV363" s="121" t="str">
        <f t="shared" si="107"/>
        <v>02</v>
      </c>
      <c r="AW363" s="121" t="str">
        <f t="shared" si="108"/>
        <v>13</v>
      </c>
      <c r="AX363" s="121">
        <f t="shared" si="109"/>
        <v>44970</v>
      </c>
      <c r="AY363" s="123"/>
      <c r="AZ363" s="124">
        <f t="shared" si="110"/>
        <v>44970</v>
      </c>
      <c r="BA363" s="121" t="b">
        <f t="shared" si="111"/>
        <v>1</v>
      </c>
      <c r="BB363" s="121">
        <f t="shared" si="112"/>
        <v>44970</v>
      </c>
      <c r="BC363" s="121" t="str">
        <f t="shared" si="113"/>
        <v>no</v>
      </c>
      <c r="BD363" s="121" t="b">
        <f t="shared" si="114"/>
        <v>0</v>
      </c>
      <c r="BE363" s="125" t="s">
        <v>56</v>
      </c>
    </row>
    <row r="364" spans="1:59" s="161" customFormat="1" ht="24" customHeight="1">
      <c r="A364" s="179"/>
      <c r="B364" s="180" t="s">
        <v>710</v>
      </c>
      <c r="C364" s="181"/>
      <c r="D364" s="339">
        <v>10337894</v>
      </c>
      <c r="E364" s="182"/>
      <c r="F364" s="131" t="s">
        <v>658</v>
      </c>
      <c r="G364" s="183">
        <v>44984</v>
      </c>
      <c r="H364" s="183">
        <v>44984</v>
      </c>
      <c r="I364" s="184"/>
      <c r="J364" s="183">
        <v>44998</v>
      </c>
      <c r="K364" s="184"/>
      <c r="L364" s="184"/>
      <c r="M364" s="184"/>
      <c r="N364" s="184"/>
      <c r="O364" s="184"/>
      <c r="P364" s="184"/>
      <c r="S364" s="277">
        <f t="shared" si="103"/>
        <v>10</v>
      </c>
      <c r="T364" s="340">
        <v>10</v>
      </c>
      <c r="U364" s="340">
        <v>0</v>
      </c>
      <c r="V364" s="340">
        <v>10</v>
      </c>
      <c r="Z364" s="161" t="s">
        <v>51</v>
      </c>
      <c r="AG364" s="120" t="s">
        <v>53</v>
      </c>
      <c r="AH364" s="161" t="s">
        <v>162</v>
      </c>
      <c r="AL364" s="161" t="s">
        <v>55</v>
      </c>
      <c r="AR364" s="121">
        <f t="shared" si="104"/>
        <v>1</v>
      </c>
      <c r="AS364" s="121" t="str">
        <f t="shared" si="105"/>
        <v>2023_02_27_a</v>
      </c>
      <c r="AT364" s="122"/>
      <c r="AU364" s="121" t="str">
        <f t="shared" si="106"/>
        <v>2023</v>
      </c>
      <c r="AV364" s="121" t="str">
        <f t="shared" si="107"/>
        <v>02</v>
      </c>
      <c r="AW364" s="121" t="str">
        <f t="shared" si="108"/>
        <v>27</v>
      </c>
      <c r="AX364" s="121">
        <f t="shared" si="109"/>
        <v>44984</v>
      </c>
      <c r="AY364" s="123"/>
      <c r="AZ364" s="124">
        <f t="shared" si="110"/>
        <v>44984</v>
      </c>
      <c r="BA364" s="121" t="b">
        <f t="shared" si="111"/>
        <v>1</v>
      </c>
      <c r="BB364" s="121">
        <f t="shared" si="112"/>
        <v>44984</v>
      </c>
      <c r="BC364" s="121" t="str">
        <f t="shared" si="113"/>
        <v>no</v>
      </c>
      <c r="BD364" s="121" t="b">
        <f t="shared" si="114"/>
        <v>0</v>
      </c>
      <c r="BE364" s="125" t="s">
        <v>56</v>
      </c>
    </row>
    <row r="365" spans="1:59" s="127" customFormat="1" ht="24" customHeight="1">
      <c r="A365" s="179"/>
      <c r="B365" s="177" t="s">
        <v>711</v>
      </c>
      <c r="C365" s="169"/>
      <c r="D365" s="194">
        <v>10334757</v>
      </c>
      <c r="E365" s="170"/>
      <c r="F365" s="164" t="s">
        <v>658</v>
      </c>
      <c r="G365" s="165">
        <v>44998</v>
      </c>
      <c r="H365" s="165">
        <v>44998</v>
      </c>
      <c r="I365" s="129"/>
      <c r="J365" s="165">
        <v>45012</v>
      </c>
      <c r="K365" s="129"/>
      <c r="L365" s="129"/>
      <c r="M365" s="129"/>
      <c r="N365" s="129"/>
      <c r="O365" s="129"/>
      <c r="P365" s="129"/>
      <c r="S365" s="277">
        <f t="shared" si="103"/>
        <v>1</v>
      </c>
      <c r="T365" s="298">
        <v>1</v>
      </c>
      <c r="U365" s="298">
        <v>0</v>
      </c>
      <c r="V365" s="298">
        <v>1</v>
      </c>
      <c r="Z365" s="127" t="s">
        <v>51</v>
      </c>
      <c r="AG365" s="127" t="s">
        <v>53</v>
      </c>
      <c r="AH365" s="127" t="s">
        <v>54</v>
      </c>
      <c r="AL365" s="127" t="s">
        <v>55</v>
      </c>
      <c r="AR365" s="121">
        <f t="shared" si="104"/>
        <v>1</v>
      </c>
      <c r="AS365" s="121" t="str">
        <f t="shared" si="105"/>
        <v>2023_03_13_a</v>
      </c>
      <c r="AT365" s="122"/>
      <c r="AU365" s="121" t="str">
        <f t="shared" si="106"/>
        <v>2023</v>
      </c>
      <c r="AV365" s="121" t="str">
        <f t="shared" si="107"/>
        <v>03</v>
      </c>
      <c r="AW365" s="121" t="str">
        <f t="shared" si="108"/>
        <v>13</v>
      </c>
      <c r="AX365" s="121">
        <f t="shared" si="109"/>
        <v>44998</v>
      </c>
      <c r="AY365" s="123"/>
      <c r="AZ365" s="124">
        <f t="shared" si="110"/>
        <v>44998</v>
      </c>
      <c r="BA365" s="121" t="b">
        <f t="shared" si="111"/>
        <v>1</v>
      </c>
      <c r="BB365" s="121">
        <f t="shared" si="112"/>
        <v>44998</v>
      </c>
      <c r="BC365" s="121" t="str">
        <f t="shared" si="113"/>
        <v>no</v>
      </c>
      <c r="BD365" s="121" t="b">
        <f t="shared" si="114"/>
        <v>0</v>
      </c>
      <c r="BE365" s="125" t="s">
        <v>56</v>
      </c>
    </row>
    <row r="366" spans="1:59" s="127" customFormat="1" ht="24" customHeight="1">
      <c r="A366" s="167"/>
      <c r="B366" s="177" t="s">
        <v>712</v>
      </c>
      <c r="C366" s="169"/>
      <c r="D366" s="194">
        <v>10346121</v>
      </c>
      <c r="E366" s="170"/>
      <c r="F366" s="164" t="s">
        <v>658</v>
      </c>
      <c r="G366" s="165">
        <v>45005</v>
      </c>
      <c r="H366" s="165">
        <v>45005</v>
      </c>
      <c r="I366" s="129"/>
      <c r="J366" s="165">
        <v>45019</v>
      </c>
      <c r="K366" s="129"/>
      <c r="L366" s="129"/>
      <c r="M366" s="129"/>
      <c r="N366" s="129"/>
      <c r="O366" s="129"/>
      <c r="P366" s="129"/>
      <c r="S366" s="277">
        <f t="shared" si="103"/>
        <v>22</v>
      </c>
      <c r="T366" s="298">
        <v>22</v>
      </c>
      <c r="U366" s="298">
        <v>0</v>
      </c>
      <c r="V366" s="298">
        <v>22</v>
      </c>
      <c r="Z366" s="127" t="s">
        <v>51</v>
      </c>
      <c r="AG366" s="127" t="s">
        <v>53</v>
      </c>
      <c r="AH366" s="127" t="s">
        <v>345</v>
      </c>
      <c r="AL366" s="127" t="s">
        <v>55</v>
      </c>
      <c r="AR366" s="121">
        <f t="shared" si="104"/>
        <v>1</v>
      </c>
      <c r="AS366" s="121" t="str">
        <f t="shared" si="105"/>
        <v>2023_03_20_a</v>
      </c>
      <c r="AT366" s="122"/>
      <c r="AU366" s="121" t="str">
        <f t="shared" si="106"/>
        <v>2023</v>
      </c>
      <c r="AV366" s="121" t="str">
        <f t="shared" si="107"/>
        <v>03</v>
      </c>
      <c r="AW366" s="121" t="str">
        <f t="shared" si="108"/>
        <v>20</v>
      </c>
      <c r="AX366" s="121">
        <f t="shared" si="109"/>
        <v>45005</v>
      </c>
      <c r="AY366" s="123"/>
      <c r="AZ366" s="124">
        <f t="shared" si="110"/>
        <v>45005</v>
      </c>
      <c r="BA366" s="121" t="b">
        <f t="shared" si="111"/>
        <v>1</v>
      </c>
      <c r="BB366" s="121">
        <f t="shared" si="112"/>
        <v>45005</v>
      </c>
      <c r="BC366" s="121" t="str">
        <f t="shared" si="113"/>
        <v>no</v>
      </c>
      <c r="BD366" s="121" t="b">
        <f t="shared" si="114"/>
        <v>0</v>
      </c>
      <c r="BE366" s="125" t="s">
        <v>56</v>
      </c>
    </row>
    <row r="367" spans="1:59" s="161" customFormat="1" ht="24" customHeight="1">
      <c r="A367" s="167"/>
      <c r="B367" s="180" t="s">
        <v>713</v>
      </c>
      <c r="C367" s="181"/>
      <c r="D367" s="339" t="s">
        <v>660</v>
      </c>
      <c r="E367" s="182"/>
      <c r="F367" s="131" t="s">
        <v>658</v>
      </c>
      <c r="G367" s="183">
        <v>45013</v>
      </c>
      <c r="H367" s="183">
        <v>45013</v>
      </c>
      <c r="I367" s="184"/>
      <c r="J367" s="183">
        <v>45013</v>
      </c>
      <c r="K367" s="184"/>
      <c r="L367" s="184"/>
      <c r="M367" s="184"/>
      <c r="N367" s="184"/>
      <c r="O367" s="184"/>
      <c r="P367" s="184"/>
      <c r="S367" s="277">
        <f t="shared" si="103"/>
        <v>4</v>
      </c>
      <c r="T367" s="340">
        <v>1</v>
      </c>
      <c r="U367" s="340">
        <v>0</v>
      </c>
      <c r="V367" s="340">
        <v>4</v>
      </c>
      <c r="Z367" s="161" t="s">
        <v>51</v>
      </c>
      <c r="AG367" s="161" t="s">
        <v>53</v>
      </c>
      <c r="AH367" s="161" t="s">
        <v>54</v>
      </c>
      <c r="AL367" s="161" t="s">
        <v>55</v>
      </c>
      <c r="AM367" s="161" t="s">
        <v>661</v>
      </c>
      <c r="AR367" s="121">
        <f t="shared" si="104"/>
        <v>1</v>
      </c>
      <c r="AS367" s="121" t="str">
        <f t="shared" si="105"/>
        <v>2023_03_28_a</v>
      </c>
      <c r="AT367" s="122"/>
      <c r="AU367" s="121" t="str">
        <f t="shared" si="106"/>
        <v>2023</v>
      </c>
      <c r="AV367" s="121" t="str">
        <f t="shared" si="107"/>
        <v>03</v>
      </c>
      <c r="AW367" s="121" t="str">
        <f t="shared" si="108"/>
        <v>28</v>
      </c>
      <c r="AX367" s="121">
        <f t="shared" si="109"/>
        <v>45013</v>
      </c>
      <c r="AY367" s="123"/>
      <c r="AZ367" s="124">
        <f t="shared" si="110"/>
        <v>45013</v>
      </c>
      <c r="BA367" s="121" t="b">
        <f t="shared" si="111"/>
        <v>1</v>
      </c>
      <c r="BB367" s="121" t="str">
        <f t="shared" si="112"/>
        <v xml:space="preserve"> </v>
      </c>
      <c r="BC367" s="121" t="str">
        <f t="shared" si="113"/>
        <v>yes</v>
      </c>
      <c r="BD367" s="121" t="b">
        <f t="shared" si="114"/>
        <v>0</v>
      </c>
      <c r="BE367" s="125" t="s">
        <v>56</v>
      </c>
    </row>
    <row r="368" spans="1:59" s="161" customFormat="1" ht="24" customHeight="1">
      <c r="A368" s="179"/>
      <c r="B368" s="180" t="s">
        <v>714</v>
      </c>
      <c r="C368" s="181"/>
      <c r="D368" s="339" t="s">
        <v>660</v>
      </c>
      <c r="E368" s="182"/>
      <c r="F368" s="131" t="s">
        <v>658</v>
      </c>
      <c r="G368" s="183">
        <v>45019</v>
      </c>
      <c r="H368" s="183">
        <v>45019</v>
      </c>
      <c r="I368" s="184"/>
      <c r="J368" s="183">
        <v>45019</v>
      </c>
      <c r="K368" s="184"/>
      <c r="L368" s="184"/>
      <c r="M368" s="184"/>
      <c r="N368" s="184"/>
      <c r="O368" s="184"/>
      <c r="P368" s="184"/>
      <c r="S368" s="277">
        <f t="shared" ref="S368:S370" si="116">U368+V368</f>
        <v>3</v>
      </c>
      <c r="T368" s="340">
        <v>1</v>
      </c>
      <c r="U368" s="340">
        <v>0</v>
      </c>
      <c r="V368" s="340">
        <v>3</v>
      </c>
      <c r="Z368" s="161" t="s">
        <v>51</v>
      </c>
      <c r="AG368" s="161" t="s">
        <v>53</v>
      </c>
      <c r="AH368" s="161" t="s">
        <v>54</v>
      </c>
      <c r="AL368" s="161" t="s">
        <v>55</v>
      </c>
      <c r="AM368" s="161" t="s">
        <v>661</v>
      </c>
      <c r="AR368" s="121">
        <f t="shared" si="104"/>
        <v>1</v>
      </c>
      <c r="AS368" s="121" t="str">
        <f t="shared" si="105"/>
        <v>2023_04_03_a</v>
      </c>
      <c r="AT368" s="122"/>
      <c r="AU368" s="121" t="str">
        <f t="shared" si="106"/>
        <v>2023</v>
      </c>
      <c r="AV368" s="121" t="str">
        <f t="shared" si="107"/>
        <v>04</v>
      </c>
      <c r="AW368" s="121" t="str">
        <f t="shared" si="108"/>
        <v>03</v>
      </c>
      <c r="AX368" s="121">
        <f t="shared" si="109"/>
        <v>45019</v>
      </c>
      <c r="AY368" s="123"/>
      <c r="AZ368" s="124">
        <f t="shared" si="110"/>
        <v>45019</v>
      </c>
      <c r="BA368" s="121" t="b">
        <f t="shared" si="111"/>
        <v>1</v>
      </c>
      <c r="BB368" s="121" t="str">
        <f t="shared" si="112"/>
        <v xml:space="preserve"> </v>
      </c>
      <c r="BC368" s="121" t="str">
        <f t="shared" si="113"/>
        <v>yes</v>
      </c>
      <c r="BD368" s="121" t="b">
        <f t="shared" si="114"/>
        <v>0</v>
      </c>
      <c r="BE368" s="125" t="s">
        <v>56</v>
      </c>
    </row>
    <row r="369" spans="1:58" s="161" customFormat="1" ht="24" customHeight="1">
      <c r="A369" s="179"/>
      <c r="B369" s="180" t="s">
        <v>715</v>
      </c>
      <c r="C369" s="181"/>
      <c r="D369" s="339" t="s">
        <v>660</v>
      </c>
      <c r="E369" s="182"/>
      <c r="F369" s="131" t="s">
        <v>658</v>
      </c>
      <c r="G369" s="183">
        <v>45047</v>
      </c>
      <c r="H369" s="183">
        <v>45047</v>
      </c>
      <c r="I369" s="184"/>
      <c r="J369" s="183">
        <v>45047</v>
      </c>
      <c r="K369" s="184"/>
      <c r="L369" s="184"/>
      <c r="M369" s="184"/>
      <c r="N369" s="184"/>
      <c r="O369" s="184"/>
      <c r="P369" s="184"/>
      <c r="S369" s="277">
        <f t="shared" si="116"/>
        <v>2</v>
      </c>
      <c r="T369" s="340">
        <v>2</v>
      </c>
      <c r="U369" s="340">
        <v>0</v>
      </c>
      <c r="V369" s="340">
        <v>2</v>
      </c>
      <c r="Z369" s="161" t="s">
        <v>51</v>
      </c>
      <c r="AG369" s="161" t="s">
        <v>53</v>
      </c>
      <c r="AH369" s="161" t="s">
        <v>54</v>
      </c>
      <c r="AL369" s="161" t="s">
        <v>55</v>
      </c>
      <c r="AM369" s="161" t="s">
        <v>661</v>
      </c>
      <c r="AR369" s="121">
        <f t="shared" si="104"/>
        <v>1</v>
      </c>
      <c r="AS369" s="121" t="str">
        <f t="shared" si="105"/>
        <v>2023_05_01_a</v>
      </c>
      <c r="AT369" s="122"/>
      <c r="AU369" s="121" t="str">
        <f t="shared" si="106"/>
        <v>2023</v>
      </c>
      <c r="AV369" s="121" t="str">
        <f t="shared" si="107"/>
        <v>05</v>
      </c>
      <c r="AW369" s="121" t="str">
        <f t="shared" si="108"/>
        <v>01</v>
      </c>
      <c r="AX369" s="121">
        <f t="shared" si="109"/>
        <v>45047</v>
      </c>
      <c r="AY369" s="123"/>
      <c r="AZ369" s="124">
        <f t="shared" si="110"/>
        <v>45047</v>
      </c>
      <c r="BA369" s="121" t="b">
        <f t="shared" si="111"/>
        <v>1</v>
      </c>
      <c r="BB369" s="121" t="str">
        <f t="shared" si="112"/>
        <v xml:space="preserve"> </v>
      </c>
      <c r="BC369" s="121" t="str">
        <f t="shared" si="113"/>
        <v>yes</v>
      </c>
      <c r="BD369" s="121" t="b">
        <f t="shared" si="114"/>
        <v>0</v>
      </c>
      <c r="BE369" s="125" t="s">
        <v>56</v>
      </c>
    </row>
    <row r="370" spans="1:58" s="161" customFormat="1" ht="24" customHeight="1">
      <c r="A370" s="179"/>
      <c r="B370" s="180" t="s">
        <v>716</v>
      </c>
      <c r="C370" s="181"/>
      <c r="D370" s="339" t="s">
        <v>660</v>
      </c>
      <c r="E370" s="182"/>
      <c r="F370" s="131" t="s">
        <v>658</v>
      </c>
      <c r="G370" s="183">
        <v>45083</v>
      </c>
      <c r="H370" s="183">
        <v>45083</v>
      </c>
      <c r="I370" s="184"/>
      <c r="J370" s="183">
        <v>45097</v>
      </c>
      <c r="K370" s="184"/>
      <c r="L370" s="184"/>
      <c r="M370" s="184"/>
      <c r="N370" s="184"/>
      <c r="O370" s="184"/>
      <c r="P370" s="184"/>
      <c r="S370" s="277">
        <f t="shared" si="116"/>
        <v>1</v>
      </c>
      <c r="T370" s="340">
        <v>1</v>
      </c>
      <c r="U370" s="340">
        <v>0</v>
      </c>
      <c r="V370" s="340">
        <v>1</v>
      </c>
      <c r="Z370" s="161" t="s">
        <v>51</v>
      </c>
      <c r="AG370" s="161" t="s">
        <v>53</v>
      </c>
      <c r="AH370" s="161" t="s">
        <v>54</v>
      </c>
      <c r="AL370" s="161" t="s">
        <v>55</v>
      </c>
      <c r="AM370" s="161" t="s">
        <v>661</v>
      </c>
      <c r="AR370" s="121">
        <f t="shared" si="104"/>
        <v>1</v>
      </c>
      <c r="AS370" s="121" t="str">
        <f t="shared" ref="AS370" si="117">IFERROR(RIGHT(B370,16-SEARCH("_", B370)),0)</f>
        <v>2023_06_06_a</v>
      </c>
      <c r="AT370" s="122"/>
      <c r="AU370" s="121" t="str">
        <f t="shared" ref="AU370" si="118">LEFT(AS370,4)</f>
        <v>2023</v>
      </c>
      <c r="AV370" s="121" t="str">
        <f t="shared" ref="AV370" si="119">MID(AS370,6,2)</f>
        <v>06</v>
      </c>
      <c r="AW370" s="121" t="str">
        <f t="shared" ref="AW370" si="120">MID(AS370,9,2)</f>
        <v>06</v>
      </c>
      <c r="AX370" s="121">
        <f t="shared" ref="AX370" si="121">IFERROR(DATE(AU370,AV370,AW370)," ")</f>
        <v>45083</v>
      </c>
      <c r="AY370" s="123"/>
      <c r="AZ370" s="124">
        <f t="shared" ref="AZ370" si="122">H370</f>
        <v>45083</v>
      </c>
      <c r="BA370" s="121" t="b">
        <f t="shared" ref="BA370" si="123">IF(AX370=" "," ",AX370=AZ370)</f>
        <v>1</v>
      </c>
      <c r="BB370" s="121" t="str">
        <f t="shared" ref="BB370" si="124">IF(BC370="YES"," ",AZ370)</f>
        <v xml:space="preserve"> </v>
      </c>
      <c r="BC370" s="121" t="str">
        <f t="shared" ref="BC370" si="125">IF(AM370="Apprentice","yes","no")</f>
        <v>yes</v>
      </c>
      <c r="BD370" s="121" t="b">
        <f t="shared" ref="BD370" si="126">IF(OR(U370&lt;&gt;"0", V370&lt;&gt;"0"),U370=V370," ")</f>
        <v>0</v>
      </c>
      <c r="BE370" s="125" t="s">
        <v>56</v>
      </c>
    </row>
    <row r="371" spans="1:58" s="127" customFormat="1" ht="24" customHeight="1">
      <c r="A371" s="167"/>
      <c r="B371" s="177" t="s">
        <v>717</v>
      </c>
      <c r="C371" s="169"/>
      <c r="D371" s="300" t="s">
        <v>718</v>
      </c>
      <c r="E371" s="170"/>
      <c r="F371" s="164" t="s">
        <v>658</v>
      </c>
      <c r="G371" s="165">
        <v>45082</v>
      </c>
      <c r="H371" s="165">
        <v>45082</v>
      </c>
      <c r="I371" s="129"/>
      <c r="J371" s="165">
        <v>45096</v>
      </c>
      <c r="K371" s="129"/>
      <c r="L371" s="129"/>
      <c r="M371" s="129"/>
      <c r="N371" s="129"/>
      <c r="O371" s="129"/>
      <c r="P371" s="129"/>
      <c r="S371" s="277">
        <f t="shared" si="103"/>
        <v>26</v>
      </c>
      <c r="T371" s="298">
        <v>26</v>
      </c>
      <c r="U371" s="298">
        <v>0</v>
      </c>
      <c r="V371" s="298">
        <v>26</v>
      </c>
      <c r="Z371" s="127" t="s">
        <v>51</v>
      </c>
      <c r="AG371" s="127" t="s">
        <v>53</v>
      </c>
      <c r="AH371" s="127" t="s">
        <v>54</v>
      </c>
      <c r="AL371" s="127" t="s">
        <v>55</v>
      </c>
      <c r="AR371" s="121">
        <f t="shared" si="104"/>
        <v>1</v>
      </c>
      <c r="AS371" s="121" t="str">
        <f t="shared" si="105"/>
        <v>2023_06_05_a</v>
      </c>
      <c r="AT371" s="122"/>
      <c r="AU371" s="121" t="str">
        <f t="shared" si="106"/>
        <v>2023</v>
      </c>
      <c r="AV371" s="121" t="str">
        <f t="shared" si="107"/>
        <v>06</v>
      </c>
      <c r="AW371" s="121" t="str">
        <f t="shared" si="108"/>
        <v>05</v>
      </c>
      <c r="AX371" s="121">
        <f t="shared" si="109"/>
        <v>45082</v>
      </c>
      <c r="AY371" s="123"/>
      <c r="AZ371" s="124">
        <f t="shared" si="110"/>
        <v>45082</v>
      </c>
      <c r="BA371" s="121" t="b">
        <f t="shared" si="111"/>
        <v>1</v>
      </c>
      <c r="BB371" s="121">
        <f t="shared" si="112"/>
        <v>45082</v>
      </c>
      <c r="BC371" s="121" t="str">
        <f t="shared" si="113"/>
        <v>no</v>
      </c>
      <c r="BD371" s="121" t="b">
        <f t="shared" si="114"/>
        <v>0</v>
      </c>
      <c r="BE371" s="125" t="s">
        <v>56</v>
      </c>
    </row>
    <row r="372" spans="1:58" s="127" customFormat="1" ht="24" customHeight="1">
      <c r="A372" s="179"/>
      <c r="B372" s="127" t="s">
        <v>719</v>
      </c>
      <c r="C372" s="167"/>
      <c r="D372" s="177">
        <v>10098111</v>
      </c>
      <c r="E372" s="170"/>
      <c r="F372" s="164" t="s">
        <v>720</v>
      </c>
      <c r="G372" s="165">
        <v>44270</v>
      </c>
      <c r="H372" s="166">
        <v>44270</v>
      </c>
      <c r="I372" s="165"/>
      <c r="J372" s="166">
        <v>44284</v>
      </c>
      <c r="K372" s="165"/>
      <c r="L372" s="129"/>
      <c r="M372" s="129"/>
      <c r="N372" s="129"/>
      <c r="O372" s="129"/>
      <c r="P372" s="129"/>
      <c r="S372" s="277">
        <f t="shared" si="103"/>
        <v>10</v>
      </c>
      <c r="T372" s="297">
        <v>10</v>
      </c>
      <c r="U372" s="297">
        <v>10</v>
      </c>
      <c r="V372" s="297">
        <v>0</v>
      </c>
      <c r="Z372" s="127" t="s">
        <v>51</v>
      </c>
      <c r="AG372" s="120" t="s">
        <v>53</v>
      </c>
      <c r="AH372" s="120" t="s">
        <v>54</v>
      </c>
      <c r="AL372" s="127" t="s">
        <v>55</v>
      </c>
      <c r="AR372" s="121">
        <f t="shared" si="104"/>
        <v>1</v>
      </c>
      <c r="AS372" s="121" t="str">
        <f t="shared" si="105"/>
        <v>2021_03_15_a</v>
      </c>
      <c r="AT372" s="122"/>
      <c r="AU372" s="121" t="str">
        <f t="shared" si="106"/>
        <v>2021</v>
      </c>
      <c r="AV372" s="121" t="str">
        <f t="shared" si="107"/>
        <v>03</v>
      </c>
      <c r="AW372" s="121" t="str">
        <f t="shared" si="108"/>
        <v>15</v>
      </c>
      <c r="AX372" s="121">
        <f t="shared" si="109"/>
        <v>44270</v>
      </c>
      <c r="AY372" s="123"/>
      <c r="AZ372" s="124">
        <f t="shared" si="110"/>
        <v>44270</v>
      </c>
      <c r="BA372" s="121" t="b">
        <f t="shared" si="111"/>
        <v>1</v>
      </c>
      <c r="BB372" s="121">
        <f t="shared" si="112"/>
        <v>44270</v>
      </c>
      <c r="BC372" s="121" t="str">
        <f t="shared" si="113"/>
        <v>no</v>
      </c>
      <c r="BD372" s="121" t="b">
        <f t="shared" si="114"/>
        <v>0</v>
      </c>
      <c r="BE372" s="125" t="s">
        <v>56</v>
      </c>
      <c r="BF372" s="116"/>
    </row>
    <row r="373" spans="1:58" s="127" customFormat="1" ht="24" customHeight="1">
      <c r="B373" s="127" t="s">
        <v>721</v>
      </c>
      <c r="C373" s="167"/>
      <c r="D373" s="177">
        <v>10099420</v>
      </c>
      <c r="E373" s="170"/>
      <c r="F373" s="164" t="s">
        <v>720</v>
      </c>
      <c r="G373" s="165">
        <v>44319</v>
      </c>
      <c r="H373" s="166">
        <v>44319</v>
      </c>
      <c r="I373" s="129"/>
      <c r="J373" s="166">
        <v>44333</v>
      </c>
      <c r="K373" s="165"/>
      <c r="L373" s="129"/>
      <c r="M373" s="129"/>
      <c r="N373" s="129"/>
      <c r="O373" s="129"/>
      <c r="P373" s="129"/>
      <c r="S373" s="277">
        <f t="shared" si="103"/>
        <v>27</v>
      </c>
      <c r="T373" s="298">
        <v>27</v>
      </c>
      <c r="U373" s="298">
        <v>27</v>
      </c>
      <c r="V373" s="298">
        <v>0</v>
      </c>
      <c r="Z373" s="127" t="s">
        <v>51</v>
      </c>
      <c r="AG373" s="120" t="s">
        <v>53</v>
      </c>
      <c r="AH373" s="120" t="s">
        <v>54</v>
      </c>
      <c r="AL373" s="127" t="s">
        <v>55</v>
      </c>
      <c r="AR373" s="121">
        <f t="shared" si="104"/>
        <v>1</v>
      </c>
      <c r="AS373" s="121" t="str">
        <f t="shared" si="105"/>
        <v>2021_05_03_a</v>
      </c>
      <c r="AT373" s="122"/>
      <c r="AU373" s="121" t="str">
        <f t="shared" si="106"/>
        <v>2021</v>
      </c>
      <c r="AV373" s="121" t="str">
        <f t="shared" si="107"/>
        <v>05</v>
      </c>
      <c r="AW373" s="121" t="str">
        <f t="shared" si="108"/>
        <v>03</v>
      </c>
      <c r="AX373" s="121">
        <f t="shared" si="109"/>
        <v>44319</v>
      </c>
      <c r="AY373" s="123"/>
      <c r="AZ373" s="124">
        <f t="shared" si="110"/>
        <v>44319</v>
      </c>
      <c r="BA373" s="121" t="b">
        <f t="shared" si="111"/>
        <v>1</v>
      </c>
      <c r="BB373" s="121">
        <f t="shared" si="112"/>
        <v>44319</v>
      </c>
      <c r="BC373" s="121" t="str">
        <f t="shared" si="113"/>
        <v>no</v>
      </c>
      <c r="BD373" s="121" t="b">
        <f t="shared" si="114"/>
        <v>0</v>
      </c>
      <c r="BE373" s="125" t="s">
        <v>56</v>
      </c>
      <c r="BF373" s="116"/>
    </row>
    <row r="374" spans="1:58" s="127" customFormat="1" ht="24" customHeight="1">
      <c r="B374" s="127" t="s">
        <v>722</v>
      </c>
      <c r="C374" s="167"/>
      <c r="D374" s="177">
        <v>10102268</v>
      </c>
      <c r="E374" s="170"/>
      <c r="F374" s="164" t="s">
        <v>720</v>
      </c>
      <c r="G374" s="165">
        <v>44389</v>
      </c>
      <c r="H374" s="166">
        <v>44389</v>
      </c>
      <c r="I374" s="129"/>
      <c r="J374" s="166">
        <v>44403</v>
      </c>
      <c r="K374" s="129"/>
      <c r="L374" s="129"/>
      <c r="M374" s="129"/>
      <c r="N374" s="129"/>
      <c r="O374" s="129"/>
      <c r="P374" s="129"/>
      <c r="S374" s="277">
        <f t="shared" ref="S374:S413" si="127">U374+V374</f>
        <v>29</v>
      </c>
      <c r="T374" s="298">
        <v>29</v>
      </c>
      <c r="U374" s="298">
        <v>29</v>
      </c>
      <c r="V374" s="298">
        <v>0</v>
      </c>
      <c r="Z374" s="127" t="s">
        <v>51</v>
      </c>
      <c r="AG374" s="120" t="s">
        <v>53</v>
      </c>
      <c r="AH374" s="120" t="s">
        <v>54</v>
      </c>
      <c r="AL374" s="127" t="s">
        <v>55</v>
      </c>
      <c r="AR374" s="121">
        <f t="shared" si="104"/>
        <v>1</v>
      </c>
      <c r="AS374" s="121" t="str">
        <f t="shared" si="105"/>
        <v>2021_07_12_a</v>
      </c>
      <c r="AT374" s="122"/>
      <c r="AU374" s="121" t="str">
        <f t="shared" si="106"/>
        <v>2021</v>
      </c>
      <c r="AV374" s="121" t="str">
        <f t="shared" si="107"/>
        <v>07</v>
      </c>
      <c r="AW374" s="121" t="str">
        <f t="shared" si="108"/>
        <v>12</v>
      </c>
      <c r="AX374" s="121">
        <f t="shared" si="109"/>
        <v>44389</v>
      </c>
      <c r="AY374" s="123"/>
      <c r="AZ374" s="124">
        <f t="shared" si="110"/>
        <v>44389</v>
      </c>
      <c r="BA374" s="121" t="b">
        <f t="shared" si="111"/>
        <v>1</v>
      </c>
      <c r="BB374" s="121">
        <f t="shared" si="112"/>
        <v>44389</v>
      </c>
      <c r="BC374" s="121" t="str">
        <f t="shared" si="113"/>
        <v>no</v>
      </c>
      <c r="BD374" s="121" t="b">
        <f t="shared" si="114"/>
        <v>0</v>
      </c>
      <c r="BE374" s="125" t="s">
        <v>56</v>
      </c>
      <c r="BF374" s="116"/>
    </row>
    <row r="375" spans="1:58" s="127" customFormat="1" ht="24" customHeight="1">
      <c r="B375" s="127" t="s">
        <v>723</v>
      </c>
      <c r="C375" s="167"/>
      <c r="D375" s="177">
        <v>10219773</v>
      </c>
      <c r="E375" s="170"/>
      <c r="F375" s="164" t="s">
        <v>720</v>
      </c>
      <c r="G375" s="165">
        <v>44494</v>
      </c>
      <c r="H375" s="166">
        <v>44494</v>
      </c>
      <c r="I375" s="129"/>
      <c r="J375" s="166">
        <v>44508</v>
      </c>
      <c r="K375" s="129"/>
      <c r="L375" s="129"/>
      <c r="M375" s="129"/>
      <c r="N375" s="129"/>
      <c r="O375" s="129"/>
      <c r="P375" s="129"/>
      <c r="S375" s="277">
        <f t="shared" si="127"/>
        <v>20</v>
      </c>
      <c r="T375" s="298">
        <v>20</v>
      </c>
      <c r="U375" s="298">
        <v>20</v>
      </c>
      <c r="V375" s="298">
        <v>0</v>
      </c>
      <c r="Z375" s="127" t="s">
        <v>51</v>
      </c>
      <c r="AG375" s="120" t="s">
        <v>53</v>
      </c>
      <c r="AH375" s="120" t="s">
        <v>54</v>
      </c>
      <c r="AL375" s="127" t="s">
        <v>55</v>
      </c>
      <c r="AR375" s="121">
        <f t="shared" si="104"/>
        <v>1</v>
      </c>
      <c r="AS375" s="121" t="str">
        <f t="shared" si="105"/>
        <v>2021_10_25_a</v>
      </c>
      <c r="AT375" s="122"/>
      <c r="AU375" s="121" t="str">
        <f t="shared" si="106"/>
        <v>2021</v>
      </c>
      <c r="AV375" s="121" t="str">
        <f t="shared" si="107"/>
        <v>10</v>
      </c>
      <c r="AW375" s="121" t="str">
        <f t="shared" si="108"/>
        <v>25</v>
      </c>
      <c r="AX375" s="121">
        <f t="shared" si="109"/>
        <v>44494</v>
      </c>
      <c r="AY375" s="123"/>
      <c r="AZ375" s="124">
        <f t="shared" si="110"/>
        <v>44494</v>
      </c>
      <c r="BA375" s="121" t="b">
        <f t="shared" si="111"/>
        <v>1</v>
      </c>
      <c r="BB375" s="121">
        <f t="shared" si="112"/>
        <v>44494</v>
      </c>
      <c r="BC375" s="121" t="str">
        <f t="shared" si="113"/>
        <v>no</v>
      </c>
      <c r="BD375" s="121" t="b">
        <f t="shared" si="114"/>
        <v>0</v>
      </c>
      <c r="BE375" s="125" t="s">
        <v>56</v>
      </c>
      <c r="BF375" s="116"/>
    </row>
    <row r="376" spans="1:58" s="127" customFormat="1" ht="24" customHeight="1">
      <c r="B376" s="186" t="s">
        <v>724</v>
      </c>
      <c r="D376" s="186">
        <v>10235799</v>
      </c>
      <c r="F376" s="164" t="s">
        <v>720</v>
      </c>
      <c r="G376" s="165">
        <v>44627</v>
      </c>
      <c r="H376" s="165">
        <v>44627</v>
      </c>
      <c r="I376" s="129"/>
      <c r="J376" s="165">
        <v>44641</v>
      </c>
      <c r="K376" s="129"/>
      <c r="L376" s="129"/>
      <c r="M376" s="129"/>
      <c r="N376" s="129"/>
      <c r="O376" s="129"/>
      <c r="P376" s="129"/>
      <c r="S376" s="277">
        <f t="shared" si="127"/>
        <v>23</v>
      </c>
      <c r="T376" s="297">
        <v>23</v>
      </c>
      <c r="U376" s="297">
        <v>23</v>
      </c>
      <c r="V376" s="297">
        <v>0</v>
      </c>
      <c r="Z376" s="127" t="s">
        <v>51</v>
      </c>
      <c r="AG376" s="120" t="s">
        <v>53</v>
      </c>
      <c r="AH376" s="120" t="s">
        <v>54</v>
      </c>
      <c r="AL376" s="127" t="s">
        <v>55</v>
      </c>
      <c r="AR376" s="121">
        <f t="shared" si="104"/>
        <v>1</v>
      </c>
      <c r="AS376" s="121" t="str">
        <f t="shared" si="105"/>
        <v>2022_03_07_a</v>
      </c>
      <c r="AT376" s="122"/>
      <c r="AU376" s="121" t="str">
        <f t="shared" si="106"/>
        <v>2022</v>
      </c>
      <c r="AV376" s="121" t="str">
        <f t="shared" si="107"/>
        <v>03</v>
      </c>
      <c r="AW376" s="121" t="str">
        <f t="shared" si="108"/>
        <v>07</v>
      </c>
      <c r="AX376" s="121">
        <f t="shared" si="109"/>
        <v>44627</v>
      </c>
      <c r="AY376" s="123"/>
      <c r="AZ376" s="124">
        <f t="shared" si="110"/>
        <v>44627</v>
      </c>
      <c r="BA376" s="121" t="b">
        <f t="shared" si="111"/>
        <v>1</v>
      </c>
      <c r="BB376" s="121">
        <f t="shared" si="112"/>
        <v>44627</v>
      </c>
      <c r="BC376" s="121" t="str">
        <f t="shared" si="113"/>
        <v>no</v>
      </c>
      <c r="BD376" s="121" t="b">
        <f t="shared" si="114"/>
        <v>0</v>
      </c>
      <c r="BE376" s="125" t="s">
        <v>56</v>
      </c>
      <c r="BF376" s="116"/>
    </row>
    <row r="377" spans="1:58" s="127" customFormat="1" ht="24" customHeight="1">
      <c r="B377" s="186" t="s">
        <v>725</v>
      </c>
      <c r="D377" s="299">
        <v>10255304</v>
      </c>
      <c r="F377" s="164" t="s">
        <v>720</v>
      </c>
      <c r="G377" s="165">
        <v>44690</v>
      </c>
      <c r="H377" s="165">
        <v>44690</v>
      </c>
      <c r="I377" s="129"/>
      <c r="J377" s="165">
        <v>44704</v>
      </c>
      <c r="K377" s="129"/>
      <c r="L377" s="129"/>
      <c r="M377" s="129"/>
      <c r="N377" s="129"/>
      <c r="O377" s="129"/>
      <c r="P377" s="129"/>
      <c r="S377" s="277">
        <f t="shared" si="127"/>
        <v>34</v>
      </c>
      <c r="T377" s="298">
        <v>34</v>
      </c>
      <c r="U377" s="298">
        <v>34</v>
      </c>
      <c r="V377" s="298">
        <v>0</v>
      </c>
      <c r="Z377" s="127" t="s">
        <v>51</v>
      </c>
      <c r="AG377" s="120" t="s">
        <v>53</v>
      </c>
      <c r="AH377" s="120" t="s">
        <v>54</v>
      </c>
      <c r="AL377" s="127" t="s">
        <v>55</v>
      </c>
      <c r="AR377" s="121">
        <f t="shared" si="104"/>
        <v>1</v>
      </c>
      <c r="AS377" s="121" t="str">
        <f t="shared" si="105"/>
        <v>2022_05_09_a</v>
      </c>
      <c r="AT377" s="122"/>
      <c r="AU377" s="121" t="str">
        <f t="shared" si="106"/>
        <v>2022</v>
      </c>
      <c r="AV377" s="121" t="str">
        <f t="shared" si="107"/>
        <v>05</v>
      </c>
      <c r="AW377" s="121" t="str">
        <f t="shared" si="108"/>
        <v>09</v>
      </c>
      <c r="AX377" s="121">
        <f t="shared" si="109"/>
        <v>44690</v>
      </c>
      <c r="AY377" s="123"/>
      <c r="AZ377" s="124">
        <f t="shared" si="110"/>
        <v>44690</v>
      </c>
      <c r="BA377" s="121" t="b">
        <f t="shared" si="111"/>
        <v>1</v>
      </c>
      <c r="BB377" s="121">
        <f t="shared" si="112"/>
        <v>44690</v>
      </c>
      <c r="BC377" s="121" t="str">
        <f t="shared" si="113"/>
        <v>no</v>
      </c>
      <c r="BD377" s="121" t="b">
        <f t="shared" si="114"/>
        <v>0</v>
      </c>
      <c r="BE377" s="125" t="s">
        <v>56</v>
      </c>
      <c r="BF377" s="116"/>
    </row>
    <row r="378" spans="1:58" s="127" customFormat="1" ht="24" customHeight="1">
      <c r="B378" s="186" t="s">
        <v>726</v>
      </c>
      <c r="D378" s="299">
        <v>10255373</v>
      </c>
      <c r="F378" s="164" t="s">
        <v>720</v>
      </c>
      <c r="G378" s="165">
        <v>44725</v>
      </c>
      <c r="H378" s="165">
        <v>44725</v>
      </c>
      <c r="I378" s="129"/>
      <c r="J378" s="165">
        <v>44742</v>
      </c>
      <c r="K378" s="129"/>
      <c r="L378" s="129"/>
      <c r="M378" s="129"/>
      <c r="N378" s="129"/>
      <c r="O378" s="129"/>
      <c r="P378" s="129"/>
      <c r="S378" s="277">
        <f t="shared" si="127"/>
        <v>33</v>
      </c>
      <c r="T378" s="298">
        <v>33</v>
      </c>
      <c r="U378" s="298">
        <v>33</v>
      </c>
      <c r="V378" s="298">
        <v>0</v>
      </c>
      <c r="Z378" s="127" t="s">
        <v>51</v>
      </c>
      <c r="AG378" s="120" t="s">
        <v>53</v>
      </c>
      <c r="AH378" s="120" t="s">
        <v>54</v>
      </c>
      <c r="AL378" s="127" t="s">
        <v>55</v>
      </c>
      <c r="AR378" s="121">
        <f t="shared" si="104"/>
        <v>1</v>
      </c>
      <c r="AS378" s="121" t="str">
        <f t="shared" si="105"/>
        <v>2022_06_13_a</v>
      </c>
      <c r="AT378" s="122"/>
      <c r="AU378" s="121" t="str">
        <f t="shared" si="106"/>
        <v>2022</v>
      </c>
      <c r="AV378" s="121" t="str">
        <f t="shared" si="107"/>
        <v>06</v>
      </c>
      <c r="AW378" s="121" t="str">
        <f t="shared" si="108"/>
        <v>13</v>
      </c>
      <c r="AX378" s="121">
        <f t="shared" si="109"/>
        <v>44725</v>
      </c>
      <c r="AY378" s="123"/>
      <c r="AZ378" s="124">
        <f t="shared" si="110"/>
        <v>44725</v>
      </c>
      <c r="BA378" s="121" t="b">
        <f t="shared" si="111"/>
        <v>1</v>
      </c>
      <c r="BB378" s="121">
        <f t="shared" si="112"/>
        <v>44725</v>
      </c>
      <c r="BC378" s="121" t="str">
        <f t="shared" si="113"/>
        <v>no</v>
      </c>
      <c r="BD378" s="121" t="b">
        <f t="shared" si="114"/>
        <v>0</v>
      </c>
      <c r="BE378" s="125" t="s">
        <v>56</v>
      </c>
      <c r="BF378" s="116"/>
    </row>
    <row r="379" spans="1:58" s="161" customFormat="1" ht="24" customHeight="1">
      <c r="A379" s="127"/>
      <c r="B379" s="187" t="s">
        <v>727</v>
      </c>
      <c r="D379" s="299">
        <v>10288100</v>
      </c>
      <c r="F379" s="131" t="s">
        <v>720</v>
      </c>
      <c r="G379" s="183">
        <v>44781</v>
      </c>
      <c r="H379" s="183">
        <v>44781</v>
      </c>
      <c r="I379" s="184"/>
      <c r="J379" s="183">
        <v>44798</v>
      </c>
      <c r="K379" s="184"/>
      <c r="L379" s="184"/>
      <c r="M379" s="184"/>
      <c r="N379" s="184"/>
      <c r="O379" s="184"/>
      <c r="P379" s="184"/>
      <c r="S379" s="277">
        <f t="shared" si="127"/>
        <v>19</v>
      </c>
      <c r="T379" s="298">
        <v>19</v>
      </c>
      <c r="U379" s="298">
        <v>19</v>
      </c>
      <c r="V379" s="298">
        <v>0</v>
      </c>
      <c r="Z379" s="161" t="s">
        <v>51</v>
      </c>
      <c r="AG379" s="161" t="s">
        <v>53</v>
      </c>
      <c r="AH379" s="161" t="s">
        <v>54</v>
      </c>
      <c r="AL379" s="161" t="s">
        <v>55</v>
      </c>
      <c r="AR379" s="121">
        <f t="shared" si="104"/>
        <v>1</v>
      </c>
      <c r="AS379" s="121" t="str">
        <f t="shared" si="105"/>
        <v>2022_08_08_a</v>
      </c>
      <c r="AT379" s="122"/>
      <c r="AU379" s="121" t="str">
        <f t="shared" si="106"/>
        <v>2022</v>
      </c>
      <c r="AV379" s="121" t="str">
        <f t="shared" si="107"/>
        <v>08</v>
      </c>
      <c r="AW379" s="121" t="str">
        <f t="shared" si="108"/>
        <v>08</v>
      </c>
      <c r="AX379" s="121">
        <f t="shared" si="109"/>
        <v>44781</v>
      </c>
      <c r="AY379" s="123"/>
      <c r="AZ379" s="124">
        <f t="shared" si="110"/>
        <v>44781</v>
      </c>
      <c r="BA379" s="121" t="b">
        <f t="shared" si="111"/>
        <v>1</v>
      </c>
      <c r="BB379" s="121">
        <f t="shared" si="112"/>
        <v>44781</v>
      </c>
      <c r="BC379" s="121" t="str">
        <f t="shared" si="113"/>
        <v>no</v>
      </c>
      <c r="BD379" s="121" t="b">
        <f t="shared" si="114"/>
        <v>0</v>
      </c>
      <c r="BE379" s="125" t="s">
        <v>56</v>
      </c>
    </row>
    <row r="380" spans="1:58" s="127" customFormat="1" ht="24" customHeight="1">
      <c r="A380" s="161"/>
      <c r="B380" s="186" t="s">
        <v>728</v>
      </c>
      <c r="D380" s="299">
        <v>10292220</v>
      </c>
      <c r="F380" s="164" t="s">
        <v>720</v>
      </c>
      <c r="G380" s="165">
        <v>44816</v>
      </c>
      <c r="H380" s="165">
        <v>44816</v>
      </c>
      <c r="I380" s="129"/>
      <c r="J380" s="165">
        <v>44830</v>
      </c>
      <c r="K380" s="129"/>
      <c r="L380" s="129"/>
      <c r="M380" s="129"/>
      <c r="N380" s="129"/>
      <c r="O380" s="129"/>
      <c r="P380" s="129"/>
      <c r="S380" s="277">
        <f t="shared" si="127"/>
        <v>24</v>
      </c>
      <c r="T380" s="298">
        <v>24</v>
      </c>
      <c r="U380" s="298">
        <v>24</v>
      </c>
      <c r="V380" s="298">
        <v>0</v>
      </c>
      <c r="Z380" s="127" t="s">
        <v>51</v>
      </c>
      <c r="AG380" s="120" t="s">
        <v>53</v>
      </c>
      <c r="AH380" s="120" t="s">
        <v>54</v>
      </c>
      <c r="AL380" s="127" t="s">
        <v>55</v>
      </c>
      <c r="AR380" s="121">
        <f t="shared" si="104"/>
        <v>1</v>
      </c>
      <c r="AS380" s="121" t="str">
        <f t="shared" si="105"/>
        <v>2022_09_12_a</v>
      </c>
      <c r="AT380" s="122"/>
      <c r="AU380" s="121" t="str">
        <f t="shared" si="106"/>
        <v>2022</v>
      </c>
      <c r="AV380" s="121" t="str">
        <f t="shared" si="107"/>
        <v>09</v>
      </c>
      <c r="AW380" s="121" t="str">
        <f t="shared" si="108"/>
        <v>12</v>
      </c>
      <c r="AX380" s="121">
        <f t="shared" si="109"/>
        <v>44816</v>
      </c>
      <c r="AY380" s="123"/>
      <c r="AZ380" s="124">
        <f t="shared" si="110"/>
        <v>44816</v>
      </c>
      <c r="BA380" s="121" t="b">
        <f t="shared" si="111"/>
        <v>1</v>
      </c>
      <c r="BB380" s="121">
        <f t="shared" si="112"/>
        <v>44816</v>
      </c>
      <c r="BC380" s="121" t="str">
        <f t="shared" si="113"/>
        <v>no</v>
      </c>
      <c r="BD380" s="121" t="b">
        <f t="shared" si="114"/>
        <v>0</v>
      </c>
      <c r="BE380" s="125" t="s">
        <v>56</v>
      </c>
      <c r="BF380" s="116"/>
    </row>
    <row r="381" spans="1:58" s="127" customFormat="1" ht="24" customHeight="1">
      <c r="B381" s="186" t="s">
        <v>729</v>
      </c>
      <c r="D381" s="194">
        <v>10306532</v>
      </c>
      <c r="F381" s="164" t="s">
        <v>720</v>
      </c>
      <c r="G381" s="165">
        <v>44851</v>
      </c>
      <c r="H381" s="165">
        <v>44851</v>
      </c>
      <c r="I381" s="129"/>
      <c r="J381" s="165">
        <v>44865</v>
      </c>
      <c r="K381" s="129"/>
      <c r="L381" s="129"/>
      <c r="M381" s="129"/>
      <c r="N381" s="129"/>
      <c r="O381" s="129"/>
      <c r="P381" s="129"/>
      <c r="S381" s="277">
        <f t="shared" si="127"/>
        <v>30</v>
      </c>
      <c r="T381" s="298">
        <v>30</v>
      </c>
      <c r="U381" s="298">
        <v>30</v>
      </c>
      <c r="V381" s="298">
        <v>0</v>
      </c>
      <c r="Z381" s="127" t="s">
        <v>51</v>
      </c>
      <c r="AG381" s="120" t="s">
        <v>53</v>
      </c>
      <c r="AL381" s="127" t="s">
        <v>55</v>
      </c>
      <c r="AR381" s="121">
        <f t="shared" si="104"/>
        <v>1</v>
      </c>
      <c r="AS381" s="121" t="str">
        <f t="shared" si="105"/>
        <v>2022_10_17_a</v>
      </c>
      <c r="AT381" s="122"/>
      <c r="AU381" s="121" t="str">
        <f t="shared" si="106"/>
        <v>2022</v>
      </c>
      <c r="AV381" s="121" t="str">
        <f t="shared" si="107"/>
        <v>10</v>
      </c>
      <c r="AW381" s="121" t="str">
        <f t="shared" si="108"/>
        <v>17</v>
      </c>
      <c r="AX381" s="121">
        <f t="shared" si="109"/>
        <v>44851</v>
      </c>
      <c r="AY381" s="123"/>
      <c r="AZ381" s="124">
        <f t="shared" si="110"/>
        <v>44851</v>
      </c>
      <c r="BA381" s="121" t="b">
        <f t="shared" si="111"/>
        <v>1</v>
      </c>
      <c r="BB381" s="121">
        <f t="shared" si="112"/>
        <v>44851</v>
      </c>
      <c r="BC381" s="121" t="str">
        <f t="shared" si="113"/>
        <v>no</v>
      </c>
      <c r="BD381" s="121" t="b">
        <f t="shared" si="114"/>
        <v>0</v>
      </c>
      <c r="BE381" s="125" t="s">
        <v>56</v>
      </c>
      <c r="BF381" s="116"/>
    </row>
    <row r="382" spans="1:58" s="343" customFormat="1" ht="24" customHeight="1">
      <c r="A382" s="127"/>
      <c r="B382" s="344" t="s">
        <v>730</v>
      </c>
      <c r="C382" s="345"/>
      <c r="D382" s="346">
        <v>10322245</v>
      </c>
      <c r="E382" s="347"/>
      <c r="F382" s="348" t="s">
        <v>720</v>
      </c>
      <c r="G382" s="349">
        <v>44963</v>
      </c>
      <c r="H382" s="349">
        <v>44963</v>
      </c>
      <c r="I382" s="350"/>
      <c r="J382" s="349">
        <v>44977</v>
      </c>
      <c r="K382" s="350"/>
      <c r="L382" s="350"/>
      <c r="M382" s="350"/>
      <c r="N382" s="350"/>
      <c r="O382" s="350"/>
      <c r="P382" s="350"/>
      <c r="R382" s="343" t="s">
        <v>731</v>
      </c>
      <c r="S382" s="277">
        <f t="shared" ref="S382:S383" si="128">U382+V382</f>
        <v>20</v>
      </c>
      <c r="T382" s="351">
        <v>20</v>
      </c>
      <c r="U382" s="351">
        <v>20</v>
      </c>
      <c r="V382" s="352">
        <v>0</v>
      </c>
      <c r="Z382" s="343" t="s">
        <v>51</v>
      </c>
      <c r="AG382" s="343" t="s">
        <v>53</v>
      </c>
      <c r="AH382" s="343" t="s">
        <v>54</v>
      </c>
      <c r="AL382" s="343" t="s">
        <v>55</v>
      </c>
      <c r="AR382" s="121">
        <f t="shared" si="104"/>
        <v>1</v>
      </c>
      <c r="AS382" s="121" t="str">
        <f t="shared" si="105"/>
        <v>2023_02_06_a</v>
      </c>
      <c r="AT382" s="122"/>
      <c r="AU382" s="121" t="str">
        <f t="shared" si="106"/>
        <v>2023</v>
      </c>
      <c r="AV382" s="121" t="str">
        <f t="shared" si="107"/>
        <v>02</v>
      </c>
      <c r="AW382" s="121" t="str">
        <f t="shared" si="108"/>
        <v>06</v>
      </c>
      <c r="AX382" s="121">
        <f t="shared" si="109"/>
        <v>44963</v>
      </c>
      <c r="AY382" s="123"/>
      <c r="AZ382" s="124">
        <f t="shared" si="110"/>
        <v>44963</v>
      </c>
      <c r="BA382" s="121" t="b">
        <f t="shared" si="111"/>
        <v>1</v>
      </c>
      <c r="BB382" s="121">
        <f t="shared" si="112"/>
        <v>44963</v>
      </c>
      <c r="BC382" s="121" t="str">
        <f t="shared" si="113"/>
        <v>no</v>
      </c>
      <c r="BD382" s="121" t="b">
        <f t="shared" si="114"/>
        <v>0</v>
      </c>
      <c r="BE382" s="125" t="s">
        <v>56</v>
      </c>
    </row>
    <row r="383" spans="1:58" s="343" customFormat="1" ht="24" customHeight="1">
      <c r="B383" s="344" t="s">
        <v>732</v>
      </c>
      <c r="C383" s="345"/>
      <c r="D383" s="346">
        <v>10334757</v>
      </c>
      <c r="E383" s="347"/>
      <c r="F383" s="348" t="s">
        <v>720</v>
      </c>
      <c r="G383" s="349">
        <v>44998</v>
      </c>
      <c r="H383" s="349">
        <v>44998</v>
      </c>
      <c r="I383" s="350"/>
      <c r="J383" s="349">
        <v>45012</v>
      </c>
      <c r="K383" s="350"/>
      <c r="L383" s="350"/>
      <c r="M383" s="350"/>
      <c r="N383" s="350"/>
      <c r="O383" s="350"/>
      <c r="P383" s="350"/>
      <c r="R383" s="343" t="s">
        <v>733</v>
      </c>
      <c r="S383" s="277">
        <f t="shared" si="128"/>
        <v>25</v>
      </c>
      <c r="T383" s="351">
        <v>25</v>
      </c>
      <c r="U383" s="351">
        <v>25</v>
      </c>
      <c r="V383" s="352">
        <v>0</v>
      </c>
      <c r="Z383" s="343" t="s">
        <v>51</v>
      </c>
      <c r="AG383" s="343" t="s">
        <v>53</v>
      </c>
      <c r="AH383" s="343" t="s">
        <v>54</v>
      </c>
      <c r="AL383" s="343" t="s">
        <v>55</v>
      </c>
      <c r="AR383" s="121">
        <f t="shared" si="104"/>
        <v>1</v>
      </c>
      <c r="AS383" s="121" t="str">
        <f t="shared" si="105"/>
        <v>2023_03_13_a</v>
      </c>
      <c r="AT383" s="122"/>
      <c r="AU383" s="121" t="str">
        <f t="shared" si="106"/>
        <v>2023</v>
      </c>
      <c r="AV383" s="121" t="str">
        <f t="shared" si="107"/>
        <v>03</v>
      </c>
      <c r="AW383" s="121" t="str">
        <f t="shared" si="108"/>
        <v>13</v>
      </c>
      <c r="AX383" s="121">
        <f t="shared" si="109"/>
        <v>44998</v>
      </c>
      <c r="AY383" s="123"/>
      <c r="AZ383" s="124">
        <f t="shared" si="110"/>
        <v>44998</v>
      </c>
      <c r="BA383" s="121" t="b">
        <f t="shared" si="111"/>
        <v>1</v>
      </c>
      <c r="BB383" s="121">
        <f t="shared" si="112"/>
        <v>44998</v>
      </c>
      <c r="BC383" s="121" t="str">
        <f t="shared" si="113"/>
        <v>no</v>
      </c>
      <c r="BD383" s="121" t="b">
        <f t="shared" si="114"/>
        <v>0</v>
      </c>
      <c r="BE383" s="125" t="s">
        <v>56</v>
      </c>
    </row>
    <row r="384" spans="1:58" s="343" customFormat="1" ht="24" customHeight="1">
      <c r="B384" s="344" t="s">
        <v>734</v>
      </c>
      <c r="C384" s="345"/>
      <c r="D384" s="346">
        <v>10344305</v>
      </c>
      <c r="E384" s="347"/>
      <c r="F384" s="348" t="s">
        <v>720</v>
      </c>
      <c r="G384" s="349">
        <v>45054</v>
      </c>
      <c r="H384" s="349">
        <v>45054</v>
      </c>
      <c r="I384" s="350"/>
      <c r="J384" s="349">
        <v>45068</v>
      </c>
      <c r="K384" s="350"/>
      <c r="L384" s="350"/>
      <c r="M384" s="350"/>
      <c r="N384" s="350"/>
      <c r="O384" s="350"/>
      <c r="P384" s="350"/>
      <c r="R384" s="343" t="s">
        <v>733</v>
      </c>
      <c r="S384" s="277">
        <f t="shared" ref="S384" si="129">U384+V384</f>
        <v>25</v>
      </c>
      <c r="T384" s="351">
        <v>25</v>
      </c>
      <c r="U384" s="351">
        <v>25</v>
      </c>
      <c r="V384" s="352">
        <v>0</v>
      </c>
      <c r="Z384" s="343" t="s">
        <v>51</v>
      </c>
      <c r="AG384" s="343" t="s">
        <v>53</v>
      </c>
      <c r="AH384" s="343" t="s">
        <v>54</v>
      </c>
      <c r="AL384" s="343" t="s">
        <v>55</v>
      </c>
      <c r="AR384" s="121">
        <f t="shared" si="104"/>
        <v>1</v>
      </c>
      <c r="AS384" s="121" t="str">
        <f t="shared" si="105"/>
        <v>2023_05_08_a</v>
      </c>
      <c r="AT384" s="122"/>
      <c r="AU384" s="121" t="str">
        <f t="shared" si="106"/>
        <v>2023</v>
      </c>
      <c r="AV384" s="121" t="str">
        <f t="shared" si="107"/>
        <v>05</v>
      </c>
      <c r="AW384" s="121" t="str">
        <f t="shared" si="108"/>
        <v>08</v>
      </c>
      <c r="AX384" s="121">
        <f t="shared" si="109"/>
        <v>45054</v>
      </c>
      <c r="AY384" s="123"/>
      <c r="AZ384" s="124">
        <f t="shared" si="110"/>
        <v>45054</v>
      </c>
      <c r="BA384" s="121" t="b">
        <f t="shared" si="111"/>
        <v>1</v>
      </c>
      <c r="BB384" s="121">
        <f t="shared" si="112"/>
        <v>45054</v>
      </c>
      <c r="BC384" s="121" t="str">
        <f t="shared" si="113"/>
        <v>no</v>
      </c>
      <c r="BD384" s="121" t="b">
        <f t="shared" si="114"/>
        <v>0</v>
      </c>
      <c r="BE384" s="125" t="s">
        <v>56</v>
      </c>
    </row>
    <row r="385" spans="1:59" s="343" customFormat="1" ht="24" customHeight="1">
      <c r="B385" s="344" t="s">
        <v>735</v>
      </c>
      <c r="C385" s="345"/>
      <c r="D385" s="346">
        <v>10347052</v>
      </c>
      <c r="E385" s="347"/>
      <c r="F385" s="348" t="s">
        <v>720</v>
      </c>
      <c r="G385" s="349">
        <v>45082</v>
      </c>
      <c r="H385" s="349">
        <v>45082</v>
      </c>
      <c r="I385" s="350"/>
      <c r="J385" s="349">
        <v>45096</v>
      </c>
      <c r="K385" s="350"/>
      <c r="L385" s="350"/>
      <c r="M385" s="350"/>
      <c r="N385" s="350"/>
      <c r="O385" s="350"/>
      <c r="P385" s="350"/>
      <c r="R385" s="343" t="s">
        <v>736</v>
      </c>
      <c r="S385" s="277">
        <f t="shared" ref="S385" si="130">U385+V385</f>
        <v>17</v>
      </c>
      <c r="T385" s="351">
        <v>17</v>
      </c>
      <c r="U385" s="351">
        <v>17</v>
      </c>
      <c r="V385" s="352">
        <v>0</v>
      </c>
      <c r="Z385" s="343" t="s">
        <v>51</v>
      </c>
      <c r="AG385" s="343" t="s">
        <v>53</v>
      </c>
      <c r="AH385" s="343" t="s">
        <v>54</v>
      </c>
      <c r="AL385" s="343" t="s">
        <v>55</v>
      </c>
      <c r="AR385" s="121">
        <f t="shared" si="104"/>
        <v>1</v>
      </c>
      <c r="AS385" s="121" t="str">
        <f t="shared" si="105"/>
        <v>2023_06_05_a</v>
      </c>
      <c r="AT385" s="122"/>
      <c r="AU385" s="121" t="str">
        <f t="shared" si="106"/>
        <v>2023</v>
      </c>
      <c r="AV385" s="121" t="str">
        <f t="shared" si="107"/>
        <v>06</v>
      </c>
      <c r="AW385" s="121" t="str">
        <f t="shared" si="108"/>
        <v>05</v>
      </c>
      <c r="AX385" s="121">
        <f t="shared" si="109"/>
        <v>45082</v>
      </c>
      <c r="AY385" s="123"/>
      <c r="AZ385" s="124">
        <f t="shared" si="110"/>
        <v>45082</v>
      </c>
      <c r="BA385" s="121" t="b">
        <f t="shared" si="111"/>
        <v>1</v>
      </c>
      <c r="BB385" s="121">
        <f t="shared" si="112"/>
        <v>45082</v>
      </c>
      <c r="BC385" s="121" t="str">
        <f t="shared" si="113"/>
        <v>no</v>
      </c>
      <c r="BD385" s="121" t="b">
        <f t="shared" si="114"/>
        <v>0</v>
      </c>
      <c r="BE385" s="125" t="s">
        <v>56</v>
      </c>
    </row>
    <row r="386" spans="1:59" s="343" customFormat="1" ht="24" customHeight="1">
      <c r="B386" s="344" t="s">
        <v>737</v>
      </c>
      <c r="C386" s="345"/>
      <c r="D386" s="346" t="s">
        <v>718</v>
      </c>
      <c r="E386" s="347"/>
      <c r="F386" s="348" t="s">
        <v>720</v>
      </c>
      <c r="G386" s="349">
        <v>45117</v>
      </c>
      <c r="H386" s="349">
        <v>45117</v>
      </c>
      <c r="I386" s="350"/>
      <c r="J386" s="349">
        <v>45131</v>
      </c>
      <c r="K386" s="350"/>
      <c r="L386" s="350"/>
      <c r="M386" s="350"/>
      <c r="N386" s="350"/>
      <c r="O386" s="350"/>
      <c r="P386" s="350"/>
      <c r="R386" s="343" t="s">
        <v>736</v>
      </c>
      <c r="S386" s="277">
        <f t="shared" ref="S386" si="131">U386+V386</f>
        <v>17</v>
      </c>
      <c r="T386" s="351">
        <v>17</v>
      </c>
      <c r="U386" s="351">
        <v>17</v>
      </c>
      <c r="V386" s="352">
        <v>0</v>
      </c>
      <c r="Z386" s="343" t="s">
        <v>51</v>
      </c>
      <c r="AG386" s="343" t="s">
        <v>53</v>
      </c>
      <c r="AH386" s="343" t="s">
        <v>54</v>
      </c>
      <c r="AL386" s="343" t="s">
        <v>55</v>
      </c>
      <c r="AR386" s="121">
        <f t="shared" si="104"/>
        <v>1</v>
      </c>
      <c r="AS386" s="121" t="str">
        <f t="shared" si="105"/>
        <v>2023_07_10_a</v>
      </c>
      <c r="AT386" s="122"/>
      <c r="AU386" s="121" t="str">
        <f t="shared" si="106"/>
        <v>2023</v>
      </c>
      <c r="AV386" s="121" t="str">
        <f t="shared" si="107"/>
        <v>07</v>
      </c>
      <c r="AW386" s="121" t="str">
        <f t="shared" si="108"/>
        <v>10</v>
      </c>
      <c r="AX386" s="121">
        <f t="shared" si="109"/>
        <v>45117</v>
      </c>
      <c r="AY386" s="123"/>
      <c r="AZ386" s="124">
        <f t="shared" si="110"/>
        <v>45117</v>
      </c>
      <c r="BA386" s="121" t="b">
        <f t="shared" si="111"/>
        <v>1</v>
      </c>
      <c r="BB386" s="121">
        <f t="shared" si="112"/>
        <v>45117</v>
      </c>
      <c r="BC386" s="121" t="str">
        <f t="shared" si="113"/>
        <v>no</v>
      </c>
      <c r="BD386" s="121" t="b">
        <f t="shared" si="114"/>
        <v>0</v>
      </c>
      <c r="BE386" s="125" t="s">
        <v>56</v>
      </c>
    </row>
    <row r="387" spans="1:59" s="127" customFormat="1" ht="24" customHeight="1">
      <c r="A387" s="343"/>
      <c r="B387" s="178" t="s">
        <v>738</v>
      </c>
      <c r="C387" s="169"/>
      <c r="D387" s="300" t="s">
        <v>660</v>
      </c>
      <c r="E387" s="170"/>
      <c r="F387" s="185" t="s">
        <v>697</v>
      </c>
      <c r="G387" s="188">
        <v>44209</v>
      </c>
      <c r="H387" s="188">
        <v>44209</v>
      </c>
      <c r="I387" s="172"/>
      <c r="J387" s="189">
        <v>44209</v>
      </c>
      <c r="K387" s="172"/>
      <c r="L387" s="172"/>
      <c r="M387" s="172"/>
      <c r="N387" s="172"/>
      <c r="O387" s="172"/>
      <c r="P387" s="172"/>
      <c r="Q387" s="120"/>
      <c r="R387" s="120"/>
      <c r="S387" s="277">
        <f t="shared" si="127"/>
        <v>4</v>
      </c>
      <c r="T387" s="298">
        <v>4</v>
      </c>
      <c r="U387" s="298">
        <v>4</v>
      </c>
      <c r="V387" s="298">
        <v>0</v>
      </c>
      <c r="W387" s="120"/>
      <c r="X387" s="126"/>
      <c r="Y387" s="126"/>
      <c r="Z387" s="120"/>
      <c r="AA387" s="120"/>
      <c r="AB387" s="120"/>
      <c r="AC387" s="120"/>
      <c r="AD387" s="173"/>
      <c r="AE387" s="116"/>
      <c r="AF387" s="116"/>
      <c r="AG387" s="277" t="s">
        <v>53</v>
      </c>
      <c r="AH387" s="120" t="s">
        <v>54</v>
      </c>
      <c r="AI387" s="120"/>
      <c r="AM387" s="127" t="s">
        <v>661</v>
      </c>
      <c r="AR387" s="121">
        <f t="shared" ref="AR387:AR450" si="132">COUNTIF(B:B,B387)</f>
        <v>1</v>
      </c>
      <c r="AS387" s="121" t="str">
        <f t="shared" si="105"/>
        <v>2021_01_13_a</v>
      </c>
      <c r="AT387" s="122"/>
      <c r="AU387" s="121" t="str">
        <f t="shared" si="106"/>
        <v>2021</v>
      </c>
      <c r="AV387" s="121" t="str">
        <f t="shared" si="107"/>
        <v>01</v>
      </c>
      <c r="AW387" s="121" t="str">
        <f t="shared" si="108"/>
        <v>13</v>
      </c>
      <c r="AX387" s="121">
        <f t="shared" si="109"/>
        <v>44209</v>
      </c>
      <c r="AY387" s="123"/>
      <c r="AZ387" s="124">
        <f t="shared" si="110"/>
        <v>44209</v>
      </c>
      <c r="BA387" s="121" t="b">
        <f t="shared" si="111"/>
        <v>1</v>
      </c>
      <c r="BB387" s="121" t="str">
        <f t="shared" si="112"/>
        <v xml:space="preserve"> </v>
      </c>
      <c r="BC387" s="121" t="str">
        <f t="shared" si="113"/>
        <v>yes</v>
      </c>
      <c r="BD387" s="121" t="b">
        <f t="shared" si="114"/>
        <v>0</v>
      </c>
      <c r="BE387" s="125" t="s">
        <v>56</v>
      </c>
      <c r="BF387" s="116"/>
    </row>
    <row r="388" spans="1:59" s="193" customFormat="1" ht="24" customHeight="1">
      <c r="A388" s="167"/>
      <c r="B388" s="174" t="s">
        <v>739</v>
      </c>
      <c r="C388" s="169"/>
      <c r="D388" s="186">
        <v>10096639</v>
      </c>
      <c r="E388" s="170"/>
      <c r="F388" s="164" t="s">
        <v>697</v>
      </c>
      <c r="G388" s="190">
        <v>44270</v>
      </c>
      <c r="H388" s="191">
        <v>44270</v>
      </c>
      <c r="I388" s="165"/>
      <c r="J388" s="192">
        <v>44284</v>
      </c>
      <c r="K388" s="165"/>
      <c r="L388" s="129"/>
      <c r="M388" s="129"/>
      <c r="N388" s="129"/>
      <c r="O388" s="129"/>
      <c r="P388" s="129"/>
      <c r="Q388" s="127"/>
      <c r="R388" s="127"/>
      <c r="S388" s="277">
        <f t="shared" si="127"/>
        <v>41</v>
      </c>
      <c r="T388" s="298">
        <v>41</v>
      </c>
      <c r="U388" s="298">
        <v>41</v>
      </c>
      <c r="V388" s="298">
        <v>0</v>
      </c>
      <c r="W388" s="127"/>
      <c r="X388" s="127"/>
      <c r="Y388" s="127"/>
      <c r="Z388" s="127" t="s">
        <v>51</v>
      </c>
      <c r="AA388" s="127"/>
      <c r="AB388" s="127"/>
      <c r="AC388" s="127"/>
      <c r="AD388" s="127"/>
      <c r="AE388" s="127"/>
      <c r="AF388" s="127"/>
      <c r="AG388" s="120" t="s">
        <v>53</v>
      </c>
      <c r="AH388" s="120" t="s">
        <v>54</v>
      </c>
      <c r="AI388" s="127"/>
      <c r="AJ388" s="127"/>
      <c r="AK388" s="127"/>
      <c r="AL388" s="127" t="s">
        <v>55</v>
      </c>
      <c r="AM388" s="127"/>
      <c r="AN388" s="127"/>
      <c r="AO388" s="127"/>
      <c r="AP388" s="127"/>
      <c r="AQ388" s="127"/>
      <c r="AR388" s="121">
        <f t="shared" si="132"/>
        <v>1</v>
      </c>
      <c r="AS388" s="121" t="str">
        <f t="shared" si="105"/>
        <v>2021_03_15_a</v>
      </c>
      <c r="AT388" s="122"/>
      <c r="AU388" s="121" t="str">
        <f t="shared" si="106"/>
        <v>2021</v>
      </c>
      <c r="AV388" s="121" t="str">
        <f t="shared" si="107"/>
        <v>03</v>
      </c>
      <c r="AW388" s="121" t="str">
        <f t="shared" si="108"/>
        <v>15</v>
      </c>
      <c r="AX388" s="121">
        <f t="shared" si="109"/>
        <v>44270</v>
      </c>
      <c r="AY388" s="123"/>
      <c r="AZ388" s="124">
        <f t="shared" si="110"/>
        <v>44270</v>
      </c>
      <c r="BA388" s="121" t="b">
        <f t="shared" si="111"/>
        <v>1</v>
      </c>
      <c r="BB388" s="121">
        <f t="shared" si="112"/>
        <v>44270</v>
      </c>
      <c r="BC388" s="121" t="str">
        <f t="shared" si="113"/>
        <v>no</v>
      </c>
      <c r="BD388" s="121" t="b">
        <f t="shared" si="114"/>
        <v>0</v>
      </c>
      <c r="BE388" s="125" t="s">
        <v>56</v>
      </c>
      <c r="BF388" s="116"/>
      <c r="BG388" s="127"/>
    </row>
    <row r="389" spans="1:59" s="161" customFormat="1" ht="24" customHeight="1">
      <c r="A389" s="167"/>
      <c r="B389" s="174" t="s">
        <v>740</v>
      </c>
      <c r="C389" s="169"/>
      <c r="D389" s="300">
        <v>10099554</v>
      </c>
      <c r="E389" s="170"/>
      <c r="F389" s="164" t="s">
        <v>697</v>
      </c>
      <c r="G389" s="190">
        <v>44319</v>
      </c>
      <c r="H389" s="191">
        <v>44319</v>
      </c>
      <c r="I389" s="165"/>
      <c r="J389" s="192">
        <v>44333</v>
      </c>
      <c r="K389" s="165"/>
      <c r="L389" s="129"/>
      <c r="M389" s="129"/>
      <c r="N389" s="129"/>
      <c r="O389" s="129"/>
      <c r="P389" s="129"/>
      <c r="Q389" s="127"/>
      <c r="R389" s="127"/>
      <c r="S389" s="277">
        <f t="shared" si="127"/>
        <v>23</v>
      </c>
      <c r="T389" s="297">
        <v>23</v>
      </c>
      <c r="U389" s="297">
        <v>23</v>
      </c>
      <c r="V389" s="297">
        <v>0</v>
      </c>
      <c r="W389" s="127"/>
      <c r="X389" s="127"/>
      <c r="Y389" s="127"/>
      <c r="Z389" s="127" t="s">
        <v>51</v>
      </c>
      <c r="AA389" s="127"/>
      <c r="AB389" s="127"/>
      <c r="AC389" s="127"/>
      <c r="AD389" s="127"/>
      <c r="AE389" s="127"/>
      <c r="AF389" s="127"/>
      <c r="AG389" s="120" t="s">
        <v>53</v>
      </c>
      <c r="AH389" s="120" t="s">
        <v>54</v>
      </c>
      <c r="AI389" s="127"/>
      <c r="AJ389" s="127"/>
      <c r="AK389" s="127"/>
      <c r="AL389" s="127" t="s">
        <v>55</v>
      </c>
      <c r="AM389" s="127"/>
      <c r="AN389" s="127"/>
      <c r="AO389" s="127"/>
      <c r="AP389" s="127"/>
      <c r="AQ389" s="127"/>
      <c r="AR389" s="121">
        <f t="shared" si="132"/>
        <v>1</v>
      </c>
      <c r="AS389" s="121" t="str">
        <f t="shared" ref="AS389:AS453" si="133">IFERROR(RIGHT(B389,16-SEARCH("_", B389)),0)</f>
        <v>2021_05_03_a</v>
      </c>
      <c r="AT389" s="122"/>
      <c r="AU389" s="121" t="str">
        <f t="shared" ref="AU389:AU453" si="134">LEFT(AS389,4)</f>
        <v>2021</v>
      </c>
      <c r="AV389" s="121" t="str">
        <f t="shared" ref="AV389:AV453" si="135">MID(AS389,6,2)</f>
        <v>05</v>
      </c>
      <c r="AW389" s="121" t="str">
        <f t="shared" ref="AW389:AW453" si="136">MID(AS389,9,2)</f>
        <v>03</v>
      </c>
      <c r="AX389" s="121">
        <f t="shared" ref="AX389:AX453" si="137">IFERROR(DATE(AU389,AV389,AW389)," ")</f>
        <v>44319</v>
      </c>
      <c r="AY389" s="123"/>
      <c r="AZ389" s="124">
        <f t="shared" ref="AZ389:AZ453" si="138">H389</f>
        <v>44319</v>
      </c>
      <c r="BA389" s="121" t="b">
        <f t="shared" ref="BA389:BA453" si="139">IF(AX389=" "," ",AX389=AZ389)</f>
        <v>1</v>
      </c>
      <c r="BB389" s="121">
        <f t="shared" ref="BB389:BB453" si="140">IF(BC389="YES"," ",AZ389)</f>
        <v>44319</v>
      </c>
      <c r="BC389" s="121" t="str">
        <f t="shared" ref="BC389:BC453" si="141">IF(AM389="Apprentice","yes","no")</f>
        <v>no</v>
      </c>
      <c r="BD389" s="121" t="b">
        <f t="shared" ref="BD389:BD453" si="142">IF(OR(U389&lt;&gt;"0", V389&lt;&gt;"0"),U389=V389," ")</f>
        <v>0</v>
      </c>
      <c r="BE389" s="125" t="s">
        <v>56</v>
      </c>
      <c r="BF389" s="116"/>
      <c r="BG389" s="127"/>
    </row>
    <row r="390" spans="1:59" s="127" customFormat="1" ht="24" customHeight="1">
      <c r="A390" s="167"/>
      <c r="B390" s="174" t="s">
        <v>741</v>
      </c>
      <c r="C390" s="169"/>
      <c r="D390" s="177">
        <v>10100993</v>
      </c>
      <c r="E390" s="170"/>
      <c r="F390" s="164" t="s">
        <v>697</v>
      </c>
      <c r="G390" s="190">
        <v>44354</v>
      </c>
      <c r="H390" s="191">
        <v>44354</v>
      </c>
      <c r="I390" s="129"/>
      <c r="J390" s="192">
        <v>44368</v>
      </c>
      <c r="K390" s="165"/>
      <c r="L390" s="129"/>
      <c r="M390" s="129"/>
      <c r="N390" s="129"/>
      <c r="O390" s="129"/>
      <c r="P390" s="129"/>
      <c r="S390" s="277">
        <f t="shared" si="127"/>
        <v>37</v>
      </c>
      <c r="T390" s="302">
        <v>37</v>
      </c>
      <c r="U390" s="302">
        <v>37</v>
      </c>
      <c r="V390" s="302">
        <v>0</v>
      </c>
      <c r="Z390" s="127" t="s">
        <v>51</v>
      </c>
      <c r="AG390" s="120" t="s">
        <v>53</v>
      </c>
      <c r="AH390" s="120" t="s">
        <v>54</v>
      </c>
      <c r="AL390" s="127" t="s">
        <v>55</v>
      </c>
      <c r="AR390" s="121">
        <f t="shared" si="132"/>
        <v>1</v>
      </c>
      <c r="AS390" s="121" t="str">
        <f t="shared" si="133"/>
        <v>2021_06_07_a</v>
      </c>
      <c r="AT390" s="122"/>
      <c r="AU390" s="121" t="str">
        <f t="shared" si="134"/>
        <v>2021</v>
      </c>
      <c r="AV390" s="121" t="str">
        <f t="shared" si="135"/>
        <v>06</v>
      </c>
      <c r="AW390" s="121" t="str">
        <f t="shared" si="136"/>
        <v>07</v>
      </c>
      <c r="AX390" s="121">
        <f t="shared" si="137"/>
        <v>44354</v>
      </c>
      <c r="AY390" s="123"/>
      <c r="AZ390" s="124">
        <f t="shared" si="138"/>
        <v>44354</v>
      </c>
      <c r="BA390" s="121" t="b">
        <f t="shared" si="139"/>
        <v>1</v>
      </c>
      <c r="BB390" s="121">
        <f t="shared" si="140"/>
        <v>44354</v>
      </c>
      <c r="BC390" s="121" t="str">
        <f t="shared" si="141"/>
        <v>no</v>
      </c>
      <c r="BD390" s="121" t="b">
        <f t="shared" si="142"/>
        <v>0</v>
      </c>
      <c r="BE390" s="125" t="s">
        <v>56</v>
      </c>
      <c r="BF390" s="116"/>
    </row>
    <row r="391" spans="1:59" s="127" customFormat="1" ht="24" customHeight="1">
      <c r="A391" s="167"/>
      <c r="B391" s="174" t="s">
        <v>742</v>
      </c>
      <c r="C391" s="169"/>
      <c r="D391" s="299">
        <v>10103243</v>
      </c>
      <c r="E391" s="170"/>
      <c r="F391" s="164" t="s">
        <v>697</v>
      </c>
      <c r="G391" s="190">
        <v>44389</v>
      </c>
      <c r="H391" s="191">
        <v>44389</v>
      </c>
      <c r="I391" s="129"/>
      <c r="J391" s="192">
        <v>44403</v>
      </c>
      <c r="K391" s="129"/>
      <c r="L391" s="129"/>
      <c r="M391" s="129"/>
      <c r="N391" s="129"/>
      <c r="O391" s="129"/>
      <c r="P391" s="129"/>
      <c r="S391" s="277">
        <f t="shared" si="127"/>
        <v>35</v>
      </c>
      <c r="T391" s="295">
        <v>35</v>
      </c>
      <c r="U391" s="295">
        <v>35</v>
      </c>
      <c r="V391" s="303">
        <v>0</v>
      </c>
      <c r="Z391" s="127" t="s">
        <v>51</v>
      </c>
      <c r="AG391" s="120" t="s">
        <v>53</v>
      </c>
      <c r="AH391" s="120" t="s">
        <v>54</v>
      </c>
      <c r="AL391" s="127" t="s">
        <v>55</v>
      </c>
      <c r="AR391" s="121">
        <f t="shared" si="132"/>
        <v>1</v>
      </c>
      <c r="AS391" s="121" t="str">
        <f t="shared" si="133"/>
        <v>2021_07_12_a</v>
      </c>
      <c r="AT391" s="122"/>
      <c r="AU391" s="121" t="str">
        <f t="shared" si="134"/>
        <v>2021</v>
      </c>
      <c r="AV391" s="121" t="str">
        <f t="shared" si="135"/>
        <v>07</v>
      </c>
      <c r="AW391" s="121" t="str">
        <f t="shared" si="136"/>
        <v>12</v>
      </c>
      <c r="AX391" s="121">
        <f t="shared" si="137"/>
        <v>44389</v>
      </c>
      <c r="AY391" s="123"/>
      <c r="AZ391" s="124">
        <f t="shared" si="138"/>
        <v>44389</v>
      </c>
      <c r="BA391" s="121" t="b">
        <f t="shared" si="139"/>
        <v>1</v>
      </c>
      <c r="BB391" s="121">
        <f t="shared" si="140"/>
        <v>44389</v>
      </c>
      <c r="BC391" s="121" t="str">
        <f t="shared" si="141"/>
        <v>no</v>
      </c>
      <c r="BD391" s="121" t="b">
        <f t="shared" si="142"/>
        <v>0</v>
      </c>
      <c r="BE391" s="125" t="s">
        <v>56</v>
      </c>
      <c r="BF391" s="116"/>
    </row>
    <row r="392" spans="1:59" s="161" customFormat="1" ht="24" customHeight="1">
      <c r="A392" s="167"/>
      <c r="B392" s="174" t="s">
        <v>743</v>
      </c>
      <c r="C392" s="169"/>
      <c r="D392" s="299">
        <v>10103942</v>
      </c>
      <c r="E392" s="170"/>
      <c r="F392" s="164" t="s">
        <v>697</v>
      </c>
      <c r="G392" s="190">
        <v>44417</v>
      </c>
      <c r="H392" s="191">
        <v>44417</v>
      </c>
      <c r="I392" s="129"/>
      <c r="J392" s="191">
        <v>44431</v>
      </c>
      <c r="K392" s="129"/>
      <c r="L392" s="129"/>
      <c r="M392" s="129"/>
      <c r="N392" s="129"/>
      <c r="O392" s="129"/>
      <c r="P392" s="129"/>
      <c r="Q392" s="127"/>
      <c r="R392" s="127"/>
      <c r="S392" s="277">
        <f t="shared" si="127"/>
        <v>66</v>
      </c>
      <c r="T392" s="304">
        <v>66</v>
      </c>
      <c r="U392" s="304">
        <v>66</v>
      </c>
      <c r="V392" s="303">
        <v>0</v>
      </c>
      <c r="W392" s="127"/>
      <c r="X392" s="127"/>
      <c r="Y392" s="127"/>
      <c r="Z392" s="127" t="s">
        <v>51</v>
      </c>
      <c r="AA392" s="127"/>
      <c r="AB392" s="127"/>
      <c r="AC392" s="127"/>
      <c r="AD392" s="127"/>
      <c r="AE392" s="127"/>
      <c r="AF392" s="127"/>
      <c r="AG392" s="120" t="s">
        <v>53</v>
      </c>
      <c r="AH392" s="120" t="s">
        <v>54</v>
      </c>
      <c r="AI392" s="127"/>
      <c r="AJ392" s="127"/>
      <c r="AK392" s="127"/>
      <c r="AL392" s="127" t="s">
        <v>55</v>
      </c>
      <c r="AM392" s="127"/>
      <c r="AN392" s="127"/>
      <c r="AO392" s="127"/>
      <c r="AP392" s="127"/>
      <c r="AQ392" s="127"/>
      <c r="AR392" s="121">
        <f t="shared" si="132"/>
        <v>1</v>
      </c>
      <c r="AS392" s="121" t="str">
        <f t="shared" si="133"/>
        <v>2021_08_09_a</v>
      </c>
      <c r="AT392" s="122"/>
      <c r="AU392" s="121" t="str">
        <f t="shared" si="134"/>
        <v>2021</v>
      </c>
      <c r="AV392" s="121" t="str">
        <f t="shared" si="135"/>
        <v>08</v>
      </c>
      <c r="AW392" s="121" t="str">
        <f t="shared" si="136"/>
        <v>09</v>
      </c>
      <c r="AX392" s="121">
        <f t="shared" si="137"/>
        <v>44417</v>
      </c>
      <c r="AY392" s="123"/>
      <c r="AZ392" s="124">
        <f t="shared" si="138"/>
        <v>44417</v>
      </c>
      <c r="BA392" s="121" t="b">
        <f t="shared" si="139"/>
        <v>1</v>
      </c>
      <c r="BB392" s="121">
        <f t="shared" si="140"/>
        <v>44417</v>
      </c>
      <c r="BC392" s="121" t="str">
        <f t="shared" si="141"/>
        <v>no</v>
      </c>
      <c r="BD392" s="121" t="b">
        <f t="shared" si="142"/>
        <v>0</v>
      </c>
      <c r="BE392" s="125" t="s">
        <v>56</v>
      </c>
      <c r="BF392" s="116"/>
      <c r="BG392" s="127"/>
    </row>
    <row r="393" spans="1:59" s="127" customFormat="1" ht="24" customHeight="1">
      <c r="A393" s="167"/>
      <c r="B393" s="174" t="s">
        <v>744</v>
      </c>
      <c r="C393" s="169"/>
      <c r="D393" s="299" t="s">
        <v>745</v>
      </c>
      <c r="E393" s="170"/>
      <c r="F393" s="164" t="s">
        <v>697</v>
      </c>
      <c r="G393" s="190">
        <v>44466</v>
      </c>
      <c r="H393" s="190">
        <v>44466</v>
      </c>
      <c r="I393" s="129"/>
      <c r="J393" s="192">
        <v>44480</v>
      </c>
      <c r="K393" s="129"/>
      <c r="L393" s="129"/>
      <c r="M393" s="129"/>
      <c r="N393" s="129"/>
      <c r="O393" s="129"/>
      <c r="P393" s="129"/>
      <c r="S393" s="277">
        <f t="shared" si="127"/>
        <v>29</v>
      </c>
      <c r="T393" s="304">
        <v>29</v>
      </c>
      <c r="U393" s="304">
        <v>29</v>
      </c>
      <c r="V393" s="303">
        <v>0</v>
      </c>
      <c r="Z393" s="127" t="s">
        <v>51</v>
      </c>
      <c r="AG393" s="120" t="s">
        <v>53</v>
      </c>
      <c r="AH393" s="120" t="s">
        <v>54</v>
      </c>
      <c r="AL393" s="127" t="s">
        <v>55</v>
      </c>
      <c r="AR393" s="121">
        <f t="shared" si="132"/>
        <v>1</v>
      </c>
      <c r="AS393" s="121" t="str">
        <f t="shared" si="133"/>
        <v>2021_09_27_a</v>
      </c>
      <c r="AT393" s="122"/>
      <c r="AU393" s="121" t="str">
        <f t="shared" si="134"/>
        <v>2021</v>
      </c>
      <c r="AV393" s="121" t="str">
        <f t="shared" si="135"/>
        <v>09</v>
      </c>
      <c r="AW393" s="121" t="str">
        <f t="shared" si="136"/>
        <v>27</v>
      </c>
      <c r="AX393" s="121">
        <f t="shared" si="137"/>
        <v>44466</v>
      </c>
      <c r="AY393" s="123"/>
      <c r="AZ393" s="124">
        <f t="shared" si="138"/>
        <v>44466</v>
      </c>
      <c r="BA393" s="121" t="b">
        <f t="shared" si="139"/>
        <v>1</v>
      </c>
      <c r="BB393" s="121">
        <f t="shared" si="140"/>
        <v>44466</v>
      </c>
      <c r="BC393" s="121" t="str">
        <f t="shared" si="141"/>
        <v>no</v>
      </c>
      <c r="BD393" s="121" t="b">
        <f t="shared" si="142"/>
        <v>0</v>
      </c>
      <c r="BE393" s="125" t="s">
        <v>56</v>
      </c>
      <c r="BF393" s="116"/>
    </row>
    <row r="394" spans="1:59" s="127" customFormat="1" ht="24" customHeight="1">
      <c r="A394" s="167"/>
      <c r="B394" s="174" t="s">
        <v>746</v>
      </c>
      <c r="C394" s="169"/>
      <c r="D394" s="299">
        <v>10217367</v>
      </c>
      <c r="E394" s="170"/>
      <c r="F394" s="164" t="s">
        <v>697</v>
      </c>
      <c r="G394" s="190">
        <v>44494</v>
      </c>
      <c r="H394" s="191">
        <v>44494</v>
      </c>
      <c r="I394" s="129"/>
      <c r="J394" s="192">
        <v>44508</v>
      </c>
      <c r="K394" s="129"/>
      <c r="L394" s="129"/>
      <c r="M394" s="129"/>
      <c r="N394" s="129"/>
      <c r="O394" s="129"/>
      <c r="P394" s="129"/>
      <c r="S394" s="277">
        <f t="shared" si="127"/>
        <v>12</v>
      </c>
      <c r="T394" s="304">
        <v>12</v>
      </c>
      <c r="U394" s="304">
        <v>12</v>
      </c>
      <c r="V394" s="303">
        <v>0</v>
      </c>
      <c r="Z394" s="127" t="s">
        <v>51</v>
      </c>
      <c r="AG394" s="120" t="s">
        <v>53</v>
      </c>
      <c r="AH394" s="120" t="s">
        <v>54</v>
      </c>
      <c r="AL394" s="127" t="s">
        <v>55</v>
      </c>
      <c r="AR394" s="121">
        <f t="shared" si="132"/>
        <v>1</v>
      </c>
      <c r="AS394" s="121" t="str">
        <f t="shared" si="133"/>
        <v>2021_10_25_a</v>
      </c>
      <c r="AT394" s="122"/>
      <c r="AU394" s="121" t="str">
        <f t="shared" si="134"/>
        <v>2021</v>
      </c>
      <c r="AV394" s="121" t="str">
        <f t="shared" si="135"/>
        <v>10</v>
      </c>
      <c r="AW394" s="121" t="str">
        <f t="shared" si="136"/>
        <v>25</v>
      </c>
      <c r="AX394" s="121">
        <f t="shared" si="137"/>
        <v>44494</v>
      </c>
      <c r="AY394" s="123"/>
      <c r="AZ394" s="124">
        <f t="shared" si="138"/>
        <v>44494</v>
      </c>
      <c r="BA394" s="121" t="b">
        <f t="shared" si="139"/>
        <v>1</v>
      </c>
      <c r="BB394" s="121">
        <f t="shared" si="140"/>
        <v>44494</v>
      </c>
      <c r="BC394" s="121" t="str">
        <f t="shared" si="141"/>
        <v>no</v>
      </c>
      <c r="BD394" s="121" t="b">
        <f t="shared" si="142"/>
        <v>0</v>
      </c>
      <c r="BE394" s="125" t="s">
        <v>56</v>
      </c>
      <c r="BF394" s="116"/>
    </row>
    <row r="395" spans="1:59" s="127" customFormat="1" ht="24" customHeight="1">
      <c r="A395" s="167"/>
      <c r="B395" s="178" t="s">
        <v>747</v>
      </c>
      <c r="C395" s="169"/>
      <c r="D395" s="177" t="s">
        <v>660</v>
      </c>
      <c r="E395" s="170"/>
      <c r="F395" s="185" t="s">
        <v>697</v>
      </c>
      <c r="G395" s="188">
        <v>44597</v>
      </c>
      <c r="H395" s="188">
        <v>44597</v>
      </c>
      <c r="I395" s="171"/>
      <c r="J395" s="189">
        <v>44597</v>
      </c>
      <c r="K395" s="172"/>
      <c r="L395" s="172"/>
      <c r="M395" s="172"/>
      <c r="N395" s="172"/>
      <c r="O395" s="172"/>
      <c r="P395" s="172"/>
      <c r="Q395" s="120"/>
      <c r="R395" s="120"/>
      <c r="S395" s="277">
        <f t="shared" si="127"/>
        <v>4</v>
      </c>
      <c r="T395" s="295">
        <v>4</v>
      </c>
      <c r="U395" s="295">
        <v>4</v>
      </c>
      <c r="V395" s="303">
        <v>0</v>
      </c>
      <c r="W395" s="120"/>
      <c r="X395" s="126"/>
      <c r="Y395" s="126"/>
      <c r="Z395" s="120"/>
      <c r="AA395" s="120"/>
      <c r="AB395" s="120"/>
      <c r="AC395" s="120"/>
      <c r="AD395" s="173"/>
      <c r="AE395" s="116"/>
      <c r="AF395" s="116"/>
      <c r="AG395" s="277" t="s">
        <v>53</v>
      </c>
      <c r="AH395" s="120" t="s">
        <v>54</v>
      </c>
      <c r="AI395" s="120"/>
      <c r="AM395" s="161" t="s">
        <v>661</v>
      </c>
      <c r="AR395" s="121">
        <f t="shared" si="132"/>
        <v>1</v>
      </c>
      <c r="AS395" s="121" t="str">
        <f t="shared" si="133"/>
        <v>2022_02_05_a</v>
      </c>
      <c r="AT395" s="122"/>
      <c r="AU395" s="121" t="str">
        <f t="shared" si="134"/>
        <v>2022</v>
      </c>
      <c r="AV395" s="121" t="str">
        <f t="shared" si="135"/>
        <v>02</v>
      </c>
      <c r="AW395" s="121" t="str">
        <f t="shared" si="136"/>
        <v>05</v>
      </c>
      <c r="AX395" s="121">
        <f t="shared" si="137"/>
        <v>44597</v>
      </c>
      <c r="AY395" s="123"/>
      <c r="AZ395" s="124">
        <f t="shared" si="138"/>
        <v>44597</v>
      </c>
      <c r="BA395" s="121" t="b">
        <f t="shared" si="139"/>
        <v>1</v>
      </c>
      <c r="BB395" s="121" t="str">
        <f t="shared" si="140"/>
        <v xml:space="preserve"> </v>
      </c>
      <c r="BC395" s="121" t="str">
        <f t="shared" si="141"/>
        <v>yes</v>
      </c>
      <c r="BD395" s="121" t="b">
        <f t="shared" si="142"/>
        <v>0</v>
      </c>
      <c r="BE395" s="125" t="s">
        <v>56</v>
      </c>
      <c r="BF395" s="116"/>
    </row>
    <row r="396" spans="1:59" s="162" customFormat="1" ht="24" customHeight="1">
      <c r="A396" s="167"/>
      <c r="B396" s="194" t="s">
        <v>748</v>
      </c>
      <c r="C396" s="127"/>
      <c r="D396" s="299">
        <v>10235825</v>
      </c>
      <c r="E396" s="127"/>
      <c r="F396" s="164" t="s">
        <v>697</v>
      </c>
      <c r="G396" s="165">
        <v>44606</v>
      </c>
      <c r="H396" s="165">
        <v>44606</v>
      </c>
      <c r="I396" s="129"/>
      <c r="J396" s="165">
        <v>44620</v>
      </c>
      <c r="K396" s="129"/>
      <c r="L396" s="129"/>
      <c r="M396" s="129"/>
      <c r="N396" s="129"/>
      <c r="O396" s="129"/>
      <c r="P396" s="129"/>
      <c r="Q396" s="127"/>
      <c r="R396" s="127"/>
      <c r="S396" s="277">
        <f t="shared" si="127"/>
        <v>47</v>
      </c>
      <c r="T396" s="304">
        <v>47</v>
      </c>
      <c r="U396" s="304">
        <v>47</v>
      </c>
      <c r="V396" s="303">
        <v>0</v>
      </c>
      <c r="W396" s="127"/>
      <c r="X396" s="127"/>
      <c r="Y396" s="127"/>
      <c r="Z396" s="127" t="s">
        <v>51</v>
      </c>
      <c r="AA396" s="127"/>
      <c r="AB396" s="127"/>
      <c r="AC396" s="127"/>
      <c r="AD396" s="127"/>
      <c r="AE396" s="127"/>
      <c r="AF396" s="127"/>
      <c r="AG396" s="120" t="s">
        <v>53</v>
      </c>
      <c r="AH396" s="120" t="s">
        <v>54</v>
      </c>
      <c r="AI396" s="127"/>
      <c r="AJ396" s="127"/>
      <c r="AK396" s="127"/>
      <c r="AL396" s="127" t="s">
        <v>55</v>
      </c>
      <c r="AM396" s="127"/>
      <c r="AN396" s="127"/>
      <c r="AO396" s="127"/>
      <c r="AP396" s="127"/>
      <c r="AQ396" s="127"/>
      <c r="AR396" s="121">
        <f t="shared" si="132"/>
        <v>1</v>
      </c>
      <c r="AS396" s="121" t="str">
        <f t="shared" si="133"/>
        <v>2022_02_14_a</v>
      </c>
      <c r="AT396" s="122"/>
      <c r="AU396" s="121" t="str">
        <f t="shared" si="134"/>
        <v>2022</v>
      </c>
      <c r="AV396" s="121" t="str">
        <f t="shared" si="135"/>
        <v>02</v>
      </c>
      <c r="AW396" s="121" t="str">
        <f t="shared" si="136"/>
        <v>14</v>
      </c>
      <c r="AX396" s="121">
        <f t="shared" si="137"/>
        <v>44606</v>
      </c>
      <c r="AY396" s="123"/>
      <c r="AZ396" s="124">
        <f t="shared" si="138"/>
        <v>44606</v>
      </c>
      <c r="BA396" s="121" t="b">
        <f t="shared" si="139"/>
        <v>1</v>
      </c>
      <c r="BB396" s="121">
        <f t="shared" si="140"/>
        <v>44606</v>
      </c>
      <c r="BC396" s="121" t="str">
        <f t="shared" si="141"/>
        <v>no</v>
      </c>
      <c r="BD396" s="121" t="b">
        <f t="shared" si="142"/>
        <v>0</v>
      </c>
      <c r="BE396" s="125" t="s">
        <v>56</v>
      </c>
      <c r="BF396" s="116"/>
      <c r="BG396" s="127"/>
    </row>
    <row r="397" spans="1:59" s="127" customFormat="1" ht="24" customHeight="1">
      <c r="B397" s="161" t="s">
        <v>749</v>
      </c>
      <c r="D397" s="299" t="s">
        <v>660</v>
      </c>
      <c r="F397" s="185" t="s">
        <v>697</v>
      </c>
      <c r="G397" s="171">
        <v>44607</v>
      </c>
      <c r="H397" s="171">
        <v>44607</v>
      </c>
      <c r="I397" s="171"/>
      <c r="J397" s="171">
        <v>44607</v>
      </c>
      <c r="K397" s="172"/>
      <c r="L397" s="172"/>
      <c r="M397" s="172"/>
      <c r="N397" s="172"/>
      <c r="O397" s="172"/>
      <c r="P397" s="172"/>
      <c r="Q397" s="120"/>
      <c r="R397" s="120"/>
      <c r="S397" s="277">
        <f t="shared" si="127"/>
        <v>2</v>
      </c>
      <c r="T397" s="304">
        <v>2</v>
      </c>
      <c r="U397" s="304">
        <v>2</v>
      </c>
      <c r="V397" s="303">
        <v>0</v>
      </c>
      <c r="W397" s="120"/>
      <c r="X397" s="126"/>
      <c r="Y397" s="126"/>
      <c r="Z397" s="120"/>
      <c r="AA397" s="120"/>
      <c r="AB397" s="120"/>
      <c r="AC397" s="120"/>
      <c r="AD397" s="173"/>
      <c r="AE397" s="116"/>
      <c r="AF397" s="116"/>
      <c r="AG397" s="277" t="s">
        <v>53</v>
      </c>
      <c r="AH397" s="120" t="s">
        <v>54</v>
      </c>
      <c r="AI397" s="120"/>
      <c r="AM397" s="161" t="s">
        <v>661</v>
      </c>
      <c r="AR397" s="121">
        <f t="shared" si="132"/>
        <v>1</v>
      </c>
      <c r="AS397" s="121" t="str">
        <f t="shared" si="133"/>
        <v>2022_02_15_a</v>
      </c>
      <c r="AT397" s="122"/>
      <c r="AU397" s="121" t="str">
        <f t="shared" si="134"/>
        <v>2022</v>
      </c>
      <c r="AV397" s="121" t="str">
        <f t="shared" si="135"/>
        <v>02</v>
      </c>
      <c r="AW397" s="121" t="str">
        <f t="shared" si="136"/>
        <v>15</v>
      </c>
      <c r="AX397" s="121">
        <f t="shared" si="137"/>
        <v>44607</v>
      </c>
      <c r="AY397" s="123"/>
      <c r="AZ397" s="124">
        <f t="shared" si="138"/>
        <v>44607</v>
      </c>
      <c r="BA397" s="121" t="b">
        <f t="shared" si="139"/>
        <v>1</v>
      </c>
      <c r="BB397" s="121" t="str">
        <f t="shared" si="140"/>
        <v xml:space="preserve"> </v>
      </c>
      <c r="BC397" s="121" t="str">
        <f t="shared" si="141"/>
        <v>yes</v>
      </c>
      <c r="BD397" s="121" t="b">
        <f t="shared" si="142"/>
        <v>0</v>
      </c>
      <c r="BE397" s="125" t="s">
        <v>56</v>
      </c>
      <c r="BF397" s="116"/>
    </row>
    <row r="398" spans="1:59" s="127" customFormat="1" ht="24" customHeight="1">
      <c r="B398" s="186" t="s">
        <v>750</v>
      </c>
      <c r="D398" s="299">
        <v>10235799</v>
      </c>
      <c r="F398" s="164" t="s">
        <v>697</v>
      </c>
      <c r="G398" s="165">
        <v>44627</v>
      </c>
      <c r="H398" s="165">
        <v>44627</v>
      </c>
      <c r="I398" s="129"/>
      <c r="J398" s="165">
        <v>44641</v>
      </c>
      <c r="K398" s="129"/>
      <c r="L398" s="129"/>
      <c r="M398" s="129"/>
      <c r="N398" s="129"/>
      <c r="O398" s="129"/>
      <c r="P398" s="129"/>
      <c r="S398" s="277">
        <f t="shared" si="127"/>
        <v>24</v>
      </c>
      <c r="T398" s="298">
        <v>24</v>
      </c>
      <c r="U398" s="298">
        <v>24</v>
      </c>
      <c r="V398" s="298">
        <v>0</v>
      </c>
      <c r="Z398" s="127" t="s">
        <v>51</v>
      </c>
      <c r="AG398" s="120" t="s">
        <v>53</v>
      </c>
      <c r="AH398" s="120" t="s">
        <v>54</v>
      </c>
      <c r="AL398" s="127" t="s">
        <v>55</v>
      </c>
      <c r="AR398" s="121">
        <f t="shared" si="132"/>
        <v>1</v>
      </c>
      <c r="AS398" s="121" t="str">
        <f t="shared" si="133"/>
        <v>2022_03_07_a</v>
      </c>
      <c r="AT398" s="122"/>
      <c r="AU398" s="121" t="str">
        <f t="shared" si="134"/>
        <v>2022</v>
      </c>
      <c r="AV398" s="121" t="str">
        <f t="shared" si="135"/>
        <v>03</v>
      </c>
      <c r="AW398" s="121" t="str">
        <f t="shared" si="136"/>
        <v>07</v>
      </c>
      <c r="AX398" s="121">
        <f t="shared" si="137"/>
        <v>44627</v>
      </c>
      <c r="AY398" s="123"/>
      <c r="AZ398" s="124">
        <f t="shared" si="138"/>
        <v>44627</v>
      </c>
      <c r="BA398" s="121" t="b">
        <f t="shared" si="139"/>
        <v>1</v>
      </c>
      <c r="BB398" s="121">
        <f t="shared" si="140"/>
        <v>44627</v>
      </c>
      <c r="BC398" s="121" t="str">
        <f t="shared" si="141"/>
        <v>no</v>
      </c>
      <c r="BD398" s="121" t="b">
        <f t="shared" si="142"/>
        <v>0</v>
      </c>
      <c r="BE398" s="125" t="s">
        <v>56</v>
      </c>
      <c r="BF398" s="116"/>
    </row>
    <row r="399" spans="1:59" s="127" customFormat="1" ht="24" customHeight="1">
      <c r="B399" s="161" t="s">
        <v>751</v>
      </c>
      <c r="C399" s="161"/>
      <c r="D399" s="299" t="s">
        <v>660</v>
      </c>
      <c r="E399" s="161"/>
      <c r="F399" s="131" t="s">
        <v>697</v>
      </c>
      <c r="G399" s="183">
        <v>44655</v>
      </c>
      <c r="H399" s="183">
        <v>44655</v>
      </c>
      <c r="I399" s="183"/>
      <c r="J399" s="183">
        <v>44672</v>
      </c>
      <c r="K399" s="183"/>
      <c r="L399" s="184"/>
      <c r="M399" s="184"/>
      <c r="N399" s="184"/>
      <c r="O399" s="184"/>
      <c r="P399" s="184"/>
      <c r="Q399" s="161"/>
      <c r="R399" s="161"/>
      <c r="S399" s="277">
        <f t="shared" si="127"/>
        <v>2</v>
      </c>
      <c r="T399" s="298">
        <v>2</v>
      </c>
      <c r="U399" s="298">
        <v>2</v>
      </c>
      <c r="V399" s="298">
        <v>0</v>
      </c>
      <c r="W399" s="161"/>
      <c r="X399" s="161"/>
      <c r="Y399" s="161"/>
      <c r="Z399" s="161"/>
      <c r="AA399" s="161"/>
      <c r="AB399" s="161"/>
      <c r="AC399" s="161"/>
      <c r="AD399" s="161"/>
      <c r="AE399" s="161"/>
      <c r="AF399" s="161"/>
      <c r="AG399" s="277" t="s">
        <v>53</v>
      </c>
      <c r="AH399" s="161" t="s">
        <v>54</v>
      </c>
      <c r="AI399" s="161"/>
      <c r="AJ399" s="161"/>
      <c r="AK399" s="161"/>
      <c r="AL399" s="161"/>
      <c r="AM399" s="161" t="s">
        <v>661</v>
      </c>
      <c r="AN399" s="161"/>
      <c r="AO399" s="161"/>
      <c r="AP399" s="161"/>
      <c r="AQ399" s="161"/>
      <c r="AR399" s="121">
        <f t="shared" si="132"/>
        <v>1</v>
      </c>
      <c r="AS399" s="121" t="str">
        <f t="shared" si="133"/>
        <v>2022_04_04_a</v>
      </c>
      <c r="AT399" s="122"/>
      <c r="AU399" s="121" t="str">
        <f t="shared" si="134"/>
        <v>2022</v>
      </c>
      <c r="AV399" s="121" t="str">
        <f t="shared" si="135"/>
        <v>04</v>
      </c>
      <c r="AW399" s="121" t="str">
        <f t="shared" si="136"/>
        <v>04</v>
      </c>
      <c r="AX399" s="121">
        <f t="shared" si="137"/>
        <v>44655</v>
      </c>
      <c r="AY399" s="123"/>
      <c r="AZ399" s="124">
        <f t="shared" si="138"/>
        <v>44655</v>
      </c>
      <c r="BA399" s="121" t="b">
        <f t="shared" si="139"/>
        <v>1</v>
      </c>
      <c r="BB399" s="121" t="str">
        <f t="shared" si="140"/>
        <v xml:space="preserve"> </v>
      </c>
      <c r="BC399" s="121" t="str">
        <f t="shared" si="141"/>
        <v>yes</v>
      </c>
      <c r="BD399" s="121" t="b">
        <f t="shared" si="142"/>
        <v>0</v>
      </c>
      <c r="BE399" s="125" t="s">
        <v>56</v>
      </c>
      <c r="BF399" s="161"/>
      <c r="BG399" s="161"/>
    </row>
    <row r="400" spans="1:59" s="127" customFormat="1" ht="24" customHeight="1">
      <c r="A400" s="161"/>
      <c r="B400" s="186" t="s">
        <v>752</v>
      </c>
      <c r="D400" s="299">
        <v>10255304</v>
      </c>
      <c r="F400" s="164" t="s">
        <v>697</v>
      </c>
      <c r="G400" s="165">
        <v>44690</v>
      </c>
      <c r="H400" s="165">
        <v>44690</v>
      </c>
      <c r="I400" s="129"/>
      <c r="J400" s="165">
        <v>44704</v>
      </c>
      <c r="K400" s="129"/>
      <c r="L400" s="129"/>
      <c r="M400" s="129"/>
      <c r="N400" s="129"/>
      <c r="O400" s="129"/>
      <c r="P400" s="129"/>
      <c r="S400" s="277">
        <f t="shared" si="127"/>
        <v>25</v>
      </c>
      <c r="T400" s="298">
        <v>25</v>
      </c>
      <c r="U400" s="298">
        <v>25</v>
      </c>
      <c r="V400" s="298">
        <v>0</v>
      </c>
      <c r="Z400" s="127" t="s">
        <v>51</v>
      </c>
      <c r="AG400" s="120" t="s">
        <v>53</v>
      </c>
      <c r="AH400" s="120" t="s">
        <v>54</v>
      </c>
      <c r="AL400" s="127" t="s">
        <v>55</v>
      </c>
      <c r="AR400" s="121">
        <f t="shared" si="132"/>
        <v>1</v>
      </c>
      <c r="AS400" s="121" t="str">
        <f t="shared" si="133"/>
        <v>2022_05_09_a</v>
      </c>
      <c r="AT400" s="122"/>
      <c r="AU400" s="121" t="str">
        <f t="shared" si="134"/>
        <v>2022</v>
      </c>
      <c r="AV400" s="121" t="str">
        <f t="shared" si="135"/>
        <v>05</v>
      </c>
      <c r="AW400" s="121" t="str">
        <f t="shared" si="136"/>
        <v>09</v>
      </c>
      <c r="AX400" s="121">
        <f t="shared" si="137"/>
        <v>44690</v>
      </c>
      <c r="AY400" s="123"/>
      <c r="AZ400" s="124">
        <f t="shared" si="138"/>
        <v>44690</v>
      </c>
      <c r="BA400" s="121" t="b">
        <f t="shared" si="139"/>
        <v>1</v>
      </c>
      <c r="BB400" s="121">
        <f t="shared" si="140"/>
        <v>44690</v>
      </c>
      <c r="BC400" s="121" t="str">
        <f t="shared" si="141"/>
        <v>no</v>
      </c>
      <c r="BD400" s="121" t="b">
        <f t="shared" si="142"/>
        <v>0</v>
      </c>
      <c r="BE400" s="125" t="s">
        <v>56</v>
      </c>
      <c r="BF400" s="116"/>
    </row>
    <row r="401" spans="1:59" s="127" customFormat="1" ht="24" customHeight="1">
      <c r="B401" s="186" t="s">
        <v>753</v>
      </c>
      <c r="D401" s="299" t="s">
        <v>754</v>
      </c>
      <c r="F401" s="164" t="s">
        <v>697</v>
      </c>
      <c r="G401" s="165">
        <v>44725</v>
      </c>
      <c r="H401" s="165">
        <v>44725</v>
      </c>
      <c r="I401" s="129"/>
      <c r="J401" s="165">
        <v>44742</v>
      </c>
      <c r="K401" s="129"/>
      <c r="L401" s="129"/>
      <c r="M401" s="129"/>
      <c r="N401" s="129"/>
      <c r="O401" s="129"/>
      <c r="P401" s="129"/>
      <c r="S401" s="277">
        <f t="shared" si="127"/>
        <v>66</v>
      </c>
      <c r="T401" s="298">
        <v>66</v>
      </c>
      <c r="U401" s="298">
        <v>66</v>
      </c>
      <c r="V401" s="298">
        <v>0</v>
      </c>
      <c r="Z401" s="127" t="s">
        <v>51</v>
      </c>
      <c r="AG401" s="120" t="s">
        <v>53</v>
      </c>
      <c r="AH401" s="120" t="s">
        <v>54</v>
      </c>
      <c r="AL401" s="127" t="s">
        <v>55</v>
      </c>
      <c r="AR401" s="121">
        <f t="shared" si="132"/>
        <v>1</v>
      </c>
      <c r="AS401" s="121" t="str">
        <f t="shared" si="133"/>
        <v>2022_06_13_a</v>
      </c>
      <c r="AT401" s="122"/>
      <c r="AU401" s="121" t="str">
        <f t="shared" si="134"/>
        <v>2022</v>
      </c>
      <c r="AV401" s="121" t="str">
        <f t="shared" si="135"/>
        <v>06</v>
      </c>
      <c r="AW401" s="121" t="str">
        <f t="shared" si="136"/>
        <v>13</v>
      </c>
      <c r="AX401" s="121">
        <f t="shared" si="137"/>
        <v>44725</v>
      </c>
      <c r="AY401" s="123"/>
      <c r="AZ401" s="124">
        <f t="shared" si="138"/>
        <v>44725</v>
      </c>
      <c r="BA401" s="121" t="b">
        <f t="shared" si="139"/>
        <v>1</v>
      </c>
      <c r="BB401" s="121">
        <f t="shared" si="140"/>
        <v>44725</v>
      </c>
      <c r="BC401" s="121" t="str">
        <f t="shared" si="141"/>
        <v>no</v>
      </c>
      <c r="BD401" s="121" t="b">
        <f t="shared" si="142"/>
        <v>0</v>
      </c>
      <c r="BE401" s="125" t="s">
        <v>56</v>
      </c>
      <c r="BF401" s="116"/>
    </row>
    <row r="402" spans="1:59" s="127" customFormat="1" ht="24" customHeight="1">
      <c r="B402" s="187" t="s">
        <v>755</v>
      </c>
      <c r="C402" s="161"/>
      <c r="D402" s="177" t="s">
        <v>660</v>
      </c>
      <c r="E402" s="161"/>
      <c r="F402" s="131" t="s">
        <v>697</v>
      </c>
      <c r="G402" s="183">
        <v>44751</v>
      </c>
      <c r="H402" s="183">
        <v>44751</v>
      </c>
      <c r="I402" s="184"/>
      <c r="J402" s="183">
        <v>44768</v>
      </c>
      <c r="K402" s="184"/>
      <c r="L402" s="184"/>
      <c r="M402" s="184"/>
      <c r="N402" s="184"/>
      <c r="O402" s="184"/>
      <c r="P402" s="184"/>
      <c r="Q402" s="161"/>
      <c r="R402" s="161"/>
      <c r="S402" s="277">
        <f t="shared" si="127"/>
        <v>2</v>
      </c>
      <c r="T402" s="296">
        <v>2</v>
      </c>
      <c r="U402" s="296">
        <v>2</v>
      </c>
      <c r="V402" s="296">
        <v>0</v>
      </c>
      <c r="W402" s="161"/>
      <c r="X402" s="161"/>
      <c r="Y402" s="161"/>
      <c r="Z402" s="161" t="s">
        <v>51</v>
      </c>
      <c r="AA402" s="161"/>
      <c r="AB402" s="161"/>
      <c r="AC402" s="161"/>
      <c r="AD402" s="161"/>
      <c r="AE402" s="161"/>
      <c r="AF402" s="161"/>
      <c r="AG402" s="161" t="s">
        <v>53</v>
      </c>
      <c r="AH402" s="161" t="s">
        <v>54</v>
      </c>
      <c r="AI402" s="161"/>
      <c r="AJ402" s="161"/>
      <c r="AK402" s="161"/>
      <c r="AL402" s="161" t="s">
        <v>55</v>
      </c>
      <c r="AM402" s="161"/>
      <c r="AN402" s="161"/>
      <c r="AO402" s="161"/>
      <c r="AP402" s="161"/>
      <c r="AQ402" s="161"/>
      <c r="AR402" s="121">
        <f t="shared" si="132"/>
        <v>1</v>
      </c>
      <c r="AS402" s="121" t="str">
        <f t="shared" si="133"/>
        <v>2022_07_09_a</v>
      </c>
      <c r="AT402" s="122"/>
      <c r="AU402" s="121" t="str">
        <f t="shared" si="134"/>
        <v>2022</v>
      </c>
      <c r="AV402" s="121" t="str">
        <f t="shared" si="135"/>
        <v>07</v>
      </c>
      <c r="AW402" s="121" t="str">
        <f t="shared" si="136"/>
        <v>09</v>
      </c>
      <c r="AX402" s="121">
        <f t="shared" si="137"/>
        <v>44751</v>
      </c>
      <c r="AY402" s="123"/>
      <c r="AZ402" s="124">
        <f t="shared" si="138"/>
        <v>44751</v>
      </c>
      <c r="BA402" s="121" t="b">
        <f t="shared" si="139"/>
        <v>1</v>
      </c>
      <c r="BB402" s="121">
        <f t="shared" si="140"/>
        <v>44751</v>
      </c>
      <c r="BC402" s="121" t="str">
        <f t="shared" si="141"/>
        <v>no</v>
      </c>
      <c r="BD402" s="121" t="b">
        <f t="shared" si="142"/>
        <v>0</v>
      </c>
      <c r="BE402" s="125" t="s">
        <v>56</v>
      </c>
      <c r="BF402" s="161"/>
      <c r="BG402" s="161"/>
    </row>
    <row r="403" spans="1:59" s="127" customFormat="1" ht="24" customHeight="1">
      <c r="A403" s="161"/>
      <c r="B403" s="195" t="s">
        <v>756</v>
      </c>
      <c r="C403" s="232"/>
      <c r="D403" s="177">
        <v>10283860</v>
      </c>
      <c r="E403" s="233"/>
      <c r="F403" s="196" t="s">
        <v>697</v>
      </c>
      <c r="G403" s="197">
        <v>44760</v>
      </c>
      <c r="H403" s="197">
        <v>44760</v>
      </c>
      <c r="I403" s="198"/>
      <c r="J403" s="197">
        <v>44775</v>
      </c>
      <c r="K403" s="198"/>
      <c r="L403" s="198"/>
      <c r="M403" s="198"/>
      <c r="N403" s="198"/>
      <c r="O403" s="198"/>
      <c r="P403" s="198"/>
      <c r="Q403" s="163"/>
      <c r="R403" s="163"/>
      <c r="S403" s="277">
        <f t="shared" si="127"/>
        <v>24</v>
      </c>
      <c r="T403" s="298">
        <v>24</v>
      </c>
      <c r="U403" s="298">
        <v>24</v>
      </c>
      <c r="V403" s="298">
        <v>0</v>
      </c>
      <c r="W403" s="163"/>
      <c r="X403" s="163"/>
      <c r="Y403" s="163"/>
      <c r="Z403" s="163" t="s">
        <v>51</v>
      </c>
      <c r="AA403" s="163"/>
      <c r="AB403" s="163"/>
      <c r="AC403" s="163"/>
      <c r="AD403" s="163"/>
      <c r="AE403" s="163"/>
      <c r="AF403" s="163"/>
      <c r="AG403" s="199" t="s">
        <v>53</v>
      </c>
      <c r="AH403" s="120" t="s">
        <v>54</v>
      </c>
      <c r="AI403" s="163"/>
      <c r="AJ403" s="163"/>
      <c r="AK403" s="163"/>
      <c r="AL403" s="163" t="s">
        <v>55</v>
      </c>
      <c r="AM403" s="163"/>
      <c r="AN403" s="163"/>
      <c r="AO403" s="163"/>
      <c r="AP403" s="163"/>
      <c r="AQ403" s="163"/>
      <c r="AR403" s="121">
        <f t="shared" si="132"/>
        <v>1</v>
      </c>
      <c r="AS403" s="121" t="str">
        <f t="shared" si="133"/>
        <v>2022_07_18_a</v>
      </c>
      <c r="AT403" s="122"/>
      <c r="AU403" s="121" t="str">
        <f t="shared" si="134"/>
        <v>2022</v>
      </c>
      <c r="AV403" s="121" t="str">
        <f t="shared" si="135"/>
        <v>07</v>
      </c>
      <c r="AW403" s="121" t="str">
        <f t="shared" si="136"/>
        <v>18</v>
      </c>
      <c r="AX403" s="121">
        <f t="shared" si="137"/>
        <v>44760</v>
      </c>
      <c r="AY403" s="123"/>
      <c r="AZ403" s="124">
        <f t="shared" si="138"/>
        <v>44760</v>
      </c>
      <c r="BA403" s="121" t="b">
        <f t="shared" si="139"/>
        <v>1</v>
      </c>
      <c r="BB403" s="121">
        <f t="shared" si="140"/>
        <v>44760</v>
      </c>
      <c r="BC403" s="121" t="str">
        <f t="shared" si="141"/>
        <v>no</v>
      </c>
      <c r="BD403" s="121" t="b">
        <f t="shared" si="142"/>
        <v>0</v>
      </c>
      <c r="BE403" s="125" t="s">
        <v>56</v>
      </c>
      <c r="BF403" s="116"/>
    </row>
    <row r="404" spans="1:59" s="127" customFormat="1" ht="24" customHeight="1">
      <c r="B404" s="177" t="s">
        <v>757</v>
      </c>
      <c r="C404" s="200"/>
      <c r="D404" s="299">
        <v>10283647</v>
      </c>
      <c r="E404" s="234"/>
      <c r="F404" s="201" t="s">
        <v>697</v>
      </c>
      <c r="G404" s="190">
        <v>44760</v>
      </c>
      <c r="H404" s="202">
        <v>44760</v>
      </c>
      <c r="I404" s="203"/>
      <c r="J404" s="202">
        <v>44775</v>
      </c>
      <c r="K404" s="203"/>
      <c r="L404" s="203"/>
      <c r="M404" s="203"/>
      <c r="N404" s="203"/>
      <c r="O404" s="203"/>
      <c r="P404" s="203"/>
      <c r="Q404" s="174"/>
      <c r="R404" s="174"/>
      <c r="S404" s="277">
        <f t="shared" si="127"/>
        <v>56</v>
      </c>
      <c r="T404" s="298">
        <v>56</v>
      </c>
      <c r="U404" s="298">
        <v>56</v>
      </c>
      <c r="V404" s="298">
        <v>0</v>
      </c>
      <c r="W404" s="174"/>
      <c r="X404" s="174"/>
      <c r="Y404" s="174"/>
      <c r="Z404" s="163" t="s">
        <v>51</v>
      </c>
      <c r="AA404" s="174"/>
      <c r="AB404" s="174"/>
      <c r="AC404" s="174"/>
      <c r="AD404" s="174"/>
      <c r="AE404" s="174"/>
      <c r="AF404" s="174"/>
      <c r="AG404" s="163" t="s">
        <v>53</v>
      </c>
      <c r="AH404" s="120" t="s">
        <v>54</v>
      </c>
      <c r="AI404" s="174"/>
      <c r="AJ404" s="174"/>
      <c r="AK404" s="174"/>
      <c r="AL404" s="163" t="s">
        <v>55</v>
      </c>
      <c r="AM404" s="174"/>
      <c r="AN404" s="174"/>
      <c r="AO404" s="174"/>
      <c r="AP404" s="174"/>
      <c r="AQ404" s="174"/>
      <c r="AR404" s="121">
        <f t="shared" si="132"/>
        <v>1</v>
      </c>
      <c r="AS404" s="121" t="str">
        <f t="shared" si="133"/>
        <v>2022_07_18_b</v>
      </c>
      <c r="AT404" s="122"/>
      <c r="AU404" s="121" t="str">
        <f t="shared" si="134"/>
        <v>2022</v>
      </c>
      <c r="AV404" s="121" t="str">
        <f t="shared" si="135"/>
        <v>07</v>
      </c>
      <c r="AW404" s="121" t="str">
        <f t="shared" si="136"/>
        <v>18</v>
      </c>
      <c r="AX404" s="121">
        <f t="shared" si="137"/>
        <v>44760</v>
      </c>
      <c r="AY404" s="123"/>
      <c r="AZ404" s="124">
        <f t="shared" si="138"/>
        <v>44760</v>
      </c>
      <c r="BA404" s="121" t="b">
        <f t="shared" si="139"/>
        <v>1</v>
      </c>
      <c r="BB404" s="121">
        <f t="shared" si="140"/>
        <v>44760</v>
      </c>
      <c r="BC404" s="121" t="str">
        <f t="shared" si="141"/>
        <v>no</v>
      </c>
      <c r="BD404" s="121" t="b">
        <f t="shared" si="142"/>
        <v>0</v>
      </c>
      <c r="BE404" s="125" t="s">
        <v>56</v>
      </c>
      <c r="BG404" s="170"/>
    </row>
    <row r="405" spans="1:59" s="161" customFormat="1" ht="24" customHeight="1">
      <c r="A405" s="167"/>
      <c r="B405" s="180" t="s">
        <v>758</v>
      </c>
      <c r="C405" s="178"/>
      <c r="D405" s="299" t="s">
        <v>660</v>
      </c>
      <c r="E405" s="204"/>
      <c r="F405" s="205" t="s">
        <v>697</v>
      </c>
      <c r="G405" s="206">
        <v>44774</v>
      </c>
      <c r="H405" s="206">
        <v>44774</v>
      </c>
      <c r="I405" s="208"/>
      <c r="J405" s="207">
        <v>44788</v>
      </c>
      <c r="K405" s="208"/>
      <c r="L405" s="208"/>
      <c r="M405" s="208"/>
      <c r="N405" s="208"/>
      <c r="O405" s="208"/>
      <c r="P405" s="208"/>
      <c r="Q405" s="178"/>
      <c r="R405" s="178"/>
      <c r="S405" s="277">
        <f t="shared" si="127"/>
        <v>1</v>
      </c>
      <c r="T405" s="298">
        <v>1</v>
      </c>
      <c r="U405" s="298">
        <v>1</v>
      </c>
      <c r="V405" s="298">
        <v>0</v>
      </c>
      <c r="W405" s="178"/>
      <c r="X405" s="178"/>
      <c r="Y405" s="178"/>
      <c r="Z405" s="209" t="s">
        <v>51</v>
      </c>
      <c r="AA405" s="178"/>
      <c r="AB405" s="178"/>
      <c r="AC405" s="178"/>
      <c r="AD405" s="178"/>
      <c r="AE405" s="178"/>
      <c r="AF405" s="178"/>
      <c r="AG405" s="209" t="s">
        <v>53</v>
      </c>
      <c r="AH405" s="161" t="s">
        <v>54</v>
      </c>
      <c r="AI405" s="178"/>
      <c r="AJ405" s="178"/>
      <c r="AK405" s="178"/>
      <c r="AL405" s="209" t="s">
        <v>55</v>
      </c>
      <c r="AM405" s="161" t="s">
        <v>661</v>
      </c>
      <c r="AN405" s="178"/>
      <c r="AO405" s="178"/>
      <c r="AP405" s="178"/>
      <c r="AQ405" s="178"/>
      <c r="AR405" s="121">
        <f t="shared" si="132"/>
        <v>1</v>
      </c>
      <c r="AS405" s="121" t="str">
        <f t="shared" si="133"/>
        <v>2022_08_01_a</v>
      </c>
      <c r="AT405" s="122"/>
      <c r="AU405" s="121" t="str">
        <f t="shared" si="134"/>
        <v>2022</v>
      </c>
      <c r="AV405" s="121" t="str">
        <f t="shared" si="135"/>
        <v>08</v>
      </c>
      <c r="AW405" s="121" t="str">
        <f t="shared" si="136"/>
        <v>01</v>
      </c>
      <c r="AX405" s="121">
        <f t="shared" si="137"/>
        <v>44774</v>
      </c>
      <c r="AY405" s="123"/>
      <c r="AZ405" s="124">
        <f t="shared" si="138"/>
        <v>44774</v>
      </c>
      <c r="BA405" s="121" t="b">
        <f t="shared" si="139"/>
        <v>1</v>
      </c>
      <c r="BB405" s="121" t="str">
        <f t="shared" si="140"/>
        <v xml:space="preserve"> </v>
      </c>
      <c r="BC405" s="121" t="str">
        <f t="shared" si="141"/>
        <v>yes</v>
      </c>
      <c r="BD405" s="121" t="b">
        <f t="shared" si="142"/>
        <v>0</v>
      </c>
      <c r="BE405" s="125" t="s">
        <v>56</v>
      </c>
      <c r="BG405" s="182"/>
    </row>
    <row r="406" spans="1:59" s="127" customFormat="1" ht="24" customHeight="1">
      <c r="A406" s="179"/>
      <c r="B406" s="177" t="s">
        <v>759</v>
      </c>
      <c r="C406" s="174"/>
      <c r="D406" s="299">
        <v>10287986</v>
      </c>
      <c r="E406" s="200"/>
      <c r="F406" s="201" t="s">
        <v>697</v>
      </c>
      <c r="G406" s="190">
        <v>44781</v>
      </c>
      <c r="H406" s="202">
        <v>44781</v>
      </c>
      <c r="I406" s="203"/>
      <c r="J406" s="202">
        <v>44797</v>
      </c>
      <c r="K406" s="203"/>
      <c r="L406" s="203"/>
      <c r="M406" s="203"/>
      <c r="N406" s="203"/>
      <c r="O406" s="203"/>
      <c r="P406" s="203"/>
      <c r="Q406" s="174"/>
      <c r="R406" s="174"/>
      <c r="S406" s="277">
        <f t="shared" si="127"/>
        <v>39</v>
      </c>
      <c r="T406" s="298">
        <v>39</v>
      </c>
      <c r="U406" s="298">
        <v>39</v>
      </c>
      <c r="V406" s="298">
        <v>0</v>
      </c>
      <c r="W406" s="174"/>
      <c r="X406" s="174"/>
      <c r="Y406" s="174"/>
      <c r="Z406" s="163" t="s">
        <v>51</v>
      </c>
      <c r="AA406" s="174"/>
      <c r="AB406" s="174"/>
      <c r="AC406" s="174"/>
      <c r="AD406" s="174"/>
      <c r="AE406" s="174"/>
      <c r="AF406" s="174"/>
      <c r="AG406" s="199" t="s">
        <v>53</v>
      </c>
      <c r="AH406" s="120" t="s">
        <v>54</v>
      </c>
      <c r="AI406" s="174"/>
      <c r="AJ406" s="174"/>
      <c r="AK406" s="174"/>
      <c r="AL406" s="163" t="s">
        <v>55</v>
      </c>
      <c r="AM406" s="174"/>
      <c r="AN406" s="174"/>
      <c r="AO406" s="174"/>
      <c r="AP406" s="174"/>
      <c r="AQ406" s="174"/>
      <c r="AR406" s="121">
        <f t="shared" si="132"/>
        <v>1</v>
      </c>
      <c r="AS406" s="121" t="str">
        <f t="shared" si="133"/>
        <v>2022_08_08_a</v>
      </c>
      <c r="AT406" s="122"/>
      <c r="AU406" s="121" t="str">
        <f t="shared" si="134"/>
        <v>2022</v>
      </c>
      <c r="AV406" s="121" t="str">
        <f t="shared" si="135"/>
        <v>08</v>
      </c>
      <c r="AW406" s="121" t="str">
        <f t="shared" si="136"/>
        <v>08</v>
      </c>
      <c r="AX406" s="121">
        <f t="shared" si="137"/>
        <v>44781</v>
      </c>
      <c r="AY406" s="123"/>
      <c r="AZ406" s="124">
        <f t="shared" si="138"/>
        <v>44781</v>
      </c>
      <c r="BA406" s="121" t="b">
        <f t="shared" si="139"/>
        <v>1</v>
      </c>
      <c r="BB406" s="121">
        <f t="shared" si="140"/>
        <v>44781</v>
      </c>
      <c r="BC406" s="121" t="str">
        <f t="shared" si="141"/>
        <v>no</v>
      </c>
      <c r="BD406" s="121" t="b">
        <f t="shared" si="142"/>
        <v>0</v>
      </c>
      <c r="BE406" s="125" t="s">
        <v>56</v>
      </c>
      <c r="BF406" s="116"/>
      <c r="BG406" s="170"/>
    </row>
    <row r="407" spans="1:59" s="127" customFormat="1" ht="24" customHeight="1">
      <c r="A407" s="167"/>
      <c r="B407" s="177" t="s">
        <v>760</v>
      </c>
      <c r="C407" s="174"/>
      <c r="D407" s="177">
        <v>10288100</v>
      </c>
      <c r="E407" s="200"/>
      <c r="F407" s="201" t="s">
        <v>697</v>
      </c>
      <c r="G407" s="190">
        <v>44781</v>
      </c>
      <c r="H407" s="202">
        <v>44781</v>
      </c>
      <c r="I407" s="203"/>
      <c r="J407" s="202">
        <v>44797</v>
      </c>
      <c r="K407" s="203"/>
      <c r="L407" s="203"/>
      <c r="M407" s="203"/>
      <c r="N407" s="203"/>
      <c r="O407" s="203"/>
      <c r="P407" s="203"/>
      <c r="Q407" s="174"/>
      <c r="R407" s="174"/>
      <c r="S407" s="277">
        <f t="shared" si="127"/>
        <v>11</v>
      </c>
      <c r="T407" s="298">
        <v>11</v>
      </c>
      <c r="U407" s="298">
        <v>11</v>
      </c>
      <c r="V407" s="298">
        <v>0</v>
      </c>
      <c r="W407" s="174"/>
      <c r="X407" s="174"/>
      <c r="Y407" s="174"/>
      <c r="Z407" s="163" t="s">
        <v>51</v>
      </c>
      <c r="AA407" s="174"/>
      <c r="AB407" s="174"/>
      <c r="AC407" s="174"/>
      <c r="AD407" s="174"/>
      <c r="AE407" s="174"/>
      <c r="AF407" s="174"/>
      <c r="AG407" s="199" t="s">
        <v>53</v>
      </c>
      <c r="AH407" s="120" t="s">
        <v>54</v>
      </c>
      <c r="AI407" s="174"/>
      <c r="AJ407" s="174"/>
      <c r="AK407" s="174"/>
      <c r="AL407" s="163" t="s">
        <v>55</v>
      </c>
      <c r="AM407" s="174"/>
      <c r="AN407" s="174"/>
      <c r="AO407" s="174"/>
      <c r="AP407" s="174"/>
      <c r="AQ407" s="174"/>
      <c r="AR407" s="121">
        <f t="shared" si="132"/>
        <v>1</v>
      </c>
      <c r="AS407" s="121" t="str">
        <f t="shared" si="133"/>
        <v>2022_08_08_b</v>
      </c>
      <c r="AT407" s="122"/>
      <c r="AU407" s="121" t="str">
        <f t="shared" si="134"/>
        <v>2022</v>
      </c>
      <c r="AV407" s="121" t="str">
        <f t="shared" si="135"/>
        <v>08</v>
      </c>
      <c r="AW407" s="121" t="str">
        <f t="shared" si="136"/>
        <v>08</v>
      </c>
      <c r="AX407" s="121">
        <f t="shared" si="137"/>
        <v>44781</v>
      </c>
      <c r="AY407" s="123"/>
      <c r="AZ407" s="124">
        <f t="shared" si="138"/>
        <v>44781</v>
      </c>
      <c r="BA407" s="121" t="b">
        <f t="shared" si="139"/>
        <v>1</v>
      </c>
      <c r="BB407" s="121">
        <f t="shared" si="140"/>
        <v>44781</v>
      </c>
      <c r="BC407" s="121" t="str">
        <f t="shared" si="141"/>
        <v>no</v>
      </c>
      <c r="BD407" s="121" t="b">
        <f t="shared" si="142"/>
        <v>0</v>
      </c>
      <c r="BE407" s="125" t="s">
        <v>56</v>
      </c>
      <c r="BF407" s="116"/>
      <c r="BG407" s="170"/>
    </row>
    <row r="408" spans="1:59" s="127" customFormat="1" ht="24" customHeight="1">
      <c r="A408" s="167"/>
      <c r="B408" s="177" t="s">
        <v>761</v>
      </c>
      <c r="C408" s="174"/>
      <c r="D408" s="299">
        <v>10292210</v>
      </c>
      <c r="E408" s="200"/>
      <c r="F408" s="201" t="s">
        <v>697</v>
      </c>
      <c r="G408" s="190">
        <v>44816</v>
      </c>
      <c r="H408" s="202">
        <v>44816</v>
      </c>
      <c r="I408" s="203"/>
      <c r="J408" s="202">
        <v>44830</v>
      </c>
      <c r="K408" s="203"/>
      <c r="L408" s="203"/>
      <c r="M408" s="203"/>
      <c r="N408" s="203"/>
      <c r="O408" s="203"/>
      <c r="P408" s="203"/>
      <c r="Q408" s="174"/>
      <c r="R408" s="174" t="s">
        <v>762</v>
      </c>
      <c r="S408" s="277">
        <f t="shared" si="127"/>
        <v>36</v>
      </c>
      <c r="T408" s="298">
        <v>36</v>
      </c>
      <c r="U408" s="298">
        <v>36</v>
      </c>
      <c r="V408" s="298">
        <v>0</v>
      </c>
      <c r="W408" s="174"/>
      <c r="X408" s="174"/>
      <c r="Y408" s="174"/>
      <c r="Z408" s="163" t="s">
        <v>51</v>
      </c>
      <c r="AA408" s="174"/>
      <c r="AB408" s="174"/>
      <c r="AC408" s="174"/>
      <c r="AD408" s="174"/>
      <c r="AE408" s="174"/>
      <c r="AF408" s="174"/>
      <c r="AG408" s="199" t="s">
        <v>53</v>
      </c>
      <c r="AH408" s="120" t="s">
        <v>54</v>
      </c>
      <c r="AI408" s="174"/>
      <c r="AJ408" s="174"/>
      <c r="AK408" s="174"/>
      <c r="AL408" s="163" t="s">
        <v>55</v>
      </c>
      <c r="AM408" s="174"/>
      <c r="AN408" s="174"/>
      <c r="AO408" s="174"/>
      <c r="AP408" s="174"/>
      <c r="AQ408" s="174"/>
      <c r="AR408" s="121">
        <f t="shared" si="132"/>
        <v>1</v>
      </c>
      <c r="AS408" s="121" t="str">
        <f t="shared" si="133"/>
        <v>2022_09_12_a</v>
      </c>
      <c r="AT408" s="122"/>
      <c r="AU408" s="121" t="str">
        <f t="shared" si="134"/>
        <v>2022</v>
      </c>
      <c r="AV408" s="121" t="str">
        <f t="shared" si="135"/>
        <v>09</v>
      </c>
      <c r="AW408" s="121" t="str">
        <f t="shared" si="136"/>
        <v>12</v>
      </c>
      <c r="AX408" s="121">
        <f t="shared" si="137"/>
        <v>44816</v>
      </c>
      <c r="AY408" s="123"/>
      <c r="AZ408" s="124">
        <f t="shared" si="138"/>
        <v>44816</v>
      </c>
      <c r="BA408" s="121" t="b">
        <f t="shared" si="139"/>
        <v>1</v>
      </c>
      <c r="BB408" s="121">
        <f t="shared" si="140"/>
        <v>44816</v>
      </c>
      <c r="BC408" s="121" t="str">
        <f t="shared" si="141"/>
        <v>no</v>
      </c>
      <c r="BD408" s="121" t="b">
        <f t="shared" si="142"/>
        <v>0</v>
      </c>
      <c r="BE408" s="125" t="s">
        <v>56</v>
      </c>
      <c r="BF408" s="116"/>
      <c r="BG408" s="170"/>
    </row>
    <row r="409" spans="1:59" s="161" customFormat="1" ht="28.5" customHeight="1">
      <c r="A409" s="167"/>
      <c r="B409" s="180" t="s">
        <v>763</v>
      </c>
      <c r="C409" s="178"/>
      <c r="D409" s="194">
        <v>10292220</v>
      </c>
      <c r="E409" s="204"/>
      <c r="F409" s="205" t="s">
        <v>697</v>
      </c>
      <c r="G409" s="206">
        <v>44816</v>
      </c>
      <c r="H409" s="207">
        <v>44816</v>
      </c>
      <c r="I409" s="208"/>
      <c r="J409" s="207">
        <v>44830</v>
      </c>
      <c r="K409" s="208"/>
      <c r="L409" s="208"/>
      <c r="M409" s="208"/>
      <c r="N409" s="208"/>
      <c r="O409" s="208"/>
      <c r="P409" s="208"/>
      <c r="Q409" s="178"/>
      <c r="R409" s="178" t="s">
        <v>764</v>
      </c>
      <c r="S409" s="277">
        <f t="shared" si="127"/>
        <v>11</v>
      </c>
      <c r="T409" s="298">
        <v>11</v>
      </c>
      <c r="U409" s="298">
        <v>11</v>
      </c>
      <c r="V409" s="298">
        <v>0</v>
      </c>
      <c r="W409" s="178"/>
      <c r="X409" s="178"/>
      <c r="Y409" s="178"/>
      <c r="Z409" s="209" t="s">
        <v>51</v>
      </c>
      <c r="AA409" s="178"/>
      <c r="AB409" s="178"/>
      <c r="AC409" s="178"/>
      <c r="AD409" s="178"/>
      <c r="AE409" s="178"/>
      <c r="AF409" s="178"/>
      <c r="AG409" s="209" t="s">
        <v>53</v>
      </c>
      <c r="AH409" s="161" t="s">
        <v>54</v>
      </c>
      <c r="AI409" s="178"/>
      <c r="AJ409" s="178"/>
      <c r="AK409" s="178"/>
      <c r="AL409" s="209" t="s">
        <v>55</v>
      </c>
      <c r="AM409" s="161" t="s">
        <v>661</v>
      </c>
      <c r="AN409" s="178"/>
      <c r="AO409" s="178"/>
      <c r="AP409" s="178"/>
      <c r="AQ409" s="178"/>
      <c r="AR409" s="121">
        <f t="shared" si="132"/>
        <v>1</v>
      </c>
      <c r="AS409" s="121" t="str">
        <f t="shared" si="133"/>
        <v>2022_09_12_b</v>
      </c>
      <c r="AT409" s="122"/>
      <c r="AU409" s="121" t="str">
        <f t="shared" si="134"/>
        <v>2022</v>
      </c>
      <c r="AV409" s="121" t="str">
        <f t="shared" si="135"/>
        <v>09</v>
      </c>
      <c r="AW409" s="121" t="str">
        <f t="shared" si="136"/>
        <v>12</v>
      </c>
      <c r="AX409" s="121">
        <f t="shared" si="137"/>
        <v>44816</v>
      </c>
      <c r="AY409" s="123"/>
      <c r="AZ409" s="124">
        <f t="shared" si="138"/>
        <v>44816</v>
      </c>
      <c r="BA409" s="121" t="b">
        <f t="shared" si="139"/>
        <v>1</v>
      </c>
      <c r="BB409" s="121" t="str">
        <f t="shared" si="140"/>
        <v xml:space="preserve"> </v>
      </c>
      <c r="BC409" s="121" t="str">
        <f t="shared" si="141"/>
        <v>yes</v>
      </c>
      <c r="BD409" s="121" t="b">
        <f t="shared" si="142"/>
        <v>0</v>
      </c>
      <c r="BE409" s="125" t="s">
        <v>56</v>
      </c>
      <c r="BG409" s="182"/>
    </row>
    <row r="410" spans="1:59" s="163" customFormat="1" ht="24" customHeight="1">
      <c r="A410" s="179"/>
      <c r="B410" s="362" t="s">
        <v>765</v>
      </c>
      <c r="C410" s="363"/>
      <c r="D410" s="301">
        <v>10306532</v>
      </c>
      <c r="E410" s="364"/>
      <c r="F410" s="365" t="s">
        <v>697</v>
      </c>
      <c r="G410" s="366">
        <v>44851</v>
      </c>
      <c r="H410" s="367">
        <v>44851</v>
      </c>
      <c r="I410" s="368"/>
      <c r="J410" s="367">
        <v>44865</v>
      </c>
      <c r="K410" s="368"/>
      <c r="L410" s="368"/>
      <c r="M410" s="368"/>
      <c r="N410" s="368"/>
      <c r="O410" s="368"/>
      <c r="P410" s="368"/>
      <c r="Q410" s="363"/>
      <c r="R410" s="364"/>
      <c r="S410" s="369">
        <f t="shared" si="127"/>
        <v>45</v>
      </c>
      <c r="T410" s="302">
        <v>45</v>
      </c>
      <c r="U410" s="302">
        <v>45</v>
      </c>
      <c r="V410" s="302">
        <v>0</v>
      </c>
      <c r="W410" s="363"/>
      <c r="X410" s="363"/>
      <c r="Y410" s="363"/>
      <c r="Z410" s="163" t="s">
        <v>51</v>
      </c>
      <c r="AA410" s="363"/>
      <c r="AB410" s="363"/>
      <c r="AC410" s="363"/>
      <c r="AD410" s="363"/>
      <c r="AE410" s="363"/>
      <c r="AF410" s="363"/>
      <c r="AG410" s="199" t="s">
        <v>53</v>
      </c>
      <c r="AH410" s="199" t="s">
        <v>54</v>
      </c>
      <c r="AI410" s="363"/>
      <c r="AJ410" s="363"/>
      <c r="AK410" s="363"/>
      <c r="AL410" s="163" t="s">
        <v>55</v>
      </c>
      <c r="AM410" s="363"/>
      <c r="AN410" s="363"/>
      <c r="AO410" s="363"/>
      <c r="AP410" s="363"/>
      <c r="AQ410" s="363"/>
      <c r="AR410" s="121">
        <f t="shared" si="132"/>
        <v>1</v>
      </c>
      <c r="AS410" s="121" t="str">
        <f t="shared" si="133"/>
        <v>2022_10_17_a</v>
      </c>
      <c r="AT410" s="122"/>
      <c r="AU410" s="121" t="str">
        <f t="shared" si="134"/>
        <v>2022</v>
      </c>
      <c r="AV410" s="121" t="str">
        <f t="shared" si="135"/>
        <v>10</v>
      </c>
      <c r="AW410" s="121" t="str">
        <f t="shared" si="136"/>
        <v>17</v>
      </c>
      <c r="AX410" s="121">
        <f t="shared" si="137"/>
        <v>44851</v>
      </c>
      <c r="AY410" s="123"/>
      <c r="AZ410" s="124">
        <f t="shared" si="138"/>
        <v>44851</v>
      </c>
      <c r="BA410" s="121" t="b">
        <f t="shared" si="139"/>
        <v>1</v>
      </c>
      <c r="BB410" s="121">
        <f t="shared" si="140"/>
        <v>44851</v>
      </c>
      <c r="BC410" s="121" t="str">
        <f t="shared" si="141"/>
        <v>no</v>
      </c>
      <c r="BD410" s="121" t="b">
        <f t="shared" si="142"/>
        <v>0</v>
      </c>
      <c r="BE410" s="125" t="s">
        <v>56</v>
      </c>
      <c r="BF410" s="370"/>
      <c r="BG410" s="233"/>
    </row>
    <row r="411" spans="1:59" s="178" customFormat="1" ht="24" customHeight="1">
      <c r="A411" s="232"/>
      <c r="B411" s="180" t="s">
        <v>766</v>
      </c>
      <c r="D411" s="180" t="s">
        <v>660</v>
      </c>
      <c r="F411" s="205" t="s">
        <v>697</v>
      </c>
      <c r="G411" s="207">
        <v>44866</v>
      </c>
      <c r="H411" s="207">
        <v>44866</v>
      </c>
      <c r="I411" s="208"/>
      <c r="J411" s="207">
        <v>44880</v>
      </c>
      <c r="K411" s="208"/>
      <c r="L411" s="208"/>
      <c r="M411" s="208"/>
      <c r="N411" s="208"/>
      <c r="O411" s="208"/>
      <c r="P411" s="208"/>
      <c r="S411" s="380">
        <f t="shared" si="127"/>
        <v>1</v>
      </c>
      <c r="T411" s="180">
        <v>1</v>
      </c>
      <c r="U411" s="180">
        <v>1</v>
      </c>
      <c r="V411" s="180">
        <v>0</v>
      </c>
      <c r="Z411" s="178" t="s">
        <v>51</v>
      </c>
      <c r="AG411" s="178" t="s">
        <v>53</v>
      </c>
      <c r="AH411" s="178" t="s">
        <v>54</v>
      </c>
      <c r="AL411" s="178" t="s">
        <v>55</v>
      </c>
      <c r="AM411" s="178" t="s">
        <v>661</v>
      </c>
      <c r="AR411" s="121">
        <f t="shared" si="132"/>
        <v>1</v>
      </c>
      <c r="AS411" s="121" t="str">
        <f t="shared" si="133"/>
        <v>2022_11_01_a</v>
      </c>
      <c r="AT411" s="122"/>
      <c r="AU411" s="121" t="str">
        <f t="shared" si="134"/>
        <v>2022</v>
      </c>
      <c r="AV411" s="121" t="str">
        <f t="shared" si="135"/>
        <v>11</v>
      </c>
      <c r="AW411" s="121" t="str">
        <f t="shared" si="136"/>
        <v>01</v>
      </c>
      <c r="AX411" s="121">
        <f t="shared" si="137"/>
        <v>44866</v>
      </c>
      <c r="AY411" s="123"/>
      <c r="AZ411" s="124">
        <f t="shared" si="138"/>
        <v>44866</v>
      </c>
      <c r="BA411" s="121" t="b">
        <f t="shared" si="139"/>
        <v>1</v>
      </c>
      <c r="BB411" s="121" t="str">
        <f t="shared" si="140"/>
        <v xml:space="preserve"> </v>
      </c>
      <c r="BC411" s="121" t="str">
        <f t="shared" si="141"/>
        <v>yes</v>
      </c>
      <c r="BD411" s="121" t="b">
        <f t="shared" si="142"/>
        <v>0</v>
      </c>
      <c r="BE411" s="125" t="s">
        <v>56</v>
      </c>
    </row>
    <row r="412" spans="1:59" s="371" customFormat="1" ht="24" customHeight="1">
      <c r="A412" s="178"/>
      <c r="B412" s="344" t="s">
        <v>767</v>
      </c>
      <c r="C412" s="372"/>
      <c r="D412" s="373">
        <v>10322245</v>
      </c>
      <c r="E412" s="374"/>
      <c r="F412" s="375" t="s">
        <v>697</v>
      </c>
      <c r="G412" s="376">
        <v>44963</v>
      </c>
      <c r="H412" s="376">
        <v>44963</v>
      </c>
      <c r="I412" s="377"/>
      <c r="J412" s="376">
        <v>44977</v>
      </c>
      <c r="K412" s="377"/>
      <c r="L412" s="377"/>
      <c r="M412" s="377"/>
      <c r="N412" s="377"/>
      <c r="O412" s="377"/>
      <c r="P412" s="377"/>
      <c r="R412" s="371" t="s">
        <v>768</v>
      </c>
      <c r="S412" s="371">
        <f t="shared" si="127"/>
        <v>10</v>
      </c>
      <c r="T412" s="378">
        <v>10</v>
      </c>
      <c r="U412" s="378">
        <v>10</v>
      </c>
      <c r="V412" s="379">
        <v>0</v>
      </c>
      <c r="Z412" s="371" t="s">
        <v>51</v>
      </c>
      <c r="AG412" s="371" t="s">
        <v>53</v>
      </c>
      <c r="AH412" s="371" t="s">
        <v>54</v>
      </c>
      <c r="AL412" s="371" t="s">
        <v>55</v>
      </c>
      <c r="AR412" s="121">
        <f t="shared" si="132"/>
        <v>1</v>
      </c>
      <c r="AS412" s="121" t="str">
        <f t="shared" si="133"/>
        <v>2023_02_06_a</v>
      </c>
      <c r="AT412" s="122"/>
      <c r="AU412" s="121" t="str">
        <f t="shared" si="134"/>
        <v>2023</v>
      </c>
      <c r="AV412" s="121" t="str">
        <f t="shared" si="135"/>
        <v>02</v>
      </c>
      <c r="AW412" s="121" t="str">
        <f t="shared" si="136"/>
        <v>06</v>
      </c>
      <c r="AX412" s="121">
        <f t="shared" si="137"/>
        <v>44963</v>
      </c>
      <c r="AY412" s="123"/>
      <c r="AZ412" s="124">
        <f t="shared" si="138"/>
        <v>44963</v>
      </c>
      <c r="BA412" s="121" t="b">
        <f t="shared" si="139"/>
        <v>1</v>
      </c>
      <c r="BB412" s="121">
        <f t="shared" si="140"/>
        <v>44963</v>
      </c>
      <c r="BC412" s="121" t="str">
        <f t="shared" si="141"/>
        <v>no</v>
      </c>
      <c r="BD412" s="121" t="b">
        <f t="shared" si="142"/>
        <v>0</v>
      </c>
      <c r="BE412" s="125" t="s">
        <v>56</v>
      </c>
    </row>
    <row r="413" spans="1:59" s="343" customFormat="1" ht="24" customHeight="1">
      <c r="A413" s="371"/>
      <c r="B413" s="344" t="s">
        <v>769</v>
      </c>
      <c r="C413" s="345"/>
      <c r="D413" s="346">
        <v>10334757</v>
      </c>
      <c r="E413" s="347"/>
      <c r="F413" s="348" t="s">
        <v>697</v>
      </c>
      <c r="G413" s="349">
        <v>44998</v>
      </c>
      <c r="H413" s="349">
        <v>44998</v>
      </c>
      <c r="I413" s="350"/>
      <c r="J413" s="349">
        <v>45012</v>
      </c>
      <c r="K413" s="350"/>
      <c r="L413" s="350"/>
      <c r="M413" s="350"/>
      <c r="N413" s="350"/>
      <c r="O413" s="350"/>
      <c r="P413" s="350"/>
      <c r="R413" s="343" t="s">
        <v>770</v>
      </c>
      <c r="S413" s="371">
        <f t="shared" si="127"/>
        <v>25</v>
      </c>
      <c r="T413" s="351">
        <v>25</v>
      </c>
      <c r="U413" s="351">
        <v>25</v>
      </c>
      <c r="V413" s="352">
        <v>0</v>
      </c>
      <c r="Z413" s="343" t="s">
        <v>51</v>
      </c>
      <c r="AG413" s="343" t="s">
        <v>53</v>
      </c>
      <c r="AH413" s="343" t="s">
        <v>54</v>
      </c>
      <c r="AL413" s="343" t="s">
        <v>55</v>
      </c>
      <c r="AR413" s="121">
        <f t="shared" si="132"/>
        <v>1</v>
      </c>
      <c r="AS413" s="121" t="str">
        <f t="shared" si="133"/>
        <v>2023_03_13_a</v>
      </c>
      <c r="AT413" s="122"/>
      <c r="AU413" s="121" t="str">
        <f t="shared" si="134"/>
        <v>2023</v>
      </c>
      <c r="AV413" s="121" t="str">
        <f t="shared" si="135"/>
        <v>03</v>
      </c>
      <c r="AW413" s="121" t="str">
        <f t="shared" si="136"/>
        <v>13</v>
      </c>
      <c r="AX413" s="121">
        <f t="shared" si="137"/>
        <v>44998</v>
      </c>
      <c r="AY413" s="123"/>
      <c r="AZ413" s="124">
        <f t="shared" si="138"/>
        <v>44998</v>
      </c>
      <c r="BA413" s="121" t="b">
        <f t="shared" si="139"/>
        <v>1</v>
      </c>
      <c r="BB413" s="121">
        <f t="shared" si="140"/>
        <v>44998</v>
      </c>
      <c r="BC413" s="121" t="str">
        <f t="shared" si="141"/>
        <v>no</v>
      </c>
      <c r="BD413" s="121" t="b">
        <f t="shared" si="142"/>
        <v>0</v>
      </c>
      <c r="BE413" s="125" t="s">
        <v>56</v>
      </c>
    </row>
    <row r="414" spans="1:59" s="178" customFormat="1" ht="24" customHeight="1">
      <c r="A414" s="343"/>
      <c r="B414" s="180" t="s">
        <v>771</v>
      </c>
      <c r="D414" s="180" t="s">
        <v>660</v>
      </c>
      <c r="F414" s="205" t="s">
        <v>697</v>
      </c>
      <c r="G414" s="207">
        <v>45021</v>
      </c>
      <c r="H414" s="207">
        <v>45021</v>
      </c>
      <c r="I414" s="208"/>
      <c r="J414" s="207">
        <v>45035</v>
      </c>
      <c r="K414" s="208"/>
      <c r="L414" s="208"/>
      <c r="M414" s="208"/>
      <c r="N414" s="208"/>
      <c r="O414" s="208"/>
      <c r="P414" s="208"/>
      <c r="S414" s="380">
        <f t="shared" ref="S414" si="143">U414+V414</f>
        <v>1</v>
      </c>
      <c r="T414" s="180">
        <v>1</v>
      </c>
      <c r="U414" s="180">
        <v>1</v>
      </c>
      <c r="V414" s="180">
        <v>0</v>
      </c>
      <c r="Z414" s="178" t="s">
        <v>51</v>
      </c>
      <c r="AG414" s="178" t="s">
        <v>53</v>
      </c>
      <c r="AH414" s="178" t="s">
        <v>54</v>
      </c>
      <c r="AL414" s="178" t="s">
        <v>55</v>
      </c>
      <c r="AM414" s="178" t="s">
        <v>661</v>
      </c>
      <c r="AR414" s="121">
        <f t="shared" si="132"/>
        <v>1</v>
      </c>
      <c r="AS414" s="121" t="str">
        <f t="shared" si="133"/>
        <v>2023_04_05_a</v>
      </c>
      <c r="AT414" s="122"/>
      <c r="AU414" s="121" t="str">
        <f t="shared" si="134"/>
        <v>2023</v>
      </c>
      <c r="AV414" s="121" t="str">
        <f t="shared" si="135"/>
        <v>04</v>
      </c>
      <c r="AW414" s="121" t="str">
        <f t="shared" si="136"/>
        <v>05</v>
      </c>
      <c r="AX414" s="121">
        <f t="shared" si="137"/>
        <v>45021</v>
      </c>
      <c r="AY414" s="123"/>
      <c r="AZ414" s="124">
        <f t="shared" si="138"/>
        <v>45021</v>
      </c>
      <c r="BA414" s="121" t="b">
        <f t="shared" si="139"/>
        <v>1</v>
      </c>
      <c r="BB414" s="121" t="str">
        <f t="shared" si="140"/>
        <v xml:space="preserve"> </v>
      </c>
      <c r="BC414" s="121" t="str">
        <f t="shared" si="141"/>
        <v>yes</v>
      </c>
      <c r="BD414" s="121" t="b">
        <f t="shared" si="142"/>
        <v>0</v>
      </c>
      <c r="BE414" s="125" t="s">
        <v>56</v>
      </c>
    </row>
    <row r="415" spans="1:59" s="178" customFormat="1" ht="24" customHeight="1">
      <c r="A415" s="343"/>
      <c r="B415" s="180" t="s">
        <v>772</v>
      </c>
      <c r="D415" s="180" t="s">
        <v>660</v>
      </c>
      <c r="F415" s="205" t="s">
        <v>697</v>
      </c>
      <c r="G415" s="207">
        <v>45041</v>
      </c>
      <c r="H415" s="207">
        <v>45041</v>
      </c>
      <c r="I415" s="208"/>
      <c r="J415" s="207">
        <v>45055</v>
      </c>
      <c r="K415" s="208"/>
      <c r="L415" s="208"/>
      <c r="M415" s="208"/>
      <c r="N415" s="208"/>
      <c r="O415" s="208"/>
      <c r="P415" s="208"/>
      <c r="S415" s="380">
        <f t="shared" ref="S415:S417" si="144">U415+V415</f>
        <v>1</v>
      </c>
      <c r="T415" s="180">
        <v>1</v>
      </c>
      <c r="U415" s="180">
        <v>1</v>
      </c>
      <c r="V415" s="180">
        <v>0</v>
      </c>
      <c r="Z415" s="178" t="s">
        <v>51</v>
      </c>
      <c r="AG415" s="178" t="s">
        <v>53</v>
      </c>
      <c r="AH415" s="178" t="s">
        <v>54</v>
      </c>
      <c r="AL415" s="178" t="s">
        <v>55</v>
      </c>
      <c r="AM415" s="178" t="s">
        <v>661</v>
      </c>
      <c r="AR415" s="121">
        <f t="shared" si="132"/>
        <v>1</v>
      </c>
      <c r="AS415" s="121" t="str">
        <f t="shared" si="133"/>
        <v>2023_04_25_a</v>
      </c>
      <c r="AT415" s="122"/>
      <c r="AU415" s="121" t="str">
        <f t="shared" si="134"/>
        <v>2023</v>
      </c>
      <c r="AV415" s="121" t="str">
        <f t="shared" si="135"/>
        <v>04</v>
      </c>
      <c r="AW415" s="121" t="str">
        <f t="shared" si="136"/>
        <v>25</v>
      </c>
      <c r="AX415" s="121">
        <f t="shared" si="137"/>
        <v>45041</v>
      </c>
      <c r="AY415" s="123"/>
      <c r="AZ415" s="124">
        <f t="shared" si="138"/>
        <v>45041</v>
      </c>
      <c r="BA415" s="121" t="b">
        <f t="shared" si="139"/>
        <v>1</v>
      </c>
      <c r="BB415" s="121" t="str">
        <f t="shared" si="140"/>
        <v xml:space="preserve"> </v>
      </c>
      <c r="BC415" s="121" t="str">
        <f t="shared" si="141"/>
        <v>yes</v>
      </c>
      <c r="BD415" s="121" t="b">
        <f t="shared" si="142"/>
        <v>0</v>
      </c>
      <c r="BE415" s="125" t="s">
        <v>56</v>
      </c>
    </row>
    <row r="416" spans="1:59" s="343" customFormat="1" ht="24" customHeight="1">
      <c r="A416" s="371"/>
      <c r="B416" s="344" t="s">
        <v>773</v>
      </c>
      <c r="C416" s="345"/>
      <c r="D416" s="346">
        <v>10344305</v>
      </c>
      <c r="E416" s="347"/>
      <c r="F416" s="348" t="s">
        <v>697</v>
      </c>
      <c r="G416" s="349">
        <v>45054</v>
      </c>
      <c r="H416" s="349">
        <v>45054</v>
      </c>
      <c r="I416" s="350"/>
      <c r="J416" s="349">
        <v>45068</v>
      </c>
      <c r="K416" s="350"/>
      <c r="L416" s="350"/>
      <c r="M416" s="350"/>
      <c r="N416" s="350"/>
      <c r="O416" s="350"/>
      <c r="P416" s="350"/>
      <c r="R416" s="343" t="s">
        <v>774</v>
      </c>
      <c r="S416" s="380">
        <f t="shared" si="144"/>
        <v>35</v>
      </c>
      <c r="T416" s="351">
        <v>35</v>
      </c>
      <c r="U416" s="351">
        <v>35</v>
      </c>
      <c r="V416" s="352">
        <v>0</v>
      </c>
      <c r="Z416" s="343" t="s">
        <v>51</v>
      </c>
      <c r="AG416" s="343" t="s">
        <v>53</v>
      </c>
      <c r="AH416" s="343" t="s">
        <v>54</v>
      </c>
      <c r="AL416" s="343" t="s">
        <v>55</v>
      </c>
      <c r="AR416" s="121">
        <f t="shared" si="132"/>
        <v>1</v>
      </c>
      <c r="AS416" s="121" t="str">
        <f t="shared" si="133"/>
        <v>2023_05_08_a</v>
      </c>
      <c r="AT416" s="122"/>
      <c r="AU416" s="121" t="str">
        <f t="shared" si="134"/>
        <v>2023</v>
      </c>
      <c r="AV416" s="121" t="str">
        <f t="shared" si="135"/>
        <v>05</v>
      </c>
      <c r="AW416" s="121" t="str">
        <f t="shared" si="136"/>
        <v>08</v>
      </c>
      <c r="AX416" s="121">
        <f t="shared" si="137"/>
        <v>45054</v>
      </c>
      <c r="AY416" s="123"/>
      <c r="AZ416" s="124">
        <f t="shared" si="138"/>
        <v>45054</v>
      </c>
      <c r="BA416" s="121" t="b">
        <f t="shared" si="139"/>
        <v>1</v>
      </c>
      <c r="BB416" s="121">
        <f t="shared" si="140"/>
        <v>45054</v>
      </c>
      <c r="BC416" s="121" t="str">
        <f t="shared" si="141"/>
        <v>no</v>
      </c>
      <c r="BD416" s="121" t="b">
        <f t="shared" si="142"/>
        <v>0</v>
      </c>
      <c r="BE416" s="125" t="s">
        <v>56</v>
      </c>
    </row>
    <row r="417" spans="1:58" s="343" customFormat="1" ht="24" customHeight="1">
      <c r="A417" s="371"/>
      <c r="B417" s="344" t="s">
        <v>775</v>
      </c>
      <c r="C417" s="345"/>
      <c r="D417" s="346">
        <v>10347142</v>
      </c>
      <c r="E417" s="347"/>
      <c r="F417" s="348" t="s">
        <v>697</v>
      </c>
      <c r="G417" s="349">
        <v>45089</v>
      </c>
      <c r="H417" s="349">
        <v>45089</v>
      </c>
      <c r="I417" s="350"/>
      <c r="J417" s="349">
        <v>45101</v>
      </c>
      <c r="K417" s="350"/>
      <c r="L417" s="350"/>
      <c r="M417" s="350"/>
      <c r="N417" s="350"/>
      <c r="O417" s="350"/>
      <c r="P417" s="350"/>
      <c r="R417" s="343" t="s">
        <v>776</v>
      </c>
      <c r="S417" s="380">
        <f t="shared" si="144"/>
        <v>27</v>
      </c>
      <c r="T417" s="343">
        <v>27</v>
      </c>
      <c r="U417" s="343">
        <v>27</v>
      </c>
      <c r="V417" s="352">
        <v>0</v>
      </c>
      <c r="Z417" s="343" t="s">
        <v>51</v>
      </c>
      <c r="AG417" s="343" t="s">
        <v>53</v>
      </c>
      <c r="AH417" s="343" t="s">
        <v>54</v>
      </c>
      <c r="AL417" s="343" t="s">
        <v>55</v>
      </c>
      <c r="AR417" s="121">
        <f t="shared" si="132"/>
        <v>1</v>
      </c>
      <c r="AS417" s="121" t="str">
        <f t="shared" si="133"/>
        <v>2023_06_12_a</v>
      </c>
      <c r="AT417" s="122"/>
      <c r="AU417" s="121" t="str">
        <f t="shared" si="134"/>
        <v>2023</v>
      </c>
      <c r="AV417" s="121" t="str">
        <f t="shared" si="135"/>
        <v>06</v>
      </c>
      <c r="AW417" s="121" t="str">
        <f t="shared" si="136"/>
        <v>12</v>
      </c>
      <c r="AX417" s="121">
        <f t="shared" si="137"/>
        <v>45089</v>
      </c>
      <c r="AY417" s="123"/>
      <c r="AZ417" s="124">
        <f t="shared" si="138"/>
        <v>45089</v>
      </c>
      <c r="BA417" s="121" t="b">
        <f t="shared" si="139"/>
        <v>1</v>
      </c>
      <c r="BB417" s="121">
        <f t="shared" si="140"/>
        <v>45089</v>
      </c>
      <c r="BC417" s="121" t="str">
        <f t="shared" si="141"/>
        <v>no</v>
      </c>
      <c r="BD417" s="121" t="b">
        <f t="shared" si="142"/>
        <v>0</v>
      </c>
      <c r="BE417" s="125" t="s">
        <v>56</v>
      </c>
    </row>
    <row r="418" spans="1:58" s="343" customFormat="1" ht="24" customHeight="1">
      <c r="A418" s="371"/>
      <c r="B418" s="344" t="s">
        <v>777</v>
      </c>
      <c r="C418" s="345"/>
      <c r="D418" s="346" t="s">
        <v>718</v>
      </c>
      <c r="E418" s="347"/>
      <c r="F418" s="348" t="s">
        <v>697</v>
      </c>
      <c r="G418" s="349">
        <v>45131</v>
      </c>
      <c r="H418" s="349">
        <v>45131</v>
      </c>
      <c r="I418" s="350"/>
      <c r="J418" s="349">
        <v>45145</v>
      </c>
      <c r="K418" s="350"/>
      <c r="L418" s="350"/>
      <c r="M418" s="350"/>
      <c r="N418" s="350"/>
      <c r="O418" s="350"/>
      <c r="P418" s="350"/>
      <c r="R418" s="343" t="s">
        <v>778</v>
      </c>
      <c r="S418" s="380">
        <f t="shared" ref="S418" si="145">U418+V418</f>
        <v>34</v>
      </c>
      <c r="T418" s="343">
        <v>34</v>
      </c>
      <c r="U418" s="343">
        <v>34</v>
      </c>
      <c r="V418" s="352">
        <v>0</v>
      </c>
      <c r="Z418" s="343" t="s">
        <v>51</v>
      </c>
      <c r="AG418" s="343" t="s">
        <v>53</v>
      </c>
      <c r="AH418" s="343" t="s">
        <v>54</v>
      </c>
      <c r="AL418" s="343" t="s">
        <v>55</v>
      </c>
      <c r="AR418" s="121">
        <f t="shared" si="132"/>
        <v>1</v>
      </c>
      <c r="AS418" s="121" t="str">
        <f t="shared" ref="AS418" si="146">IFERROR(RIGHT(B418,16-SEARCH("_", B418)),0)</f>
        <v>2023_07_24_a</v>
      </c>
      <c r="AT418" s="122"/>
      <c r="AU418" s="121" t="str">
        <f t="shared" ref="AU418" si="147">LEFT(AS418,4)</f>
        <v>2023</v>
      </c>
      <c r="AV418" s="121" t="str">
        <f t="shared" ref="AV418" si="148">MID(AS418,6,2)</f>
        <v>07</v>
      </c>
      <c r="AW418" s="121" t="str">
        <f t="shared" ref="AW418" si="149">MID(AS418,9,2)</f>
        <v>24</v>
      </c>
      <c r="AX418" s="121">
        <f t="shared" ref="AX418" si="150">IFERROR(DATE(AU418,AV418,AW418)," ")</f>
        <v>45131</v>
      </c>
      <c r="AY418" s="123"/>
      <c r="AZ418" s="124">
        <f t="shared" ref="AZ418" si="151">H418</f>
        <v>45131</v>
      </c>
      <c r="BA418" s="121" t="b">
        <f t="shared" ref="BA418" si="152">IF(AX418=" "," ",AX418=AZ418)</f>
        <v>1</v>
      </c>
      <c r="BB418" s="121">
        <f t="shared" ref="BB418" si="153">IF(BC418="YES"," ",AZ418)</f>
        <v>45131</v>
      </c>
      <c r="BC418" s="121" t="str">
        <f t="shared" ref="BC418" si="154">IF(AM418="Apprentice","yes","no")</f>
        <v>no</v>
      </c>
      <c r="BD418" s="121" t="b">
        <f t="shared" ref="BD418" si="155">IF(OR(U418&lt;&gt;"0", V418&lt;&gt;"0"),U418=V418," ")</f>
        <v>0</v>
      </c>
      <c r="BE418" s="125" t="s">
        <v>56</v>
      </c>
    </row>
    <row r="419" spans="1:58" s="343" customFormat="1" ht="24" customHeight="1">
      <c r="A419" s="371"/>
      <c r="B419" s="344" t="s">
        <v>779</v>
      </c>
      <c r="C419" s="345"/>
      <c r="D419" s="346" t="s">
        <v>718</v>
      </c>
      <c r="E419" s="347"/>
      <c r="F419" s="348" t="s">
        <v>697</v>
      </c>
      <c r="G419" s="349">
        <v>45152</v>
      </c>
      <c r="H419" s="349">
        <v>45152</v>
      </c>
      <c r="I419" s="350"/>
      <c r="J419" s="349">
        <v>45166</v>
      </c>
      <c r="K419" s="350"/>
      <c r="L419" s="350"/>
      <c r="M419" s="350"/>
      <c r="N419" s="350"/>
      <c r="O419" s="350"/>
      <c r="P419" s="350"/>
      <c r="R419" s="343" t="s">
        <v>780</v>
      </c>
      <c r="S419" s="380">
        <f>U419+V419</f>
        <v>23</v>
      </c>
      <c r="T419" s="343">
        <v>23</v>
      </c>
      <c r="U419" s="343">
        <v>23</v>
      </c>
      <c r="V419" s="352">
        <v>0</v>
      </c>
      <c r="Z419" s="343" t="s">
        <v>51</v>
      </c>
      <c r="AG419" s="343" t="s">
        <v>53</v>
      </c>
      <c r="AH419" s="343" t="s">
        <v>54</v>
      </c>
      <c r="AL419" s="343" t="s">
        <v>55</v>
      </c>
      <c r="AR419" s="121">
        <f t="shared" si="132"/>
        <v>1</v>
      </c>
      <c r="AS419" s="121" t="str">
        <f t="shared" si="133"/>
        <v>2023_08_14_a</v>
      </c>
      <c r="AT419" s="122"/>
      <c r="AU419" s="121" t="str">
        <f t="shared" si="134"/>
        <v>2023</v>
      </c>
      <c r="AV419" s="121" t="str">
        <f t="shared" si="135"/>
        <v>08</v>
      </c>
      <c r="AW419" s="121" t="str">
        <f t="shared" si="136"/>
        <v>14</v>
      </c>
      <c r="AX419" s="121">
        <f t="shared" si="137"/>
        <v>45152</v>
      </c>
      <c r="AY419" s="123"/>
      <c r="AZ419" s="124">
        <f t="shared" si="138"/>
        <v>45152</v>
      </c>
      <c r="BA419" s="121" t="b">
        <f t="shared" si="139"/>
        <v>1</v>
      </c>
      <c r="BB419" s="121">
        <f t="shared" si="140"/>
        <v>45152</v>
      </c>
      <c r="BC419" s="121" t="str">
        <f t="shared" si="141"/>
        <v>no</v>
      </c>
      <c r="BD419" s="121" t="b">
        <f t="shared" si="142"/>
        <v>0</v>
      </c>
      <c r="BE419" s="125" t="s">
        <v>56</v>
      </c>
    </row>
    <row r="420" spans="1:58" s="114" customFormat="1" ht="135.75" customHeight="1">
      <c r="A420" s="178"/>
      <c r="B420" s="211"/>
      <c r="D420" s="210"/>
      <c r="F420" s="533" t="s">
        <v>264</v>
      </c>
      <c r="G420" s="533"/>
      <c r="H420" s="533"/>
      <c r="I420" s="533"/>
      <c r="J420" s="533"/>
      <c r="K420" s="533"/>
      <c r="L420" s="533"/>
      <c r="M420" s="533"/>
      <c r="N420" s="533"/>
      <c r="O420" s="533"/>
      <c r="P420" s="533"/>
      <c r="Q420" s="533"/>
      <c r="R420" s="533"/>
      <c r="S420" s="114">
        <f>SUMIFS(S320:S400, AA320:AA400, "=In Progress")</f>
        <v>0</v>
      </c>
      <c r="U420" s="23">
        <f>SUMIFS(U320:U400, Z320:Z400, "=In Progress")</f>
        <v>742</v>
      </c>
      <c r="V420" s="114">
        <f>SUMIFS(V320:V400, Z320:Z400, "=In Progress")</f>
        <v>974</v>
      </c>
      <c r="X420" s="156"/>
      <c r="Y420" s="156"/>
      <c r="AA420" s="114">
        <f>COUNTIFS(AA320:AA400, "=In Progress")</f>
        <v>0</v>
      </c>
      <c r="AR420" s="121">
        <f t="shared" si="132"/>
        <v>0</v>
      </c>
      <c r="AS420" s="121">
        <f t="shared" si="133"/>
        <v>0</v>
      </c>
      <c r="AT420" s="122"/>
      <c r="AU420" s="121" t="str">
        <f t="shared" si="134"/>
        <v>0</v>
      </c>
      <c r="AV420" s="121" t="str">
        <f t="shared" si="135"/>
        <v/>
      </c>
      <c r="AW420" s="121" t="str">
        <f t="shared" si="136"/>
        <v/>
      </c>
      <c r="AX420" s="121" t="str">
        <f t="shared" si="137"/>
        <v xml:space="preserve"> </v>
      </c>
      <c r="AY420" s="123"/>
      <c r="AZ420" s="124">
        <f t="shared" si="138"/>
        <v>0</v>
      </c>
      <c r="BA420" s="121" t="str">
        <f t="shared" si="139"/>
        <v xml:space="preserve"> </v>
      </c>
      <c r="BB420" s="121">
        <f t="shared" si="140"/>
        <v>0</v>
      </c>
      <c r="BC420" s="121" t="str">
        <f t="shared" si="141"/>
        <v>no</v>
      </c>
      <c r="BD420" s="121" t="b">
        <f t="shared" si="142"/>
        <v>0</v>
      </c>
      <c r="BE420" s="125" t="s">
        <v>56</v>
      </c>
      <c r="BF420" s="122"/>
    </row>
    <row r="421" spans="1:58" s="139" customFormat="1" ht="154">
      <c r="A421" s="114"/>
      <c r="B421" s="114"/>
      <c r="C421" s="12"/>
      <c r="D421" s="12"/>
      <c r="E421" s="12"/>
      <c r="F421" s="533" t="s">
        <v>265</v>
      </c>
      <c r="G421" s="534"/>
      <c r="H421" s="534"/>
      <c r="I421" s="534"/>
      <c r="J421" s="534"/>
      <c r="K421" s="534"/>
      <c r="L421" s="534"/>
      <c r="M421" s="534"/>
      <c r="N421" s="534"/>
      <c r="O421" s="534"/>
      <c r="P421" s="534"/>
      <c r="Q421" s="534"/>
      <c r="R421" s="534"/>
      <c r="S421" s="114">
        <f>SUMIFS(S320:S400, AA320:AA400, "=Planned")</f>
        <v>0</v>
      </c>
      <c r="T421" s="114"/>
      <c r="U421" s="23">
        <f>SUMIFS(U320:U400, Z320:Z400, "=Planned")</f>
        <v>0</v>
      </c>
      <c r="V421" s="114">
        <f>SUMIFS(V320:V400, Z320:Z400, "=Planned")</f>
        <v>0</v>
      </c>
      <c r="W421" s="114"/>
      <c r="X421" s="156"/>
      <c r="Y421" s="156"/>
      <c r="Z421" s="114"/>
      <c r="AA421" s="114">
        <f>COUNTIFS(AA320:AA400, "=Planned")</f>
        <v>0</v>
      </c>
      <c r="AB421" s="114"/>
      <c r="AC421" s="114"/>
      <c r="AD421" s="114"/>
      <c r="AE421" s="114"/>
      <c r="AF421" s="114"/>
      <c r="AG421" s="114">
        <f>COUNTIFS(AG320:AG400, "=New")</f>
        <v>0</v>
      </c>
      <c r="AH421" s="114">
        <f>COUNTIFS(AH320:AH400, "=F2F")</f>
        <v>1</v>
      </c>
      <c r="AI421" s="12"/>
      <c r="AJ421" s="12"/>
      <c r="AK421" s="12"/>
      <c r="AL421" s="12"/>
      <c r="AM421" s="12"/>
      <c r="AN421" s="12"/>
      <c r="AR421" s="121">
        <f t="shared" si="132"/>
        <v>0</v>
      </c>
      <c r="AS421" s="121">
        <f t="shared" si="133"/>
        <v>0</v>
      </c>
      <c r="AT421" s="122"/>
      <c r="AU421" s="121" t="str">
        <f t="shared" si="134"/>
        <v>0</v>
      </c>
      <c r="AV421" s="121" t="str">
        <f t="shared" si="135"/>
        <v/>
      </c>
      <c r="AW421" s="121" t="str">
        <f t="shared" si="136"/>
        <v/>
      </c>
      <c r="AX421" s="121" t="str">
        <f t="shared" si="137"/>
        <v xml:space="preserve"> </v>
      </c>
      <c r="AY421" s="123"/>
      <c r="AZ421" s="124">
        <f t="shared" si="138"/>
        <v>0</v>
      </c>
      <c r="BA421" s="121" t="str">
        <f t="shared" si="139"/>
        <v xml:space="preserve"> </v>
      </c>
      <c r="BB421" s="121">
        <f t="shared" si="140"/>
        <v>0</v>
      </c>
      <c r="BC421" s="121" t="str">
        <f t="shared" si="141"/>
        <v>no</v>
      </c>
      <c r="BD421" s="121" t="b">
        <f t="shared" si="142"/>
        <v>1</v>
      </c>
      <c r="BE421" s="125" t="s">
        <v>56</v>
      </c>
      <c r="BF421" s="122"/>
    </row>
    <row r="422" spans="1:58" s="114" customFormat="1" ht="154">
      <c r="A422" s="12"/>
      <c r="B422" s="12"/>
      <c r="F422" s="533" t="s">
        <v>266</v>
      </c>
      <c r="G422" s="533"/>
      <c r="H422" s="533"/>
      <c r="I422" s="533"/>
      <c r="J422" s="533"/>
      <c r="K422" s="533"/>
      <c r="L422" s="533"/>
      <c r="M422" s="533"/>
      <c r="N422" s="533"/>
      <c r="O422" s="533"/>
      <c r="P422" s="533"/>
      <c r="Q422" s="533"/>
      <c r="R422" s="533"/>
      <c r="S422" s="114">
        <f>SUMIFS(S320:S400, AA320:AA400, "=Tentative")</f>
        <v>0</v>
      </c>
      <c r="U422" s="23">
        <f>SUMIFS(U320:U400, Z320:Z400, "=Tentative")</f>
        <v>0</v>
      </c>
      <c r="V422" s="114">
        <f>SUMIFS(V320:V400, Z320:Z400, "=Tentative")</f>
        <v>0</v>
      </c>
      <c r="X422" s="156"/>
      <c r="Y422" s="156"/>
      <c r="AA422" s="114">
        <f>COUNTIFS(AA320:AA400, "=Tentative")</f>
        <v>0</v>
      </c>
      <c r="AR422" s="121">
        <f t="shared" si="132"/>
        <v>0</v>
      </c>
      <c r="AS422" s="121">
        <f t="shared" si="133"/>
        <v>0</v>
      </c>
      <c r="AT422" s="122"/>
      <c r="AU422" s="121" t="str">
        <f t="shared" si="134"/>
        <v>0</v>
      </c>
      <c r="AV422" s="121" t="str">
        <f t="shared" si="135"/>
        <v/>
      </c>
      <c r="AW422" s="121" t="str">
        <f t="shared" si="136"/>
        <v/>
      </c>
      <c r="AX422" s="121" t="str">
        <f t="shared" si="137"/>
        <v xml:space="preserve"> </v>
      </c>
      <c r="AY422" s="123"/>
      <c r="AZ422" s="124">
        <f t="shared" si="138"/>
        <v>0</v>
      </c>
      <c r="BA422" s="121" t="str">
        <f t="shared" si="139"/>
        <v xml:space="preserve"> </v>
      </c>
      <c r="BB422" s="121">
        <f t="shared" si="140"/>
        <v>0</v>
      </c>
      <c r="BC422" s="121" t="str">
        <f t="shared" si="141"/>
        <v>no</v>
      </c>
      <c r="BD422" s="121" t="b">
        <f t="shared" si="142"/>
        <v>1</v>
      </c>
      <c r="BE422" s="125" t="s">
        <v>56</v>
      </c>
      <c r="BF422" s="122"/>
    </row>
    <row r="423" spans="1:58" s="139" customFormat="1" ht="154">
      <c r="A423" s="114"/>
      <c r="B423" s="114"/>
      <c r="C423" s="12"/>
      <c r="D423" s="12"/>
      <c r="E423" s="12"/>
      <c r="F423" s="538" t="s">
        <v>267</v>
      </c>
      <c r="G423" s="538"/>
      <c r="H423" s="538"/>
      <c r="I423" s="538"/>
      <c r="J423" s="538"/>
      <c r="K423" s="538"/>
      <c r="L423" s="538"/>
      <c r="M423" s="538"/>
      <c r="N423" s="538"/>
      <c r="O423" s="538"/>
      <c r="P423" s="538"/>
      <c r="Q423" s="538"/>
      <c r="R423" s="538"/>
      <c r="S423" s="523">
        <f>SUM(S320:S400)</f>
        <v>1816</v>
      </c>
      <c r="T423" s="523"/>
      <c r="U423" s="157">
        <f>SUM(U320:U400)</f>
        <v>754</v>
      </c>
      <c r="V423" s="523">
        <f>SUM(V320:V400)</f>
        <v>1062</v>
      </c>
      <c r="W423" s="523"/>
      <c r="X423" s="156"/>
      <c r="Y423" s="156"/>
      <c r="Z423" s="114"/>
      <c r="AA423" s="114"/>
      <c r="AB423" s="114"/>
      <c r="AC423" s="114"/>
      <c r="AD423" s="114"/>
      <c r="AE423" s="114"/>
      <c r="AF423" s="114"/>
      <c r="AG423" s="12"/>
      <c r="AH423" s="12"/>
      <c r="AI423" s="12"/>
      <c r="AJ423" s="12"/>
      <c r="AK423" s="12"/>
      <c r="AL423" s="12"/>
      <c r="AM423" s="12"/>
      <c r="AN423" s="12"/>
      <c r="AR423" s="121">
        <f t="shared" si="132"/>
        <v>0</v>
      </c>
      <c r="AS423" s="121">
        <f t="shared" si="133"/>
        <v>0</v>
      </c>
      <c r="AT423" s="122"/>
      <c r="AU423" s="121" t="str">
        <f t="shared" si="134"/>
        <v>0</v>
      </c>
      <c r="AV423" s="121" t="str">
        <f t="shared" si="135"/>
        <v/>
      </c>
      <c r="AW423" s="121" t="str">
        <f t="shared" si="136"/>
        <v/>
      </c>
      <c r="AX423" s="121" t="str">
        <f t="shared" si="137"/>
        <v xml:space="preserve"> </v>
      </c>
      <c r="AY423" s="123"/>
      <c r="AZ423" s="124">
        <f t="shared" si="138"/>
        <v>0</v>
      </c>
      <c r="BA423" s="121" t="str">
        <f t="shared" si="139"/>
        <v xml:space="preserve"> </v>
      </c>
      <c r="BB423" s="121">
        <f t="shared" si="140"/>
        <v>0</v>
      </c>
      <c r="BC423" s="121" t="str">
        <f t="shared" si="141"/>
        <v>no</v>
      </c>
      <c r="BD423" s="121" t="b">
        <f t="shared" si="142"/>
        <v>0</v>
      </c>
      <c r="BE423" s="125" t="s">
        <v>56</v>
      </c>
      <c r="BF423" s="122"/>
    </row>
    <row r="424" spans="1:58" s="219" customFormat="1" ht="154">
      <c r="A424" s="12"/>
      <c r="B424" s="213" t="s">
        <v>781</v>
      </c>
      <c r="C424" s="212"/>
      <c r="D424" s="212">
        <v>10105318</v>
      </c>
      <c r="E424" s="212"/>
      <c r="F424" s="214" t="s">
        <v>782</v>
      </c>
      <c r="G424" s="215" t="s">
        <v>783</v>
      </c>
      <c r="H424" s="137">
        <v>44501</v>
      </c>
      <c r="I424" s="148">
        <v>44524</v>
      </c>
      <c r="J424" s="216"/>
      <c r="K424" s="217"/>
      <c r="L424" s="217"/>
      <c r="M424" s="217" t="s">
        <v>46</v>
      </c>
      <c r="N424" s="217" t="s">
        <v>46</v>
      </c>
      <c r="O424" s="217"/>
      <c r="P424" s="217"/>
      <c r="Q424" s="212" t="s">
        <v>121</v>
      </c>
      <c r="R424" s="218" t="s">
        <v>784</v>
      </c>
      <c r="S424" s="81">
        <f t="shared" ref="S424:S433" si="156">U424+V424</f>
        <v>34</v>
      </c>
      <c r="T424" s="81">
        <v>35</v>
      </c>
      <c r="U424" s="212">
        <v>0</v>
      </c>
      <c r="V424" s="114">
        <v>34</v>
      </c>
      <c r="W424" s="212"/>
      <c r="X424" s="212"/>
      <c r="Y424" s="212"/>
      <c r="Z424" s="212" t="s">
        <v>50</v>
      </c>
      <c r="AA424" s="212" t="s">
        <v>50</v>
      </c>
      <c r="AB424" s="212" t="s">
        <v>50</v>
      </c>
      <c r="AC424" s="212"/>
      <c r="AD424" s="212"/>
      <c r="AE424" s="212"/>
      <c r="AF424" s="212"/>
      <c r="AG424" s="128" t="s">
        <v>53</v>
      </c>
      <c r="AH424" s="212" t="s">
        <v>54</v>
      </c>
      <c r="AI424" s="212" t="s">
        <v>46</v>
      </c>
      <c r="AJ424" s="212"/>
      <c r="AK424" s="212">
        <v>33</v>
      </c>
      <c r="AL424" s="212" t="s">
        <v>55</v>
      </c>
      <c r="AM424" s="81"/>
      <c r="AN424" s="81"/>
      <c r="AR424" s="121">
        <f t="shared" si="132"/>
        <v>1</v>
      </c>
      <c r="AS424" s="121" t="str">
        <f t="shared" si="133"/>
        <v>2021_11_01_a</v>
      </c>
      <c r="AT424" s="122"/>
      <c r="AU424" s="121" t="str">
        <f t="shared" si="134"/>
        <v>2021</v>
      </c>
      <c r="AV424" s="121" t="str">
        <f t="shared" si="135"/>
        <v>11</v>
      </c>
      <c r="AW424" s="121" t="str">
        <f t="shared" si="136"/>
        <v>01</v>
      </c>
      <c r="AX424" s="121">
        <f t="shared" si="137"/>
        <v>44501</v>
      </c>
      <c r="AY424" s="123"/>
      <c r="AZ424" s="124">
        <f t="shared" si="138"/>
        <v>44501</v>
      </c>
      <c r="BA424" s="121" t="b">
        <f t="shared" si="139"/>
        <v>1</v>
      </c>
      <c r="BB424" s="121">
        <f t="shared" si="140"/>
        <v>44501</v>
      </c>
      <c r="BC424" s="121" t="str">
        <f t="shared" si="141"/>
        <v>no</v>
      </c>
      <c r="BD424" s="121" t="b">
        <f t="shared" si="142"/>
        <v>0</v>
      </c>
      <c r="BE424" s="125" t="s">
        <v>56</v>
      </c>
      <c r="BF424" s="122"/>
    </row>
    <row r="425" spans="1:58" s="219" customFormat="1" ht="154">
      <c r="A425" s="212"/>
      <c r="B425" s="213" t="s">
        <v>785</v>
      </c>
      <c r="C425" s="212"/>
      <c r="D425" s="212">
        <v>10105324</v>
      </c>
      <c r="E425" s="212"/>
      <c r="F425" s="214" t="s">
        <v>782</v>
      </c>
      <c r="G425" s="215" t="s">
        <v>786</v>
      </c>
      <c r="H425" s="137">
        <v>44531</v>
      </c>
      <c r="I425" s="148">
        <v>44540</v>
      </c>
      <c r="J425" s="216"/>
      <c r="K425" s="217"/>
      <c r="L425" s="217"/>
      <c r="M425" s="217" t="s">
        <v>46</v>
      </c>
      <c r="N425" s="217" t="s">
        <v>46</v>
      </c>
      <c r="O425" s="217"/>
      <c r="P425" s="217"/>
      <c r="Q425" s="212"/>
      <c r="R425" s="218" t="s">
        <v>787</v>
      </c>
      <c r="S425" s="81">
        <f t="shared" si="156"/>
        <v>32</v>
      </c>
      <c r="T425" s="81">
        <v>32</v>
      </c>
      <c r="U425" s="212">
        <v>0</v>
      </c>
      <c r="V425" s="114">
        <v>32</v>
      </c>
      <c r="W425" s="212"/>
      <c r="X425" s="212"/>
      <c r="Y425" s="212"/>
      <c r="Z425" s="212" t="s">
        <v>50</v>
      </c>
      <c r="AA425" s="212" t="s">
        <v>50</v>
      </c>
      <c r="AB425" s="212" t="s">
        <v>50</v>
      </c>
      <c r="AC425" s="212"/>
      <c r="AD425" s="212"/>
      <c r="AE425" s="212"/>
      <c r="AF425" s="212"/>
      <c r="AG425" s="128" t="s">
        <v>53</v>
      </c>
      <c r="AH425" s="212" t="s">
        <v>54</v>
      </c>
      <c r="AI425" s="212"/>
      <c r="AJ425" s="212"/>
      <c r="AK425" s="212"/>
      <c r="AL425" s="212"/>
      <c r="AM425" s="81"/>
      <c r="AN425" s="81"/>
      <c r="AR425" s="121">
        <f t="shared" si="132"/>
        <v>1</v>
      </c>
      <c r="AS425" s="121" t="str">
        <f t="shared" si="133"/>
        <v>2021_12_01_a</v>
      </c>
      <c r="AT425" s="122"/>
      <c r="AU425" s="121" t="str">
        <f t="shared" si="134"/>
        <v>2021</v>
      </c>
      <c r="AV425" s="121" t="str">
        <f t="shared" si="135"/>
        <v>12</v>
      </c>
      <c r="AW425" s="121" t="str">
        <f t="shared" si="136"/>
        <v>01</v>
      </c>
      <c r="AX425" s="121">
        <f t="shared" si="137"/>
        <v>44531</v>
      </c>
      <c r="AY425" s="123"/>
      <c r="AZ425" s="124">
        <f t="shared" si="138"/>
        <v>44531</v>
      </c>
      <c r="BA425" s="121" t="b">
        <f t="shared" si="139"/>
        <v>1</v>
      </c>
      <c r="BB425" s="121">
        <f t="shared" si="140"/>
        <v>44531</v>
      </c>
      <c r="BC425" s="121" t="str">
        <f t="shared" si="141"/>
        <v>no</v>
      </c>
      <c r="BD425" s="121" t="b">
        <f t="shared" si="142"/>
        <v>0</v>
      </c>
      <c r="BE425" s="125" t="s">
        <v>56</v>
      </c>
      <c r="BF425" s="122"/>
    </row>
    <row r="426" spans="1:58" s="219" customFormat="1" ht="154">
      <c r="A426" s="212"/>
      <c r="B426" s="213" t="s">
        <v>788</v>
      </c>
      <c r="C426" s="212"/>
      <c r="D426" s="212">
        <v>10250934</v>
      </c>
      <c r="E426" s="212"/>
      <c r="F426" s="214" t="s">
        <v>782</v>
      </c>
      <c r="G426" s="215" t="s">
        <v>786</v>
      </c>
      <c r="H426" s="137">
        <v>44606</v>
      </c>
      <c r="I426" s="148">
        <v>44617</v>
      </c>
      <c r="J426" s="216"/>
      <c r="K426" s="217"/>
      <c r="L426" s="217"/>
      <c r="M426" s="217" t="s">
        <v>46</v>
      </c>
      <c r="N426" s="217" t="s">
        <v>46</v>
      </c>
      <c r="O426" s="217"/>
      <c r="P426" s="217"/>
      <c r="Q426" s="212"/>
      <c r="R426" s="218" t="s">
        <v>789</v>
      </c>
      <c r="S426" s="81">
        <f t="shared" si="156"/>
        <v>17</v>
      </c>
      <c r="T426" s="81">
        <v>17</v>
      </c>
      <c r="U426" s="212">
        <v>0</v>
      </c>
      <c r="V426" s="114">
        <v>17</v>
      </c>
      <c r="W426" s="212" t="s">
        <v>348</v>
      </c>
      <c r="X426" s="212"/>
      <c r="Y426" s="212"/>
      <c r="Z426" s="212" t="s">
        <v>50</v>
      </c>
      <c r="AA426" s="212" t="s">
        <v>50</v>
      </c>
      <c r="AB426" s="212" t="s">
        <v>50</v>
      </c>
      <c r="AC426" s="212"/>
      <c r="AD426" s="212"/>
      <c r="AE426" s="212"/>
      <c r="AF426" s="212"/>
      <c r="AG426" s="128" t="s">
        <v>53</v>
      </c>
      <c r="AH426" s="212" t="s">
        <v>54</v>
      </c>
      <c r="AI426" s="212"/>
      <c r="AJ426" s="212"/>
      <c r="AK426" s="212"/>
      <c r="AL426" s="212" t="s">
        <v>55</v>
      </c>
      <c r="AM426" s="81"/>
      <c r="AN426" s="81"/>
      <c r="AR426" s="121">
        <f t="shared" si="132"/>
        <v>1</v>
      </c>
      <c r="AS426" s="121" t="str">
        <f t="shared" si="133"/>
        <v>2022_02_14_a</v>
      </c>
      <c r="AT426" s="122"/>
      <c r="AU426" s="121" t="str">
        <f t="shared" si="134"/>
        <v>2022</v>
      </c>
      <c r="AV426" s="121" t="str">
        <f t="shared" si="135"/>
        <v>02</v>
      </c>
      <c r="AW426" s="121" t="str">
        <f t="shared" si="136"/>
        <v>14</v>
      </c>
      <c r="AX426" s="121">
        <f t="shared" si="137"/>
        <v>44606</v>
      </c>
      <c r="AY426" s="123"/>
      <c r="AZ426" s="124">
        <f t="shared" si="138"/>
        <v>44606</v>
      </c>
      <c r="BA426" s="121" t="b">
        <f t="shared" si="139"/>
        <v>1</v>
      </c>
      <c r="BB426" s="121">
        <f t="shared" si="140"/>
        <v>44606</v>
      </c>
      <c r="BC426" s="121" t="str">
        <f t="shared" si="141"/>
        <v>no</v>
      </c>
      <c r="BD426" s="121" t="b">
        <f t="shared" si="142"/>
        <v>0</v>
      </c>
      <c r="BE426" s="125" t="s">
        <v>56</v>
      </c>
      <c r="BF426" s="122"/>
    </row>
    <row r="427" spans="1:58" s="219" customFormat="1" ht="154">
      <c r="A427" s="212"/>
      <c r="B427" s="213" t="s">
        <v>790</v>
      </c>
      <c r="C427" s="212"/>
      <c r="D427" s="212">
        <v>10260476</v>
      </c>
      <c r="E427" s="212"/>
      <c r="F427" s="214" t="s">
        <v>782</v>
      </c>
      <c r="G427" s="215" t="s">
        <v>786</v>
      </c>
      <c r="H427" s="137">
        <v>44641</v>
      </c>
      <c r="I427" s="148">
        <v>44652</v>
      </c>
      <c r="J427" s="216"/>
      <c r="K427" s="217"/>
      <c r="L427" s="217"/>
      <c r="M427" s="217" t="s">
        <v>46</v>
      </c>
      <c r="N427" s="217" t="s">
        <v>46</v>
      </c>
      <c r="O427" s="217"/>
      <c r="P427" s="217"/>
      <c r="Q427" s="212"/>
      <c r="R427" s="218" t="s">
        <v>791</v>
      </c>
      <c r="S427" s="81">
        <f t="shared" si="156"/>
        <v>7</v>
      </c>
      <c r="T427" s="81">
        <v>7</v>
      </c>
      <c r="U427" s="212">
        <v>0</v>
      </c>
      <c r="V427" s="114">
        <v>7</v>
      </c>
      <c r="W427" s="212"/>
      <c r="X427" s="212"/>
      <c r="Y427" s="212"/>
      <c r="Z427" s="212" t="s">
        <v>50</v>
      </c>
      <c r="AA427" s="212" t="s">
        <v>50</v>
      </c>
      <c r="AB427" s="212" t="s">
        <v>50</v>
      </c>
      <c r="AC427" s="212"/>
      <c r="AD427" s="212"/>
      <c r="AE427" s="212"/>
      <c r="AF427" s="212"/>
      <c r="AG427" s="128" t="s">
        <v>53</v>
      </c>
      <c r="AH427" s="212" t="s">
        <v>54</v>
      </c>
      <c r="AI427" s="212"/>
      <c r="AJ427" s="212"/>
      <c r="AK427" s="212"/>
      <c r="AL427" s="212"/>
      <c r="AM427" s="81"/>
      <c r="AN427" s="81"/>
      <c r="AR427" s="121">
        <f t="shared" si="132"/>
        <v>1</v>
      </c>
      <c r="AS427" s="121" t="str">
        <f t="shared" si="133"/>
        <v>2022_03_21_a</v>
      </c>
      <c r="AT427" s="122"/>
      <c r="AU427" s="121" t="str">
        <f t="shared" si="134"/>
        <v>2022</v>
      </c>
      <c r="AV427" s="121" t="str">
        <f t="shared" si="135"/>
        <v>03</v>
      </c>
      <c r="AW427" s="121" t="str">
        <f t="shared" si="136"/>
        <v>21</v>
      </c>
      <c r="AX427" s="121">
        <f t="shared" si="137"/>
        <v>44641</v>
      </c>
      <c r="AY427" s="123"/>
      <c r="AZ427" s="124">
        <f t="shared" si="138"/>
        <v>44641</v>
      </c>
      <c r="BA427" s="121" t="b">
        <f t="shared" si="139"/>
        <v>1</v>
      </c>
      <c r="BB427" s="121">
        <f t="shared" si="140"/>
        <v>44641</v>
      </c>
      <c r="BC427" s="121" t="str">
        <f t="shared" si="141"/>
        <v>no</v>
      </c>
      <c r="BD427" s="121" t="b">
        <f t="shared" si="142"/>
        <v>0</v>
      </c>
      <c r="BE427" s="125" t="s">
        <v>56</v>
      </c>
      <c r="BF427" s="122"/>
    </row>
    <row r="428" spans="1:58" s="219" customFormat="1" ht="154">
      <c r="A428" s="212"/>
      <c r="B428" s="213" t="s">
        <v>792</v>
      </c>
      <c r="C428" s="212"/>
      <c r="D428" s="212">
        <v>10277269</v>
      </c>
      <c r="E428" s="212"/>
      <c r="F428" s="214" t="s">
        <v>782</v>
      </c>
      <c r="G428" s="215" t="s">
        <v>786</v>
      </c>
      <c r="H428" s="137">
        <v>44717</v>
      </c>
      <c r="I428" s="148">
        <v>44728</v>
      </c>
      <c r="J428" s="216"/>
      <c r="K428" s="217"/>
      <c r="L428" s="217"/>
      <c r="M428" s="217" t="s">
        <v>46</v>
      </c>
      <c r="N428" s="217" t="s">
        <v>46</v>
      </c>
      <c r="O428" s="217"/>
      <c r="P428" s="217"/>
      <c r="Q428" s="212"/>
      <c r="R428" s="218" t="s">
        <v>793</v>
      </c>
      <c r="S428" s="81">
        <f>U428+V428</f>
        <v>16</v>
      </c>
      <c r="T428" s="81">
        <v>16</v>
      </c>
      <c r="U428" s="212">
        <v>0</v>
      </c>
      <c r="V428" s="114">
        <v>16</v>
      </c>
      <c r="W428" s="212" t="s">
        <v>348</v>
      </c>
      <c r="X428" s="212"/>
      <c r="Y428" s="212"/>
      <c r="Z428" s="212" t="s">
        <v>50</v>
      </c>
      <c r="AA428" s="212" t="s">
        <v>50</v>
      </c>
      <c r="AB428" s="212" t="s">
        <v>50</v>
      </c>
      <c r="AC428" s="212"/>
      <c r="AD428" s="212"/>
      <c r="AE428" s="212"/>
      <c r="AF428" s="212"/>
      <c r="AG428" s="128" t="s">
        <v>53</v>
      </c>
      <c r="AH428" s="212" t="s">
        <v>54</v>
      </c>
      <c r="AI428" s="212"/>
      <c r="AJ428" s="212"/>
      <c r="AK428" s="212"/>
      <c r="AL428" s="212"/>
      <c r="AM428" s="81"/>
      <c r="AN428" s="81"/>
      <c r="AR428" s="121">
        <f t="shared" si="132"/>
        <v>1</v>
      </c>
      <c r="AS428" s="121" t="str">
        <f t="shared" si="133"/>
        <v>2022_06_05_a</v>
      </c>
      <c r="AT428" s="122"/>
      <c r="AU428" s="121" t="str">
        <f t="shared" si="134"/>
        <v>2022</v>
      </c>
      <c r="AV428" s="121" t="str">
        <f t="shared" si="135"/>
        <v>06</v>
      </c>
      <c r="AW428" s="121" t="str">
        <f t="shared" si="136"/>
        <v>05</v>
      </c>
      <c r="AX428" s="121">
        <f t="shared" si="137"/>
        <v>44717</v>
      </c>
      <c r="AY428" s="123"/>
      <c r="AZ428" s="124">
        <f t="shared" si="138"/>
        <v>44717</v>
      </c>
      <c r="BA428" s="121" t="b">
        <f t="shared" si="139"/>
        <v>1</v>
      </c>
      <c r="BB428" s="121">
        <f t="shared" si="140"/>
        <v>44717</v>
      </c>
      <c r="BC428" s="121" t="str">
        <f t="shared" si="141"/>
        <v>no</v>
      </c>
      <c r="BD428" s="121" t="b">
        <f t="shared" si="142"/>
        <v>0</v>
      </c>
      <c r="BE428" s="125" t="s">
        <v>56</v>
      </c>
      <c r="BF428" s="122"/>
    </row>
    <row r="429" spans="1:58" s="219" customFormat="1" ht="154">
      <c r="A429" s="212"/>
      <c r="B429" s="213" t="s">
        <v>794</v>
      </c>
      <c r="C429" s="212"/>
      <c r="D429" s="212">
        <v>10310391</v>
      </c>
      <c r="E429" s="212"/>
      <c r="F429" s="214" t="s">
        <v>782</v>
      </c>
      <c r="G429" s="215" t="s">
        <v>786</v>
      </c>
      <c r="H429" s="137">
        <v>44843</v>
      </c>
      <c r="I429" s="148">
        <v>44863</v>
      </c>
      <c r="J429" s="216"/>
      <c r="K429" s="217"/>
      <c r="L429" s="217"/>
      <c r="M429" s="217" t="s">
        <v>46</v>
      </c>
      <c r="N429" s="217" t="s">
        <v>46</v>
      </c>
      <c r="O429" s="217"/>
      <c r="P429" s="217"/>
      <c r="Q429" s="212"/>
      <c r="R429" s="218" t="s">
        <v>793</v>
      </c>
      <c r="S429" s="81">
        <f>U429+V429</f>
        <v>67</v>
      </c>
      <c r="T429" s="81">
        <v>67</v>
      </c>
      <c r="U429" s="212">
        <v>0</v>
      </c>
      <c r="V429" s="114">
        <v>67</v>
      </c>
      <c r="W429" s="212" t="s">
        <v>348</v>
      </c>
      <c r="X429" s="212"/>
      <c r="Y429" s="212"/>
      <c r="Z429" s="212" t="s">
        <v>50</v>
      </c>
      <c r="AA429" s="212" t="s">
        <v>50</v>
      </c>
      <c r="AB429" s="212" t="s">
        <v>50</v>
      </c>
      <c r="AC429" s="212"/>
      <c r="AD429" s="212"/>
      <c r="AE429" s="212"/>
      <c r="AF429" s="212"/>
      <c r="AG429" s="128" t="s">
        <v>53</v>
      </c>
      <c r="AH429" s="212" t="s">
        <v>54</v>
      </c>
      <c r="AI429" s="212"/>
      <c r="AJ429" s="212"/>
      <c r="AK429" s="212"/>
      <c r="AL429" s="212"/>
      <c r="AM429" s="81"/>
      <c r="AN429" s="81"/>
      <c r="AR429" s="121">
        <f t="shared" si="132"/>
        <v>1</v>
      </c>
      <c r="AS429" s="121" t="str">
        <f t="shared" si="133"/>
        <v>2022_10_09_a</v>
      </c>
      <c r="AT429" s="122"/>
      <c r="AU429" s="121" t="str">
        <f t="shared" si="134"/>
        <v>2022</v>
      </c>
      <c r="AV429" s="121" t="str">
        <f t="shared" si="135"/>
        <v>10</v>
      </c>
      <c r="AW429" s="121" t="str">
        <f t="shared" si="136"/>
        <v>09</v>
      </c>
      <c r="AX429" s="121">
        <f t="shared" si="137"/>
        <v>44843</v>
      </c>
      <c r="AY429" s="123"/>
      <c r="AZ429" s="124">
        <f t="shared" si="138"/>
        <v>44843</v>
      </c>
      <c r="BA429" s="121" t="b">
        <f t="shared" si="139"/>
        <v>1</v>
      </c>
      <c r="BB429" s="121">
        <f t="shared" si="140"/>
        <v>44843</v>
      </c>
      <c r="BC429" s="121" t="str">
        <f t="shared" si="141"/>
        <v>no</v>
      </c>
      <c r="BD429" s="121" t="b">
        <f t="shared" si="142"/>
        <v>0</v>
      </c>
      <c r="BE429" s="125" t="s">
        <v>56</v>
      </c>
      <c r="BF429" s="122"/>
    </row>
    <row r="430" spans="1:58" s="219" customFormat="1" ht="154.5" thickBot="1">
      <c r="A430" s="212"/>
      <c r="B430" s="213" t="s">
        <v>795</v>
      </c>
      <c r="C430" s="212"/>
      <c r="D430" s="514" t="s">
        <v>796</v>
      </c>
      <c r="E430" s="212"/>
      <c r="F430" s="214" t="s">
        <v>782</v>
      </c>
      <c r="G430" s="215" t="s">
        <v>786</v>
      </c>
      <c r="H430" s="512">
        <v>45054</v>
      </c>
      <c r="I430" s="148" t="s">
        <v>797</v>
      </c>
      <c r="J430" s="216"/>
      <c r="K430" s="217"/>
      <c r="L430" s="217"/>
      <c r="M430" s="217"/>
      <c r="N430" s="217"/>
      <c r="O430" s="217"/>
      <c r="P430" s="217"/>
      <c r="Q430" s="212"/>
      <c r="R430" s="218" t="s">
        <v>798</v>
      </c>
      <c r="S430" s="81">
        <f>U430+V430</f>
        <v>51</v>
      </c>
      <c r="T430" s="81">
        <v>51</v>
      </c>
      <c r="U430" s="212"/>
      <c r="V430" s="114">
        <v>51</v>
      </c>
      <c r="W430" s="212"/>
      <c r="X430" s="212"/>
      <c r="Y430" s="212"/>
      <c r="Z430" s="212"/>
      <c r="AA430" s="212"/>
      <c r="AB430" s="212"/>
      <c r="AC430" s="212"/>
      <c r="AD430" s="212"/>
      <c r="AE430" s="212"/>
      <c r="AF430" s="212"/>
      <c r="AG430" s="114" t="s">
        <v>53</v>
      </c>
      <c r="AH430" s="212"/>
      <c r="AI430" s="212"/>
      <c r="AJ430" s="212"/>
      <c r="AK430" s="212"/>
      <c r="AL430" s="212"/>
      <c r="AM430" s="81"/>
      <c r="AN430" s="81"/>
      <c r="AR430" s="121">
        <f t="shared" si="132"/>
        <v>1</v>
      </c>
      <c r="AS430" s="121" t="str">
        <f t="shared" si="133"/>
        <v>2023_05_08_a</v>
      </c>
      <c r="AT430" s="122"/>
      <c r="AU430" s="121" t="str">
        <f t="shared" si="134"/>
        <v>2023</v>
      </c>
      <c r="AV430" s="121" t="str">
        <f t="shared" si="135"/>
        <v>05</v>
      </c>
      <c r="AW430" s="121" t="str">
        <f t="shared" si="136"/>
        <v>08</v>
      </c>
      <c r="AX430" s="121">
        <f t="shared" si="137"/>
        <v>45054</v>
      </c>
      <c r="AY430" s="123"/>
      <c r="AZ430" s="124">
        <f t="shared" si="138"/>
        <v>45054</v>
      </c>
      <c r="BA430" s="121" t="b">
        <f t="shared" si="139"/>
        <v>1</v>
      </c>
      <c r="BB430" s="121">
        <f t="shared" si="140"/>
        <v>45054</v>
      </c>
      <c r="BC430" s="121" t="str">
        <f t="shared" si="141"/>
        <v>no</v>
      </c>
      <c r="BD430" s="121" t="b">
        <f t="shared" si="142"/>
        <v>0</v>
      </c>
      <c r="BE430" s="125" t="s">
        <v>56</v>
      </c>
      <c r="BF430" s="122"/>
    </row>
    <row r="431" spans="1:58" s="219" customFormat="1" ht="154">
      <c r="A431" s="212"/>
      <c r="B431" s="213" t="s">
        <v>799</v>
      </c>
      <c r="C431" s="212"/>
      <c r="D431" s="212"/>
      <c r="E431" s="212"/>
      <c r="F431" s="214" t="s">
        <v>782</v>
      </c>
      <c r="G431" s="215" t="s">
        <v>786</v>
      </c>
      <c r="H431" s="479" t="s">
        <v>800</v>
      </c>
      <c r="I431" s="137" t="s">
        <v>801</v>
      </c>
      <c r="J431" s="216"/>
      <c r="K431" s="217"/>
      <c r="L431" s="217"/>
      <c r="M431" s="217"/>
      <c r="N431" s="217"/>
      <c r="O431" s="217"/>
      <c r="P431" s="217"/>
      <c r="Q431" s="212"/>
      <c r="R431" s="218" t="s">
        <v>802</v>
      </c>
      <c r="S431" s="81">
        <f>U431+V431</f>
        <v>33</v>
      </c>
      <c r="T431" s="81">
        <v>33</v>
      </c>
      <c r="U431" s="212">
        <v>0</v>
      </c>
      <c r="V431" s="114">
        <v>33</v>
      </c>
      <c r="W431" s="212"/>
      <c r="X431" s="212"/>
      <c r="Y431" s="212"/>
      <c r="Z431" s="212"/>
      <c r="AA431" s="212"/>
      <c r="AB431" s="212"/>
      <c r="AC431" s="212"/>
      <c r="AD431" s="212"/>
      <c r="AE431" s="212"/>
      <c r="AF431" s="212"/>
      <c r="AG431" s="114" t="s">
        <v>53</v>
      </c>
      <c r="AH431" s="212"/>
      <c r="AI431" s="212"/>
      <c r="AJ431" s="212"/>
      <c r="AK431" s="212"/>
      <c r="AL431" s="212"/>
      <c r="AM431" s="81"/>
      <c r="AN431" s="81"/>
      <c r="AR431" s="121">
        <f t="shared" si="132"/>
        <v>1</v>
      </c>
      <c r="AS431" s="121" t="str">
        <f t="shared" si="133"/>
        <v>2023_03_19_a</v>
      </c>
      <c r="AT431" s="122"/>
      <c r="AU431" s="121" t="str">
        <f t="shared" si="134"/>
        <v>2023</v>
      </c>
      <c r="AV431" s="121" t="str">
        <f t="shared" si="135"/>
        <v>03</v>
      </c>
      <c r="AW431" s="121" t="str">
        <f t="shared" si="136"/>
        <v>19</v>
      </c>
      <c r="AX431" s="121">
        <f t="shared" si="137"/>
        <v>45004</v>
      </c>
      <c r="AY431" s="123"/>
      <c r="AZ431" s="124" t="str">
        <f t="shared" si="138"/>
        <v>19-03-2023</v>
      </c>
      <c r="BA431" s="121" t="b">
        <f t="shared" si="139"/>
        <v>0</v>
      </c>
      <c r="BB431" s="121" t="str">
        <f t="shared" si="140"/>
        <v>19-03-2023</v>
      </c>
      <c r="BC431" s="121" t="str">
        <f t="shared" si="141"/>
        <v>no</v>
      </c>
      <c r="BD431" s="121" t="b">
        <f t="shared" si="142"/>
        <v>0</v>
      </c>
      <c r="BE431" s="125" t="s">
        <v>56</v>
      </c>
      <c r="BF431" s="122"/>
    </row>
    <row r="432" spans="1:58" s="219" customFormat="1" ht="154">
      <c r="A432" s="212"/>
      <c r="B432" s="213" t="s">
        <v>803</v>
      </c>
      <c r="C432" s="212"/>
      <c r="D432" s="212"/>
      <c r="E432" s="212"/>
      <c r="F432" s="214" t="s">
        <v>782</v>
      </c>
      <c r="G432" s="215" t="s">
        <v>786</v>
      </c>
      <c r="H432" s="516">
        <v>45266</v>
      </c>
      <c r="I432" s="517" t="s">
        <v>804</v>
      </c>
      <c r="J432" s="221"/>
      <c r="K432" s="222"/>
      <c r="L432" s="222"/>
      <c r="M432" s="222"/>
      <c r="N432" s="222"/>
      <c r="O432" s="222"/>
      <c r="P432" s="222"/>
      <c r="Q432" s="223"/>
      <c r="R432" s="518" t="s">
        <v>805</v>
      </c>
      <c r="S432" s="81">
        <v>20</v>
      </c>
      <c r="T432" s="81">
        <v>20</v>
      </c>
      <c r="U432" s="212"/>
      <c r="V432" s="114"/>
      <c r="W432" s="212"/>
      <c r="X432" s="212"/>
      <c r="Y432" s="212"/>
      <c r="Z432" s="212"/>
      <c r="AA432" s="212"/>
      <c r="AB432" s="212"/>
      <c r="AC432" s="212"/>
      <c r="AD432" s="212"/>
      <c r="AE432" s="212"/>
      <c r="AF432" s="212"/>
      <c r="AG432" s="114" t="s">
        <v>53</v>
      </c>
      <c r="AH432" s="212" t="s">
        <v>162</v>
      </c>
      <c r="AI432" s="212"/>
      <c r="AJ432" s="212"/>
      <c r="AK432" s="212"/>
      <c r="AL432" s="212"/>
      <c r="AM432" s="81"/>
      <c r="AN432" s="81"/>
      <c r="AR432" s="121">
        <f t="shared" si="132"/>
        <v>1</v>
      </c>
      <c r="AS432" s="121" t="str">
        <f t="shared" si="133"/>
        <v>2023_06_12_a</v>
      </c>
      <c r="AT432" s="122"/>
      <c r="AU432" s="121" t="str">
        <f t="shared" si="134"/>
        <v>2023</v>
      </c>
      <c r="AV432" s="121" t="str">
        <f t="shared" si="135"/>
        <v>06</v>
      </c>
      <c r="AW432" s="121" t="str">
        <f t="shared" si="136"/>
        <v>12</v>
      </c>
      <c r="AX432" s="121">
        <f t="shared" si="137"/>
        <v>45089</v>
      </c>
      <c r="AY432" s="123"/>
      <c r="AZ432" s="124">
        <f t="shared" si="138"/>
        <v>45266</v>
      </c>
      <c r="BA432" s="121" t="b">
        <f t="shared" si="139"/>
        <v>0</v>
      </c>
      <c r="BB432" s="121">
        <f t="shared" si="140"/>
        <v>45266</v>
      </c>
      <c r="BC432" s="121" t="str">
        <f t="shared" si="141"/>
        <v>no</v>
      </c>
      <c r="BD432" s="121" t="b">
        <f t="shared" si="142"/>
        <v>1</v>
      </c>
      <c r="BE432" s="125" t="s">
        <v>56</v>
      </c>
      <c r="BF432" s="122"/>
    </row>
    <row r="433" spans="1:58" s="219" customFormat="1" ht="154">
      <c r="A433" s="212"/>
      <c r="B433" s="148" t="s">
        <v>806</v>
      </c>
      <c r="C433" s="212"/>
      <c r="D433" s="212">
        <v>10232746</v>
      </c>
      <c r="E433" s="212"/>
      <c r="F433" s="214" t="s">
        <v>807</v>
      </c>
      <c r="G433" s="220">
        <v>44528</v>
      </c>
      <c r="H433" s="221">
        <v>44535</v>
      </c>
      <c r="I433" s="222"/>
      <c r="J433" s="221">
        <v>44549</v>
      </c>
      <c r="K433" s="222"/>
      <c r="L433" s="222"/>
      <c r="M433" s="222"/>
      <c r="N433" s="222"/>
      <c r="O433" s="222"/>
      <c r="P433" s="222"/>
      <c r="Q433" s="223" t="s">
        <v>121</v>
      </c>
      <c r="R433" s="224" t="s">
        <v>808</v>
      </c>
      <c r="S433" s="212">
        <f t="shared" si="156"/>
        <v>9</v>
      </c>
      <c r="T433" s="212">
        <v>9</v>
      </c>
      <c r="U433" s="212">
        <v>9</v>
      </c>
      <c r="V433" s="114">
        <v>0</v>
      </c>
      <c r="W433" s="212" t="s">
        <v>348</v>
      </c>
      <c r="X433" s="212" t="s">
        <v>809</v>
      </c>
      <c r="Y433" s="212"/>
      <c r="Z433" s="212"/>
      <c r="AA433" s="212"/>
      <c r="AB433" s="212" t="s">
        <v>52</v>
      </c>
      <c r="AC433" s="212"/>
      <c r="AD433" s="212"/>
      <c r="AE433" s="128"/>
      <c r="AF433" s="128"/>
      <c r="AG433" s="114" t="s">
        <v>53</v>
      </c>
      <c r="AH433" s="212" t="s">
        <v>54</v>
      </c>
      <c r="AI433" s="212"/>
      <c r="AJ433" s="212"/>
      <c r="AK433" s="212"/>
      <c r="AL433" s="212"/>
      <c r="AM433" s="212"/>
      <c r="AN433" s="212" t="s">
        <v>810</v>
      </c>
      <c r="AR433" s="121">
        <f t="shared" si="132"/>
        <v>1</v>
      </c>
      <c r="AS433" s="121" t="str">
        <f t="shared" si="133"/>
        <v>2021_12_05_a</v>
      </c>
      <c r="AT433" s="122"/>
      <c r="AU433" s="121" t="str">
        <f t="shared" si="134"/>
        <v>2021</v>
      </c>
      <c r="AV433" s="121" t="str">
        <f t="shared" si="135"/>
        <v>12</v>
      </c>
      <c r="AW433" s="121" t="str">
        <f t="shared" si="136"/>
        <v>05</v>
      </c>
      <c r="AX433" s="121">
        <f t="shared" si="137"/>
        <v>44535</v>
      </c>
      <c r="AY433" s="123"/>
      <c r="AZ433" s="124">
        <f t="shared" si="138"/>
        <v>44535</v>
      </c>
      <c r="BA433" s="121" t="b">
        <f t="shared" si="139"/>
        <v>1</v>
      </c>
      <c r="BB433" s="121">
        <f t="shared" si="140"/>
        <v>44535</v>
      </c>
      <c r="BC433" s="121" t="str">
        <f t="shared" si="141"/>
        <v>no</v>
      </c>
      <c r="BD433" s="121" t="b">
        <f t="shared" si="142"/>
        <v>0</v>
      </c>
      <c r="BE433" s="125" t="s">
        <v>56</v>
      </c>
      <c r="BF433" s="122"/>
    </row>
    <row r="434" spans="1:58" s="114" customFormat="1" ht="154">
      <c r="A434" s="217"/>
      <c r="F434" s="539" t="s">
        <v>263</v>
      </c>
      <c r="G434" s="540"/>
      <c r="H434" s="540"/>
      <c r="I434" s="540"/>
      <c r="J434" s="540"/>
      <c r="K434" s="540"/>
      <c r="L434" s="540"/>
      <c r="M434" s="540"/>
      <c r="N434" s="540"/>
      <c r="O434" s="540"/>
      <c r="P434" s="540"/>
      <c r="Q434" s="540"/>
      <c r="R434" s="541"/>
      <c r="S434" s="114">
        <f>SUMIFS(S424:S431, AA424:AA431, "=Complete")</f>
        <v>173</v>
      </c>
      <c r="U434" s="23">
        <f>SUMIFS(U424:U431, Z424:Z431, "=Complete")</f>
        <v>0</v>
      </c>
      <c r="V434" s="114">
        <f>SUMIFS(V424:V431, Z424:Z431, "=Complete")</f>
        <v>173</v>
      </c>
      <c r="X434" s="156"/>
      <c r="Y434" s="156"/>
      <c r="AA434" s="114">
        <f>COUNTIFS(AA424:AA431, "=Complete")</f>
        <v>6</v>
      </c>
      <c r="AG434" s="114">
        <f>COUNTIFS(AG424:AG431, "=Legacy")</f>
        <v>0</v>
      </c>
      <c r="AH434" s="114">
        <f>COUNTIFS(AH424:AH431, "=Virtual")</f>
        <v>6</v>
      </c>
      <c r="AR434" s="121">
        <f t="shared" si="132"/>
        <v>0</v>
      </c>
      <c r="AS434" s="121">
        <f t="shared" si="133"/>
        <v>0</v>
      </c>
      <c r="AT434" s="122"/>
      <c r="AU434" s="121" t="str">
        <f t="shared" si="134"/>
        <v>0</v>
      </c>
      <c r="AV434" s="121" t="str">
        <f t="shared" si="135"/>
        <v/>
      </c>
      <c r="AW434" s="121" t="str">
        <f t="shared" si="136"/>
        <v/>
      </c>
      <c r="AX434" s="121" t="str">
        <f t="shared" si="137"/>
        <v xml:space="preserve"> </v>
      </c>
      <c r="AY434" s="123"/>
      <c r="AZ434" s="124">
        <f t="shared" si="138"/>
        <v>0</v>
      </c>
      <c r="BA434" s="121" t="str">
        <f t="shared" si="139"/>
        <v xml:space="preserve"> </v>
      </c>
      <c r="BB434" s="121">
        <f t="shared" si="140"/>
        <v>0</v>
      </c>
      <c r="BC434" s="121" t="str">
        <f t="shared" si="141"/>
        <v>no</v>
      </c>
      <c r="BD434" s="121" t="b">
        <f t="shared" si="142"/>
        <v>0</v>
      </c>
      <c r="BE434" s="125" t="s">
        <v>56</v>
      </c>
      <c r="BF434" s="122"/>
    </row>
    <row r="435" spans="1:58" s="114" customFormat="1" ht="154">
      <c r="F435" s="533" t="s">
        <v>264</v>
      </c>
      <c r="G435" s="533"/>
      <c r="H435" s="533"/>
      <c r="I435" s="533"/>
      <c r="J435" s="533"/>
      <c r="K435" s="533"/>
      <c r="L435" s="533"/>
      <c r="M435" s="533"/>
      <c r="N435" s="533"/>
      <c r="O435" s="533"/>
      <c r="P435" s="533"/>
      <c r="Q435" s="533"/>
      <c r="R435" s="533"/>
      <c r="S435" s="114">
        <f>SUMIFS(S424:S431, AA424:AA431, "=In Progress")</f>
        <v>0</v>
      </c>
      <c r="U435" s="23">
        <f>SUMIFS(U424:U431, Z424:Z431, "=In Progress")</f>
        <v>0</v>
      </c>
      <c r="V435" s="114">
        <f>SUMIFS(V424:V431, Z424:Z431, "=In Progress")</f>
        <v>0</v>
      </c>
      <c r="X435" s="156"/>
      <c r="Y435" s="156"/>
      <c r="AA435" s="114">
        <f>COUNTIFS(AA424:AA431, "=In Progress")</f>
        <v>0</v>
      </c>
      <c r="AR435" s="121">
        <f t="shared" si="132"/>
        <v>0</v>
      </c>
      <c r="AS435" s="121">
        <f t="shared" si="133"/>
        <v>0</v>
      </c>
      <c r="AT435" s="122"/>
      <c r="AU435" s="121" t="str">
        <f t="shared" si="134"/>
        <v>0</v>
      </c>
      <c r="AV435" s="121" t="str">
        <f t="shared" si="135"/>
        <v/>
      </c>
      <c r="AW435" s="121" t="str">
        <f t="shared" si="136"/>
        <v/>
      </c>
      <c r="AX435" s="121" t="str">
        <f t="shared" si="137"/>
        <v xml:space="preserve"> </v>
      </c>
      <c r="AY435" s="123"/>
      <c r="AZ435" s="124">
        <f t="shared" si="138"/>
        <v>0</v>
      </c>
      <c r="BA435" s="121" t="str">
        <f t="shared" si="139"/>
        <v xml:space="preserve"> </v>
      </c>
      <c r="BB435" s="121">
        <f t="shared" si="140"/>
        <v>0</v>
      </c>
      <c r="BC435" s="121" t="str">
        <f t="shared" si="141"/>
        <v>no</v>
      </c>
      <c r="BD435" s="121" t="b">
        <f t="shared" si="142"/>
        <v>1</v>
      </c>
      <c r="BE435" s="125" t="s">
        <v>56</v>
      </c>
      <c r="BF435" s="122"/>
    </row>
    <row r="436" spans="1:58" s="114" customFormat="1" ht="154">
      <c r="F436" s="533" t="s">
        <v>265</v>
      </c>
      <c r="G436" s="534"/>
      <c r="H436" s="534"/>
      <c r="I436" s="534"/>
      <c r="J436" s="534"/>
      <c r="K436" s="534"/>
      <c r="L436" s="534"/>
      <c r="M436" s="534"/>
      <c r="N436" s="534"/>
      <c r="O436" s="534"/>
      <c r="P436" s="534"/>
      <c r="Q436" s="534"/>
      <c r="R436" s="534"/>
      <c r="S436" s="114">
        <f>SUMIFS(S424:S431, AA424:AA431, "=Planned")</f>
        <v>0</v>
      </c>
      <c r="U436" s="23">
        <f>SUMIFS(U424:U431, Z424:Z431, "=Planned")</f>
        <v>0</v>
      </c>
      <c r="V436" s="114">
        <f>SUMIFS(V424:V431, Z424:Z431, "=Planned")</f>
        <v>0</v>
      </c>
      <c r="X436" s="156"/>
      <c r="Y436" s="156"/>
      <c r="AA436" s="114">
        <f>COUNTIFS(AA424:AA431, "=Planned")</f>
        <v>0</v>
      </c>
      <c r="AG436" s="114">
        <f>COUNTIFS(AG424:AG431, "=New")</f>
        <v>0</v>
      </c>
      <c r="AH436" s="114">
        <f>COUNTIFS(AH424:AH431, "=F2F")</f>
        <v>0</v>
      </c>
      <c r="AR436" s="121">
        <f t="shared" si="132"/>
        <v>0</v>
      </c>
      <c r="AS436" s="121">
        <f t="shared" si="133"/>
        <v>0</v>
      </c>
      <c r="AT436" s="122"/>
      <c r="AU436" s="121" t="str">
        <f t="shared" si="134"/>
        <v>0</v>
      </c>
      <c r="AV436" s="121" t="str">
        <f t="shared" si="135"/>
        <v/>
      </c>
      <c r="AW436" s="121" t="str">
        <f t="shared" si="136"/>
        <v/>
      </c>
      <c r="AX436" s="121" t="str">
        <f t="shared" si="137"/>
        <v xml:space="preserve"> </v>
      </c>
      <c r="AY436" s="123"/>
      <c r="AZ436" s="124">
        <f t="shared" si="138"/>
        <v>0</v>
      </c>
      <c r="BA436" s="121" t="str">
        <f t="shared" si="139"/>
        <v xml:space="preserve"> </v>
      </c>
      <c r="BB436" s="121">
        <f t="shared" si="140"/>
        <v>0</v>
      </c>
      <c r="BC436" s="121" t="str">
        <f t="shared" si="141"/>
        <v>no</v>
      </c>
      <c r="BD436" s="121" t="b">
        <f t="shared" si="142"/>
        <v>1</v>
      </c>
      <c r="BE436" s="125" t="s">
        <v>56</v>
      </c>
      <c r="BF436" s="122"/>
    </row>
    <row r="437" spans="1:58" s="114" customFormat="1" ht="154">
      <c r="F437" s="533" t="s">
        <v>266</v>
      </c>
      <c r="G437" s="533"/>
      <c r="H437" s="533"/>
      <c r="I437" s="533"/>
      <c r="J437" s="533"/>
      <c r="K437" s="533"/>
      <c r="L437" s="533"/>
      <c r="M437" s="533"/>
      <c r="N437" s="533"/>
      <c r="O437" s="533"/>
      <c r="P437" s="533"/>
      <c r="Q437" s="533"/>
      <c r="R437" s="533"/>
      <c r="S437" s="114">
        <f>SUMIFS(S424:S431, AA424:AA431, "=Tentative")</f>
        <v>0</v>
      </c>
      <c r="U437" s="23">
        <f>SUMIFS(U424:U431, Z424:Z431, "=Tentative")</f>
        <v>0</v>
      </c>
      <c r="V437" s="114">
        <f>SUMIFS(V424:V431, Z424:Z431, "=Tentative")</f>
        <v>0</v>
      </c>
      <c r="X437" s="156"/>
      <c r="Y437" s="156"/>
      <c r="AA437" s="114">
        <f>COUNTIFS(AA424:AA431, "=Tentative")</f>
        <v>0</v>
      </c>
      <c r="AR437" s="121">
        <f t="shared" si="132"/>
        <v>0</v>
      </c>
      <c r="AS437" s="121">
        <f t="shared" si="133"/>
        <v>0</v>
      </c>
      <c r="AT437" s="122"/>
      <c r="AU437" s="121" t="str">
        <f t="shared" si="134"/>
        <v>0</v>
      </c>
      <c r="AV437" s="121" t="str">
        <f t="shared" si="135"/>
        <v/>
      </c>
      <c r="AW437" s="121" t="str">
        <f t="shared" si="136"/>
        <v/>
      </c>
      <c r="AX437" s="121" t="str">
        <f t="shared" si="137"/>
        <v xml:space="preserve"> </v>
      </c>
      <c r="AY437" s="123"/>
      <c r="AZ437" s="124">
        <f t="shared" si="138"/>
        <v>0</v>
      </c>
      <c r="BA437" s="121" t="str">
        <f t="shared" si="139"/>
        <v xml:space="preserve"> </v>
      </c>
      <c r="BB437" s="121">
        <f t="shared" si="140"/>
        <v>0</v>
      </c>
      <c r="BC437" s="121" t="str">
        <f t="shared" si="141"/>
        <v>no</v>
      </c>
      <c r="BD437" s="121" t="b">
        <f t="shared" si="142"/>
        <v>1</v>
      </c>
      <c r="BE437" s="125" t="s">
        <v>56</v>
      </c>
      <c r="BF437" s="122"/>
    </row>
    <row r="438" spans="1:58" s="114" customFormat="1" ht="154">
      <c r="F438" s="538" t="s">
        <v>267</v>
      </c>
      <c r="G438" s="534"/>
      <c r="H438" s="534"/>
      <c r="I438" s="534"/>
      <c r="J438" s="534"/>
      <c r="K438" s="534"/>
      <c r="L438" s="534"/>
      <c r="M438" s="534"/>
      <c r="N438" s="534"/>
      <c r="O438" s="534"/>
      <c r="P438" s="534"/>
      <c r="Q438" s="534"/>
      <c r="R438" s="534"/>
      <c r="S438" s="523">
        <f>SUM(S424:S431)</f>
        <v>257</v>
      </c>
      <c r="U438" s="132">
        <f>SUM(U424:U431)</f>
        <v>0</v>
      </c>
      <c r="V438" s="522">
        <f>SUM(V424:V431)</f>
        <v>257</v>
      </c>
      <c r="X438" s="156"/>
      <c r="Y438" s="156"/>
      <c r="AR438" s="121">
        <f t="shared" si="132"/>
        <v>0</v>
      </c>
      <c r="AS438" s="121">
        <f t="shared" si="133"/>
        <v>0</v>
      </c>
      <c r="AT438" s="122"/>
      <c r="AU438" s="121" t="str">
        <f t="shared" si="134"/>
        <v>0</v>
      </c>
      <c r="AV438" s="121" t="str">
        <f t="shared" si="135"/>
        <v/>
      </c>
      <c r="AW438" s="121" t="str">
        <f t="shared" si="136"/>
        <v/>
      </c>
      <c r="AX438" s="121" t="str">
        <f t="shared" si="137"/>
        <v xml:space="preserve"> </v>
      </c>
      <c r="AY438" s="123"/>
      <c r="AZ438" s="124">
        <f t="shared" si="138"/>
        <v>0</v>
      </c>
      <c r="BA438" s="121" t="str">
        <f t="shared" si="139"/>
        <v xml:space="preserve"> </v>
      </c>
      <c r="BB438" s="121">
        <f t="shared" si="140"/>
        <v>0</v>
      </c>
      <c r="BC438" s="121" t="str">
        <f t="shared" si="141"/>
        <v>no</v>
      </c>
      <c r="BD438" s="121" t="b">
        <f t="shared" si="142"/>
        <v>0</v>
      </c>
      <c r="BE438" s="125" t="s">
        <v>56</v>
      </c>
      <c r="BF438" s="122"/>
    </row>
    <row r="439" spans="1:58" s="139" customFormat="1" ht="154">
      <c r="A439" s="114"/>
      <c r="B439" s="12" t="s">
        <v>811</v>
      </c>
      <c r="C439" s="12"/>
      <c r="D439" s="12">
        <v>10101622</v>
      </c>
      <c r="E439" s="12"/>
      <c r="F439" s="132" t="s">
        <v>812</v>
      </c>
      <c r="G439" s="146">
        <v>44287</v>
      </c>
      <c r="H439" s="84">
        <v>44298</v>
      </c>
      <c r="I439" s="133">
        <v>44342</v>
      </c>
      <c r="J439" s="84">
        <v>44347</v>
      </c>
      <c r="K439" s="133">
        <v>44414</v>
      </c>
      <c r="L439" s="133">
        <v>44368</v>
      </c>
      <c r="M439" s="133" t="s">
        <v>46</v>
      </c>
      <c r="N439" s="133" t="s">
        <v>46</v>
      </c>
      <c r="O439" s="133" t="s">
        <v>46</v>
      </c>
      <c r="P439" s="133" t="s">
        <v>46</v>
      </c>
      <c r="Q439" s="225" t="s">
        <v>813</v>
      </c>
      <c r="R439" s="114" t="s">
        <v>814</v>
      </c>
      <c r="S439" s="114">
        <f t="shared" ref="S439:S443" si="157">U439+V439</f>
        <v>348</v>
      </c>
      <c r="T439" s="114"/>
      <c r="U439" s="81">
        <v>348</v>
      </c>
      <c r="V439" s="114">
        <v>0</v>
      </c>
      <c r="W439" s="114" t="s">
        <v>815</v>
      </c>
      <c r="X439" s="156"/>
      <c r="Y439" s="156"/>
      <c r="Z439" s="114"/>
      <c r="AA439" s="114"/>
      <c r="AB439" s="114"/>
      <c r="AC439" s="114"/>
      <c r="AD439" s="144"/>
      <c r="AE439" s="114"/>
      <c r="AF439" s="114"/>
      <c r="AG439" s="114" t="s">
        <v>53</v>
      </c>
      <c r="AH439" s="12"/>
      <c r="AI439" s="12"/>
      <c r="AJ439" s="12"/>
      <c r="AK439" s="12"/>
      <c r="AL439" s="12"/>
      <c r="AM439" s="12"/>
      <c r="AN439" s="12"/>
      <c r="AR439" s="121">
        <f t="shared" si="132"/>
        <v>1</v>
      </c>
      <c r="AS439" s="121" t="str">
        <f t="shared" si="133"/>
        <v>2021_04_12_a</v>
      </c>
      <c r="AT439" s="122"/>
      <c r="AU439" s="121" t="str">
        <f t="shared" si="134"/>
        <v>2021</v>
      </c>
      <c r="AV439" s="121" t="str">
        <f t="shared" si="135"/>
        <v>04</v>
      </c>
      <c r="AW439" s="121" t="str">
        <f t="shared" si="136"/>
        <v>12</v>
      </c>
      <c r="AX439" s="121">
        <f t="shared" si="137"/>
        <v>44298</v>
      </c>
      <c r="AY439" s="123"/>
      <c r="AZ439" s="124">
        <f t="shared" si="138"/>
        <v>44298</v>
      </c>
      <c r="BA439" s="121" t="b">
        <f t="shared" si="139"/>
        <v>1</v>
      </c>
      <c r="BB439" s="121">
        <f t="shared" si="140"/>
        <v>44298</v>
      </c>
      <c r="BC439" s="121" t="str">
        <f t="shared" si="141"/>
        <v>no</v>
      </c>
      <c r="BD439" s="121" t="b">
        <f t="shared" si="142"/>
        <v>0</v>
      </c>
      <c r="BE439" s="125" t="s">
        <v>56</v>
      </c>
      <c r="BF439" s="122"/>
    </row>
    <row r="440" spans="1:58" s="139" customFormat="1" ht="154">
      <c r="A440" s="12"/>
      <c r="B440" s="12" t="s">
        <v>816</v>
      </c>
      <c r="C440" s="12"/>
      <c r="D440" s="12">
        <v>10228547</v>
      </c>
      <c r="E440" s="12"/>
      <c r="F440" s="132" t="s">
        <v>812</v>
      </c>
      <c r="G440" s="146">
        <v>44470</v>
      </c>
      <c r="H440" s="84">
        <v>44480</v>
      </c>
      <c r="I440" s="133">
        <v>44519</v>
      </c>
      <c r="J440" s="84">
        <v>44522</v>
      </c>
      <c r="K440" s="133">
        <v>44519</v>
      </c>
      <c r="L440" s="133">
        <v>44578</v>
      </c>
      <c r="M440" s="133" t="s">
        <v>46</v>
      </c>
      <c r="N440" s="133" t="s">
        <v>46</v>
      </c>
      <c r="O440" s="133" t="s">
        <v>46</v>
      </c>
      <c r="P440" s="133" t="s">
        <v>46</v>
      </c>
      <c r="Q440" s="114" t="s">
        <v>817</v>
      </c>
      <c r="R440" s="114" t="s">
        <v>814</v>
      </c>
      <c r="S440" s="114">
        <f t="shared" si="157"/>
        <v>24</v>
      </c>
      <c r="T440" s="114"/>
      <c r="U440" s="81">
        <v>24</v>
      </c>
      <c r="V440" s="114">
        <v>0</v>
      </c>
      <c r="W440" s="114" t="s">
        <v>818</v>
      </c>
      <c r="X440" s="156"/>
      <c r="Y440" s="156"/>
      <c r="Z440" s="114"/>
      <c r="AA440" s="114"/>
      <c r="AB440" s="114"/>
      <c r="AC440" s="114"/>
      <c r="AD440" s="144"/>
      <c r="AE440" s="114"/>
      <c r="AF440" s="114"/>
      <c r="AG440" s="114" t="s">
        <v>53</v>
      </c>
      <c r="AH440" s="12"/>
      <c r="AI440" s="12"/>
      <c r="AJ440" s="12"/>
      <c r="AK440" s="12"/>
      <c r="AL440" s="12"/>
      <c r="AM440" s="12"/>
      <c r="AN440" s="12"/>
      <c r="AR440" s="121">
        <f t="shared" si="132"/>
        <v>1</v>
      </c>
      <c r="AS440" s="121" t="str">
        <f t="shared" si="133"/>
        <v>2021_10_11_a</v>
      </c>
      <c r="AT440" s="122"/>
      <c r="AU440" s="121" t="str">
        <f t="shared" si="134"/>
        <v>2021</v>
      </c>
      <c r="AV440" s="121" t="str">
        <f t="shared" si="135"/>
        <v>10</v>
      </c>
      <c r="AW440" s="121" t="str">
        <f t="shared" si="136"/>
        <v>11</v>
      </c>
      <c r="AX440" s="121">
        <f t="shared" si="137"/>
        <v>44480</v>
      </c>
      <c r="AY440" s="123"/>
      <c r="AZ440" s="124">
        <f t="shared" si="138"/>
        <v>44480</v>
      </c>
      <c r="BA440" s="121" t="b">
        <f t="shared" si="139"/>
        <v>1</v>
      </c>
      <c r="BB440" s="121">
        <f t="shared" si="140"/>
        <v>44480</v>
      </c>
      <c r="BC440" s="121" t="str">
        <f t="shared" si="141"/>
        <v>no</v>
      </c>
      <c r="BD440" s="121" t="b">
        <f t="shared" si="142"/>
        <v>0</v>
      </c>
      <c r="BE440" s="125" t="s">
        <v>56</v>
      </c>
      <c r="BF440" s="122"/>
    </row>
    <row r="441" spans="1:58" s="139" customFormat="1" ht="154">
      <c r="A441" s="12"/>
      <c r="B441" s="12" t="s">
        <v>819</v>
      </c>
      <c r="C441" s="12"/>
      <c r="D441" s="12">
        <v>10268486</v>
      </c>
      <c r="E441" s="12"/>
      <c r="F441" s="132" t="s">
        <v>812</v>
      </c>
      <c r="G441" s="146">
        <v>44652</v>
      </c>
      <c r="H441" s="84">
        <v>44658</v>
      </c>
      <c r="I441" s="133">
        <v>44707</v>
      </c>
      <c r="J441" s="84">
        <v>44711</v>
      </c>
      <c r="K441" s="133">
        <v>44757</v>
      </c>
      <c r="L441" s="133"/>
      <c r="M441" s="133" t="s">
        <v>46</v>
      </c>
      <c r="N441" s="133" t="s">
        <v>46</v>
      </c>
      <c r="O441" s="133" t="s">
        <v>46</v>
      </c>
      <c r="P441" s="133" t="s">
        <v>46</v>
      </c>
      <c r="Q441" s="114" t="s">
        <v>820</v>
      </c>
      <c r="R441" s="114" t="s">
        <v>814</v>
      </c>
      <c r="S441" s="114">
        <f t="shared" si="157"/>
        <v>423</v>
      </c>
      <c r="T441" s="114"/>
      <c r="U441" s="81">
        <v>423</v>
      </c>
      <c r="V441" s="114">
        <v>0</v>
      </c>
      <c r="W441" s="114" t="s">
        <v>821</v>
      </c>
      <c r="X441" s="156"/>
      <c r="Y441" s="156"/>
      <c r="Z441" s="114"/>
      <c r="AA441" s="114"/>
      <c r="AB441" s="114"/>
      <c r="AC441" s="114"/>
      <c r="AD441" s="144"/>
      <c r="AE441" s="114"/>
      <c r="AF441" s="114"/>
      <c r="AG441" s="114" t="s">
        <v>53</v>
      </c>
      <c r="AH441" s="12"/>
      <c r="AI441" s="12"/>
      <c r="AJ441" s="12"/>
      <c r="AK441" s="12"/>
      <c r="AL441" s="12"/>
      <c r="AM441" s="12"/>
      <c r="AN441" s="12"/>
      <c r="AR441" s="121">
        <f t="shared" si="132"/>
        <v>1</v>
      </c>
      <c r="AS441" s="121" t="str">
        <f t="shared" si="133"/>
        <v>2022_04_07_a</v>
      </c>
      <c r="AT441" s="122"/>
      <c r="AU441" s="121" t="str">
        <f t="shared" si="134"/>
        <v>2022</v>
      </c>
      <c r="AV441" s="121" t="str">
        <f t="shared" si="135"/>
        <v>04</v>
      </c>
      <c r="AW441" s="121" t="str">
        <f t="shared" si="136"/>
        <v>07</v>
      </c>
      <c r="AX441" s="121">
        <f t="shared" si="137"/>
        <v>44658</v>
      </c>
      <c r="AY441" s="123"/>
      <c r="AZ441" s="124">
        <f t="shared" si="138"/>
        <v>44658</v>
      </c>
      <c r="BA441" s="121" t="b">
        <f t="shared" si="139"/>
        <v>1</v>
      </c>
      <c r="BB441" s="121">
        <f t="shared" si="140"/>
        <v>44658</v>
      </c>
      <c r="BC441" s="121" t="str">
        <f t="shared" si="141"/>
        <v>no</v>
      </c>
      <c r="BD441" s="121" t="b">
        <f t="shared" si="142"/>
        <v>0</v>
      </c>
      <c r="BE441" s="125" t="s">
        <v>56</v>
      </c>
      <c r="BF441" s="122"/>
    </row>
    <row r="442" spans="1:58" s="139" customFormat="1" ht="154">
      <c r="A442" s="12"/>
      <c r="B442" s="12" t="s">
        <v>822</v>
      </c>
      <c r="C442" s="12"/>
      <c r="D442" s="12">
        <v>10310616</v>
      </c>
      <c r="E442" s="12"/>
      <c r="F442" s="132" t="s">
        <v>812</v>
      </c>
      <c r="G442" s="146">
        <v>44835</v>
      </c>
      <c r="H442" s="84">
        <v>44845</v>
      </c>
      <c r="I442" s="133"/>
      <c r="J442" s="84"/>
      <c r="K442" s="133"/>
      <c r="L442" s="133"/>
      <c r="M442" s="133" t="s">
        <v>46</v>
      </c>
      <c r="N442" s="133" t="s">
        <v>46</v>
      </c>
      <c r="O442" s="133" t="s">
        <v>46</v>
      </c>
      <c r="P442" s="133" t="s">
        <v>46</v>
      </c>
      <c r="Q442" s="114" t="s">
        <v>817</v>
      </c>
      <c r="R442" s="114" t="s">
        <v>814</v>
      </c>
      <c r="S442" s="114">
        <f t="shared" ref="S442" si="158">U442+V442</f>
        <v>28</v>
      </c>
      <c r="T442" s="114"/>
      <c r="U442" s="81">
        <v>28</v>
      </c>
      <c r="V442" s="114">
        <v>0</v>
      </c>
      <c r="W442" s="114" t="s">
        <v>823</v>
      </c>
      <c r="X442" s="156"/>
      <c r="Y442" s="156"/>
      <c r="Z442" s="114"/>
      <c r="AA442" s="114"/>
      <c r="AB442" s="114"/>
      <c r="AC442" s="114"/>
      <c r="AD442" s="144"/>
      <c r="AE442" s="114"/>
      <c r="AF442" s="114"/>
      <c r="AG442" s="114" t="s">
        <v>53</v>
      </c>
      <c r="AH442" s="12"/>
      <c r="AI442" s="12"/>
      <c r="AJ442" s="12"/>
      <c r="AK442" s="12"/>
      <c r="AL442" s="12"/>
      <c r="AM442" s="12"/>
      <c r="AN442" s="12"/>
      <c r="AR442" s="121">
        <f t="shared" si="132"/>
        <v>1</v>
      </c>
      <c r="AS442" s="121" t="str">
        <f t="shared" si="133"/>
        <v>2022_10_11_a</v>
      </c>
      <c r="AT442" s="122"/>
      <c r="AU442" s="121" t="str">
        <f t="shared" si="134"/>
        <v>2022</v>
      </c>
      <c r="AV442" s="121" t="str">
        <f t="shared" si="135"/>
        <v>10</v>
      </c>
      <c r="AW442" s="121" t="str">
        <f t="shared" si="136"/>
        <v>11</v>
      </c>
      <c r="AX442" s="121">
        <f t="shared" si="137"/>
        <v>44845</v>
      </c>
      <c r="AY442" s="123"/>
      <c r="AZ442" s="124">
        <f t="shared" si="138"/>
        <v>44845</v>
      </c>
      <c r="BA442" s="121" t="b">
        <f t="shared" si="139"/>
        <v>1</v>
      </c>
      <c r="BB442" s="121">
        <f t="shared" si="140"/>
        <v>44845</v>
      </c>
      <c r="BC442" s="121" t="str">
        <f t="shared" si="141"/>
        <v>no</v>
      </c>
      <c r="BD442" s="121" t="b">
        <f t="shared" si="142"/>
        <v>0</v>
      </c>
      <c r="BE442" s="125" t="s">
        <v>56</v>
      </c>
      <c r="BF442" s="122"/>
    </row>
    <row r="443" spans="1:58" s="139" customFormat="1" ht="154">
      <c r="A443" s="12"/>
      <c r="B443" s="12" t="s">
        <v>824</v>
      </c>
      <c r="C443" s="12"/>
      <c r="D443" s="12">
        <v>10354865</v>
      </c>
      <c r="E443" s="12"/>
      <c r="F443" s="132" t="s">
        <v>812</v>
      </c>
      <c r="G443" s="146">
        <v>45019</v>
      </c>
      <c r="H443" s="84">
        <v>45026</v>
      </c>
      <c r="I443" s="133"/>
      <c r="J443" s="84"/>
      <c r="K443" s="133"/>
      <c r="L443" s="133"/>
      <c r="M443" s="133" t="s">
        <v>46</v>
      </c>
      <c r="N443" s="133" t="s">
        <v>46</v>
      </c>
      <c r="O443" s="133" t="s">
        <v>46</v>
      </c>
      <c r="P443" s="133" t="s">
        <v>46</v>
      </c>
      <c r="Q443" s="114" t="s">
        <v>820</v>
      </c>
      <c r="R443" s="114" t="s">
        <v>814</v>
      </c>
      <c r="S443" s="114">
        <f t="shared" si="157"/>
        <v>635</v>
      </c>
      <c r="T443" s="114"/>
      <c r="U443" s="81">
        <v>635</v>
      </c>
      <c r="V443" s="114">
        <v>0</v>
      </c>
      <c r="W443" s="114" t="s">
        <v>821</v>
      </c>
      <c r="X443" s="156"/>
      <c r="Y443" s="156"/>
      <c r="Z443" s="114"/>
      <c r="AA443" s="114"/>
      <c r="AB443" s="114"/>
      <c r="AC443" s="114"/>
      <c r="AD443" s="144"/>
      <c r="AE443" s="114"/>
      <c r="AF443" s="114"/>
      <c r="AG443" s="114" t="s">
        <v>53</v>
      </c>
      <c r="AH443" s="12"/>
      <c r="AI443" s="12"/>
      <c r="AJ443" s="12"/>
      <c r="AK443" s="12"/>
      <c r="AL443" s="12"/>
      <c r="AM443" s="12"/>
      <c r="AN443" s="12"/>
      <c r="AR443" s="121">
        <f t="shared" si="132"/>
        <v>1</v>
      </c>
      <c r="AS443" s="121" t="str">
        <f t="shared" si="133"/>
        <v>2023_04_10_a</v>
      </c>
      <c r="AT443" s="122"/>
      <c r="AU443" s="121" t="str">
        <f t="shared" si="134"/>
        <v>2023</v>
      </c>
      <c r="AV443" s="121" t="str">
        <f t="shared" si="135"/>
        <v>04</v>
      </c>
      <c r="AW443" s="121" t="str">
        <f t="shared" si="136"/>
        <v>10</v>
      </c>
      <c r="AX443" s="121">
        <f t="shared" si="137"/>
        <v>45026</v>
      </c>
      <c r="AY443" s="123"/>
      <c r="AZ443" s="124">
        <f t="shared" si="138"/>
        <v>45026</v>
      </c>
      <c r="BA443" s="121" t="b">
        <f t="shared" si="139"/>
        <v>1</v>
      </c>
      <c r="BB443" s="121">
        <f t="shared" si="140"/>
        <v>45026</v>
      </c>
      <c r="BC443" s="121" t="str">
        <f t="shared" si="141"/>
        <v>no</v>
      </c>
      <c r="BD443" s="121" t="b">
        <f t="shared" si="142"/>
        <v>0</v>
      </c>
      <c r="BE443" s="125" t="s">
        <v>56</v>
      </c>
      <c r="BF443" s="122"/>
    </row>
    <row r="444" spans="1:58" s="139" customFormat="1" ht="154">
      <c r="A444" s="12"/>
      <c r="C444" s="12"/>
      <c r="D444" s="12"/>
      <c r="E444" s="12"/>
      <c r="F444" s="535" t="s">
        <v>263</v>
      </c>
      <c r="G444" s="536"/>
      <c r="H444" s="536"/>
      <c r="I444" s="536"/>
      <c r="J444" s="536"/>
      <c r="K444" s="536"/>
      <c r="L444" s="536"/>
      <c r="M444" s="536"/>
      <c r="N444" s="536"/>
      <c r="O444" s="536"/>
      <c r="P444" s="536"/>
      <c r="Q444" s="536"/>
      <c r="R444" s="537"/>
      <c r="S444" s="114" t="e">
        <f>SUMIFS(#REF!,#REF!, "=Complete")</f>
        <v>#REF!</v>
      </c>
      <c r="T444" s="114"/>
      <c r="U444" s="23" t="e">
        <f>SUMIFS(#REF!,#REF!, "=Complete")</f>
        <v>#REF!</v>
      </c>
      <c r="V444" s="114" t="e">
        <f>SUMIFS(#REF!,#REF!, "=Complete")</f>
        <v>#REF!</v>
      </c>
      <c r="W444" s="114"/>
      <c r="X444" s="156"/>
      <c r="Y444" s="156"/>
      <c r="Z444" s="114"/>
      <c r="AA444" s="114" t="e">
        <f>COUNTIFS(#REF!, "=Complete")</f>
        <v>#REF!</v>
      </c>
      <c r="AB444" s="114"/>
      <c r="AC444" s="114"/>
      <c r="AD444" s="144"/>
      <c r="AE444" s="114"/>
      <c r="AF444" s="114"/>
      <c r="AG444" s="114" t="e">
        <f>COUNTIFS(#REF!, "=Legacy")</f>
        <v>#REF!</v>
      </c>
      <c r="AH444" s="114" t="e">
        <f>COUNTIFS(#REF!, "=Virtual")</f>
        <v>#REF!</v>
      </c>
      <c r="AI444" s="12"/>
      <c r="AJ444" s="12"/>
      <c r="AK444" s="12"/>
      <c r="AL444" s="12"/>
      <c r="AM444" s="12"/>
      <c r="AN444" s="12"/>
      <c r="AR444" s="121">
        <f t="shared" si="132"/>
        <v>0</v>
      </c>
      <c r="AS444" s="121">
        <f t="shared" si="133"/>
        <v>0</v>
      </c>
      <c r="AT444" s="122"/>
      <c r="AU444" s="121" t="str">
        <f t="shared" si="134"/>
        <v>0</v>
      </c>
      <c r="AV444" s="121" t="str">
        <f t="shared" si="135"/>
        <v/>
      </c>
      <c r="AW444" s="121" t="str">
        <f t="shared" si="136"/>
        <v/>
      </c>
      <c r="AX444" s="121" t="str">
        <f t="shared" si="137"/>
        <v xml:space="preserve"> </v>
      </c>
      <c r="AY444" s="123"/>
      <c r="AZ444" s="124">
        <f t="shared" si="138"/>
        <v>0</v>
      </c>
      <c r="BA444" s="121" t="str">
        <f t="shared" si="139"/>
        <v xml:space="preserve"> </v>
      </c>
      <c r="BB444" s="121">
        <f t="shared" si="140"/>
        <v>0</v>
      </c>
      <c r="BC444" s="121" t="str">
        <f t="shared" si="141"/>
        <v>no</v>
      </c>
      <c r="BD444" s="121" t="e">
        <f t="shared" si="142"/>
        <v>#REF!</v>
      </c>
      <c r="BE444" s="125" t="s">
        <v>56</v>
      </c>
      <c r="BF444" s="122"/>
    </row>
    <row r="445" spans="1:58" s="114" customFormat="1" ht="154">
      <c r="A445" s="12"/>
      <c r="B445" s="12"/>
      <c r="F445" s="533" t="s">
        <v>264</v>
      </c>
      <c r="G445" s="533"/>
      <c r="H445" s="533"/>
      <c r="I445" s="533"/>
      <c r="J445" s="533"/>
      <c r="K445" s="533"/>
      <c r="L445" s="533"/>
      <c r="M445" s="533"/>
      <c r="N445" s="533"/>
      <c r="O445" s="533"/>
      <c r="P445" s="533"/>
      <c r="Q445" s="533"/>
      <c r="R445" s="533"/>
      <c r="S445" s="114" t="e">
        <f>SUMIFS(#REF!,#REF!, "=In Progress")</f>
        <v>#REF!</v>
      </c>
      <c r="U445" s="23" t="e">
        <f>SUMIFS(#REF!,#REF!, "=In Progress")</f>
        <v>#REF!</v>
      </c>
      <c r="V445" s="114" t="e">
        <f>SUMIFS(#REF!,#REF!, "=In Progress")</f>
        <v>#REF!</v>
      </c>
      <c r="X445" s="156"/>
      <c r="Y445" s="156"/>
      <c r="AA445" s="114" t="e">
        <f>COUNTIFS(#REF!, "=In Progress")</f>
        <v>#REF!</v>
      </c>
      <c r="AD445" s="144"/>
      <c r="AR445" s="121">
        <f t="shared" si="132"/>
        <v>0</v>
      </c>
      <c r="AS445" s="121">
        <f t="shared" si="133"/>
        <v>0</v>
      </c>
      <c r="AT445" s="122"/>
      <c r="AU445" s="121" t="str">
        <f t="shared" si="134"/>
        <v>0</v>
      </c>
      <c r="AV445" s="121" t="str">
        <f t="shared" si="135"/>
        <v/>
      </c>
      <c r="AW445" s="121" t="str">
        <f t="shared" si="136"/>
        <v/>
      </c>
      <c r="AX445" s="121" t="str">
        <f t="shared" si="137"/>
        <v xml:space="preserve"> </v>
      </c>
      <c r="AY445" s="123"/>
      <c r="AZ445" s="124">
        <f t="shared" si="138"/>
        <v>0</v>
      </c>
      <c r="BA445" s="121" t="str">
        <f t="shared" si="139"/>
        <v xml:space="preserve"> </v>
      </c>
      <c r="BB445" s="121">
        <f t="shared" si="140"/>
        <v>0</v>
      </c>
      <c r="BC445" s="121" t="str">
        <f t="shared" si="141"/>
        <v>no</v>
      </c>
      <c r="BD445" s="121" t="e">
        <f t="shared" si="142"/>
        <v>#REF!</v>
      </c>
      <c r="BE445" s="125" t="s">
        <v>56</v>
      </c>
      <c r="BF445" s="122"/>
    </row>
    <row r="446" spans="1:58" s="139" customFormat="1" ht="154">
      <c r="A446" s="114"/>
      <c r="B446" s="114"/>
      <c r="C446" s="12"/>
      <c r="D446" s="12"/>
      <c r="E446" s="12"/>
      <c r="F446" s="542" t="s">
        <v>265</v>
      </c>
      <c r="G446" s="534"/>
      <c r="H446" s="534"/>
      <c r="I446" s="534"/>
      <c r="J446" s="534"/>
      <c r="K446" s="534"/>
      <c r="L446" s="534"/>
      <c r="M446" s="534"/>
      <c r="N446" s="534"/>
      <c r="O446" s="534"/>
      <c r="P446" s="534"/>
      <c r="Q446" s="534"/>
      <c r="R446" s="534"/>
      <c r="S446" s="114" t="e">
        <f>SUMIFS(#REF!,#REF!, "=Planned")</f>
        <v>#REF!</v>
      </c>
      <c r="T446" s="114"/>
      <c r="U446" s="23" t="e">
        <f>SUMIFS(#REF!,#REF!, "=Planned")</f>
        <v>#REF!</v>
      </c>
      <c r="V446" s="114" t="e">
        <f>SUMIFS(#REF!,#REF!, "=Planned")</f>
        <v>#REF!</v>
      </c>
      <c r="W446" s="114"/>
      <c r="X446" s="156"/>
      <c r="Y446" s="156"/>
      <c r="Z446" s="114"/>
      <c r="AA446" s="114" t="e">
        <f>COUNTIFS(#REF!, "=Planned")</f>
        <v>#REF!</v>
      </c>
      <c r="AB446" s="114"/>
      <c r="AC446" s="114"/>
      <c r="AD446" s="144"/>
      <c r="AE446" s="114"/>
      <c r="AF446" s="114"/>
      <c r="AG446" s="114" t="e">
        <f>COUNTIFS(#REF!, "=New")</f>
        <v>#REF!</v>
      </c>
      <c r="AH446" s="114" t="e">
        <f>COUNTIFS(#REF!, "=F2F")</f>
        <v>#REF!</v>
      </c>
      <c r="AI446" s="12"/>
      <c r="AJ446" s="12"/>
      <c r="AK446" s="12"/>
      <c r="AL446" s="12"/>
      <c r="AM446" s="12"/>
      <c r="AN446" s="12"/>
      <c r="AR446" s="121">
        <f t="shared" si="132"/>
        <v>0</v>
      </c>
      <c r="AS446" s="121">
        <f t="shared" si="133"/>
        <v>0</v>
      </c>
      <c r="AT446" s="122"/>
      <c r="AU446" s="121" t="str">
        <f t="shared" si="134"/>
        <v>0</v>
      </c>
      <c r="AV446" s="121" t="str">
        <f t="shared" si="135"/>
        <v/>
      </c>
      <c r="AW446" s="121" t="str">
        <f t="shared" si="136"/>
        <v/>
      </c>
      <c r="AX446" s="121" t="str">
        <f t="shared" si="137"/>
        <v xml:space="preserve"> </v>
      </c>
      <c r="AY446" s="123"/>
      <c r="AZ446" s="124">
        <f t="shared" si="138"/>
        <v>0</v>
      </c>
      <c r="BA446" s="121" t="str">
        <f t="shared" si="139"/>
        <v xml:space="preserve"> </v>
      </c>
      <c r="BB446" s="121">
        <f t="shared" si="140"/>
        <v>0</v>
      </c>
      <c r="BC446" s="121" t="str">
        <f t="shared" si="141"/>
        <v>no</v>
      </c>
      <c r="BD446" s="121" t="e">
        <f t="shared" si="142"/>
        <v>#REF!</v>
      </c>
      <c r="BE446" s="125" t="s">
        <v>56</v>
      </c>
      <c r="BF446" s="122"/>
    </row>
    <row r="447" spans="1:58" s="114" customFormat="1" ht="154">
      <c r="A447" s="12"/>
      <c r="B447" s="12"/>
      <c r="F447" s="533" t="s">
        <v>266</v>
      </c>
      <c r="G447" s="533"/>
      <c r="H447" s="533"/>
      <c r="I447" s="533"/>
      <c r="J447" s="533"/>
      <c r="K447" s="533"/>
      <c r="L447" s="533"/>
      <c r="M447" s="533"/>
      <c r="N447" s="533"/>
      <c r="O447" s="533"/>
      <c r="P447" s="533"/>
      <c r="Q447" s="533"/>
      <c r="R447" s="533"/>
      <c r="S447" s="114" t="e">
        <f>SUMIFS(#REF!,#REF!, "=Tentative")</f>
        <v>#REF!</v>
      </c>
      <c r="U447" s="23" t="e">
        <f>SUMIFS(#REF!,#REF!, "=Tentative")</f>
        <v>#REF!</v>
      </c>
      <c r="V447" s="114" t="e">
        <f>SUMIFS(#REF!,#REF!, "=Tentative")</f>
        <v>#REF!</v>
      </c>
      <c r="X447" s="156"/>
      <c r="Y447" s="156"/>
      <c r="AA447" s="114" t="e">
        <f>COUNTIFS(#REF!, "=Tentative")</f>
        <v>#REF!</v>
      </c>
      <c r="AD447" s="144"/>
      <c r="AR447" s="121">
        <f t="shared" si="132"/>
        <v>0</v>
      </c>
      <c r="AS447" s="121">
        <f t="shared" si="133"/>
        <v>0</v>
      </c>
      <c r="AT447" s="122"/>
      <c r="AU447" s="121" t="str">
        <f t="shared" si="134"/>
        <v>0</v>
      </c>
      <c r="AV447" s="121" t="str">
        <f t="shared" si="135"/>
        <v/>
      </c>
      <c r="AW447" s="121" t="str">
        <f t="shared" si="136"/>
        <v/>
      </c>
      <c r="AX447" s="121" t="str">
        <f t="shared" si="137"/>
        <v xml:space="preserve"> </v>
      </c>
      <c r="AY447" s="123"/>
      <c r="AZ447" s="124">
        <f t="shared" si="138"/>
        <v>0</v>
      </c>
      <c r="BA447" s="121" t="str">
        <f t="shared" si="139"/>
        <v xml:space="preserve"> </v>
      </c>
      <c r="BB447" s="121">
        <f t="shared" si="140"/>
        <v>0</v>
      </c>
      <c r="BC447" s="121" t="str">
        <f t="shared" si="141"/>
        <v>no</v>
      </c>
      <c r="BD447" s="121" t="e">
        <f t="shared" si="142"/>
        <v>#REF!</v>
      </c>
      <c r="BE447" s="125" t="s">
        <v>56</v>
      </c>
      <c r="BF447" s="122"/>
    </row>
    <row r="448" spans="1:58" s="139" customFormat="1" ht="154">
      <c r="A448" s="114"/>
      <c r="B448" s="114"/>
      <c r="C448" s="12"/>
      <c r="D448" s="12"/>
      <c r="E448" s="12"/>
      <c r="F448" s="538" t="s">
        <v>267</v>
      </c>
      <c r="G448" s="534"/>
      <c r="H448" s="534"/>
      <c r="I448" s="534"/>
      <c r="J448" s="534"/>
      <c r="K448" s="534"/>
      <c r="L448" s="534"/>
      <c r="M448" s="534"/>
      <c r="N448" s="534"/>
      <c r="O448" s="534"/>
      <c r="P448" s="534"/>
      <c r="Q448" s="534"/>
      <c r="R448" s="534"/>
      <c r="S448" s="226" t="e">
        <f>SUM(#REF!)</f>
        <v>#REF!</v>
      </c>
      <c r="T448" s="226"/>
      <c r="U448" s="132" t="e">
        <f>SUM(#REF!)</f>
        <v>#REF!</v>
      </c>
      <c r="V448" s="522" t="e">
        <f>SUM(#REF!)</f>
        <v>#REF!</v>
      </c>
      <c r="W448" s="523"/>
      <c r="X448" s="156"/>
      <c r="Y448" s="156"/>
      <c r="Z448" s="114"/>
      <c r="AA448" s="114"/>
      <c r="AB448" s="114"/>
      <c r="AC448" s="114"/>
      <c r="AD448" s="144"/>
      <c r="AE448" s="114"/>
      <c r="AF448" s="114"/>
      <c r="AG448" s="12"/>
      <c r="AH448" s="12"/>
      <c r="AI448" s="12"/>
      <c r="AJ448" s="12"/>
      <c r="AK448" s="12"/>
      <c r="AL448" s="12"/>
      <c r="AM448" s="12"/>
      <c r="AN448" s="12"/>
      <c r="AR448" s="121">
        <f t="shared" si="132"/>
        <v>0</v>
      </c>
      <c r="AS448" s="121">
        <f t="shared" si="133"/>
        <v>0</v>
      </c>
      <c r="AT448" s="122"/>
      <c r="AU448" s="121" t="str">
        <f t="shared" si="134"/>
        <v>0</v>
      </c>
      <c r="AV448" s="121" t="str">
        <f t="shared" si="135"/>
        <v/>
      </c>
      <c r="AW448" s="121" t="str">
        <f t="shared" si="136"/>
        <v/>
      </c>
      <c r="AX448" s="121" t="str">
        <f t="shared" si="137"/>
        <v xml:space="preserve"> </v>
      </c>
      <c r="AY448" s="123"/>
      <c r="AZ448" s="124">
        <f t="shared" si="138"/>
        <v>0</v>
      </c>
      <c r="BA448" s="121" t="str">
        <f t="shared" si="139"/>
        <v xml:space="preserve"> </v>
      </c>
      <c r="BB448" s="121">
        <f t="shared" si="140"/>
        <v>0</v>
      </c>
      <c r="BC448" s="121" t="str">
        <f t="shared" si="141"/>
        <v>no</v>
      </c>
      <c r="BD448" s="121" t="e">
        <f t="shared" si="142"/>
        <v>#REF!</v>
      </c>
      <c r="BE448" s="125" t="s">
        <v>56</v>
      </c>
      <c r="BF448" s="122"/>
    </row>
    <row r="449" spans="1:58" s="227" customFormat="1" ht="154">
      <c r="A449" s="12"/>
      <c r="B449" s="114" t="s">
        <v>825</v>
      </c>
      <c r="C449" s="114"/>
      <c r="D449" s="114">
        <v>10094710</v>
      </c>
      <c r="E449" s="114"/>
      <c r="F449" s="522" t="s">
        <v>826</v>
      </c>
      <c r="G449" s="144">
        <v>44200</v>
      </c>
      <c r="H449" s="143">
        <v>44200</v>
      </c>
      <c r="I449" s="144">
        <v>44211</v>
      </c>
      <c r="J449" s="143">
        <v>44214</v>
      </c>
      <c r="K449" s="144">
        <v>44246</v>
      </c>
      <c r="L449" s="144">
        <v>44249</v>
      </c>
      <c r="M449" s="144" t="s">
        <v>46</v>
      </c>
      <c r="N449" s="144" t="s">
        <v>46</v>
      </c>
      <c r="O449" s="144"/>
      <c r="P449" s="144"/>
      <c r="Q449" s="114" t="s">
        <v>47</v>
      </c>
      <c r="R449" s="114" t="s">
        <v>827</v>
      </c>
      <c r="S449" s="114">
        <f t="shared" ref="S449:S460" si="159">U449+V449</f>
        <v>10</v>
      </c>
      <c r="T449" s="114"/>
      <c r="U449" s="114">
        <v>10</v>
      </c>
      <c r="V449" s="114">
        <v>0</v>
      </c>
      <c r="W449" s="114" t="s">
        <v>828</v>
      </c>
      <c r="X449" s="114"/>
      <c r="Y449" s="114"/>
      <c r="Z449" s="114" t="s">
        <v>50</v>
      </c>
      <c r="AA449" s="114" t="s">
        <v>51</v>
      </c>
      <c r="AB449" s="114" t="s">
        <v>50</v>
      </c>
      <c r="AC449" s="114"/>
      <c r="AD449" s="114"/>
      <c r="AE449" s="144"/>
      <c r="AF449" s="144"/>
      <c r="AG449" s="114" t="s">
        <v>53</v>
      </c>
      <c r="AH449" s="114"/>
      <c r="AI449" s="114"/>
      <c r="AJ449" s="114"/>
      <c r="AK449" s="114"/>
      <c r="AL449" s="114" t="s">
        <v>55</v>
      </c>
      <c r="AM449" s="114"/>
      <c r="AN449" s="114"/>
      <c r="AO449" s="82"/>
      <c r="AP449" s="82"/>
      <c r="AR449" s="121">
        <f t="shared" si="132"/>
        <v>1</v>
      </c>
      <c r="AS449" s="121" t="str">
        <f t="shared" si="133"/>
        <v>2021_01_04_a</v>
      </c>
      <c r="AT449" s="122"/>
      <c r="AU449" s="121" t="str">
        <f t="shared" si="134"/>
        <v>2021</v>
      </c>
      <c r="AV449" s="121" t="str">
        <f t="shared" si="135"/>
        <v>01</v>
      </c>
      <c r="AW449" s="121" t="str">
        <f t="shared" si="136"/>
        <v>04</v>
      </c>
      <c r="AX449" s="121">
        <f t="shared" si="137"/>
        <v>44200</v>
      </c>
      <c r="AY449" s="123"/>
      <c r="AZ449" s="124">
        <f t="shared" si="138"/>
        <v>44200</v>
      </c>
      <c r="BA449" s="121" t="b">
        <f t="shared" si="139"/>
        <v>1</v>
      </c>
      <c r="BB449" s="121">
        <f t="shared" si="140"/>
        <v>44200</v>
      </c>
      <c r="BC449" s="121" t="str">
        <f t="shared" si="141"/>
        <v>no</v>
      </c>
      <c r="BD449" s="121" t="b">
        <f t="shared" si="142"/>
        <v>0</v>
      </c>
      <c r="BE449" s="125" t="s">
        <v>56</v>
      </c>
      <c r="BF449" s="122"/>
    </row>
    <row r="450" spans="1:58" s="227" customFormat="1" ht="154">
      <c r="A450" s="81"/>
      <c r="B450" s="114" t="s">
        <v>829</v>
      </c>
      <c r="C450" s="114"/>
      <c r="D450" s="114">
        <v>10097026</v>
      </c>
      <c r="E450" s="114"/>
      <c r="F450" s="522" t="s">
        <v>826</v>
      </c>
      <c r="G450" s="146">
        <v>44256</v>
      </c>
      <c r="H450" s="143">
        <v>44256</v>
      </c>
      <c r="I450" s="144">
        <v>44267</v>
      </c>
      <c r="J450" s="143">
        <v>44270</v>
      </c>
      <c r="K450" s="144">
        <v>44309</v>
      </c>
      <c r="L450" s="144">
        <v>44312</v>
      </c>
      <c r="M450" s="144" t="s">
        <v>46</v>
      </c>
      <c r="N450" s="144" t="s">
        <v>46</v>
      </c>
      <c r="O450" s="144"/>
      <c r="P450" s="144"/>
      <c r="Q450" s="114" t="s">
        <v>78</v>
      </c>
      <c r="R450" s="114" t="s">
        <v>830</v>
      </c>
      <c r="S450" s="114">
        <f t="shared" si="159"/>
        <v>17</v>
      </c>
      <c r="T450" s="114"/>
      <c r="U450" s="114">
        <v>17</v>
      </c>
      <c r="V450" s="114">
        <v>0</v>
      </c>
      <c r="W450" s="114" t="s">
        <v>831</v>
      </c>
      <c r="X450" s="114"/>
      <c r="Y450" s="114"/>
      <c r="Z450" s="114" t="s">
        <v>832</v>
      </c>
      <c r="AA450" s="114" t="s">
        <v>51</v>
      </c>
      <c r="AB450" s="114" t="s">
        <v>51</v>
      </c>
      <c r="AC450" s="114" t="s">
        <v>46</v>
      </c>
      <c r="AD450" s="114" t="s">
        <v>52</v>
      </c>
      <c r="AE450" s="114" t="s">
        <v>52</v>
      </c>
      <c r="AF450" s="114" t="s">
        <v>52</v>
      </c>
      <c r="AG450" s="114" t="s">
        <v>53</v>
      </c>
      <c r="AH450" s="114" t="s">
        <v>54</v>
      </c>
      <c r="AI450" s="114" t="s">
        <v>46</v>
      </c>
      <c r="AJ450" s="114"/>
      <c r="AK450" s="114"/>
      <c r="AL450" s="114" t="s">
        <v>55</v>
      </c>
      <c r="AM450" s="114"/>
      <c r="AN450" s="114"/>
      <c r="AO450" s="82"/>
      <c r="AP450" s="82"/>
      <c r="AR450" s="121">
        <f t="shared" si="132"/>
        <v>1</v>
      </c>
      <c r="AS450" s="121" t="str">
        <f t="shared" si="133"/>
        <v>2021_03_01_a</v>
      </c>
      <c r="AT450" s="122"/>
      <c r="AU450" s="121" t="str">
        <f t="shared" si="134"/>
        <v>2021</v>
      </c>
      <c r="AV450" s="121" t="str">
        <f t="shared" si="135"/>
        <v>03</v>
      </c>
      <c r="AW450" s="121" t="str">
        <f t="shared" si="136"/>
        <v>01</v>
      </c>
      <c r="AX450" s="121">
        <f t="shared" si="137"/>
        <v>44256</v>
      </c>
      <c r="AY450" s="123"/>
      <c r="AZ450" s="124">
        <f t="shared" si="138"/>
        <v>44256</v>
      </c>
      <c r="BA450" s="121" t="b">
        <f t="shared" si="139"/>
        <v>1</v>
      </c>
      <c r="BB450" s="121">
        <f t="shared" si="140"/>
        <v>44256</v>
      </c>
      <c r="BC450" s="121" t="str">
        <f t="shared" si="141"/>
        <v>no</v>
      </c>
      <c r="BD450" s="121" t="b">
        <f t="shared" si="142"/>
        <v>0</v>
      </c>
      <c r="BE450" s="125" t="s">
        <v>56</v>
      </c>
      <c r="BF450" s="122"/>
    </row>
    <row r="451" spans="1:58" s="227" customFormat="1" ht="154">
      <c r="A451" s="81" t="s">
        <v>833</v>
      </c>
      <c r="B451" s="114" t="s">
        <v>834</v>
      </c>
      <c r="C451" s="114"/>
      <c r="D451" s="114" t="s">
        <v>835</v>
      </c>
      <c r="E451" s="114"/>
      <c r="F451" s="522" t="s">
        <v>826</v>
      </c>
      <c r="G451" s="146">
        <v>44294</v>
      </c>
      <c r="H451" s="143">
        <v>44298</v>
      </c>
      <c r="I451" s="144">
        <v>44312</v>
      </c>
      <c r="J451" s="143">
        <v>44313</v>
      </c>
      <c r="K451" s="144">
        <v>44348</v>
      </c>
      <c r="L451" s="144">
        <v>44349</v>
      </c>
      <c r="M451" s="144" t="s">
        <v>46</v>
      </c>
      <c r="N451" s="144" t="s">
        <v>46</v>
      </c>
      <c r="O451" s="144"/>
      <c r="P451" s="144"/>
      <c r="Q451" s="114" t="s">
        <v>78</v>
      </c>
      <c r="R451" s="114" t="s">
        <v>830</v>
      </c>
      <c r="S451" s="114">
        <f t="shared" si="159"/>
        <v>4</v>
      </c>
      <c r="T451" s="114"/>
      <c r="U451" s="114">
        <v>4</v>
      </c>
      <c r="V451" s="114">
        <v>0</v>
      </c>
      <c r="W451" s="114" t="s">
        <v>828</v>
      </c>
      <c r="X451" s="114"/>
      <c r="Y451" s="114"/>
      <c r="Z451" s="114" t="s">
        <v>50</v>
      </c>
      <c r="AA451" s="114" t="s">
        <v>51</v>
      </c>
      <c r="AB451" s="114" t="s">
        <v>51</v>
      </c>
      <c r="AC451" s="114" t="s">
        <v>46</v>
      </c>
      <c r="AD451" s="114" t="s">
        <v>52</v>
      </c>
      <c r="AE451" s="114" t="s">
        <v>52</v>
      </c>
      <c r="AF451" s="114" t="s">
        <v>52</v>
      </c>
      <c r="AG451" s="114" t="s">
        <v>53</v>
      </c>
      <c r="AH451" s="114" t="s">
        <v>54</v>
      </c>
      <c r="AI451" s="114" t="s">
        <v>46</v>
      </c>
      <c r="AJ451" s="114"/>
      <c r="AK451" s="114"/>
      <c r="AL451" s="114" t="s">
        <v>55</v>
      </c>
      <c r="AM451" s="114"/>
      <c r="AN451" s="114"/>
      <c r="AO451" s="82"/>
      <c r="AP451" s="82"/>
      <c r="AR451" s="121">
        <f t="shared" ref="AR451:AR475" si="160">COUNTIF(B:B,B451)</f>
        <v>1</v>
      </c>
      <c r="AS451" s="121" t="str">
        <f t="shared" si="133"/>
        <v>2021_04_12_a</v>
      </c>
      <c r="AT451" s="122"/>
      <c r="AU451" s="121" t="str">
        <f t="shared" si="134"/>
        <v>2021</v>
      </c>
      <c r="AV451" s="121" t="str">
        <f t="shared" si="135"/>
        <v>04</v>
      </c>
      <c r="AW451" s="121" t="str">
        <f t="shared" si="136"/>
        <v>12</v>
      </c>
      <c r="AX451" s="121">
        <f t="shared" si="137"/>
        <v>44298</v>
      </c>
      <c r="AY451" s="123"/>
      <c r="AZ451" s="124">
        <f t="shared" si="138"/>
        <v>44298</v>
      </c>
      <c r="BA451" s="121" t="b">
        <f t="shared" si="139"/>
        <v>1</v>
      </c>
      <c r="BB451" s="121">
        <f t="shared" si="140"/>
        <v>44298</v>
      </c>
      <c r="BC451" s="121" t="str">
        <f t="shared" si="141"/>
        <v>no</v>
      </c>
      <c r="BD451" s="121" t="b">
        <f t="shared" si="142"/>
        <v>0</v>
      </c>
      <c r="BE451" s="125" t="s">
        <v>56</v>
      </c>
      <c r="BF451" s="122"/>
    </row>
    <row r="452" spans="1:58" s="227" customFormat="1" ht="154">
      <c r="A452" s="81" t="s">
        <v>833</v>
      </c>
      <c r="B452" s="81" t="s">
        <v>836</v>
      </c>
      <c r="C452" s="114"/>
      <c r="D452" s="114">
        <v>10103647</v>
      </c>
      <c r="E452" s="114"/>
      <c r="F452" s="522" t="s">
        <v>826</v>
      </c>
      <c r="G452" s="146">
        <v>44284</v>
      </c>
      <c r="H452" s="137">
        <v>44382</v>
      </c>
      <c r="I452" s="144">
        <v>44393</v>
      </c>
      <c r="J452" s="159">
        <f>WORKDAY(H452,10)</f>
        <v>44396</v>
      </c>
      <c r="K452" s="144"/>
      <c r="L452" s="144"/>
      <c r="M452" s="144"/>
      <c r="N452" s="144"/>
      <c r="O452" s="144"/>
      <c r="P452" s="144"/>
      <c r="Q452" s="81" t="s">
        <v>99</v>
      </c>
      <c r="R452" s="81" t="s">
        <v>830</v>
      </c>
      <c r="S452" s="114">
        <f t="shared" si="159"/>
        <v>20</v>
      </c>
      <c r="T452" s="114"/>
      <c r="U452" s="114">
        <v>20</v>
      </c>
      <c r="V452" s="114">
        <v>0</v>
      </c>
      <c r="W452" s="114"/>
      <c r="X452" s="114"/>
      <c r="Y452" s="114"/>
      <c r="Z452" s="114" t="s">
        <v>50</v>
      </c>
      <c r="AA452" s="114"/>
      <c r="AB452" s="114"/>
      <c r="AC452" s="114"/>
      <c r="AD452" s="114"/>
      <c r="AE452" s="114"/>
      <c r="AF452" s="114"/>
      <c r="AG452" s="114" t="s">
        <v>53</v>
      </c>
      <c r="AH452" s="114"/>
      <c r="AI452" s="114"/>
      <c r="AJ452" s="114"/>
      <c r="AK452" s="114"/>
      <c r="AL452" s="114" t="s">
        <v>55</v>
      </c>
      <c r="AM452" s="114"/>
      <c r="AN452" s="114"/>
      <c r="AO452" s="82"/>
      <c r="AP452" s="82"/>
      <c r="AR452" s="121">
        <f t="shared" si="160"/>
        <v>1</v>
      </c>
      <c r="AS452" s="121" t="str">
        <f t="shared" si="133"/>
        <v>2021_07_05_a</v>
      </c>
      <c r="AT452" s="122"/>
      <c r="AU452" s="121" t="str">
        <f t="shared" si="134"/>
        <v>2021</v>
      </c>
      <c r="AV452" s="121" t="str">
        <f t="shared" si="135"/>
        <v>07</v>
      </c>
      <c r="AW452" s="121" t="str">
        <f t="shared" si="136"/>
        <v>05</v>
      </c>
      <c r="AX452" s="121">
        <f t="shared" si="137"/>
        <v>44382</v>
      </c>
      <c r="AY452" s="123"/>
      <c r="AZ452" s="124">
        <f t="shared" si="138"/>
        <v>44382</v>
      </c>
      <c r="BA452" s="121" t="b">
        <f t="shared" si="139"/>
        <v>1</v>
      </c>
      <c r="BB452" s="121">
        <f t="shared" si="140"/>
        <v>44382</v>
      </c>
      <c r="BC452" s="121" t="str">
        <f t="shared" si="141"/>
        <v>no</v>
      </c>
      <c r="BD452" s="121" t="b">
        <f t="shared" si="142"/>
        <v>0</v>
      </c>
      <c r="BE452" s="125" t="s">
        <v>56</v>
      </c>
      <c r="BF452" s="122"/>
    </row>
    <row r="453" spans="1:58" s="139" customFormat="1" ht="154">
      <c r="A453" s="81"/>
      <c r="B453" s="81" t="s">
        <v>837</v>
      </c>
      <c r="C453" s="12"/>
      <c r="D453" s="12">
        <v>10104707</v>
      </c>
      <c r="E453" s="12"/>
      <c r="F453" s="86" t="s">
        <v>826</v>
      </c>
      <c r="G453" s="228">
        <v>44413</v>
      </c>
      <c r="H453" s="137">
        <v>44415</v>
      </c>
      <c r="I453" s="158">
        <v>44398</v>
      </c>
      <c r="J453" s="159">
        <f>WORKDAY(H453,10)</f>
        <v>44428</v>
      </c>
      <c r="K453" s="158">
        <v>44435</v>
      </c>
      <c r="L453" s="158">
        <f>K453+1</f>
        <v>44436</v>
      </c>
      <c r="M453" s="158" t="s">
        <v>46</v>
      </c>
      <c r="N453" s="158" t="s">
        <v>46</v>
      </c>
      <c r="O453" s="158"/>
      <c r="P453" s="158"/>
      <c r="Q453" s="12" t="s">
        <v>99</v>
      </c>
      <c r="R453" s="12" t="s">
        <v>838</v>
      </c>
      <c r="S453" s="12">
        <f t="shared" si="159"/>
        <v>15</v>
      </c>
      <c r="T453" s="12"/>
      <c r="U453" s="12">
        <v>15</v>
      </c>
      <c r="V453" s="114">
        <v>0</v>
      </c>
      <c r="W453" s="12" t="s">
        <v>828</v>
      </c>
      <c r="X453" s="12"/>
      <c r="Y453" s="12"/>
      <c r="Z453" s="12" t="s">
        <v>50</v>
      </c>
      <c r="AA453" s="12" t="s">
        <v>51</v>
      </c>
      <c r="AB453" s="12" t="s">
        <v>51</v>
      </c>
      <c r="AC453" s="12" t="s">
        <v>46</v>
      </c>
      <c r="AD453" s="12" t="s">
        <v>52</v>
      </c>
      <c r="AE453" s="158" t="s">
        <v>52</v>
      </c>
      <c r="AF453" s="158" t="s">
        <v>52</v>
      </c>
      <c r="AG453" s="12" t="s">
        <v>53</v>
      </c>
      <c r="AH453" s="12" t="s">
        <v>54</v>
      </c>
      <c r="AI453" s="12" t="s">
        <v>46</v>
      </c>
      <c r="AJ453" s="12"/>
      <c r="AK453" s="12"/>
      <c r="AL453" s="12" t="s">
        <v>55</v>
      </c>
      <c r="AM453" s="12"/>
      <c r="AN453" s="12"/>
      <c r="AR453" s="121">
        <f t="shared" si="160"/>
        <v>1</v>
      </c>
      <c r="AS453" s="121" t="str">
        <f t="shared" si="133"/>
        <v>2021_08_07_a</v>
      </c>
      <c r="AT453" s="122"/>
      <c r="AU453" s="121" t="str">
        <f t="shared" si="134"/>
        <v>2021</v>
      </c>
      <c r="AV453" s="121" t="str">
        <f t="shared" si="135"/>
        <v>08</v>
      </c>
      <c r="AW453" s="121" t="str">
        <f t="shared" si="136"/>
        <v>07</v>
      </c>
      <c r="AX453" s="121">
        <f t="shared" si="137"/>
        <v>44415</v>
      </c>
      <c r="AY453" s="123"/>
      <c r="AZ453" s="124">
        <f t="shared" si="138"/>
        <v>44415</v>
      </c>
      <c r="BA453" s="121" t="b">
        <f t="shared" si="139"/>
        <v>1</v>
      </c>
      <c r="BB453" s="121">
        <f t="shared" si="140"/>
        <v>44415</v>
      </c>
      <c r="BC453" s="121" t="str">
        <f t="shared" si="141"/>
        <v>no</v>
      </c>
      <c r="BD453" s="121" t="b">
        <f t="shared" si="142"/>
        <v>0</v>
      </c>
      <c r="BE453" s="125" t="s">
        <v>56</v>
      </c>
      <c r="BF453" s="122"/>
    </row>
    <row r="454" spans="1:58" s="139" customFormat="1" ht="154">
      <c r="A454" s="12" t="s">
        <v>839</v>
      </c>
      <c r="B454" s="114" t="s">
        <v>840</v>
      </c>
      <c r="C454" s="12"/>
      <c r="D454" s="12">
        <v>10102447</v>
      </c>
      <c r="E454" s="12"/>
      <c r="F454" s="86" t="s">
        <v>826</v>
      </c>
      <c r="G454" s="229">
        <v>44378</v>
      </c>
      <c r="H454" s="159">
        <v>44382</v>
      </c>
      <c r="I454" s="158">
        <v>44393</v>
      </c>
      <c r="J454" s="159">
        <f>WORKDAY(H454,10)</f>
        <v>44396</v>
      </c>
      <c r="K454" s="158">
        <v>44435</v>
      </c>
      <c r="L454" s="158">
        <v>44436</v>
      </c>
      <c r="M454" s="158" t="s">
        <v>46</v>
      </c>
      <c r="N454" s="158" t="s">
        <v>46</v>
      </c>
      <c r="O454" s="158"/>
      <c r="P454" s="158"/>
      <c r="Q454" s="12" t="s">
        <v>99</v>
      </c>
      <c r="R454" s="12" t="s">
        <v>841</v>
      </c>
      <c r="S454" s="12">
        <f t="shared" si="159"/>
        <v>26</v>
      </c>
      <c r="T454" s="12"/>
      <c r="U454" s="12">
        <v>26</v>
      </c>
      <c r="V454" s="114">
        <v>0</v>
      </c>
      <c r="W454" s="12" t="s">
        <v>842</v>
      </c>
      <c r="X454" s="12"/>
      <c r="Y454" s="12"/>
      <c r="Z454" s="114" t="s">
        <v>50</v>
      </c>
      <c r="AA454" s="12" t="s">
        <v>51</v>
      </c>
      <c r="AB454" s="114" t="s">
        <v>51</v>
      </c>
      <c r="AC454" s="12" t="s">
        <v>46</v>
      </c>
      <c r="AD454" s="12" t="s">
        <v>52</v>
      </c>
      <c r="AE454" s="158" t="s">
        <v>52</v>
      </c>
      <c r="AF454" s="158" t="s">
        <v>52</v>
      </c>
      <c r="AG454" s="12" t="s">
        <v>53</v>
      </c>
      <c r="AH454" s="12" t="s">
        <v>54</v>
      </c>
      <c r="AI454" s="12" t="s">
        <v>46</v>
      </c>
      <c r="AJ454" s="12"/>
      <c r="AK454" s="12"/>
      <c r="AL454" s="12" t="s">
        <v>55</v>
      </c>
      <c r="AM454" s="12"/>
      <c r="AN454" s="12"/>
      <c r="AR454" s="121">
        <f t="shared" si="160"/>
        <v>1</v>
      </c>
      <c r="AS454" s="121" t="str">
        <f t="shared" ref="AS454:AS475" si="161">IFERROR(RIGHT(B454,16-SEARCH("_", B454)),0)</f>
        <v>2021_07_05_a</v>
      </c>
      <c r="AT454" s="122"/>
      <c r="AU454" s="121" t="str">
        <f t="shared" ref="AU454:AU475" si="162">LEFT(AS454,4)</f>
        <v>2021</v>
      </c>
      <c r="AV454" s="121" t="str">
        <f t="shared" ref="AV454:AV475" si="163">MID(AS454,6,2)</f>
        <v>07</v>
      </c>
      <c r="AW454" s="121" t="str">
        <f t="shared" ref="AW454:AW475" si="164">MID(AS454,9,2)</f>
        <v>05</v>
      </c>
      <c r="AX454" s="121">
        <f t="shared" ref="AX454:AX475" si="165">IFERROR(DATE(AU454,AV454,AW454)," ")</f>
        <v>44382</v>
      </c>
      <c r="AY454" s="123"/>
      <c r="AZ454" s="124">
        <f t="shared" ref="AZ454:AZ475" si="166">H454</f>
        <v>44382</v>
      </c>
      <c r="BA454" s="121" t="b">
        <f t="shared" ref="BA454:BA475" si="167">IF(AX454=" "," ",AX454=AZ454)</f>
        <v>1</v>
      </c>
      <c r="BB454" s="121">
        <f t="shared" ref="BB454:BB475" si="168">IF(BC454="YES"," ",AZ454)</f>
        <v>44382</v>
      </c>
      <c r="BC454" s="121" t="str">
        <f t="shared" ref="BC454:BC475" si="169">IF(AM454="Apprentice","yes","no")</f>
        <v>no</v>
      </c>
      <c r="BD454" s="121" t="b">
        <f t="shared" ref="BD454:BD475" si="170">IF(OR(U454&lt;&gt;"0", V454&lt;&gt;"0"),U454=V454," ")</f>
        <v>0</v>
      </c>
      <c r="BE454" s="125" t="s">
        <v>56</v>
      </c>
      <c r="BF454" s="122"/>
    </row>
    <row r="455" spans="1:58" s="227" customFormat="1" ht="154">
      <c r="A455" s="12" t="s">
        <v>843</v>
      </c>
      <c r="B455" s="81" t="s">
        <v>844</v>
      </c>
      <c r="C455" s="114"/>
      <c r="D455" s="114">
        <v>10213587</v>
      </c>
      <c r="E455" s="114"/>
      <c r="F455" s="522" t="s">
        <v>826</v>
      </c>
      <c r="G455" s="228">
        <v>44480</v>
      </c>
      <c r="H455" s="137">
        <v>44480</v>
      </c>
      <c r="I455" s="158">
        <v>44491</v>
      </c>
      <c r="J455" s="137">
        <f>WORKDAY(H455,10)</f>
        <v>44494</v>
      </c>
      <c r="K455" s="158"/>
      <c r="L455" s="144"/>
      <c r="M455" s="144"/>
      <c r="N455" s="144"/>
      <c r="O455" s="144"/>
      <c r="P455" s="144"/>
      <c r="Q455" s="81" t="s">
        <v>121</v>
      </c>
      <c r="R455" s="81" t="s">
        <v>830</v>
      </c>
      <c r="S455" s="114">
        <f t="shared" si="159"/>
        <v>29</v>
      </c>
      <c r="T455" s="114"/>
      <c r="U455" s="114">
        <v>29</v>
      </c>
      <c r="V455" s="114">
        <v>0</v>
      </c>
      <c r="W455" s="12" t="s">
        <v>842</v>
      </c>
      <c r="X455" s="114"/>
      <c r="Y455" s="114"/>
      <c r="Z455" s="114" t="s">
        <v>50</v>
      </c>
      <c r="AA455" s="114"/>
      <c r="AB455" s="114"/>
      <c r="AC455" s="114"/>
      <c r="AD455" s="12"/>
      <c r="AE455" s="158"/>
      <c r="AF455" s="144"/>
      <c r="AG455" s="114" t="s">
        <v>53</v>
      </c>
      <c r="AH455" s="12"/>
      <c r="AI455" s="12"/>
      <c r="AJ455" s="114"/>
      <c r="AK455" s="114"/>
      <c r="AL455" s="114" t="s">
        <v>55</v>
      </c>
      <c r="AM455" s="114"/>
      <c r="AN455" s="114"/>
      <c r="AO455" s="82"/>
      <c r="AP455" s="82"/>
      <c r="AR455" s="121">
        <f t="shared" si="160"/>
        <v>1</v>
      </c>
      <c r="AS455" s="121" t="str">
        <f t="shared" si="161"/>
        <v>2021_10_11_a</v>
      </c>
      <c r="AT455" s="122"/>
      <c r="AU455" s="121" t="str">
        <f t="shared" si="162"/>
        <v>2021</v>
      </c>
      <c r="AV455" s="121" t="str">
        <f t="shared" si="163"/>
        <v>10</v>
      </c>
      <c r="AW455" s="121" t="str">
        <f t="shared" si="164"/>
        <v>11</v>
      </c>
      <c r="AX455" s="121">
        <f t="shared" si="165"/>
        <v>44480</v>
      </c>
      <c r="AY455" s="123"/>
      <c r="AZ455" s="124">
        <f t="shared" si="166"/>
        <v>44480</v>
      </c>
      <c r="BA455" s="121" t="b">
        <f t="shared" si="167"/>
        <v>1</v>
      </c>
      <c r="BB455" s="121">
        <f t="shared" si="168"/>
        <v>44480</v>
      </c>
      <c r="BC455" s="121" t="str">
        <f t="shared" si="169"/>
        <v>no</v>
      </c>
      <c r="BD455" s="121" t="b">
        <f t="shared" si="170"/>
        <v>0</v>
      </c>
      <c r="BE455" s="125" t="s">
        <v>56</v>
      </c>
      <c r="BF455" s="122"/>
    </row>
    <row r="456" spans="1:58" s="227" customFormat="1" ht="154">
      <c r="A456" s="81"/>
      <c r="B456" s="81" t="s">
        <v>845</v>
      </c>
      <c r="C456" s="114"/>
      <c r="D456" s="114">
        <v>10284185</v>
      </c>
      <c r="E456" s="114"/>
      <c r="F456" s="522" t="s">
        <v>826</v>
      </c>
      <c r="G456" s="228">
        <v>44291</v>
      </c>
      <c r="H456" s="137">
        <v>44291</v>
      </c>
      <c r="I456" s="158"/>
      <c r="J456" s="137">
        <v>44305</v>
      </c>
      <c r="K456" s="158"/>
      <c r="L456" s="144"/>
      <c r="M456" s="144"/>
      <c r="N456" s="144"/>
      <c r="O456" s="144"/>
      <c r="P456" s="144"/>
      <c r="Q456" s="81" t="s">
        <v>121</v>
      </c>
      <c r="R456" s="81" t="s">
        <v>830</v>
      </c>
      <c r="S456" s="114">
        <f t="shared" si="159"/>
        <v>2</v>
      </c>
      <c r="T456" s="114"/>
      <c r="U456" s="114">
        <v>2</v>
      </c>
      <c r="V456" s="114">
        <v>0</v>
      </c>
      <c r="W456" s="114"/>
      <c r="X456" s="114"/>
      <c r="Y456" s="114"/>
      <c r="Z456" s="114" t="s">
        <v>50</v>
      </c>
      <c r="AA456" s="114"/>
      <c r="AB456" s="114"/>
      <c r="AC456" s="114"/>
      <c r="AD456" s="12"/>
      <c r="AE456" s="158"/>
      <c r="AF456" s="144"/>
      <c r="AG456" s="114" t="s">
        <v>53</v>
      </c>
      <c r="AH456" s="12"/>
      <c r="AI456" s="12"/>
      <c r="AJ456" s="114"/>
      <c r="AK456" s="114"/>
      <c r="AL456" s="114" t="s">
        <v>280</v>
      </c>
      <c r="AM456" s="114"/>
      <c r="AN456" s="114"/>
      <c r="AO456" s="82"/>
      <c r="AP456" s="82"/>
      <c r="AR456" s="121">
        <f t="shared" si="160"/>
        <v>1</v>
      </c>
      <c r="AS456" s="121" t="str">
        <f t="shared" si="161"/>
        <v>2021_04_05_a</v>
      </c>
      <c r="AT456" s="122"/>
      <c r="AU456" s="121" t="str">
        <f t="shared" si="162"/>
        <v>2021</v>
      </c>
      <c r="AV456" s="121" t="str">
        <f t="shared" si="163"/>
        <v>04</v>
      </c>
      <c r="AW456" s="121" t="str">
        <f t="shared" si="164"/>
        <v>05</v>
      </c>
      <c r="AX456" s="121">
        <f t="shared" si="165"/>
        <v>44291</v>
      </c>
      <c r="AY456" s="123"/>
      <c r="AZ456" s="124">
        <f t="shared" si="166"/>
        <v>44291</v>
      </c>
      <c r="BA456" s="121" t="b">
        <f t="shared" si="167"/>
        <v>1</v>
      </c>
      <c r="BB456" s="121">
        <f t="shared" si="168"/>
        <v>44291</v>
      </c>
      <c r="BC456" s="121" t="str">
        <f t="shared" si="169"/>
        <v>no</v>
      </c>
      <c r="BD456" s="121" t="b">
        <f t="shared" si="170"/>
        <v>0</v>
      </c>
      <c r="BE456" s="125" t="s">
        <v>56</v>
      </c>
      <c r="BF456" s="122"/>
    </row>
    <row r="457" spans="1:58" s="227" customFormat="1" ht="154">
      <c r="A457" s="81"/>
      <c r="B457" s="81" t="s">
        <v>846</v>
      </c>
      <c r="C457" s="114"/>
      <c r="D457" s="114">
        <v>10225112</v>
      </c>
      <c r="E457" s="114"/>
      <c r="F457" s="522" t="s">
        <v>826</v>
      </c>
      <c r="G457" s="228">
        <v>44470</v>
      </c>
      <c r="H457" s="137">
        <v>44480</v>
      </c>
      <c r="I457" s="158"/>
      <c r="J457" s="137">
        <v>44494</v>
      </c>
      <c r="K457" s="158"/>
      <c r="L457" s="144"/>
      <c r="M457" s="144"/>
      <c r="N457" s="144"/>
      <c r="O457" s="144"/>
      <c r="P457" s="144"/>
      <c r="Q457" s="81" t="s">
        <v>121</v>
      </c>
      <c r="R457" s="81" t="s">
        <v>847</v>
      </c>
      <c r="S457" s="114">
        <f t="shared" si="159"/>
        <v>1</v>
      </c>
      <c r="T457" s="114"/>
      <c r="U457" s="114">
        <v>1</v>
      </c>
      <c r="V457" s="114">
        <v>0</v>
      </c>
      <c r="W457" s="114"/>
      <c r="X457" s="114"/>
      <c r="Y457" s="114"/>
      <c r="Z457" s="114" t="s">
        <v>50</v>
      </c>
      <c r="AA457" s="114"/>
      <c r="AB457" s="114"/>
      <c r="AC457" s="114"/>
      <c r="AD457" s="12"/>
      <c r="AE457" s="158"/>
      <c r="AF457" s="144"/>
      <c r="AG457" s="114" t="s">
        <v>53</v>
      </c>
      <c r="AH457" s="12"/>
      <c r="AI457" s="12"/>
      <c r="AJ457" s="114"/>
      <c r="AK457" s="114"/>
      <c r="AL457" s="114" t="s">
        <v>280</v>
      </c>
      <c r="AM457" s="114"/>
      <c r="AN457" s="114"/>
      <c r="AO457" s="82"/>
      <c r="AP457" s="82"/>
      <c r="AR457" s="121">
        <f t="shared" si="160"/>
        <v>1</v>
      </c>
      <c r="AS457" s="121" t="str">
        <f t="shared" si="161"/>
        <v>2021_10_11_a</v>
      </c>
      <c r="AT457" s="122"/>
      <c r="AU457" s="121" t="str">
        <f t="shared" si="162"/>
        <v>2021</v>
      </c>
      <c r="AV457" s="121" t="str">
        <f t="shared" si="163"/>
        <v>10</v>
      </c>
      <c r="AW457" s="121" t="str">
        <f t="shared" si="164"/>
        <v>11</v>
      </c>
      <c r="AX457" s="121">
        <f t="shared" si="165"/>
        <v>44480</v>
      </c>
      <c r="AY457" s="123"/>
      <c r="AZ457" s="124">
        <f t="shared" si="166"/>
        <v>44480</v>
      </c>
      <c r="BA457" s="121" t="b">
        <f t="shared" si="167"/>
        <v>1</v>
      </c>
      <c r="BB457" s="121">
        <f t="shared" si="168"/>
        <v>44480</v>
      </c>
      <c r="BC457" s="121" t="str">
        <f t="shared" si="169"/>
        <v>no</v>
      </c>
      <c r="BD457" s="121" t="b">
        <f t="shared" si="170"/>
        <v>0</v>
      </c>
      <c r="BE457" s="125" t="s">
        <v>56</v>
      </c>
      <c r="BF457" s="122"/>
    </row>
    <row r="458" spans="1:58" s="227" customFormat="1" ht="154">
      <c r="A458" s="81"/>
      <c r="B458" s="81" t="s">
        <v>848</v>
      </c>
      <c r="C458" s="114"/>
      <c r="D458" s="114">
        <v>10230978</v>
      </c>
      <c r="E458" s="114"/>
      <c r="F458" s="522" t="s">
        <v>826</v>
      </c>
      <c r="G458" s="228">
        <v>44525</v>
      </c>
      <c r="H458" s="137">
        <v>44526</v>
      </c>
      <c r="I458" s="158"/>
      <c r="J458" s="137">
        <v>44540</v>
      </c>
      <c r="K458" s="158"/>
      <c r="L458" s="144"/>
      <c r="M458" s="144"/>
      <c r="N458" s="144"/>
      <c r="O458" s="144"/>
      <c r="P458" s="144"/>
      <c r="Q458" s="81" t="s">
        <v>121</v>
      </c>
      <c r="R458" s="81" t="s">
        <v>827</v>
      </c>
      <c r="S458" s="114">
        <f t="shared" si="159"/>
        <v>13</v>
      </c>
      <c r="T458" s="114"/>
      <c r="U458" s="114">
        <v>13</v>
      </c>
      <c r="V458" s="114">
        <v>0</v>
      </c>
      <c r="W458" s="114"/>
      <c r="X458" s="114"/>
      <c r="Y458" s="114"/>
      <c r="Z458" s="114" t="s">
        <v>50</v>
      </c>
      <c r="AA458" s="114"/>
      <c r="AB458" s="114"/>
      <c r="AC458" s="114"/>
      <c r="AD458" s="12"/>
      <c r="AE458" s="158"/>
      <c r="AF458" s="144"/>
      <c r="AG458" s="114" t="s">
        <v>53</v>
      </c>
      <c r="AH458" s="12"/>
      <c r="AI458" s="12"/>
      <c r="AJ458" s="114"/>
      <c r="AK458" s="114"/>
      <c r="AL458" s="114" t="s">
        <v>280</v>
      </c>
      <c r="AM458" s="114"/>
      <c r="AN458" s="82"/>
      <c r="AO458" s="82"/>
      <c r="AP458" s="82"/>
      <c r="AR458" s="121">
        <f t="shared" si="160"/>
        <v>1</v>
      </c>
      <c r="AS458" s="121" t="str">
        <f t="shared" si="161"/>
        <v>2021_11_26_a</v>
      </c>
      <c r="AT458" s="122"/>
      <c r="AU458" s="121" t="str">
        <f t="shared" si="162"/>
        <v>2021</v>
      </c>
      <c r="AV458" s="121" t="str">
        <f t="shared" si="163"/>
        <v>11</v>
      </c>
      <c r="AW458" s="121" t="str">
        <f t="shared" si="164"/>
        <v>26</v>
      </c>
      <c r="AX458" s="121">
        <f t="shared" si="165"/>
        <v>44526</v>
      </c>
      <c r="AY458" s="123"/>
      <c r="AZ458" s="124">
        <f t="shared" si="166"/>
        <v>44526</v>
      </c>
      <c r="BA458" s="121" t="b">
        <f t="shared" si="167"/>
        <v>1</v>
      </c>
      <c r="BB458" s="121">
        <f t="shared" si="168"/>
        <v>44526</v>
      </c>
      <c r="BC458" s="121" t="str">
        <f t="shared" si="169"/>
        <v>no</v>
      </c>
      <c r="BD458" s="121" t="b">
        <f t="shared" si="170"/>
        <v>0</v>
      </c>
      <c r="BE458" s="125" t="s">
        <v>56</v>
      </c>
      <c r="BF458" s="122"/>
    </row>
    <row r="459" spans="1:58" s="227" customFormat="1" ht="154">
      <c r="A459" s="81"/>
      <c r="B459" s="81" t="s">
        <v>849</v>
      </c>
      <c r="C459" s="114"/>
      <c r="D459" s="114">
        <v>10243145</v>
      </c>
      <c r="E459" s="114"/>
      <c r="F459" s="522" t="s">
        <v>826</v>
      </c>
      <c r="G459" s="118">
        <v>44607</v>
      </c>
      <c r="H459" s="137">
        <v>44609</v>
      </c>
      <c r="I459" s="158"/>
      <c r="J459" s="137">
        <v>44623</v>
      </c>
      <c r="K459" s="158"/>
      <c r="L459" s="144"/>
      <c r="M459" s="144"/>
      <c r="N459" s="144"/>
      <c r="O459" s="144"/>
      <c r="P459" s="144"/>
      <c r="Q459" s="81" t="s">
        <v>47</v>
      </c>
      <c r="R459" s="81" t="s">
        <v>841</v>
      </c>
      <c r="S459" s="114">
        <f t="shared" si="159"/>
        <v>10</v>
      </c>
      <c r="T459" s="114"/>
      <c r="U459" s="114">
        <v>10</v>
      </c>
      <c r="V459" s="114">
        <v>0</v>
      </c>
      <c r="W459" s="114"/>
      <c r="X459" s="114"/>
      <c r="Y459" s="114"/>
      <c r="Z459" s="114" t="s">
        <v>51</v>
      </c>
      <c r="AA459" s="114"/>
      <c r="AB459" s="114"/>
      <c r="AC459" s="114"/>
      <c r="AD459" s="12"/>
      <c r="AE459" s="158"/>
      <c r="AF459" s="144"/>
      <c r="AG459" s="114" t="s">
        <v>53</v>
      </c>
      <c r="AH459" s="12"/>
      <c r="AI459" s="12"/>
      <c r="AJ459" s="114"/>
      <c r="AK459" s="114"/>
      <c r="AL459" s="114" t="s">
        <v>55</v>
      </c>
      <c r="AM459" s="114"/>
      <c r="AN459" s="82"/>
      <c r="AO459" s="82"/>
      <c r="AP459" s="82"/>
      <c r="AR459" s="121">
        <f t="shared" si="160"/>
        <v>1</v>
      </c>
      <c r="AS459" s="121" t="str">
        <f t="shared" si="161"/>
        <v>2022_02_17_a</v>
      </c>
      <c r="AT459" s="122"/>
      <c r="AU459" s="121" t="str">
        <f t="shared" si="162"/>
        <v>2022</v>
      </c>
      <c r="AV459" s="121" t="str">
        <f t="shared" si="163"/>
        <v>02</v>
      </c>
      <c r="AW459" s="121" t="str">
        <f t="shared" si="164"/>
        <v>17</v>
      </c>
      <c r="AX459" s="121">
        <f t="shared" si="165"/>
        <v>44609</v>
      </c>
      <c r="AY459" s="123"/>
      <c r="AZ459" s="124">
        <f t="shared" si="166"/>
        <v>44609</v>
      </c>
      <c r="BA459" s="121" t="b">
        <f t="shared" si="167"/>
        <v>1</v>
      </c>
      <c r="BB459" s="121">
        <f t="shared" si="168"/>
        <v>44609</v>
      </c>
      <c r="BC459" s="121" t="str">
        <f t="shared" si="169"/>
        <v>no</v>
      </c>
      <c r="BD459" s="121" t="b">
        <f t="shared" si="170"/>
        <v>0</v>
      </c>
      <c r="BE459" s="125" t="s">
        <v>56</v>
      </c>
      <c r="BF459" s="122"/>
    </row>
    <row r="460" spans="1:58" s="227" customFormat="1" ht="154">
      <c r="A460" s="81"/>
      <c r="B460" s="81" t="s">
        <v>850</v>
      </c>
      <c r="C460" s="114"/>
      <c r="D460" s="227">
        <v>10243481</v>
      </c>
      <c r="E460" s="114"/>
      <c r="F460" s="522" t="s">
        <v>826</v>
      </c>
      <c r="G460" s="118">
        <v>44621</v>
      </c>
      <c r="H460" s="137">
        <v>44621</v>
      </c>
      <c r="I460" s="158"/>
      <c r="J460" s="137">
        <v>44635</v>
      </c>
      <c r="K460" s="158"/>
      <c r="L460" s="144"/>
      <c r="M460" s="144"/>
      <c r="N460" s="144"/>
      <c r="O460" s="144"/>
      <c r="P460" s="144"/>
      <c r="Q460" s="81" t="s">
        <v>47</v>
      </c>
      <c r="R460" s="81" t="s">
        <v>830</v>
      </c>
      <c r="S460" s="114">
        <f t="shared" si="159"/>
        <v>37</v>
      </c>
      <c r="T460" s="114"/>
      <c r="U460" s="114">
        <v>37</v>
      </c>
      <c r="V460" s="114">
        <v>0</v>
      </c>
      <c r="W460" s="114"/>
      <c r="X460" s="114"/>
      <c r="Y460" s="114"/>
      <c r="Z460" s="114" t="s">
        <v>51</v>
      </c>
      <c r="AA460" s="114"/>
      <c r="AB460" s="114"/>
      <c r="AC460" s="114"/>
      <c r="AD460" s="12"/>
      <c r="AE460" s="158"/>
      <c r="AF460" s="144"/>
      <c r="AG460" s="114" t="s">
        <v>53</v>
      </c>
      <c r="AH460" s="12"/>
      <c r="AI460" s="12"/>
      <c r="AJ460" s="114"/>
      <c r="AK460" s="114"/>
      <c r="AL460" s="114" t="s">
        <v>55</v>
      </c>
      <c r="AM460" s="114"/>
      <c r="AN460" s="82"/>
      <c r="AO460" s="82"/>
      <c r="AP460" s="82"/>
      <c r="AR460" s="121">
        <f t="shared" si="160"/>
        <v>1</v>
      </c>
      <c r="AS460" s="121" t="str">
        <f t="shared" si="161"/>
        <v>2022_03_01_a</v>
      </c>
      <c r="AT460" s="122"/>
      <c r="AU460" s="121" t="str">
        <f t="shared" si="162"/>
        <v>2022</v>
      </c>
      <c r="AV460" s="121" t="str">
        <f t="shared" si="163"/>
        <v>03</v>
      </c>
      <c r="AW460" s="121" t="str">
        <f t="shared" si="164"/>
        <v>01</v>
      </c>
      <c r="AX460" s="121">
        <f t="shared" si="165"/>
        <v>44621</v>
      </c>
      <c r="AY460" s="123"/>
      <c r="AZ460" s="124">
        <f t="shared" si="166"/>
        <v>44621</v>
      </c>
      <c r="BA460" s="121" t="b">
        <f t="shared" si="167"/>
        <v>1</v>
      </c>
      <c r="BB460" s="121">
        <f t="shared" si="168"/>
        <v>44621</v>
      </c>
      <c r="BC460" s="121" t="str">
        <f t="shared" si="169"/>
        <v>no</v>
      </c>
      <c r="BD460" s="121" t="b">
        <f t="shared" si="170"/>
        <v>0</v>
      </c>
      <c r="BE460" s="125" t="s">
        <v>56</v>
      </c>
      <c r="BF460" s="122"/>
    </row>
    <row r="461" spans="1:58" s="12" customFormat="1" ht="154">
      <c r="A461" s="81"/>
      <c r="B461" s="81" t="s">
        <v>851</v>
      </c>
      <c r="D461" s="230">
        <v>10259807</v>
      </c>
      <c r="F461" s="132" t="s">
        <v>826</v>
      </c>
      <c r="G461" s="113">
        <v>44692</v>
      </c>
      <c r="H461" s="84">
        <v>44692</v>
      </c>
      <c r="I461" s="23"/>
      <c r="J461" s="84">
        <f>H461+14</f>
        <v>44706</v>
      </c>
      <c r="K461" s="23"/>
      <c r="L461" s="23"/>
      <c r="M461" s="23"/>
      <c r="N461" s="23"/>
      <c r="O461" s="23"/>
      <c r="P461" s="23"/>
      <c r="Q461" s="81" t="s">
        <v>78</v>
      </c>
      <c r="R461" s="81" t="s">
        <v>827</v>
      </c>
      <c r="S461" s="12">
        <f t="shared" ref="S461:S477" si="171">U461+V461</f>
        <v>20</v>
      </c>
      <c r="U461" s="23">
        <v>20</v>
      </c>
      <c r="V461" s="114">
        <v>0</v>
      </c>
      <c r="AG461" s="12" t="s">
        <v>53</v>
      </c>
      <c r="AL461" s="83" t="s">
        <v>55</v>
      </c>
      <c r="AR461" s="121">
        <f t="shared" si="160"/>
        <v>1</v>
      </c>
      <c r="AS461" s="121" t="str">
        <f t="shared" si="161"/>
        <v>2022_05_11_a</v>
      </c>
      <c r="AT461" s="122"/>
      <c r="AU461" s="121" t="str">
        <f t="shared" si="162"/>
        <v>2022</v>
      </c>
      <c r="AV461" s="121" t="str">
        <f t="shared" si="163"/>
        <v>05</v>
      </c>
      <c r="AW461" s="121" t="str">
        <f t="shared" si="164"/>
        <v>11</v>
      </c>
      <c r="AX461" s="121">
        <f t="shared" si="165"/>
        <v>44692</v>
      </c>
      <c r="AY461" s="123"/>
      <c r="AZ461" s="124">
        <f t="shared" si="166"/>
        <v>44692</v>
      </c>
      <c r="BA461" s="121" t="b">
        <f t="shared" si="167"/>
        <v>1</v>
      </c>
      <c r="BB461" s="121">
        <f t="shared" si="168"/>
        <v>44692</v>
      </c>
      <c r="BC461" s="121" t="str">
        <f t="shared" si="169"/>
        <v>no</v>
      </c>
      <c r="BD461" s="121" t="b">
        <f t="shared" si="170"/>
        <v>0</v>
      </c>
      <c r="BE461" s="125" t="s">
        <v>56</v>
      </c>
      <c r="BF461" s="122"/>
    </row>
    <row r="462" spans="1:58" s="12" customFormat="1" ht="154">
      <c r="B462" s="81" t="s">
        <v>852</v>
      </c>
      <c r="D462" s="12">
        <v>10275249</v>
      </c>
      <c r="F462" s="23" t="s">
        <v>826</v>
      </c>
      <c r="G462" s="113">
        <v>44743</v>
      </c>
      <c r="H462" s="84">
        <v>44746</v>
      </c>
      <c r="I462" s="23"/>
      <c r="J462" s="84">
        <v>44760</v>
      </c>
      <c r="K462" s="23"/>
      <c r="L462" s="23"/>
      <c r="M462" s="23"/>
      <c r="N462" s="23"/>
      <c r="O462" s="23"/>
      <c r="P462" s="23"/>
      <c r="Q462" s="12" t="s">
        <v>99</v>
      </c>
      <c r="R462" s="81" t="s">
        <v>841</v>
      </c>
      <c r="S462" s="12">
        <f t="shared" si="171"/>
        <v>13</v>
      </c>
      <c r="U462" s="23">
        <v>13</v>
      </c>
      <c r="V462" s="82">
        <v>0</v>
      </c>
      <c r="Z462" s="12" t="s">
        <v>51</v>
      </c>
      <c r="AG462" s="12" t="s">
        <v>53</v>
      </c>
      <c r="AL462" s="83" t="s">
        <v>55</v>
      </c>
      <c r="AR462" s="121">
        <f t="shared" si="160"/>
        <v>1</v>
      </c>
      <c r="AS462" s="121" t="str">
        <f t="shared" si="161"/>
        <v>2022_07_04_a</v>
      </c>
      <c r="AT462" s="122"/>
      <c r="AU462" s="121" t="str">
        <f t="shared" si="162"/>
        <v>2022</v>
      </c>
      <c r="AV462" s="121" t="str">
        <f t="shared" si="163"/>
        <v>07</v>
      </c>
      <c r="AW462" s="121" t="str">
        <f t="shared" si="164"/>
        <v>04</v>
      </c>
      <c r="AX462" s="121">
        <f t="shared" si="165"/>
        <v>44746</v>
      </c>
      <c r="AY462" s="123"/>
      <c r="AZ462" s="124">
        <f t="shared" si="166"/>
        <v>44746</v>
      </c>
      <c r="BA462" s="121" t="b">
        <f t="shared" si="167"/>
        <v>1</v>
      </c>
      <c r="BB462" s="121">
        <f t="shared" si="168"/>
        <v>44746</v>
      </c>
      <c r="BC462" s="121" t="str">
        <f t="shared" si="169"/>
        <v>no</v>
      </c>
      <c r="BD462" s="121" t="b">
        <f t="shared" si="170"/>
        <v>0</v>
      </c>
      <c r="BE462" s="125" t="s">
        <v>56</v>
      </c>
    </row>
    <row r="463" spans="1:58" s="12" customFormat="1" ht="154">
      <c r="B463" s="81" t="s">
        <v>853</v>
      </c>
      <c r="D463" s="12">
        <v>10284185</v>
      </c>
      <c r="F463" s="23" t="s">
        <v>826</v>
      </c>
      <c r="G463" s="229">
        <v>44750</v>
      </c>
      <c r="H463" s="84">
        <v>44753</v>
      </c>
      <c r="I463" s="23"/>
      <c r="J463" s="84">
        <v>44767</v>
      </c>
      <c r="K463" s="23"/>
      <c r="L463" s="23"/>
      <c r="M463" s="23"/>
      <c r="N463" s="23"/>
      <c r="O463" s="23"/>
      <c r="P463" s="23"/>
      <c r="Q463" s="12" t="s">
        <v>99</v>
      </c>
      <c r="R463" s="81" t="s">
        <v>830</v>
      </c>
      <c r="S463" s="12">
        <f t="shared" si="171"/>
        <v>38</v>
      </c>
      <c r="U463" s="23">
        <v>38</v>
      </c>
      <c r="V463" s="82">
        <v>0</v>
      </c>
      <c r="Z463" s="12" t="s">
        <v>51</v>
      </c>
      <c r="AG463" s="12" t="s">
        <v>53</v>
      </c>
      <c r="AH463" s="12" t="s">
        <v>54</v>
      </c>
      <c r="AL463" s="83" t="s">
        <v>55</v>
      </c>
      <c r="AR463" s="121">
        <f t="shared" si="160"/>
        <v>1</v>
      </c>
      <c r="AS463" s="121" t="str">
        <f t="shared" si="161"/>
        <v>2022_07_11_a</v>
      </c>
      <c r="AT463" s="122"/>
      <c r="AU463" s="121" t="str">
        <f t="shared" si="162"/>
        <v>2022</v>
      </c>
      <c r="AV463" s="121" t="str">
        <f t="shared" si="163"/>
        <v>07</v>
      </c>
      <c r="AW463" s="121" t="str">
        <f t="shared" si="164"/>
        <v>11</v>
      </c>
      <c r="AX463" s="121">
        <f t="shared" si="165"/>
        <v>44753</v>
      </c>
      <c r="AY463" s="123"/>
      <c r="AZ463" s="124">
        <f t="shared" si="166"/>
        <v>44753</v>
      </c>
      <c r="BA463" s="121" t="b">
        <f t="shared" si="167"/>
        <v>1</v>
      </c>
      <c r="BB463" s="121">
        <f t="shared" si="168"/>
        <v>44753</v>
      </c>
      <c r="BC463" s="121" t="str">
        <f t="shared" si="169"/>
        <v>no</v>
      </c>
      <c r="BD463" s="121" t="b">
        <f t="shared" si="170"/>
        <v>0</v>
      </c>
      <c r="BE463" s="125" t="s">
        <v>56</v>
      </c>
    </row>
    <row r="464" spans="1:58" s="12" customFormat="1" ht="154">
      <c r="B464" s="81" t="s">
        <v>854</v>
      </c>
      <c r="D464" s="231">
        <v>10290646</v>
      </c>
      <c r="F464" s="23" t="s">
        <v>826</v>
      </c>
      <c r="G464" s="113">
        <v>44764</v>
      </c>
      <c r="H464" s="84">
        <v>44769</v>
      </c>
      <c r="I464" s="112">
        <v>44778</v>
      </c>
      <c r="J464" s="84"/>
      <c r="K464" s="23"/>
      <c r="L464" s="23"/>
      <c r="M464" s="23"/>
      <c r="N464" s="23"/>
      <c r="O464" s="23"/>
      <c r="P464" s="23"/>
      <c r="R464" s="12" t="s">
        <v>838</v>
      </c>
      <c r="S464" s="12">
        <f t="shared" si="171"/>
        <v>14</v>
      </c>
      <c r="U464" s="23">
        <v>14</v>
      </c>
      <c r="V464" s="82">
        <v>0</v>
      </c>
      <c r="Z464" s="12" t="s">
        <v>51</v>
      </c>
      <c r="AG464" s="12" t="s">
        <v>53</v>
      </c>
      <c r="AL464" s="83" t="s">
        <v>55</v>
      </c>
      <c r="AR464" s="121">
        <f t="shared" si="160"/>
        <v>1</v>
      </c>
      <c r="AS464" s="121" t="str">
        <f t="shared" si="161"/>
        <v>2022_07_27_a</v>
      </c>
      <c r="AT464" s="122"/>
      <c r="AU464" s="121" t="str">
        <f t="shared" si="162"/>
        <v>2022</v>
      </c>
      <c r="AV464" s="121" t="str">
        <f t="shared" si="163"/>
        <v>07</v>
      </c>
      <c r="AW464" s="121" t="str">
        <f t="shared" si="164"/>
        <v>27</v>
      </c>
      <c r="AX464" s="121">
        <f t="shared" si="165"/>
        <v>44769</v>
      </c>
      <c r="AY464" s="123"/>
      <c r="AZ464" s="124">
        <f t="shared" si="166"/>
        <v>44769</v>
      </c>
      <c r="BA464" s="121" t="b">
        <f t="shared" si="167"/>
        <v>1</v>
      </c>
      <c r="BB464" s="121">
        <f t="shared" si="168"/>
        <v>44769</v>
      </c>
      <c r="BC464" s="121" t="str">
        <f t="shared" si="169"/>
        <v>no</v>
      </c>
      <c r="BD464" s="121" t="b">
        <f t="shared" si="170"/>
        <v>0</v>
      </c>
      <c r="BE464" s="125" t="s">
        <v>56</v>
      </c>
    </row>
    <row r="465" spans="1:57" s="12" customFormat="1" ht="154">
      <c r="B465" s="12" t="s">
        <v>855</v>
      </c>
      <c r="D465" s="12">
        <v>10297084</v>
      </c>
      <c r="F465" s="23" t="s">
        <v>826</v>
      </c>
      <c r="G465" s="113">
        <v>44795</v>
      </c>
      <c r="H465" s="84">
        <v>44797</v>
      </c>
      <c r="I465" s="112">
        <v>44809</v>
      </c>
      <c r="J465" s="84"/>
      <c r="K465" s="23"/>
      <c r="L465" s="23"/>
      <c r="M465" s="23"/>
      <c r="N465" s="23"/>
      <c r="O465" s="23"/>
      <c r="P465" s="23"/>
      <c r="R465" s="12" t="s">
        <v>838</v>
      </c>
      <c r="S465" s="12">
        <f t="shared" si="171"/>
        <v>9</v>
      </c>
      <c r="U465" s="23">
        <v>9</v>
      </c>
      <c r="V465" s="82">
        <v>0</v>
      </c>
      <c r="Z465" s="12" t="s">
        <v>51</v>
      </c>
      <c r="AG465" s="12" t="s">
        <v>53</v>
      </c>
      <c r="AL465" s="83" t="s">
        <v>55</v>
      </c>
      <c r="AR465" s="121">
        <f t="shared" si="160"/>
        <v>1</v>
      </c>
      <c r="AS465" s="121" t="str">
        <f t="shared" si="161"/>
        <v>2022_08_24_a</v>
      </c>
      <c r="AT465" s="122"/>
      <c r="AU465" s="121" t="str">
        <f t="shared" si="162"/>
        <v>2022</v>
      </c>
      <c r="AV465" s="121" t="str">
        <f t="shared" si="163"/>
        <v>08</v>
      </c>
      <c r="AW465" s="121" t="str">
        <f t="shared" si="164"/>
        <v>24</v>
      </c>
      <c r="AX465" s="121">
        <f t="shared" si="165"/>
        <v>44797</v>
      </c>
      <c r="AY465" s="123"/>
      <c r="AZ465" s="124">
        <f t="shared" si="166"/>
        <v>44797</v>
      </c>
      <c r="BA465" s="121" t="b">
        <f t="shared" si="167"/>
        <v>1</v>
      </c>
      <c r="BB465" s="121">
        <f t="shared" si="168"/>
        <v>44797</v>
      </c>
      <c r="BC465" s="121" t="str">
        <f t="shared" si="169"/>
        <v>no</v>
      </c>
      <c r="BD465" s="121" t="b">
        <f t="shared" si="170"/>
        <v>0</v>
      </c>
      <c r="BE465" s="125" t="s">
        <v>56</v>
      </c>
    </row>
    <row r="466" spans="1:57" ht="154">
      <c r="A466" s="12"/>
      <c r="B466" s="81" t="s">
        <v>856</v>
      </c>
      <c r="D466" s="294">
        <v>10299500</v>
      </c>
      <c r="F466" s="283" t="s">
        <v>857</v>
      </c>
      <c r="G466" s="113">
        <v>44837</v>
      </c>
      <c r="H466" s="284">
        <v>44837</v>
      </c>
      <c r="I466" s="284">
        <v>44848</v>
      </c>
      <c r="R466" s="12" t="s">
        <v>847</v>
      </c>
      <c r="S466" s="12">
        <f t="shared" si="171"/>
        <v>14</v>
      </c>
      <c r="U466" s="282">
        <v>14</v>
      </c>
      <c r="V466" s="285">
        <v>0</v>
      </c>
      <c r="Z466" s="283" t="s">
        <v>51</v>
      </c>
      <c r="AG466" s="283" t="s">
        <v>53</v>
      </c>
      <c r="AH466" s="283" t="s">
        <v>54</v>
      </c>
      <c r="AL466" s="286" t="s">
        <v>55</v>
      </c>
      <c r="AR466" s="121">
        <f t="shared" si="160"/>
        <v>1</v>
      </c>
      <c r="AS466" s="121" t="str">
        <f t="shared" si="161"/>
        <v>2022_10_03_a</v>
      </c>
      <c r="AT466" s="122"/>
      <c r="AU466" s="121" t="str">
        <f t="shared" si="162"/>
        <v>2022</v>
      </c>
      <c r="AV466" s="121" t="str">
        <f t="shared" si="163"/>
        <v>10</v>
      </c>
      <c r="AW466" s="121" t="str">
        <f t="shared" si="164"/>
        <v>03</v>
      </c>
      <c r="AX466" s="121">
        <f t="shared" si="165"/>
        <v>44837</v>
      </c>
      <c r="AY466" s="123"/>
      <c r="AZ466" s="124">
        <f t="shared" si="166"/>
        <v>44837</v>
      </c>
      <c r="BA466" s="121" t="b">
        <f t="shared" si="167"/>
        <v>1</v>
      </c>
      <c r="BB466" s="121">
        <f t="shared" si="168"/>
        <v>44837</v>
      </c>
      <c r="BC466" s="121" t="str">
        <f t="shared" si="169"/>
        <v>no</v>
      </c>
      <c r="BD466" s="121" t="b">
        <f t="shared" si="170"/>
        <v>0</v>
      </c>
      <c r="BE466" s="125" t="s">
        <v>56</v>
      </c>
    </row>
    <row r="467" spans="1:57" ht="154">
      <c r="B467" s="12" t="s">
        <v>858</v>
      </c>
      <c r="D467" s="324">
        <v>10319285</v>
      </c>
      <c r="F467" s="282" t="s">
        <v>826</v>
      </c>
      <c r="G467" s="113">
        <v>44872</v>
      </c>
      <c r="H467" s="113">
        <v>44886</v>
      </c>
      <c r="I467" s="284">
        <v>44897</v>
      </c>
      <c r="R467" s="283" t="s">
        <v>838</v>
      </c>
      <c r="S467" s="12">
        <f t="shared" si="171"/>
        <v>1</v>
      </c>
      <c r="U467" s="282">
        <v>1</v>
      </c>
      <c r="V467" s="285">
        <v>0</v>
      </c>
      <c r="Z467" s="283" t="s">
        <v>51</v>
      </c>
      <c r="AG467" s="283" t="s">
        <v>53</v>
      </c>
      <c r="AL467" s="286" t="s">
        <v>55</v>
      </c>
      <c r="AR467" s="121">
        <f t="shared" si="160"/>
        <v>1</v>
      </c>
      <c r="AS467" s="121" t="str">
        <f t="shared" si="161"/>
        <v>2022_11_21_a</v>
      </c>
      <c r="AT467" s="122"/>
      <c r="AU467" s="121" t="str">
        <f t="shared" si="162"/>
        <v>2022</v>
      </c>
      <c r="AV467" s="121" t="str">
        <f t="shared" si="163"/>
        <v>11</v>
      </c>
      <c r="AW467" s="121" t="str">
        <f t="shared" si="164"/>
        <v>21</v>
      </c>
      <c r="AX467" s="121">
        <f t="shared" si="165"/>
        <v>44886</v>
      </c>
      <c r="AY467" s="123"/>
      <c r="AZ467" s="124">
        <f t="shared" si="166"/>
        <v>44886</v>
      </c>
      <c r="BA467" s="121" t="b">
        <f t="shared" si="167"/>
        <v>1</v>
      </c>
      <c r="BB467" s="121">
        <f t="shared" si="168"/>
        <v>44886</v>
      </c>
      <c r="BC467" s="121" t="str">
        <f t="shared" si="169"/>
        <v>no</v>
      </c>
      <c r="BD467" s="121" t="b">
        <f t="shared" si="170"/>
        <v>0</v>
      </c>
      <c r="BE467" s="125" t="s">
        <v>56</v>
      </c>
    </row>
    <row r="468" spans="1:57" ht="154">
      <c r="B468" s="12" t="s">
        <v>859</v>
      </c>
      <c r="D468" s="283">
        <v>10318744</v>
      </c>
      <c r="F468" s="282" t="s">
        <v>826</v>
      </c>
      <c r="G468" s="113">
        <v>44907</v>
      </c>
      <c r="H468" s="113">
        <v>44907</v>
      </c>
      <c r="I468" s="113">
        <v>44918</v>
      </c>
      <c r="R468" s="283" t="s">
        <v>827</v>
      </c>
      <c r="S468" s="12">
        <f t="shared" si="171"/>
        <v>1</v>
      </c>
      <c r="U468" s="282">
        <v>1</v>
      </c>
      <c r="V468" s="285">
        <v>0</v>
      </c>
      <c r="Z468" s="283" t="s">
        <v>51</v>
      </c>
      <c r="AG468" s="283" t="s">
        <v>53</v>
      </c>
      <c r="AH468" s="283" t="s">
        <v>345</v>
      </c>
      <c r="AL468" s="286" t="s">
        <v>55</v>
      </c>
      <c r="AR468" s="121">
        <f t="shared" si="160"/>
        <v>1</v>
      </c>
      <c r="AS468" s="121" t="str">
        <f t="shared" si="161"/>
        <v>2022_12_12_a</v>
      </c>
      <c r="AT468" s="122"/>
      <c r="AU468" s="121" t="str">
        <f t="shared" si="162"/>
        <v>2022</v>
      </c>
      <c r="AV468" s="121" t="str">
        <f t="shared" si="163"/>
        <v>12</v>
      </c>
      <c r="AW468" s="121" t="str">
        <f t="shared" si="164"/>
        <v>12</v>
      </c>
      <c r="AX468" s="121">
        <f t="shared" si="165"/>
        <v>44907</v>
      </c>
      <c r="AY468" s="123"/>
      <c r="AZ468" s="124">
        <f t="shared" si="166"/>
        <v>44907</v>
      </c>
      <c r="BA468" s="121" t="b">
        <f t="shared" si="167"/>
        <v>1</v>
      </c>
      <c r="BB468" s="121">
        <f t="shared" si="168"/>
        <v>44907</v>
      </c>
      <c r="BC468" s="121" t="str">
        <f t="shared" si="169"/>
        <v>no</v>
      </c>
      <c r="BD468" s="121" t="b">
        <f t="shared" si="170"/>
        <v>0</v>
      </c>
      <c r="BE468" s="125" t="s">
        <v>56</v>
      </c>
    </row>
    <row r="469" spans="1:57" ht="154">
      <c r="B469" s="81" t="s">
        <v>860</v>
      </c>
      <c r="D469" s="283">
        <v>10328785</v>
      </c>
      <c r="F469" s="282" t="s">
        <v>826</v>
      </c>
      <c r="H469" s="284">
        <v>44963</v>
      </c>
      <c r="R469" s="283" t="s">
        <v>841</v>
      </c>
      <c r="S469" s="283">
        <f t="shared" si="171"/>
        <v>19</v>
      </c>
      <c r="U469" s="282">
        <v>19</v>
      </c>
      <c r="V469" s="285">
        <v>0</v>
      </c>
      <c r="Z469" s="283" t="s">
        <v>51</v>
      </c>
      <c r="AG469" s="283" t="s">
        <v>53</v>
      </c>
      <c r="AH469" s="283" t="s">
        <v>54</v>
      </c>
      <c r="AL469" s="286" t="s">
        <v>55</v>
      </c>
      <c r="AR469" s="121">
        <f t="shared" si="160"/>
        <v>1</v>
      </c>
      <c r="AS469" s="121" t="str">
        <f t="shared" si="161"/>
        <v>2023_02_06_a</v>
      </c>
      <c r="AT469" s="122"/>
      <c r="AU469" s="121" t="str">
        <f t="shared" si="162"/>
        <v>2023</v>
      </c>
      <c r="AV469" s="121" t="str">
        <f t="shared" si="163"/>
        <v>02</v>
      </c>
      <c r="AW469" s="121" t="str">
        <f t="shared" si="164"/>
        <v>06</v>
      </c>
      <c r="AX469" s="121">
        <f t="shared" si="165"/>
        <v>44963</v>
      </c>
      <c r="AY469" s="123"/>
      <c r="AZ469" s="124">
        <f t="shared" si="166"/>
        <v>44963</v>
      </c>
      <c r="BA469" s="121" t="b">
        <f t="shared" si="167"/>
        <v>1</v>
      </c>
      <c r="BB469" s="121">
        <f t="shared" si="168"/>
        <v>44963</v>
      </c>
      <c r="BC469" s="121" t="str">
        <f t="shared" si="169"/>
        <v>no</v>
      </c>
      <c r="BD469" s="121" t="b">
        <f t="shared" si="170"/>
        <v>0</v>
      </c>
      <c r="BE469" s="125" t="s">
        <v>56</v>
      </c>
    </row>
    <row r="470" spans="1:57" ht="154">
      <c r="B470" s="81" t="s">
        <v>861</v>
      </c>
      <c r="D470" s="283">
        <v>10325010</v>
      </c>
      <c r="F470" s="282" t="s">
        <v>826</v>
      </c>
      <c r="G470" s="342">
        <v>44981</v>
      </c>
      <c r="H470" s="284">
        <v>44984</v>
      </c>
      <c r="R470" s="283" t="s">
        <v>830</v>
      </c>
      <c r="S470" s="283">
        <f t="shared" si="171"/>
        <v>37</v>
      </c>
      <c r="U470" s="282">
        <v>37</v>
      </c>
      <c r="V470" s="285">
        <v>0</v>
      </c>
      <c r="Z470" s="283" t="s">
        <v>51</v>
      </c>
      <c r="AG470" s="283" t="s">
        <v>53</v>
      </c>
      <c r="AH470" s="12" t="s">
        <v>862</v>
      </c>
      <c r="AL470" s="286" t="s">
        <v>55</v>
      </c>
      <c r="AR470" s="121">
        <f t="shared" si="160"/>
        <v>1</v>
      </c>
      <c r="AS470" s="121" t="str">
        <f t="shared" si="161"/>
        <v>2023_02_27_a</v>
      </c>
      <c r="AT470" s="122"/>
      <c r="AU470" s="121" t="str">
        <f t="shared" si="162"/>
        <v>2023</v>
      </c>
      <c r="AV470" s="121" t="str">
        <f t="shared" si="163"/>
        <v>02</v>
      </c>
      <c r="AW470" s="121" t="str">
        <f t="shared" si="164"/>
        <v>27</v>
      </c>
      <c r="AX470" s="121">
        <f t="shared" si="165"/>
        <v>44984</v>
      </c>
      <c r="AY470" s="123"/>
      <c r="AZ470" s="124">
        <f t="shared" si="166"/>
        <v>44984</v>
      </c>
      <c r="BA470" s="121" t="b">
        <f t="shared" si="167"/>
        <v>1</v>
      </c>
      <c r="BB470" s="121">
        <f t="shared" si="168"/>
        <v>44984</v>
      </c>
      <c r="BC470" s="121" t="str">
        <f t="shared" si="169"/>
        <v>no</v>
      </c>
      <c r="BD470" s="121" t="b">
        <f t="shared" si="170"/>
        <v>0</v>
      </c>
      <c r="BE470" s="125" t="s">
        <v>56</v>
      </c>
    </row>
    <row r="471" spans="1:57" ht="154">
      <c r="B471" s="283" t="s">
        <v>863</v>
      </c>
      <c r="D471" s="283">
        <v>10359043</v>
      </c>
      <c r="F471" s="282" t="s">
        <v>826</v>
      </c>
      <c r="G471" s="342">
        <v>44851</v>
      </c>
      <c r="H471" s="284">
        <v>45068</v>
      </c>
      <c r="R471" s="283" t="s">
        <v>841</v>
      </c>
      <c r="S471" s="283">
        <f t="shared" si="171"/>
        <v>1</v>
      </c>
      <c r="U471" s="282">
        <v>1</v>
      </c>
      <c r="V471" s="285">
        <v>0</v>
      </c>
      <c r="Z471" s="283" t="s">
        <v>51</v>
      </c>
      <c r="AG471" s="283" t="s">
        <v>53</v>
      </c>
      <c r="AH471" s="283" t="s">
        <v>54</v>
      </c>
      <c r="AL471" s="286" t="s">
        <v>55</v>
      </c>
      <c r="AR471" s="121">
        <f t="shared" si="160"/>
        <v>1</v>
      </c>
      <c r="AS471" s="121" t="str">
        <f t="shared" si="161"/>
        <v>2023_05_22_a</v>
      </c>
      <c r="AT471" s="122"/>
      <c r="AU471" s="121" t="str">
        <f t="shared" si="162"/>
        <v>2023</v>
      </c>
      <c r="AV471" s="121" t="str">
        <f t="shared" si="163"/>
        <v>05</v>
      </c>
      <c r="AW471" s="121" t="str">
        <f t="shared" si="164"/>
        <v>22</v>
      </c>
      <c r="AX471" s="121">
        <f t="shared" si="165"/>
        <v>45068</v>
      </c>
      <c r="AY471" s="123"/>
      <c r="AZ471" s="124">
        <f t="shared" si="166"/>
        <v>45068</v>
      </c>
      <c r="BA471" s="121" t="b">
        <f t="shared" si="167"/>
        <v>1</v>
      </c>
      <c r="BB471" s="121">
        <f t="shared" si="168"/>
        <v>45068</v>
      </c>
      <c r="BC471" s="121" t="str">
        <f t="shared" si="169"/>
        <v>no</v>
      </c>
      <c r="BD471" s="121" t="b">
        <f t="shared" si="170"/>
        <v>0</v>
      </c>
      <c r="BE471" s="125" t="s">
        <v>56</v>
      </c>
    </row>
    <row r="472" spans="1:57" ht="154.5" thickBot="1">
      <c r="B472" s="283" t="s">
        <v>864</v>
      </c>
      <c r="D472" s="514" t="s">
        <v>865</v>
      </c>
      <c r="F472" s="282" t="s">
        <v>826</v>
      </c>
      <c r="G472" s="283" t="s">
        <v>866</v>
      </c>
      <c r="H472" s="284">
        <v>45054</v>
      </c>
      <c r="R472" s="283" t="s">
        <v>830</v>
      </c>
      <c r="S472" s="283">
        <v>17</v>
      </c>
      <c r="U472" s="282">
        <v>20</v>
      </c>
      <c r="V472" s="285">
        <v>0</v>
      </c>
      <c r="Z472" s="283" t="s">
        <v>51</v>
      </c>
      <c r="AG472" s="283" t="s">
        <v>53</v>
      </c>
      <c r="AH472" s="283" t="s">
        <v>54</v>
      </c>
      <c r="AL472" s="286" t="s">
        <v>55</v>
      </c>
      <c r="AR472" s="121">
        <f t="shared" si="160"/>
        <v>1</v>
      </c>
      <c r="AS472" s="121" t="str">
        <f t="shared" si="161"/>
        <v>2023_05_08_a</v>
      </c>
      <c r="AT472" s="122"/>
      <c r="AU472" s="121" t="str">
        <f t="shared" si="162"/>
        <v>2023</v>
      </c>
      <c r="AV472" s="121" t="str">
        <f t="shared" si="163"/>
        <v>05</v>
      </c>
      <c r="AW472" s="121" t="str">
        <f t="shared" si="164"/>
        <v>08</v>
      </c>
      <c r="AX472" s="121">
        <f t="shared" si="165"/>
        <v>45054</v>
      </c>
      <c r="AY472" s="123"/>
      <c r="AZ472" s="124">
        <f t="shared" si="166"/>
        <v>45054</v>
      </c>
      <c r="BA472" s="121" t="b">
        <f t="shared" si="167"/>
        <v>1</v>
      </c>
      <c r="BB472" s="121">
        <f t="shared" si="168"/>
        <v>45054</v>
      </c>
      <c r="BC472" s="121" t="str">
        <f t="shared" si="169"/>
        <v>no</v>
      </c>
      <c r="BD472" s="121" t="b">
        <f t="shared" si="170"/>
        <v>0</v>
      </c>
      <c r="BE472" s="125" t="s">
        <v>56</v>
      </c>
    </row>
    <row r="473" spans="1:57" ht="154">
      <c r="B473" s="283" t="s">
        <v>867</v>
      </c>
      <c r="D473" s="283">
        <v>10359043</v>
      </c>
      <c r="F473" s="282" t="s">
        <v>826</v>
      </c>
      <c r="G473" s="342">
        <v>45068</v>
      </c>
      <c r="H473" s="284">
        <v>45068</v>
      </c>
      <c r="R473" s="283" t="s">
        <v>841</v>
      </c>
      <c r="S473" s="283">
        <f t="shared" si="171"/>
        <v>15</v>
      </c>
      <c r="U473" s="282">
        <v>15</v>
      </c>
      <c r="V473" s="285">
        <v>0</v>
      </c>
      <c r="Z473" s="283" t="s">
        <v>51</v>
      </c>
      <c r="AG473" s="283" t="s">
        <v>53</v>
      </c>
      <c r="AH473" s="283" t="s">
        <v>54</v>
      </c>
      <c r="AL473" s="286" t="s">
        <v>55</v>
      </c>
      <c r="AR473" s="121">
        <f t="shared" si="160"/>
        <v>1</v>
      </c>
      <c r="AS473" s="121" t="str">
        <f t="shared" si="161"/>
        <v>2023_05_22_b</v>
      </c>
      <c r="AT473" s="122"/>
      <c r="AU473" s="121" t="str">
        <f t="shared" si="162"/>
        <v>2023</v>
      </c>
      <c r="AV473" s="121" t="str">
        <f t="shared" si="163"/>
        <v>05</v>
      </c>
      <c r="AW473" s="121" t="str">
        <f t="shared" si="164"/>
        <v>22</v>
      </c>
      <c r="AX473" s="121">
        <f t="shared" si="165"/>
        <v>45068</v>
      </c>
      <c r="AY473" s="123"/>
      <c r="AZ473" s="124">
        <f t="shared" si="166"/>
        <v>45068</v>
      </c>
      <c r="BA473" s="121" t="b">
        <f t="shared" si="167"/>
        <v>1</v>
      </c>
      <c r="BB473" s="121">
        <f t="shared" si="168"/>
        <v>45068</v>
      </c>
      <c r="BC473" s="121" t="str">
        <f t="shared" si="169"/>
        <v>no</v>
      </c>
      <c r="BD473" s="121" t="b">
        <f t="shared" si="170"/>
        <v>0</v>
      </c>
      <c r="BE473" s="125" t="s">
        <v>56</v>
      </c>
    </row>
    <row r="474" spans="1:57" ht="154">
      <c r="B474" s="283" t="s">
        <v>868</v>
      </c>
      <c r="F474" s="282" t="s">
        <v>826</v>
      </c>
      <c r="G474" s="342">
        <v>45096</v>
      </c>
      <c r="H474" s="284">
        <v>45096</v>
      </c>
      <c r="R474" s="283" t="s">
        <v>827</v>
      </c>
      <c r="S474" s="283">
        <v>11</v>
      </c>
      <c r="U474" s="282">
        <v>30</v>
      </c>
      <c r="V474" s="285">
        <v>0</v>
      </c>
      <c r="Z474" s="283" t="s">
        <v>51</v>
      </c>
      <c r="AG474" s="283" t="s">
        <v>53</v>
      </c>
      <c r="AH474" s="283" t="s">
        <v>345</v>
      </c>
      <c r="AL474" s="286" t="s">
        <v>55</v>
      </c>
      <c r="AR474" s="121">
        <f t="shared" si="160"/>
        <v>1</v>
      </c>
      <c r="AS474" s="121" t="str">
        <f t="shared" si="161"/>
        <v>2023_06_19_a</v>
      </c>
      <c r="AT474" s="122"/>
      <c r="AU474" s="121" t="str">
        <f t="shared" si="162"/>
        <v>2023</v>
      </c>
      <c r="AV474" s="121" t="str">
        <f t="shared" si="163"/>
        <v>06</v>
      </c>
      <c r="AW474" s="121" t="str">
        <f t="shared" si="164"/>
        <v>19</v>
      </c>
      <c r="AX474" s="121">
        <f t="shared" si="165"/>
        <v>45096</v>
      </c>
      <c r="AY474" s="123"/>
      <c r="AZ474" s="124">
        <f t="shared" si="166"/>
        <v>45096</v>
      </c>
      <c r="BA474" s="121" t="b">
        <f t="shared" si="167"/>
        <v>1</v>
      </c>
      <c r="BB474" s="121">
        <f t="shared" si="168"/>
        <v>45096</v>
      </c>
      <c r="BC474" s="121" t="str">
        <f t="shared" si="169"/>
        <v>no</v>
      </c>
      <c r="BD474" s="121" t="b">
        <f t="shared" si="170"/>
        <v>0</v>
      </c>
      <c r="BE474" s="125" t="s">
        <v>56</v>
      </c>
    </row>
    <row r="475" spans="1:57" ht="154">
      <c r="B475" s="283" t="s">
        <v>869</v>
      </c>
      <c r="F475" s="282" t="s">
        <v>826</v>
      </c>
      <c r="G475" s="342">
        <v>45117</v>
      </c>
      <c r="H475" s="284">
        <v>45117</v>
      </c>
      <c r="R475" s="283" t="s">
        <v>830</v>
      </c>
      <c r="S475" s="283">
        <f t="shared" si="171"/>
        <v>20</v>
      </c>
      <c r="U475" s="282">
        <v>20</v>
      </c>
      <c r="V475" s="285">
        <v>0</v>
      </c>
      <c r="Z475" s="283" t="s">
        <v>51</v>
      </c>
      <c r="AG475" s="283" t="s">
        <v>53</v>
      </c>
      <c r="AH475" s="283" t="s">
        <v>345</v>
      </c>
      <c r="AL475" s="286" t="s">
        <v>55</v>
      </c>
      <c r="AR475" s="121">
        <f t="shared" si="160"/>
        <v>1</v>
      </c>
      <c r="AS475" s="121" t="str">
        <f t="shared" si="161"/>
        <v>2023_07_10_a</v>
      </c>
      <c r="AT475" s="122"/>
      <c r="AU475" s="121" t="str">
        <f t="shared" si="162"/>
        <v>2023</v>
      </c>
      <c r="AV475" s="121" t="str">
        <f t="shared" si="163"/>
        <v>07</v>
      </c>
      <c r="AW475" s="121" t="str">
        <f t="shared" si="164"/>
        <v>10</v>
      </c>
      <c r="AX475" s="121">
        <f t="shared" si="165"/>
        <v>45117</v>
      </c>
      <c r="AY475" s="123"/>
      <c r="AZ475" s="124">
        <f t="shared" si="166"/>
        <v>45117</v>
      </c>
      <c r="BA475" s="121" t="b">
        <f t="shared" si="167"/>
        <v>1</v>
      </c>
      <c r="BB475" s="121">
        <f t="shared" si="168"/>
        <v>45117</v>
      </c>
      <c r="BC475" s="121" t="str">
        <f t="shared" si="169"/>
        <v>no</v>
      </c>
      <c r="BD475" s="121" t="b">
        <f t="shared" si="170"/>
        <v>0</v>
      </c>
      <c r="BE475" s="125" t="s">
        <v>56</v>
      </c>
    </row>
    <row r="476" spans="1:57" ht="15" thickBot="1">
      <c r="B476" s="283" t="s">
        <v>870</v>
      </c>
      <c r="D476" s="514"/>
      <c r="F476" s="282" t="s">
        <v>826</v>
      </c>
      <c r="G476" s="342">
        <v>45131</v>
      </c>
      <c r="H476" s="284">
        <v>45131</v>
      </c>
      <c r="R476" s="283" t="s">
        <v>847</v>
      </c>
      <c r="S476" s="283">
        <f t="shared" si="171"/>
        <v>15</v>
      </c>
      <c r="U476" s="282">
        <v>15</v>
      </c>
      <c r="V476" s="285">
        <v>0</v>
      </c>
      <c r="Z476" s="283" t="s">
        <v>51</v>
      </c>
      <c r="AG476" s="283" t="s">
        <v>53</v>
      </c>
      <c r="AH476" s="283" t="s">
        <v>54</v>
      </c>
      <c r="AL476" s="286" t="s">
        <v>55</v>
      </c>
    </row>
    <row r="477" spans="1:57">
      <c r="B477" s="283" t="s">
        <v>1430</v>
      </c>
      <c r="F477" s="282" t="s">
        <v>826</v>
      </c>
      <c r="G477" s="283" t="s">
        <v>871</v>
      </c>
      <c r="H477" s="284">
        <v>45131</v>
      </c>
      <c r="R477" s="283" t="s">
        <v>841</v>
      </c>
      <c r="S477" s="283">
        <f t="shared" si="171"/>
        <v>1</v>
      </c>
      <c r="U477" s="282">
        <v>1</v>
      </c>
      <c r="V477" s="285">
        <v>0</v>
      </c>
      <c r="Z477" s="283" t="s">
        <v>51</v>
      </c>
      <c r="AG477" s="283" t="s">
        <v>53</v>
      </c>
      <c r="AH477" s="283" t="s">
        <v>54</v>
      </c>
      <c r="AL477" s="286" t="s">
        <v>55</v>
      </c>
    </row>
  </sheetData>
  <sortState xmlns:xlrd2="http://schemas.microsoft.com/office/spreadsheetml/2017/richdata2" ref="A320:BG410">
    <sortCondition ref="B320:B410"/>
  </sortState>
  <mergeCells count="38">
    <mergeCell ref="AU2:AX2"/>
    <mergeCell ref="F123:R123"/>
    <mergeCell ref="F125:R125"/>
    <mergeCell ref="F127:R127"/>
    <mergeCell ref="F196:R196"/>
    <mergeCell ref="F101:R101"/>
    <mergeCell ref="F100:R100"/>
    <mergeCell ref="F98:R98"/>
    <mergeCell ref="F97:R97"/>
    <mergeCell ref="F99:R99"/>
    <mergeCell ref="F198:R198"/>
    <mergeCell ref="F124:R124"/>
    <mergeCell ref="F197:R197"/>
    <mergeCell ref="F216:R216"/>
    <mergeCell ref="F217:R217"/>
    <mergeCell ref="F126:R126"/>
    <mergeCell ref="F199:R199"/>
    <mergeCell ref="F446:R446"/>
    <mergeCell ref="F448:R448"/>
    <mergeCell ref="F438:R438"/>
    <mergeCell ref="F436:R436"/>
    <mergeCell ref="F447:R447"/>
    <mergeCell ref="F437:R437"/>
    <mergeCell ref="F445:R445"/>
    <mergeCell ref="F315:R315"/>
    <mergeCell ref="F215:R215"/>
    <mergeCell ref="F421:R421"/>
    <mergeCell ref="F444:R444"/>
    <mergeCell ref="F435:R435"/>
    <mergeCell ref="F422:R422"/>
    <mergeCell ref="F420:R420"/>
    <mergeCell ref="F423:R423"/>
    <mergeCell ref="F434:R434"/>
    <mergeCell ref="F319:R319"/>
    <mergeCell ref="F218:R218"/>
    <mergeCell ref="F318:R318"/>
    <mergeCell ref="F317:R317"/>
    <mergeCell ref="F316:R316"/>
  </mergeCells>
  <phoneticPr fontId="10"/>
  <conditionalFormatting sqref="D476">
    <cfRule type="duplicateValues" dxfId="2" priority="7"/>
  </conditionalFormatting>
  <conditionalFormatting sqref="D430">
    <cfRule type="duplicateValues" dxfId="1" priority="5"/>
  </conditionalFormatting>
  <conditionalFormatting sqref="D472">
    <cfRule type="duplicateValues" dxfId="0" priority="1"/>
  </conditionalFormatting>
  <dataValidations count="2">
    <dataValidation type="list" allowBlank="1" showInputMessage="1" showErrorMessage="1" sqref="AJ119" xr:uid="{BE3FA2D9-C187-43AC-93F0-959145C6E6F0}">
      <formula1>"F2F,Virtual,Hybrid A,Hybrid B, Hybrid C"</formula1>
    </dataValidation>
    <dataValidation type="list" allowBlank="1" showInputMessage="1" showErrorMessage="1" sqref="AH1:AH1048576" xr:uid="{E77B8F80-F990-49EC-9256-17D03473960C}">
      <formula1>"F2F,Virtual,Hybrid A,Hybrid B, Hybrid C,Hybrid D,Connected Classroom"</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1D96-AE5A-469B-B5D8-05F376BF61C5}">
  <sheetPr codeName="Sheet13"/>
  <dimension ref="A1:AA37"/>
  <sheetViews>
    <sheetView topLeftCell="A2" workbookViewId="0">
      <selection activeCell="F16" sqref="F16"/>
    </sheetView>
  </sheetViews>
  <sheetFormatPr defaultColWidth="8.453125" defaultRowHeight="14.5"/>
  <cols>
    <col min="1" max="1" width="9.453125" bestFit="1" customWidth="1"/>
    <col min="2" max="2" width="15.453125" customWidth="1"/>
    <col min="3" max="5" width="18.453125" customWidth="1"/>
    <col min="6" max="6" width="19.1796875" bestFit="1" customWidth="1"/>
    <col min="7" max="13" width="18.453125" customWidth="1"/>
    <col min="16" max="16" width="18.453125" customWidth="1"/>
    <col min="17" max="27" width="18.1796875" customWidth="1"/>
  </cols>
  <sheetData>
    <row r="1" spans="1:27">
      <c r="B1" s="401" t="s">
        <v>1050</v>
      </c>
      <c r="P1" s="401" t="s">
        <v>1051</v>
      </c>
    </row>
    <row r="2" spans="1:27">
      <c r="A2" s="616" t="s">
        <v>1123</v>
      </c>
      <c r="B2" s="617" t="s">
        <v>1124</v>
      </c>
      <c r="C2" s="617"/>
      <c r="D2" s="617"/>
      <c r="E2" s="617" t="s">
        <v>1125</v>
      </c>
      <c r="F2" s="617"/>
      <c r="G2" s="617"/>
      <c r="H2" s="617" t="s">
        <v>1126</v>
      </c>
      <c r="I2" s="617"/>
      <c r="J2" s="617"/>
      <c r="K2" s="617" t="s">
        <v>1127</v>
      </c>
      <c r="L2" s="617"/>
      <c r="M2" s="617"/>
      <c r="O2" s="616" t="s">
        <v>1123</v>
      </c>
      <c r="P2" s="617" t="s">
        <v>1124</v>
      </c>
      <c r="Q2" s="617"/>
      <c r="R2" s="617"/>
      <c r="S2" s="617" t="s">
        <v>1125</v>
      </c>
      <c r="T2" s="617"/>
      <c r="U2" s="617"/>
      <c r="V2" s="617" t="s">
        <v>1126</v>
      </c>
      <c r="W2" s="617"/>
      <c r="X2" s="617"/>
      <c r="Y2" s="617" t="s">
        <v>1127</v>
      </c>
      <c r="Z2" s="617"/>
      <c r="AA2" s="617"/>
    </row>
    <row r="3" spans="1:27">
      <c r="A3" s="616"/>
      <c r="B3" s="525" t="s">
        <v>1128</v>
      </c>
      <c r="C3" s="525" t="s">
        <v>1129</v>
      </c>
      <c r="D3" s="525" t="s">
        <v>1130</v>
      </c>
      <c r="E3" s="525" t="s">
        <v>1131</v>
      </c>
      <c r="F3" s="525" t="s">
        <v>555</v>
      </c>
      <c r="G3" s="525" t="s">
        <v>1132</v>
      </c>
      <c r="H3" s="525" t="s">
        <v>1133</v>
      </c>
      <c r="I3" s="525" t="s">
        <v>1134</v>
      </c>
      <c r="J3" s="525" t="s">
        <v>1135</v>
      </c>
      <c r="K3" s="525" t="s">
        <v>1136</v>
      </c>
      <c r="L3" s="525" t="s">
        <v>1137</v>
      </c>
      <c r="M3" s="525" t="s">
        <v>1138</v>
      </c>
      <c r="O3" s="616"/>
      <c r="P3" s="525" t="s">
        <v>1128</v>
      </c>
      <c r="Q3" s="525" t="s">
        <v>1129</v>
      </c>
      <c r="R3" s="525" t="s">
        <v>1130</v>
      </c>
      <c r="S3" s="525" t="s">
        <v>1131</v>
      </c>
      <c r="T3" s="525" t="s">
        <v>555</v>
      </c>
      <c r="U3" s="525" t="s">
        <v>1132</v>
      </c>
      <c r="V3" s="525" t="s">
        <v>1133</v>
      </c>
      <c r="W3" s="525" t="s">
        <v>1134</v>
      </c>
      <c r="X3" s="525" t="s">
        <v>1135</v>
      </c>
      <c r="Y3" s="525" t="s">
        <v>1136</v>
      </c>
      <c r="Z3" s="525" t="s">
        <v>1137</v>
      </c>
      <c r="AA3" s="525" t="s">
        <v>1138</v>
      </c>
    </row>
    <row r="4" spans="1:27">
      <c r="A4" s="1" t="s">
        <v>45</v>
      </c>
      <c r="B4" s="283"/>
      <c r="C4" s="283"/>
      <c r="D4" s="283"/>
      <c r="E4" s="283"/>
      <c r="F4" s="283"/>
      <c r="G4" s="283"/>
      <c r="H4" s="283"/>
      <c r="I4" s="283"/>
      <c r="J4" s="283"/>
      <c r="K4" s="283"/>
      <c r="L4" s="283"/>
      <c r="M4" s="283"/>
      <c r="O4" s="1" t="s">
        <v>45</v>
      </c>
      <c r="P4" s="283" t="s">
        <v>1139</v>
      </c>
      <c r="Q4" s="283"/>
      <c r="R4" s="283"/>
      <c r="S4" s="283"/>
      <c r="T4" s="283"/>
      <c r="U4" s="283"/>
      <c r="V4" s="283"/>
      <c r="W4" s="283"/>
      <c r="X4" s="283"/>
      <c r="Y4" s="283"/>
      <c r="Z4" s="283"/>
      <c r="AA4" s="283"/>
    </row>
    <row r="5" spans="1:27">
      <c r="A5" s="1" t="s">
        <v>1048</v>
      </c>
      <c r="B5" s="283"/>
      <c r="C5" s="283"/>
      <c r="D5" s="283"/>
      <c r="E5" s="283"/>
      <c r="F5" s="283"/>
      <c r="G5" s="283"/>
      <c r="H5" s="283"/>
      <c r="I5" s="283"/>
      <c r="J5" s="283"/>
      <c r="K5" s="283"/>
      <c r="L5" s="283"/>
      <c r="M5" s="283"/>
      <c r="O5" s="1" t="s">
        <v>1048</v>
      </c>
      <c r="P5" s="283"/>
      <c r="Q5" s="283"/>
      <c r="R5" s="283"/>
      <c r="S5" s="283"/>
      <c r="T5" s="283"/>
      <c r="U5" s="283"/>
      <c r="V5" s="283"/>
      <c r="W5" s="283"/>
      <c r="X5" s="283"/>
      <c r="Y5" s="283"/>
      <c r="Z5" s="283"/>
      <c r="AA5" s="283"/>
    </row>
    <row r="6" spans="1:27" ht="29">
      <c r="A6" s="1" t="s">
        <v>270</v>
      </c>
      <c r="B6" s="283"/>
      <c r="C6" s="283"/>
      <c r="D6" s="283"/>
      <c r="E6" s="283"/>
      <c r="F6" s="283"/>
      <c r="G6" s="283"/>
      <c r="H6" s="283"/>
      <c r="I6" s="283"/>
      <c r="J6" s="283"/>
      <c r="K6" s="283"/>
      <c r="L6" s="283"/>
      <c r="M6" s="283"/>
      <c r="O6" s="1" t="s">
        <v>270</v>
      </c>
      <c r="P6" s="283"/>
      <c r="Q6" s="12" t="s">
        <v>1140</v>
      </c>
      <c r="R6" s="283" t="s">
        <v>1141</v>
      </c>
      <c r="S6" s="283"/>
      <c r="T6" s="283"/>
      <c r="U6" s="283"/>
      <c r="V6" s="283"/>
      <c r="W6" s="283"/>
      <c r="X6" s="283"/>
      <c r="Y6" s="283"/>
      <c r="Z6" s="283"/>
      <c r="AA6" s="283"/>
    </row>
    <row r="7" spans="1:27">
      <c r="A7" s="1" t="s">
        <v>922</v>
      </c>
      <c r="B7" s="283"/>
      <c r="C7" s="283"/>
      <c r="D7" s="283"/>
      <c r="E7" s="283"/>
      <c r="F7" s="283"/>
      <c r="G7" s="283"/>
      <c r="H7" s="283"/>
      <c r="I7" s="283"/>
      <c r="J7" s="283"/>
      <c r="K7" s="283"/>
      <c r="L7" s="283"/>
      <c r="M7" s="283"/>
      <c r="O7" s="1" t="s">
        <v>922</v>
      </c>
      <c r="P7" s="283"/>
      <c r="Q7" s="283"/>
      <c r="R7" s="283"/>
      <c r="S7" s="283"/>
      <c r="T7" s="283"/>
      <c r="U7" s="283"/>
      <c r="V7" s="283"/>
      <c r="W7" s="283"/>
      <c r="X7" s="283"/>
      <c r="Y7" s="283"/>
      <c r="Z7" s="283"/>
      <c r="AA7" s="283"/>
    </row>
    <row r="8" spans="1:27">
      <c r="A8" s="1" t="s">
        <v>887</v>
      </c>
      <c r="B8" s="283"/>
      <c r="C8" s="283"/>
      <c r="D8" s="283"/>
      <c r="E8" s="283"/>
      <c r="F8" s="283"/>
      <c r="G8" s="283"/>
      <c r="H8" s="283"/>
      <c r="I8" s="283"/>
      <c r="J8" s="283"/>
      <c r="K8" s="283"/>
      <c r="L8" s="283"/>
      <c r="M8" s="283"/>
      <c r="O8" s="1" t="s">
        <v>887</v>
      </c>
      <c r="P8" s="283"/>
      <c r="Q8" s="283"/>
      <c r="R8" s="283"/>
      <c r="S8" s="283"/>
      <c r="T8" s="283"/>
      <c r="U8" s="283"/>
      <c r="V8" s="283"/>
      <c r="W8" s="283"/>
      <c r="X8" s="283"/>
      <c r="Y8" s="283"/>
      <c r="Z8" s="283"/>
      <c r="AA8" s="283"/>
    </row>
    <row r="9" spans="1:27">
      <c r="A9" s="1" t="s">
        <v>535</v>
      </c>
      <c r="B9" s="283"/>
      <c r="C9" s="283"/>
      <c r="D9" s="283"/>
      <c r="E9" s="283"/>
      <c r="F9" s="283"/>
      <c r="G9" s="283"/>
      <c r="H9" s="283"/>
      <c r="I9" s="283"/>
      <c r="J9" s="283"/>
      <c r="K9" s="283"/>
      <c r="L9" s="283"/>
      <c r="M9" s="283"/>
      <c r="O9" s="1" t="s">
        <v>535</v>
      </c>
      <c r="P9" s="283"/>
      <c r="Q9" s="283"/>
      <c r="R9" s="283"/>
      <c r="S9" s="283"/>
      <c r="T9" s="283"/>
      <c r="U9" s="283"/>
      <c r="V9" s="283"/>
      <c r="W9" s="283"/>
      <c r="X9" s="283"/>
      <c r="Y9" s="283"/>
      <c r="Z9" s="283"/>
      <c r="AA9" s="283"/>
    </row>
    <row r="10" spans="1:27" ht="29">
      <c r="A10" s="1" t="s">
        <v>658</v>
      </c>
      <c r="B10" s="283"/>
      <c r="C10" s="283"/>
      <c r="D10" s="283"/>
      <c r="E10" s="283"/>
      <c r="F10" s="12" t="s">
        <v>1142</v>
      </c>
      <c r="G10" s="283"/>
      <c r="H10" s="283"/>
      <c r="I10" s="283"/>
      <c r="J10" s="283"/>
      <c r="K10" s="283"/>
      <c r="L10" s="283"/>
      <c r="M10" s="283"/>
      <c r="O10" s="1" t="s">
        <v>658</v>
      </c>
      <c r="P10" s="283"/>
      <c r="Q10" s="283"/>
      <c r="R10" s="283"/>
      <c r="S10" s="283"/>
      <c r="T10" s="283" t="s">
        <v>1143</v>
      </c>
      <c r="U10" s="283"/>
      <c r="V10" s="283"/>
      <c r="W10" s="283"/>
      <c r="X10" s="283"/>
      <c r="Y10" s="283"/>
      <c r="Z10" s="283"/>
      <c r="AA10" s="283"/>
    </row>
    <row r="11" spans="1:27">
      <c r="A11" s="1" t="s">
        <v>782</v>
      </c>
      <c r="B11" s="283"/>
      <c r="C11" s="283"/>
      <c r="D11" s="283"/>
      <c r="E11" s="283"/>
      <c r="F11" s="283"/>
      <c r="G11" s="283"/>
      <c r="H11" s="283"/>
      <c r="I11" s="283"/>
      <c r="J11" s="283"/>
      <c r="K11" s="283"/>
      <c r="L11" s="283"/>
      <c r="M11" s="283"/>
      <c r="O11" s="1" t="s">
        <v>782</v>
      </c>
      <c r="P11" s="283"/>
      <c r="Q11" s="283"/>
      <c r="R11" s="283" t="s">
        <v>1144</v>
      </c>
      <c r="S11" s="283"/>
      <c r="T11" s="283"/>
      <c r="U11" s="283"/>
      <c r="V11" s="283"/>
      <c r="W11" s="283"/>
      <c r="X11" s="283"/>
      <c r="Y11" s="283"/>
      <c r="Z11" s="283"/>
      <c r="AA11" s="283"/>
    </row>
    <row r="12" spans="1:27">
      <c r="A12" s="1" t="s">
        <v>899</v>
      </c>
      <c r="B12" s="283"/>
      <c r="C12" s="283"/>
      <c r="D12" s="283"/>
      <c r="E12" s="283"/>
      <c r="F12" s="283"/>
      <c r="G12" s="283"/>
      <c r="H12" s="283"/>
      <c r="I12" s="283"/>
      <c r="J12" s="283"/>
      <c r="K12" s="283"/>
      <c r="L12" s="283"/>
      <c r="M12" s="283"/>
      <c r="O12" s="1" t="s">
        <v>899</v>
      </c>
      <c r="P12" s="283"/>
      <c r="Q12" s="283"/>
      <c r="R12" s="283"/>
      <c r="S12" s="283"/>
      <c r="T12" s="283"/>
      <c r="U12" s="283"/>
      <c r="V12" s="283"/>
      <c r="W12" s="283"/>
      <c r="X12" s="283"/>
      <c r="Y12" s="283"/>
      <c r="Z12" s="283"/>
      <c r="AA12" s="283"/>
    </row>
    <row r="13" spans="1:27">
      <c r="A13" s="1" t="s">
        <v>895</v>
      </c>
      <c r="B13" s="283"/>
      <c r="C13" s="283"/>
      <c r="D13" s="283"/>
      <c r="E13" s="283"/>
      <c r="F13" s="283"/>
      <c r="G13" s="283"/>
      <c r="H13" s="283"/>
      <c r="I13" s="283"/>
      <c r="J13" s="283"/>
      <c r="K13" s="283"/>
      <c r="L13" s="283"/>
      <c r="M13" s="283"/>
      <c r="O13" s="1" t="s">
        <v>895</v>
      </c>
      <c r="P13" s="283"/>
      <c r="Q13" s="283"/>
      <c r="R13" s="283"/>
      <c r="S13" s="283"/>
      <c r="T13" s="283"/>
      <c r="U13" s="283"/>
      <c r="V13" s="283"/>
      <c r="W13" s="283"/>
      <c r="X13" s="283"/>
      <c r="Y13" s="283"/>
      <c r="Z13" s="283"/>
      <c r="AA13" s="283"/>
    </row>
    <row r="14" spans="1:27">
      <c r="A14" s="1" t="s">
        <v>1145</v>
      </c>
      <c r="B14" s="283"/>
      <c r="C14" s="283"/>
      <c r="D14" s="283"/>
      <c r="E14" s="283"/>
      <c r="F14" s="283"/>
      <c r="G14" s="283"/>
      <c r="H14" s="283"/>
      <c r="I14" s="283"/>
      <c r="J14" s="283"/>
      <c r="K14" s="283"/>
      <c r="L14" s="283"/>
      <c r="M14" s="283"/>
      <c r="O14" s="1" t="s">
        <v>1145</v>
      </c>
      <c r="P14" s="515" t="s">
        <v>1146</v>
      </c>
      <c r="Q14" s="283"/>
      <c r="R14" s="283"/>
      <c r="S14" s="283"/>
      <c r="T14" s="283"/>
      <c r="U14" s="283"/>
      <c r="V14" s="283"/>
      <c r="W14" s="283"/>
      <c r="X14" s="283"/>
      <c r="Y14" s="283"/>
      <c r="Z14" s="283"/>
      <c r="AA14" s="283"/>
    </row>
    <row r="15" spans="1:27">
      <c r="A15" s="1" t="s">
        <v>917</v>
      </c>
      <c r="B15" s="283"/>
      <c r="C15" s="283"/>
      <c r="D15" s="283"/>
      <c r="E15" s="283"/>
      <c r="F15" s="283"/>
      <c r="G15" s="283"/>
      <c r="H15" s="283"/>
      <c r="I15" s="283"/>
      <c r="J15" s="283"/>
      <c r="K15" s="283"/>
      <c r="L15" s="283"/>
      <c r="M15" s="283"/>
      <c r="O15" s="1" t="s">
        <v>917</v>
      </c>
      <c r="P15" s="283"/>
      <c r="Q15" s="283"/>
      <c r="R15" s="283"/>
      <c r="S15" s="283"/>
      <c r="T15" s="283"/>
      <c r="U15" s="283"/>
      <c r="V15" s="283"/>
      <c r="W15" s="283"/>
      <c r="X15" s="283"/>
      <c r="Y15" s="283"/>
      <c r="Z15" s="283"/>
      <c r="AA15" s="283"/>
    </row>
    <row r="16" spans="1:27" ht="43.5">
      <c r="A16" s="1" t="s">
        <v>1038</v>
      </c>
      <c r="B16" s="12" t="s">
        <v>1147</v>
      </c>
      <c r="C16" s="283"/>
      <c r="D16" s="283"/>
      <c r="E16" s="283"/>
      <c r="F16" s="12" t="s">
        <v>1148</v>
      </c>
      <c r="G16" s="283" t="s">
        <v>1149</v>
      </c>
      <c r="H16" s="283" t="s">
        <v>1150</v>
      </c>
      <c r="I16" s="283"/>
      <c r="J16" s="283" t="s">
        <v>1151</v>
      </c>
      <c r="K16" s="283"/>
      <c r="L16" s="283"/>
      <c r="M16" s="283"/>
      <c r="O16" s="1" t="s">
        <v>1038</v>
      </c>
      <c r="P16" s="12" t="s">
        <v>1152</v>
      </c>
      <c r="Q16" s="283"/>
      <c r="R16" s="283"/>
      <c r="S16" s="283"/>
      <c r="T16" s="12" t="s">
        <v>1153</v>
      </c>
      <c r="U16" s="283" t="s">
        <v>1154</v>
      </c>
      <c r="V16" s="283" t="s">
        <v>1155</v>
      </c>
      <c r="W16" s="283"/>
      <c r="X16" s="283"/>
      <c r="Y16" s="283"/>
      <c r="Z16" s="283"/>
      <c r="AA16" s="283"/>
    </row>
    <row r="17" spans="1:27">
      <c r="A17" s="1" t="s">
        <v>807</v>
      </c>
      <c r="B17" s="283"/>
      <c r="C17" s="283"/>
      <c r="D17" s="283"/>
      <c r="E17" s="283"/>
      <c r="F17" s="283"/>
      <c r="G17" s="283"/>
      <c r="H17" s="283"/>
      <c r="I17" s="283"/>
      <c r="J17" s="283"/>
      <c r="K17" s="283"/>
      <c r="L17" s="283"/>
      <c r="M17" s="283"/>
      <c r="O17" s="1" t="s">
        <v>807</v>
      </c>
      <c r="P17" s="283"/>
      <c r="Q17" s="283"/>
      <c r="R17" s="283"/>
      <c r="S17" s="283"/>
      <c r="T17" s="283"/>
      <c r="U17" s="283"/>
      <c r="V17" s="283"/>
      <c r="W17" s="283"/>
      <c r="X17" s="283"/>
      <c r="Y17" s="283"/>
      <c r="Z17" s="283"/>
      <c r="AA17" s="283"/>
    </row>
    <row r="18" spans="1:27">
      <c r="A18" s="2" t="s">
        <v>267</v>
      </c>
      <c r="B18" s="283"/>
      <c r="C18" s="283"/>
      <c r="D18" s="283"/>
      <c r="E18" s="283"/>
      <c r="F18" s="283"/>
      <c r="G18" s="283"/>
      <c r="H18" s="283"/>
      <c r="I18" s="283"/>
      <c r="J18" s="283"/>
      <c r="K18" s="283"/>
      <c r="L18" s="283"/>
      <c r="M18" s="283"/>
      <c r="O18" s="2" t="s">
        <v>267</v>
      </c>
      <c r="P18" s="283"/>
      <c r="Q18" s="283"/>
      <c r="R18" s="283"/>
      <c r="S18" s="283"/>
      <c r="T18" s="283"/>
      <c r="U18" s="283"/>
      <c r="V18" s="283"/>
      <c r="W18" s="283"/>
      <c r="X18" s="283"/>
      <c r="Y18" s="283"/>
      <c r="Z18" s="283"/>
      <c r="AA18" s="283"/>
    </row>
    <row r="19" spans="1:27">
      <c r="B19" s="27" t="s">
        <v>1156</v>
      </c>
      <c r="C19" s="26"/>
      <c r="D19" s="26"/>
      <c r="E19" s="26"/>
      <c r="F19" s="26"/>
      <c r="G19" s="26"/>
      <c r="H19" s="26"/>
      <c r="I19" s="26"/>
      <c r="J19" s="26"/>
      <c r="K19" s="26"/>
      <c r="L19" s="26"/>
      <c r="M19" s="26"/>
      <c r="P19" s="27" t="s">
        <v>1156</v>
      </c>
    </row>
    <row r="20" spans="1:27">
      <c r="A20" s="616" t="s">
        <v>1123</v>
      </c>
      <c r="B20" s="617" t="s">
        <v>1124</v>
      </c>
      <c r="C20" s="617"/>
      <c r="D20" s="617" t="s">
        <v>1125</v>
      </c>
      <c r="E20" s="617"/>
      <c r="F20" s="617" t="s">
        <v>1126</v>
      </c>
      <c r="G20" s="617"/>
      <c r="H20" s="617" t="s">
        <v>1127</v>
      </c>
      <c r="I20" s="617"/>
      <c r="J20" s="26"/>
      <c r="K20" s="26"/>
      <c r="L20" s="26"/>
      <c r="M20" s="26"/>
    </row>
    <row r="21" spans="1:27">
      <c r="A21" s="616"/>
      <c r="B21" s="525" t="s">
        <v>1050</v>
      </c>
      <c r="C21" s="525" t="s">
        <v>1051</v>
      </c>
      <c r="D21" s="525" t="s">
        <v>1050</v>
      </c>
      <c r="E21" s="525" t="s">
        <v>1051</v>
      </c>
      <c r="F21" s="525" t="s">
        <v>1050</v>
      </c>
      <c r="G21" s="525" t="s">
        <v>1051</v>
      </c>
      <c r="H21" s="525" t="s">
        <v>1050</v>
      </c>
      <c r="I21" s="525" t="s">
        <v>1051</v>
      </c>
      <c r="J21" s="26"/>
      <c r="K21" s="26"/>
      <c r="L21" s="26"/>
      <c r="M21" s="26"/>
    </row>
    <row r="22" spans="1:27">
      <c r="A22" s="1" t="s">
        <v>45</v>
      </c>
      <c r="B22" s="283"/>
      <c r="C22" s="283">
        <v>31</v>
      </c>
      <c r="D22" s="283"/>
      <c r="E22" s="283"/>
      <c r="F22" s="283"/>
      <c r="G22" s="283"/>
      <c r="H22" s="283"/>
      <c r="I22" s="283"/>
      <c r="J22" s="26"/>
      <c r="K22" s="26"/>
      <c r="L22" s="26"/>
      <c r="M22" s="26"/>
    </row>
    <row r="23" spans="1:27">
      <c r="A23" s="1" t="s">
        <v>1048</v>
      </c>
      <c r="B23" s="283"/>
      <c r="C23" s="283"/>
      <c r="D23" s="283"/>
      <c r="E23" s="283"/>
      <c r="F23" s="283"/>
      <c r="G23" s="283"/>
      <c r="H23" s="283"/>
      <c r="I23" s="283"/>
      <c r="J23" s="26"/>
      <c r="K23" s="26"/>
      <c r="L23" s="26"/>
      <c r="M23" s="26"/>
    </row>
    <row r="24" spans="1:27">
      <c r="A24" s="1" t="s">
        <v>270</v>
      </c>
      <c r="B24" s="283"/>
      <c r="C24" s="283">
        <v>38</v>
      </c>
      <c r="D24" s="283"/>
      <c r="E24" s="283"/>
      <c r="F24" s="283"/>
      <c r="G24" s="283"/>
      <c r="H24" s="283"/>
      <c r="I24" s="283"/>
      <c r="J24" s="26"/>
      <c r="K24" s="26"/>
      <c r="L24" s="26"/>
      <c r="M24" s="26"/>
    </row>
    <row r="25" spans="1:27">
      <c r="A25" s="1" t="s">
        <v>922</v>
      </c>
      <c r="B25" s="283"/>
      <c r="C25" s="283"/>
      <c r="D25" s="283"/>
      <c r="E25" s="283"/>
      <c r="F25" s="283"/>
      <c r="G25" s="283"/>
      <c r="H25" s="283"/>
      <c r="I25" s="283"/>
      <c r="J25" s="26"/>
      <c r="K25" s="26"/>
      <c r="L25" s="26"/>
      <c r="M25" s="26"/>
    </row>
    <row r="26" spans="1:27">
      <c r="A26" s="1" t="s">
        <v>887</v>
      </c>
      <c r="B26" s="283"/>
      <c r="C26" s="283"/>
      <c r="D26" s="283"/>
      <c r="E26" s="283"/>
      <c r="F26" s="283"/>
      <c r="G26" s="283"/>
      <c r="H26" s="283"/>
      <c r="I26" s="283"/>
      <c r="J26" s="26"/>
      <c r="K26" s="26"/>
      <c r="L26" s="26"/>
      <c r="M26" s="26"/>
    </row>
    <row r="27" spans="1:27">
      <c r="A27" s="1" t="s">
        <v>535</v>
      </c>
      <c r="B27" s="283"/>
      <c r="C27" s="283"/>
      <c r="D27" s="283"/>
      <c r="E27" s="283"/>
      <c r="F27" s="283"/>
      <c r="G27" s="283"/>
      <c r="H27" s="283"/>
      <c r="I27" s="283"/>
      <c r="J27" s="26"/>
      <c r="K27" s="26"/>
      <c r="L27" s="26"/>
      <c r="M27" s="26"/>
    </row>
    <row r="28" spans="1:27">
      <c r="A28" s="1" t="s">
        <v>658</v>
      </c>
      <c r="B28" s="283"/>
      <c r="C28" s="283"/>
      <c r="D28" s="283">
        <v>13</v>
      </c>
      <c r="E28" s="283">
        <v>0</v>
      </c>
      <c r="F28" s="283"/>
      <c r="G28" s="283"/>
      <c r="H28" s="283"/>
      <c r="I28" s="283"/>
      <c r="J28" s="26"/>
      <c r="K28" s="26"/>
      <c r="L28" s="26"/>
      <c r="M28" s="26"/>
    </row>
    <row r="29" spans="1:27">
      <c r="A29" s="1" t="s">
        <v>782</v>
      </c>
      <c r="B29" s="283"/>
      <c r="C29" s="283">
        <v>55</v>
      </c>
      <c r="D29" s="283"/>
      <c r="E29" s="283"/>
      <c r="F29" s="283"/>
      <c r="G29" s="283"/>
      <c r="H29" s="283"/>
      <c r="I29" s="283"/>
      <c r="J29" s="26"/>
      <c r="K29" s="26"/>
      <c r="L29" s="26"/>
      <c r="M29" s="26"/>
    </row>
    <row r="30" spans="1:27">
      <c r="A30" s="1" t="s">
        <v>899</v>
      </c>
      <c r="B30" s="283"/>
      <c r="C30" s="283"/>
      <c r="D30" s="283"/>
      <c r="E30" s="283"/>
      <c r="F30" s="283"/>
      <c r="G30" s="283"/>
      <c r="H30" s="283"/>
      <c r="I30" s="283"/>
      <c r="J30" s="26"/>
      <c r="K30" s="26"/>
      <c r="L30" s="26"/>
      <c r="M30" s="26"/>
    </row>
    <row r="31" spans="1:27">
      <c r="A31" s="1" t="s">
        <v>895</v>
      </c>
      <c r="B31" s="283"/>
      <c r="C31" s="283"/>
      <c r="D31" s="283"/>
      <c r="E31" s="283"/>
      <c r="F31" s="283"/>
      <c r="G31" s="283"/>
      <c r="H31" s="283"/>
      <c r="I31" s="283"/>
      <c r="J31" s="26"/>
      <c r="K31" s="26"/>
      <c r="L31" s="26"/>
      <c r="M31" s="26"/>
    </row>
    <row r="32" spans="1:27">
      <c r="A32" s="1" t="s">
        <v>209</v>
      </c>
      <c r="B32" s="283"/>
      <c r="C32" s="283">
        <v>18</v>
      </c>
      <c r="D32" s="283"/>
      <c r="E32" s="283"/>
      <c r="F32" s="283"/>
      <c r="G32" s="283"/>
      <c r="H32" s="283"/>
      <c r="I32" s="283"/>
      <c r="J32" s="26"/>
      <c r="K32" s="26"/>
      <c r="L32" s="26"/>
      <c r="M32" s="26"/>
    </row>
    <row r="33" spans="1:13">
      <c r="A33" s="1" t="s">
        <v>917</v>
      </c>
      <c r="B33" s="283"/>
      <c r="C33" s="283"/>
      <c r="D33" s="283"/>
      <c r="E33" s="283"/>
      <c r="F33" s="283"/>
      <c r="G33" s="283"/>
      <c r="H33" s="283"/>
      <c r="I33" s="283"/>
      <c r="J33" s="26"/>
      <c r="K33" s="26"/>
      <c r="L33" s="26"/>
      <c r="M33" s="26"/>
    </row>
    <row r="34" spans="1:13">
      <c r="A34" s="1" t="s">
        <v>1038</v>
      </c>
      <c r="B34" s="283">
        <v>27</v>
      </c>
      <c r="C34" s="283">
        <v>20</v>
      </c>
      <c r="D34" s="283">
        <v>92</v>
      </c>
      <c r="E34" s="283">
        <v>60</v>
      </c>
      <c r="F34" s="283">
        <v>29</v>
      </c>
      <c r="G34" s="283">
        <v>0</v>
      </c>
      <c r="H34" s="283"/>
      <c r="I34" s="283"/>
      <c r="J34" s="26"/>
      <c r="K34" s="26"/>
      <c r="L34" s="26"/>
      <c r="M34" s="26"/>
    </row>
    <row r="35" spans="1:13">
      <c r="A35" s="1" t="s">
        <v>807</v>
      </c>
      <c r="B35" s="283"/>
      <c r="C35" s="283"/>
      <c r="D35" s="283"/>
      <c r="E35" s="283"/>
      <c r="F35" s="283"/>
      <c r="G35" s="283"/>
      <c r="H35" s="283"/>
      <c r="I35" s="283"/>
      <c r="J35" s="26"/>
      <c r="K35" s="26"/>
      <c r="L35" s="26"/>
      <c r="M35" s="26"/>
    </row>
    <row r="36" spans="1:13">
      <c r="A36" s="2" t="s">
        <v>267</v>
      </c>
      <c r="B36" s="283"/>
      <c r="C36" s="283"/>
      <c r="D36" s="283"/>
      <c r="E36" s="283"/>
      <c r="F36" s="283"/>
      <c r="G36" s="283"/>
      <c r="H36" s="283"/>
      <c r="I36" s="283"/>
      <c r="J36" s="26"/>
      <c r="K36" s="26"/>
      <c r="L36" s="26"/>
      <c r="M36" s="26"/>
    </row>
    <row r="37" spans="1:13">
      <c r="B37" s="27" t="s">
        <v>1157</v>
      </c>
      <c r="C37" s="26"/>
      <c r="D37" s="26"/>
      <c r="E37" s="26"/>
      <c r="F37" s="26"/>
      <c r="G37" s="26"/>
      <c r="H37" s="26"/>
      <c r="I37" s="26"/>
      <c r="J37" s="26"/>
      <c r="K37" s="26"/>
      <c r="L37" s="26"/>
      <c r="M37" s="26"/>
    </row>
  </sheetData>
  <mergeCells count="15">
    <mergeCell ref="A2:A3"/>
    <mergeCell ref="B2:D2"/>
    <mergeCell ref="E2:G2"/>
    <mergeCell ref="H2:J2"/>
    <mergeCell ref="K2:M2"/>
    <mergeCell ref="A20:A21"/>
    <mergeCell ref="B20:C20"/>
    <mergeCell ref="D20:E20"/>
    <mergeCell ref="F20:G20"/>
    <mergeCell ref="H20:I20"/>
    <mergeCell ref="O2:O3"/>
    <mergeCell ref="P2:R2"/>
    <mergeCell ref="S2:U2"/>
    <mergeCell ref="V2:X2"/>
    <mergeCell ref="Y2:AA2"/>
  </mergeCells>
  <phoneticPr fontId="27"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4DB8-2ADA-454B-BE76-142039CA545A}">
  <sheetPr codeName="Sheet6"/>
  <dimension ref="A1:AS19"/>
  <sheetViews>
    <sheetView topLeftCell="O1" zoomScale="70" zoomScaleNormal="70" workbookViewId="0">
      <selection sqref="A1:AS19"/>
    </sheetView>
  </sheetViews>
  <sheetFormatPr defaultColWidth="8.453125" defaultRowHeight="14.5"/>
  <sheetData>
    <row r="1" spans="1:45" ht="15" thickBot="1">
      <c r="A1" s="618" t="s">
        <v>1158</v>
      </c>
      <c r="B1" s="618"/>
      <c r="C1" s="618"/>
      <c r="D1" s="618"/>
      <c r="E1" s="618"/>
      <c r="F1" s="618"/>
      <c r="G1" s="618"/>
      <c r="H1" s="618"/>
      <c r="I1" s="618"/>
      <c r="J1" s="618"/>
      <c r="K1" s="618"/>
      <c r="L1" s="618"/>
      <c r="M1" s="618"/>
      <c r="N1" s="618"/>
      <c r="O1" s="618"/>
      <c r="P1" s="618"/>
      <c r="Q1" s="618"/>
      <c r="R1" s="618"/>
      <c r="S1" s="618"/>
      <c r="U1" s="633" t="s">
        <v>1158</v>
      </c>
      <c r="V1" s="634"/>
      <c r="W1" s="634"/>
      <c r="X1" s="634"/>
      <c r="Y1" s="634"/>
      <c r="Z1" s="634"/>
      <c r="AA1" s="634"/>
      <c r="AB1" s="634"/>
      <c r="AC1" s="634"/>
      <c r="AD1" s="634"/>
      <c r="AE1" s="634"/>
      <c r="AF1" s="634"/>
      <c r="AG1" s="634"/>
      <c r="AH1" s="634"/>
      <c r="AI1" s="634"/>
      <c r="AJ1" s="634"/>
      <c r="AK1" s="634"/>
      <c r="AL1" s="634"/>
      <c r="AM1" s="634"/>
      <c r="AN1" s="634"/>
      <c r="AO1" s="634"/>
      <c r="AP1" s="634"/>
      <c r="AQ1" s="634"/>
      <c r="AR1" s="634"/>
      <c r="AS1" s="635"/>
    </row>
    <row r="2" spans="1:45" ht="15" thickBot="1">
      <c r="A2" s="622" t="s">
        <v>1159</v>
      </c>
      <c r="B2" s="619" t="s">
        <v>47</v>
      </c>
      <c r="C2" s="620"/>
      <c r="D2" s="620"/>
      <c r="E2" s="620"/>
      <c r="F2" s="620"/>
      <c r="G2" s="620"/>
      <c r="H2" s="620"/>
      <c r="I2" s="620"/>
      <c r="J2" s="625"/>
      <c r="K2" s="626" t="s">
        <v>78</v>
      </c>
      <c r="L2" s="627"/>
      <c r="M2" s="627"/>
      <c r="N2" s="627"/>
      <c r="O2" s="627"/>
      <c r="P2" s="627"/>
      <c r="Q2" s="627"/>
      <c r="R2" s="627"/>
      <c r="S2" s="628"/>
      <c r="U2" s="640" t="s">
        <v>1159</v>
      </c>
      <c r="V2" s="637" t="s">
        <v>99</v>
      </c>
      <c r="W2" s="638"/>
      <c r="X2" s="638"/>
      <c r="Y2" s="638"/>
      <c r="Z2" s="638"/>
      <c r="AA2" s="638"/>
      <c r="AB2" s="638"/>
      <c r="AC2" s="638"/>
      <c r="AD2" s="638"/>
      <c r="AE2" s="638"/>
      <c r="AF2" s="638"/>
      <c r="AG2" s="639"/>
      <c r="AH2" s="636" t="s">
        <v>121</v>
      </c>
      <c r="AI2" s="636"/>
      <c r="AJ2" s="636"/>
      <c r="AK2" s="636"/>
      <c r="AL2" s="636"/>
      <c r="AM2" s="636"/>
      <c r="AN2" s="636"/>
      <c r="AO2" s="636"/>
      <c r="AP2" s="636"/>
      <c r="AQ2" s="636"/>
      <c r="AR2" s="636"/>
      <c r="AS2" s="636"/>
    </row>
    <row r="3" spans="1:45" ht="15" thickBot="1">
      <c r="A3" s="623"/>
      <c r="B3" s="619" t="s">
        <v>1160</v>
      </c>
      <c r="C3" s="620"/>
      <c r="D3" s="621"/>
      <c r="E3" s="619" t="s">
        <v>269</v>
      </c>
      <c r="F3" s="620"/>
      <c r="G3" s="621"/>
      <c r="H3" s="619" t="s">
        <v>1161</v>
      </c>
      <c r="I3" s="620"/>
      <c r="J3" s="621"/>
      <c r="K3" s="629" t="s">
        <v>1160</v>
      </c>
      <c r="L3" s="630"/>
      <c r="M3" s="631"/>
      <c r="N3" s="629" t="s">
        <v>269</v>
      </c>
      <c r="O3" s="630"/>
      <c r="P3" s="631"/>
      <c r="Q3" s="629" t="s">
        <v>1161</v>
      </c>
      <c r="R3" s="630"/>
      <c r="S3" s="632"/>
      <c r="U3" s="640"/>
      <c r="V3" s="641" t="s">
        <v>1160</v>
      </c>
      <c r="W3" s="641"/>
      <c r="X3" s="641"/>
      <c r="Y3" s="641"/>
      <c r="Z3" s="641" t="s">
        <v>269</v>
      </c>
      <c r="AA3" s="641"/>
      <c r="AB3" s="641"/>
      <c r="AC3" s="641"/>
      <c r="AD3" s="641" t="s">
        <v>1161</v>
      </c>
      <c r="AE3" s="641"/>
      <c r="AF3" s="641"/>
      <c r="AG3" s="641"/>
      <c r="AH3" s="636" t="s">
        <v>1160</v>
      </c>
      <c r="AI3" s="636"/>
      <c r="AJ3" s="636"/>
      <c r="AK3" s="636"/>
      <c r="AL3" s="636" t="s">
        <v>269</v>
      </c>
      <c r="AM3" s="636"/>
      <c r="AN3" s="636"/>
      <c r="AO3" s="636"/>
      <c r="AP3" s="636" t="s">
        <v>1161</v>
      </c>
      <c r="AQ3" s="636"/>
      <c r="AR3" s="636"/>
      <c r="AS3" s="636"/>
    </row>
    <row r="4" spans="1:45" ht="29.5" thickBot="1">
      <c r="A4" s="624"/>
      <c r="B4" s="59" t="s">
        <v>50</v>
      </c>
      <c r="C4" s="59" t="s">
        <v>51</v>
      </c>
      <c r="D4" s="59" t="s">
        <v>52</v>
      </c>
      <c r="E4" s="59" t="s">
        <v>50</v>
      </c>
      <c r="F4" s="59" t="s">
        <v>51</v>
      </c>
      <c r="G4" s="59" t="s">
        <v>52</v>
      </c>
      <c r="H4" s="59" t="s">
        <v>50</v>
      </c>
      <c r="I4" s="59" t="s">
        <v>51</v>
      </c>
      <c r="J4" s="59" t="s">
        <v>52</v>
      </c>
      <c r="K4" s="60" t="s">
        <v>50</v>
      </c>
      <c r="L4" s="60" t="s">
        <v>51</v>
      </c>
      <c r="M4" s="60" t="s">
        <v>52</v>
      </c>
      <c r="N4" s="60" t="s">
        <v>50</v>
      </c>
      <c r="O4" s="60" t="s">
        <v>51</v>
      </c>
      <c r="P4" s="60" t="s">
        <v>52</v>
      </c>
      <c r="Q4" s="60" t="s">
        <v>50</v>
      </c>
      <c r="R4" s="60" t="s">
        <v>51</v>
      </c>
      <c r="S4" s="60" t="s">
        <v>52</v>
      </c>
      <c r="U4" s="640"/>
      <c r="V4" s="61" t="s">
        <v>50</v>
      </c>
      <c r="W4" s="61" t="s">
        <v>51</v>
      </c>
      <c r="X4" s="61" t="s">
        <v>52</v>
      </c>
      <c r="Y4" s="61" t="s">
        <v>539</v>
      </c>
      <c r="Z4" s="61" t="s">
        <v>50</v>
      </c>
      <c r="AA4" s="61" t="s">
        <v>51</v>
      </c>
      <c r="AB4" s="61" t="s">
        <v>52</v>
      </c>
      <c r="AC4" s="61" t="s">
        <v>539</v>
      </c>
      <c r="AD4" s="61" t="s">
        <v>50</v>
      </c>
      <c r="AE4" s="61" t="s">
        <v>51</v>
      </c>
      <c r="AF4" s="61" t="s">
        <v>52</v>
      </c>
      <c r="AG4" s="61" t="s">
        <v>539</v>
      </c>
      <c r="AH4" s="62" t="s">
        <v>50</v>
      </c>
      <c r="AI4" s="62" t="s">
        <v>51</v>
      </c>
      <c r="AJ4" s="62" t="s">
        <v>52</v>
      </c>
      <c r="AK4" s="62" t="s">
        <v>539</v>
      </c>
      <c r="AL4" s="62" t="s">
        <v>50</v>
      </c>
      <c r="AM4" s="62" t="s">
        <v>51</v>
      </c>
      <c r="AN4" s="62" t="s">
        <v>52</v>
      </c>
      <c r="AO4" s="62" t="s">
        <v>539</v>
      </c>
      <c r="AP4" s="62" t="s">
        <v>50</v>
      </c>
      <c r="AQ4" s="62" t="s">
        <v>51</v>
      </c>
      <c r="AR4" s="62" t="s">
        <v>52</v>
      </c>
      <c r="AS4" s="62" t="s">
        <v>539</v>
      </c>
    </row>
    <row r="5" spans="1:45" ht="15" thickBot="1">
      <c r="A5" s="63" t="s">
        <v>270</v>
      </c>
      <c r="B5" s="59">
        <f>SUMIFS('Status of Curriculum Completion'!$M$4:$M$38,'Status of Curriculum Completion'!$C$4:$C$38,"CEE",'Status of Curriculum Completion'!$G$4:$G$38,"Complete")+SUMIFS('Status of Curriculum Completion'!$Z$4:$Z$38,'Status of Curriculum Completion'!$P$4:$P$38,"CEE",'Status of Curriculum Completion'!$T$4:$T$38,"Complete")+SUMIFS('Status of Curriculum Completion'!$AM$4:$AM$38,'Status of Curriculum Completion'!$AC$4:$AC$38,"CEE",'Status of Curriculum Completion'!$AG$4:$AG$38,"Complete")</f>
        <v>0</v>
      </c>
      <c r="C5" s="59">
        <f>SUMIFS('Status of Curriculum Completion'!$M$4:$M$38,'Status of Curriculum Completion'!$C$4:$C$38,"CEE",'Status of Curriculum Completion'!$G$4:$G$38,"In progress")+SUMIFS('Status of Curriculum Completion'!$Z$4:$Z$38,'Status of Curriculum Completion'!$P$4:$P$38,"CEE",'Status of Curriculum Completion'!$T$4:$T$38,"In progress")+SUMIFS('Status of Curriculum Completion'!$AM$4:$AM$38,'Status of Curriculum Completion'!$AC$4:$AC$38,"CEE",'Status of Curriculum Completion'!$AG$4:$AG$38,"In progress")</f>
        <v>0</v>
      </c>
      <c r="D5"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E5" s="59">
        <f>SUMIFS('Status of Curriculum Completion'!$M$4:$M$38,'Status of Curriculum Completion'!$C$4:$C$38,"CEE",'Status of Curriculum Completion'!$H$4:$H$38,"Complete")+SUMIFS('Status of Curriculum Completion'!$Z$4:$Z$38,'Status of Curriculum Completion'!$P$4:$P$38,"CEE",'Status of Curriculum Completion'!$U$4:$U$38,"Complete")+SUMIFS('Status of Curriculum Completion'!$AM$4:$AM$38,'Status of Curriculum Completion'!$AC$4:$AC$38,"CEE",'Status of Curriculum Completion'!$AH$4:$AH$38,"Complete")</f>
        <v>0</v>
      </c>
      <c r="F5" s="59">
        <f>SUMIFS('Status of Curriculum Completion'!$M$4:$M$38,'Status of Curriculum Completion'!$C$4:$C$38,"CEE",'Status of Curriculum Completion'!$H$4:$H$38,"In Progress")+SUMIFS('Status of Curriculum Completion'!$Z$4:$Z$38,'Status of Curriculum Completion'!$P$4:$P$38,"CEE",'Status of Curriculum Completion'!$U$4:$U$38,"In Progress")+SUMIFS('Status of Curriculum Completion'!$AM$4:$AM$38,'Status of Curriculum Completion'!$AC$4:$AC$38,"CEE",'Status of Curriculum Completion'!$AH$4:$AH$38,"In Progress")</f>
        <v>0</v>
      </c>
      <c r="G5" s="59">
        <f>SUMIFS('Status of Curriculum Completion'!$M$4:$M$38,'Status of Curriculum Completion'!$C$4:$C$38,"CEE",'Status of Curriculum Completion'!$H$4:$H$38,"Planned")+SUMIFS('Status of Curriculum Completion'!$Z$4:$Z$38,'Status of Curriculum Completion'!$P$4:$P$38,"CEE",'Status of Curriculum Completion'!$U$4:$U$38,"Planned")+SUMIFS('Status of Curriculum Completion'!$AM$4:$AM$38,'Status of Curriculum Completion'!$AC$4:$AC$38,"CEE",'Status of Curriculum Completion'!$AH$4:$AH$38,"Planned")</f>
        <v>0</v>
      </c>
      <c r="H5" s="59">
        <f>SUMIFS('Status of Curriculum Completion'!$M$4:$M$38,'Status of Curriculum Completion'!$C$4:$C$38,"CEE",'Status of Curriculum Completion'!$I$4:$I$38,"Complete")+SUMIFS('Status of Curriculum Completion'!$Z$4:$Z$38,'Status of Curriculum Completion'!$P$4:$P$38,"CEE",'Status of Curriculum Completion'!$V$4:$V$38,"Complete")+SUMIFS('Status of Curriculum Completion'!$AM$4:$AM$38,'Status of Curriculum Completion'!$AC$4:$AC$38,"CEE",'Status of Curriculum Completion'!$AI$4:$AI$38,"Complete")</f>
        <v>0</v>
      </c>
      <c r="I5" s="59">
        <f>SUMIFS('Status of Curriculum Completion'!$M$4:$M$38,'Status of Curriculum Completion'!$C$4:$C$38,"CEE",'Status of Curriculum Completion'!$I$4:$I$38,"In Progress")+SUMIFS('Status of Curriculum Completion'!$Z$4:$Z$38,'Status of Curriculum Completion'!$P$4:$P$38,"CEE",'Status of Curriculum Completion'!$V$4:$V$38,"In Progress")+SUMIFS('Status of Curriculum Completion'!$AM$4:$AM$38,'Status of Curriculum Completion'!$AC$4:$AC$38,"CEE",'Status of Curriculum Completion'!$AI$4:$AI$38,"In Progress")</f>
        <v>0</v>
      </c>
      <c r="J5" s="59">
        <f>SUMIFS('Status of Curriculum Completion'!$M$4:$M$38,'Status of Curriculum Completion'!$C$4:$C$38,"CEE",'Status of Curriculum Completion'!$I$4:$I$38,"Planned")+SUMIFS('Status of Curriculum Completion'!$Z$4:$Z$38,'Status of Curriculum Completion'!$P$4:$P$38,"CEE",'Status of Curriculum Completion'!$V$4:$V$38,"Planned")+SUMIFS('Status of Curriculum Completion'!$AM$4:$AM$38,'Status of Curriculum Completion'!$AC$4:$AC$38,"CEE",'Status of Curriculum Completion'!$AI$4:$AI$38,"Planned")</f>
        <v>0</v>
      </c>
      <c r="K5" s="60">
        <f>SUMIFS('Status of Curriculum Completion'!$AZ$4:$AZ$38,'Status of Curriculum Completion'!$AP$4:$AP$38,"CEE",'Status of Curriculum Completion'!$AT$4:$AT$38,"Complete")+SUMIFS('Status of Curriculum Completion'!$BM$4:$BM$38,'Status of Curriculum Completion'!$BC$4:$BC$38,"CEE",'Status of Curriculum Completion'!$BG$4:$BG$38,"Complete")+SUMIFS('Status of Curriculum Completion'!$BZ$4:$BZ$38,'Status of Curriculum Completion'!$BP$4:$BP$38,"CEE",'Status of Curriculum Completion'!$BT$4:$BT$38,"Complete")</f>
        <v>0</v>
      </c>
      <c r="L5" s="60">
        <f>SUMIFS('Status of Curriculum Completion'!$AZ$4:$AZ$38,'Status of Curriculum Completion'!$AP$4:$AP$38,"CEE",'Status of Curriculum Completion'!$AT$4:$AT$38,"In Progress")+SUMIFS('Status of Curriculum Completion'!$BM$4:$BM$38,'Status of Curriculum Completion'!$BC$4:$BC$38,"CEE",'Status of Curriculum Completion'!$BG$4:$BG$38,"In Progress")+SUMIFS('Status of Curriculum Completion'!$BZ$4:$BZ$38,'Status of Curriculum Completion'!$BP$4:$BP$38,"CEE",'Status of Curriculum Completion'!$BT$4:$BT$38,"In Progress")</f>
        <v>0</v>
      </c>
      <c r="M5" s="60">
        <f>SUMIFS('Status of Curriculum Completion'!$AZ$4:$AZ$38,'Status of Curriculum Completion'!$AP$4:$AP$38,"CEE",'Status of Curriculum Completion'!$AT$4:$AT$38,"Planned")+SUMIFS('Status of Curriculum Completion'!$BM$4:$BM$38,'Status of Curriculum Completion'!$BC$4:$BC$38,"CEE",'Status of Curriculum Completion'!$BG$4:$BG$38,"Planned")+SUMIFS('Status of Curriculum Completion'!$BZ$4:$BZ$38,'Status of Curriculum Completion'!$BP$4:$BP$38,"CEE",'Status of Curriculum Completion'!$BT$4:$BT$38,"Planned")</f>
        <v>0</v>
      </c>
      <c r="N5" s="60">
        <f>SUMIFS('Status of Curriculum Completion'!$AZ$4:$AZ$38,'Status of Curriculum Completion'!$AP$4:$AP$38,"CEE",'Status of Curriculum Completion'!$AU$4:$AU$38,"Complete")+SUMIFS('Status of Curriculum Completion'!$BM$4:$BM$38,'Status of Curriculum Completion'!$BC$4:$BC$38,"CEE",'Status of Curriculum Completion'!$BH$4:$BH$38,"Complete")+SUMIFS('Status of Curriculum Completion'!$BZ$4:$BZ$38,'Status of Curriculum Completion'!$BP$4:$BP$38,"CEE",'Status of Curriculum Completion'!$BU$4:$BU$38,"Complete")</f>
        <v>0</v>
      </c>
      <c r="O5" s="60">
        <f>SUMIFS('Status of Curriculum Completion'!$AZ$4:$AZ$38,'Status of Curriculum Completion'!$AP$4:$AP$38,"CEE",'Status of Curriculum Completion'!$AU$4:$AU$38,"In Progress")+SUMIFS('Status of Curriculum Completion'!$BM$4:$BM$38,'Status of Curriculum Completion'!$BC$4:$BC$38,"CEE",'Status of Curriculum Completion'!$BH$4:$BH$38,"In Progress")+SUMIFS('Status of Curriculum Completion'!$BZ$4:$BZ$38,'Status of Curriculum Completion'!$BP$4:$BP$38,"CEE",'Status of Curriculum Completion'!$BU$4:$BU$38,"In Progress")</f>
        <v>0</v>
      </c>
      <c r="P5" s="60">
        <f>SUMIFS('Status of Curriculum Completion'!$AZ$4:$AZ$38,'Status of Curriculum Completion'!$AP$4:$AP$38,"CEE",'Status of Curriculum Completion'!$AU$4:$AU$38,"Planned")+SUMIFS('Status of Curriculum Completion'!$BM$4:$BM$38,'Status of Curriculum Completion'!$BC$4:$BC$38,"CEE",'Status of Curriculum Completion'!$BH$4:$BH$38,"Planned")+SUMIFS('Status of Curriculum Completion'!$BZ$4:$BZ$38,'Status of Curriculum Completion'!$BP$4:$BP$38,"CEE",'Status of Curriculum Completion'!$BU$4:$BU$38,"Planned")</f>
        <v>0</v>
      </c>
      <c r="Q5" s="60">
        <f>SUMIFS('Status of Curriculum Completion'!$AZ$4:$AZ$38,'Status of Curriculum Completion'!$AP$4:$AP$38,"CEE",'Status of Curriculum Completion'!$AV$4:$AV$38,"Complete")+SUMIFS('Status of Curriculum Completion'!$BM$4:$BM$38,'Status of Curriculum Completion'!$BC$4:$BC$38,"CEE",'Status of Curriculum Completion'!$BI$4:$BI$38,"Complete")+SUMIFS('Status of Curriculum Completion'!$BZ$4:$BZ$38,'Status of Curriculum Completion'!$BP$4:$BP$38,"CEE",'Status of Curriculum Completion'!$BV$4:$BV$38,"Complete")</f>
        <v>0</v>
      </c>
      <c r="R5" s="60">
        <f>SUMIFS('Status of Curriculum Completion'!$AZ$4:$AZ$38,'Status of Curriculum Completion'!$AP$4:$AP$38,"CEE",'Status of Curriculum Completion'!$AV$4:$AV$38,"In Progress")+SUMIFS('Status of Curriculum Completion'!$BM$4:$BM$38,'Status of Curriculum Completion'!$BC$4:$BC$38,"CEE",'Status of Curriculum Completion'!$BI$4:$BI$38,"In Progress")+SUMIFS('Status of Curriculum Completion'!$BZ$4:$BZ$38,'Status of Curriculum Completion'!$BP$4:$BP$38,"CEE",'Status of Curriculum Completion'!$BV$4:$BV$38,"In Progress")</f>
        <v>0</v>
      </c>
      <c r="S5" s="60">
        <f>SUMIFS('Status of Curriculum Completion'!$AZ$4:$AZ$38,'Status of Curriculum Completion'!$AP$4:$AP$38,"CEE",'Status of Curriculum Completion'!$AV$4:$AV$38,"Planned")+SUMIFS('Status of Curriculum Completion'!$BM$4:$BM$38,'Status of Curriculum Completion'!$BC$4:$BC$38,"CEE",'Status of Curriculum Completion'!$BI$4:$BI$38,"Planned")+SUMIFS('Status of Curriculum Completion'!$BZ$4:$BZ$38,'Status of Curriculum Completion'!$BP$4:$BP$38,"CEE",'Status of Curriculum Completion'!$BV$4:$BV$38,"Planned")</f>
        <v>0</v>
      </c>
      <c r="U5" s="63" t="s">
        <v>270</v>
      </c>
      <c r="V5" s="61">
        <f>SUMIFS('Status of Curriculum Completion'!$CM$4:$CM$38,'Status of Curriculum Completion'!$CC$4:$CC$38,"CEE",'Status of Curriculum Completion'!$CG$4:$CG$38,"Complete")+SUMIFS('Status of Curriculum Completion'!$CZ$4:$CZ$38,'Status of Curriculum Completion'!$CP$4:$CP$38,"CEE",'Status of Curriculum Completion'!$CT$4:$CT$38,"Complete")+SUMIFS('Status of Curriculum Completion'!$DM$4:$DM$38,'Status of Curriculum Completion'!$DC$4:$DC$38,"CEE",'Status of Curriculum Completion'!$DG$4:$DG$38,"Complete")</f>
        <v>0</v>
      </c>
      <c r="W5" s="61">
        <f>SUMIFS('Status of Curriculum Completion'!$CM$4:$CM$38,'Status of Curriculum Completion'!$CC$4:$CC$38,"CEE",'Status of Curriculum Completion'!$CG$4:$CG$38,"In Progress")+SUMIFS('Status of Curriculum Completion'!$CZ$4:$CZ$38,'Status of Curriculum Completion'!$CP$4:$CP$38,"CEE",'Status of Curriculum Completion'!$CT$4:$CT$38,"In Progress")+SUMIFS('Status of Curriculum Completion'!$DM$4:$DM$38,'Status of Curriculum Completion'!$DC$4:$DC$38,"CEE",'Status of Curriculum Completion'!$DG$4:$DG$38,"In Progress")</f>
        <v>0</v>
      </c>
      <c r="X5" s="61">
        <f>SUMIFS('Status of Curriculum Completion'!$CM$4:$CM$38,'Status of Curriculum Completion'!$CC$4:$CC$38,"CEE",'Status of Curriculum Completion'!$CG$4:$CG$38,"Planned")+SUMIFS('Status of Curriculum Completion'!$CZ$4:$CZ$38,'Status of Curriculum Completion'!$CP$4:$CP$38,"CEE",'Status of Curriculum Completion'!$CT$4:$CT$38,"Planned")+SUMIFS('Status of Curriculum Completion'!$DM$4:$DM$38,'Status of Curriculum Completion'!$DC$4:$DC$38,"CEE",'Status of Curriculum Completion'!$DG$4:$DG$38,"Planned")</f>
        <v>0</v>
      </c>
      <c r="Y5" s="61">
        <f>SUMIFS('Status of Curriculum Completion'!$CM$4:$CM$38,'Status of Curriculum Completion'!$CC$4:$CC$38,"CEE",'Status of Curriculum Completion'!$CG$4:$CG$38,"Tentative")+SUMIFS('Status of Curriculum Completion'!$CZ$4:$CZ$38,'Status of Curriculum Completion'!$CP$4:$CP$38,"CEE",'Status of Curriculum Completion'!$CT$4:$CT$38,"Tentative")+SUMIFS('Status of Curriculum Completion'!$DM$4:$DM$38,'Status of Curriculum Completion'!$DC$4:$DC$38,"CEE",'Status of Curriculum Completion'!$DG$4:$DG$38,"Tentative")</f>
        <v>0</v>
      </c>
      <c r="Z5" s="61">
        <f>SUMIFS('Status of Curriculum Completion'!$CM$4:$CM$38,'Status of Curriculum Completion'!$CC$4:$CC$38,"CEE",'Status of Curriculum Completion'!$CH$4:$CH$38,"Complete")+SUMIFS('Status of Curriculum Completion'!$CZ$4:$CZ$38,'Status of Curriculum Completion'!$CP$4:$CP$38,"CEE",'Status of Curriculum Completion'!$CU$4:$CU$38,"Complete")+SUMIFS('Status of Curriculum Completion'!$DM$4:$DM$38,'Status of Curriculum Completion'!$DC$4:$DC$38,"CEE",'Status of Curriculum Completion'!$DH$4:$DH$38,"Complete")</f>
        <v>0</v>
      </c>
      <c r="AA5" s="61">
        <f>SUMIFS('Status of Curriculum Completion'!$CM$4:$CM$38,'Status of Curriculum Completion'!$CC$4:$CC$38,"CEE",'Status of Curriculum Completion'!$CH$4:$CH$38,"In Progress")+SUMIFS('Status of Curriculum Completion'!$CZ$4:$CZ$38,'Status of Curriculum Completion'!$CP$4:$CP$38,"CEE",'Status of Curriculum Completion'!$CU$4:$CU$38,"In Progress")+SUMIFS('Status of Curriculum Completion'!$DM$4:$DM$38,'Status of Curriculum Completion'!$DC$4:$DC$38,"CEE",'Status of Curriculum Completion'!$DH$4:$DH$38,"In Progress")</f>
        <v>0</v>
      </c>
      <c r="AB5" s="61">
        <f>SUMIFS('Status of Curriculum Completion'!$CM$4:$CM$38,'Status of Curriculum Completion'!$CC$4:$CC$38,"CEE",'Status of Curriculum Completion'!$CH$4:$CH$38,"Planned")+SUMIFS('Status of Curriculum Completion'!$CZ$4:$CZ$38,'Status of Curriculum Completion'!$CP$4:$CP$38,"CEE",'Status of Curriculum Completion'!$CU$4:$CU$38,"Planned")+SUMIFS('Status of Curriculum Completion'!$DM$4:$DM$38,'Status of Curriculum Completion'!$DC$4:$DC$38,"CEE",'Status of Curriculum Completion'!$DH$4:$DH$38,"Planned")</f>
        <v>0</v>
      </c>
      <c r="AC5" s="61">
        <f>SUMIFS('Status of Curriculum Completion'!$CM$4:$CM$38,'Status of Curriculum Completion'!$CC$4:$CC$38,"CEE",'Status of Curriculum Completion'!$CH$4:$CH$38,"Tentative")+SUMIFS('Status of Curriculum Completion'!$CZ$4:$CZ$38,'Status of Curriculum Completion'!$CP$4:$CP$38,"CEE",'Status of Curriculum Completion'!$CU$4:$CU$38,"Tentative")+SUMIFS('Status of Curriculum Completion'!$DM$4:$DM$38,'Status of Curriculum Completion'!$DC$4:$DC$38,"CEE",'Status of Curriculum Completion'!$DH$4:$DH$38,"Tentative")</f>
        <v>0</v>
      </c>
      <c r="AD5" s="61">
        <f>SUMIFS('Status of Curriculum Completion'!$CM$4:$CM$38,'Status of Curriculum Completion'!$CC$4:$CC$38,"CEE",'Status of Curriculum Completion'!$CI$4:$CI$38,"Complete")+SUMIFS('Status of Curriculum Completion'!$CZ$4:$CZ$38,'Status of Curriculum Completion'!$CP$4:$CP$38,"CEE",'Status of Curriculum Completion'!$CV$4:$CV$38,"Complete")+SUMIFS('Status of Curriculum Completion'!$DM$4:$DM$38,'Status of Curriculum Completion'!$DC$4:$DC$38,"CEE",'Status of Curriculum Completion'!$DI$4:$DI$38,"Complete")</f>
        <v>0</v>
      </c>
      <c r="AE5" s="61">
        <f>SUMIFS('Status of Curriculum Completion'!$CM$4:$CM$38,'Status of Curriculum Completion'!$CC$4:$CC$38,"CEE",'Status of Curriculum Completion'!$CI$4:$CI$38,"In Progress")+SUMIFS('Status of Curriculum Completion'!$CZ$4:$CZ$38,'Status of Curriculum Completion'!$CP$4:$CP$38,"CEE",'Status of Curriculum Completion'!$CV$4:$CV$38,"In Progress")+SUMIFS('Status of Curriculum Completion'!$DM$4:$DM$38,'Status of Curriculum Completion'!$DC$4:$DC$38,"CEE",'Status of Curriculum Completion'!$DI$4:$DI$38,"In Progress")</f>
        <v>0</v>
      </c>
      <c r="AF5" s="61">
        <f>SUMIFS('Status of Curriculum Completion'!$CM$4:$CM$38,'Status of Curriculum Completion'!$CC$4:$CC$38,"CEE",'Status of Curriculum Completion'!$CI$4:$CI$38,"Planned")+SUMIFS('Status of Curriculum Completion'!$CZ$4:$CZ$38,'Status of Curriculum Completion'!$CP$4:$CP$38,"CEE",'Status of Curriculum Completion'!$CV$4:$CV$38,"Planned")+SUMIFS('Status of Curriculum Completion'!$DM$4:$DM$38,'Status of Curriculum Completion'!$DC$4:$DC$38,"CEE",'Status of Curriculum Completion'!$DI$4:$DI$38,"Planned")</f>
        <v>0</v>
      </c>
      <c r="AG5" s="61">
        <f>SUMIFS('Status of Curriculum Completion'!$CM$4:$CM$38,'Status of Curriculum Completion'!$CC$4:$CC$38,"CEE",'Status of Curriculum Completion'!$CI$4:$CI$38,"Tentative")+SUMIFS('Status of Curriculum Completion'!$CZ$4:$CZ$38,'Status of Curriculum Completion'!$CP$4:$CP$38,"CEE",'Status of Curriculum Completion'!$CV$4:$CV$38,"Tentative")+SUMIFS('Status of Curriculum Completion'!$DM$4:$DM$38,'Status of Curriculum Completion'!$DC$4:$DC$38,"CEE",'Status of Curriculum Completion'!$DI$4:$DI$38,"Tentative")</f>
        <v>0</v>
      </c>
      <c r="AH5" s="62">
        <f>SUMIFS('Status of Curriculum Completion'!$DZ$4:$DZ$38,'Status of Curriculum Completion'!$DP$4:$DP$38,"CEE",'Status of Curriculum Completion'!$DT$4:$DT$38,"Complete")+SUMIFS('Status of Curriculum Completion'!$EM$4:$EM$38,'Status of Curriculum Completion'!$EC$4:$EC$38,"CEE",'Status of Curriculum Completion'!$EG$4:$EG$38,"Complete")+SUMIFS('Status of Curriculum Completion'!$EZ$4:$EZ$38,'Status of Curriculum Completion'!$EP$4:$EP$38,"CEE",'Status of Curriculum Completion'!$ET$4:$ET$38,"Complete")</f>
        <v>0</v>
      </c>
      <c r="AI5" s="62">
        <f>SUMIFS('Status of Curriculum Completion'!$DZ$4:$DZ$38,'Status of Curriculum Completion'!$DP$4:$DP$38,"CEE",'Status of Curriculum Completion'!$DT$4:$DT$38,"In Progress")+SUMIFS('Status of Curriculum Completion'!$EM$4:$EM$38,'Status of Curriculum Completion'!$EC$4:$EC$38,"CEE",'Status of Curriculum Completion'!$EG$4:$EG$38,"In Progress")+SUMIFS('Status of Curriculum Completion'!$EZ$4:$EZ$38,'Status of Curriculum Completion'!$EP$4:$EP$38,"CEE",'Status of Curriculum Completion'!$ET$4:$ET$38,"In Progress")</f>
        <v>0</v>
      </c>
      <c r="AJ5" s="62">
        <f>SUMIFS('Status of Curriculum Completion'!$DZ$4:$DZ$38,'Status of Curriculum Completion'!$DP$4:$DP$38,"CEE",'Status of Curriculum Completion'!$DT$4:$DT$38,"Planned")+SUMIFS('Status of Curriculum Completion'!$EM$4:$EM$38,'Status of Curriculum Completion'!$EC$4:$EC$38,"CEE",'Status of Curriculum Completion'!$EG$4:$EG$38,"Planned")+SUMIFS('Status of Curriculum Completion'!$EZ$4:$EZ$38,'Status of Curriculum Completion'!$EP$4:$EP$38,"CEE",'Status of Curriculum Completion'!$ET$4:$ET$38,"Planned")</f>
        <v>0</v>
      </c>
      <c r="AK5" s="62">
        <f>SUMIFS('Status of Curriculum Completion'!$DZ$4:$DZ$38,'Status of Curriculum Completion'!$DP$4:$DP$38,"CEE",'Status of Curriculum Completion'!$DT$4:$DT$38,"Tentative")+SUMIFS('Status of Curriculum Completion'!$EM$4:$EM$38,'Status of Curriculum Completion'!$EC$4:$EC$38,"CEE",'Status of Curriculum Completion'!$EG$4:$EG$38,"Tentative")+SUMIFS('Status of Curriculum Completion'!$EZ$4:$EZ$38,'Status of Curriculum Completion'!$EP$4:$EP$38,"CEE",'Status of Curriculum Completion'!$ET$4:$ET$38,"Tentative")</f>
        <v>0</v>
      </c>
      <c r="AL5" s="62">
        <f>SUMIFS('Status of Curriculum Completion'!$DZ$4:$DZ$38,'Status of Curriculum Completion'!$DP$4:$DP$38,"CEE",'Status of Curriculum Completion'!$DU$4:$DU$38,"Complete")+SUMIFS('Status of Curriculum Completion'!$EM$4:$EM$38,'Status of Curriculum Completion'!$EC$4:$EC$38,"CEE",'Status of Curriculum Completion'!$EH$4:$EH$38,"Complete")+SUMIFS('Status of Curriculum Completion'!$EZ$4:$EZ$38,'Status of Curriculum Completion'!$EP$4:$EP$38,"CEE",'Status of Curriculum Completion'!$EU$4:$EU$38,"Complete")</f>
        <v>0</v>
      </c>
      <c r="AM5" s="62">
        <f>SUMIFS('Status of Curriculum Completion'!$DZ$4:$DZ$38,'Status of Curriculum Completion'!$DP$4:$DP$38,"CEE",'Status of Curriculum Completion'!$DU$4:$DU$38,"In Progress")+SUMIFS('Status of Curriculum Completion'!$EM$4:$EM$38,'Status of Curriculum Completion'!$EC$4:$EC$38,"CEE",'Status of Curriculum Completion'!$EH$4:$EH$38,"In Progress")+SUMIFS('Status of Curriculum Completion'!$EZ$4:$EZ$38,'Status of Curriculum Completion'!$EP$4:$EP$38,"CEE",'Status of Curriculum Completion'!$EU$4:$EU$38,"In Progress")</f>
        <v>0</v>
      </c>
      <c r="AN5" s="62">
        <f>SUMIFS('Status of Curriculum Completion'!$DZ$4:$DZ$38,'Status of Curriculum Completion'!$DP$4:$DP$38,"CEE",'Status of Curriculum Completion'!$DU$4:$DU$38,"Planned")+SUMIFS('Status of Curriculum Completion'!$EM$4:$EM$38,'Status of Curriculum Completion'!$EC$4:$EC$38,"CEE",'Status of Curriculum Completion'!$EH$4:$EH$38,"Planned")+SUMIFS('Status of Curriculum Completion'!$EZ$4:$EZ$38,'Status of Curriculum Completion'!$EP$4:$EP$38,"CEE",'Status of Curriculum Completion'!$EU$4:$EU$38,"Planned")</f>
        <v>0</v>
      </c>
      <c r="AO5" s="62">
        <f>SUMIFS('Status of Curriculum Completion'!$DZ$4:$DZ$38,'Status of Curriculum Completion'!$DP$4:$DP$38,"CEE",'Status of Curriculum Completion'!$DU$4:$DU$38,"Tentative")+SUMIFS('Status of Curriculum Completion'!$EM$4:$EM$38,'Status of Curriculum Completion'!$EC$4:$EC$38,"CEE",'Status of Curriculum Completion'!$EH$4:$EH$38,"Tentative")+SUMIFS('Status of Curriculum Completion'!$EZ$4:$EZ$38,'Status of Curriculum Completion'!$EP$4:$EP$38,"CEE",'Status of Curriculum Completion'!$EU$4:$EU$38,"Tentative")</f>
        <v>0</v>
      </c>
      <c r="AP5" s="62">
        <f>SUMIFS('Status of Curriculum Completion'!$DZ$4:$DZ$38,'Status of Curriculum Completion'!$DP$4:$DP$38,"CEE",'Status of Curriculum Completion'!$DV$4:$DV$38,"Complete")+SUMIFS('Status of Curriculum Completion'!$EM$4:$EM$38,'Status of Curriculum Completion'!$EC$4:$EC$38,"CEE",'Status of Curriculum Completion'!$EI$4:$EI$38,"Complete")+SUMIFS('Status of Curriculum Completion'!$EZ$4:$EZ$38,'Status of Curriculum Completion'!$EP$4:$EP$38,"CEE",'Status of Curriculum Completion'!$EV$4:$EV$38,"Complete")</f>
        <v>0</v>
      </c>
      <c r="AQ5" s="62">
        <f>SUMIFS('Status of Curriculum Completion'!$DZ$4:$DZ$38,'Status of Curriculum Completion'!$DP$4:$DP$38,"CEE",'Status of Curriculum Completion'!$DV$4:$DV$38,"In Progress")+SUMIFS('Status of Curriculum Completion'!$EM$4:$EM$38,'Status of Curriculum Completion'!$EC$4:$EC$38,"CEE",'Status of Curriculum Completion'!$EI$4:$EI$38,"In Progress")+SUMIFS('Status of Curriculum Completion'!$EZ$4:$EZ$38,'Status of Curriculum Completion'!$EP$4:$EP$38,"CEE",'Status of Curriculum Completion'!$EV$4:$EV$38,"In Progress")</f>
        <v>0</v>
      </c>
      <c r="AR5" s="62">
        <f>SUMIFS('Status of Curriculum Completion'!$DZ$4:$DZ$38,'Status of Curriculum Completion'!$DP$4:$DP$38,"CEE",'Status of Curriculum Completion'!$DV$4:$DV$38,"Planned")+SUMIFS('Status of Curriculum Completion'!$EM$4:$EM$38,'Status of Curriculum Completion'!$EC$4:$EC$38,"CEE",'Status of Curriculum Completion'!$EI$4:$EI$38,"Planned")+SUMIFS('Status of Curriculum Completion'!$EZ$4:$EZ$38,'Status of Curriculum Completion'!$EP$4:$EP$38,"CEE",'Status of Curriculum Completion'!$EV$4:$EV$38,"Planned")</f>
        <v>0</v>
      </c>
      <c r="AS5" s="62">
        <f>SUMIFS('Status of Curriculum Completion'!$DZ$4:$DZ$38,'Status of Curriculum Completion'!$DP$4:$DP$38,"CEE",'Status of Curriculum Completion'!$DV$4:$DV$38,"Tentative")+SUMIFS('Status of Curriculum Completion'!$EM$4:$EM$38,'Status of Curriculum Completion'!$EC$4:$EC$38,"CEE",'Status of Curriculum Completion'!$EI$4:$EI$38,"Tentative")+SUMIFS('Status of Curriculum Completion'!$EZ$4:$EZ$38,'Status of Curriculum Completion'!$EP$4:$EP$38,"CEE",'Status of Curriculum Completion'!$EV$4:$EV$38,"Tentative")</f>
        <v>0</v>
      </c>
    </row>
    <row r="6" spans="1:45" ht="29.5" thickBot="1">
      <c r="A6" s="63" t="s">
        <v>1162</v>
      </c>
      <c r="B6" s="59">
        <f>SUMIFS('Status of Curriculum Completion'!M$4:M$38,'Status of Curriculum Completion'!C$4:C$38,"CIC China",'Status of Curriculum Completion'!G$4:G$38,"Complete")+SUMIFS('Status of Curriculum Completion'!Z$4:Z$38,'Status of Curriculum Completion'!P$4:P$38,"CIC China",'Status of Curriculum Completion'!T$4:T$38,"Complete")+SUMIFS('Status of Curriculum Completion'!AM$4:AM$38,'Status of Curriculum Completion'!AC$4:AC$38,"CIC China",'Status of Curriculum Completion'!AG$4:AG$38,"Complete")</f>
        <v>0</v>
      </c>
      <c r="C6" s="59">
        <f>SUMIFS('Status of Curriculum Completion'!$M$4:$M$38,'Status of Curriculum Completion'!$C$4:$C$38,"CIC China",'Status of Curriculum Completion'!$G$4:$G$38,"In progress")+SUMIFS('Status of Curriculum Completion'!$Z$4:$Z$38,'Status of Curriculum Completion'!$P$4:$P$38,"CIC China",'Status of Curriculum Completion'!$T$4:$T$38,"In progress")+SUMIFS('Status of Curriculum Completion'!$AM$4:$AM$38,'Status of Curriculum Completion'!$AC$4:$AC$38,"CIC China",'Status of Curriculum Completion'!$AG$4:$AG$38,"In progress")</f>
        <v>0</v>
      </c>
      <c r="D6" s="59">
        <f>SUMIFS('Status of Curriculum Completion'!$M$4:$M$38,'Status of Curriculum Completion'!$C$4:$C$38,"CIC China",'Status of Curriculum Completion'!$G$4:$G$38,"Planned")+SUMIFS('Status of Curriculum Completion'!$Z$4:$Z$38,'Status of Curriculum Completion'!$P$4:$P$38,"CIC China",'Status of Curriculum Completion'!$T$4:$T$38,"Planned")+SUMIFS('Status of Curriculum Completion'!$AM$4:$AM$38,'Status of Curriculum Completion'!$AC$4:$AC$38,"CIC China",'Status of Curriculum Completion'!$AG$4:$AG$38,"Planned")</f>
        <v>0</v>
      </c>
      <c r="E6" s="59">
        <f>SUMIFS('Status of Curriculum Completion'!$M$4:$M$38,'Status of Curriculum Completion'!$C$4:$C$38,"CIC China",'Status of Curriculum Completion'!$H$4:$H$38,"Complete")+SUMIFS('Status of Curriculum Completion'!$Z$4:$Z$38,'Status of Curriculum Completion'!$P$4:$P$38,"CIC China",'Status of Curriculum Completion'!$U$4:$U$38,"Complete")+SUMIFS('Status of Curriculum Completion'!$AM$4:$AM$38,'Status of Curriculum Completion'!$AC$4:$AC$38,"CIC China",'Status of Curriculum Completion'!$AH$4:$AH$38,"Complete")</f>
        <v>0</v>
      </c>
      <c r="F6" s="59">
        <f>SUMIFS('Status of Curriculum Completion'!$M$4:$M$38,'Status of Curriculum Completion'!$C$4:$C$38,"CIC China",'Status of Curriculum Completion'!$H$4:$H$38,"In Progress")+SUMIFS('Status of Curriculum Completion'!$Z$4:$Z$38,'Status of Curriculum Completion'!$P$4:$P$38,"CIC China",'Status of Curriculum Completion'!$U$4:$U$38,"In Progress")+SUMIFS('Status of Curriculum Completion'!$AM$4:$AM$38,'Status of Curriculum Completion'!$AC$4:$AC$38,"CIC China",'Status of Curriculum Completion'!$AH$4:$AH$38,"In Progress")</f>
        <v>0</v>
      </c>
      <c r="G6" s="59">
        <f>SUMIFS('Status of Curriculum Completion'!$M$4:$M$38,'Status of Curriculum Completion'!$C$4:$C$38,"CIC China",'Status of Curriculum Completion'!$H$4:$H$38,"Planned")+SUMIFS('Status of Curriculum Completion'!$Z$4:$Z$38,'Status of Curriculum Completion'!$P$4:$P$38,"CIC China",'Status of Curriculum Completion'!$U$4:$U$38,"Planned")+SUMIFS('Status of Curriculum Completion'!$AM$4:$AM$38,'Status of Curriculum Completion'!$AC$4:$AC$38,"CIC China",'Status of Curriculum Completion'!$AH$4:$AH$38,"Planned")</f>
        <v>0</v>
      </c>
      <c r="H6" s="59">
        <f>SUMIFS('Status of Curriculum Completion'!$M$4:$M$38,'Status of Curriculum Completion'!$C$4:$C$38,"CIC China",'Status of Curriculum Completion'!$I$4:$I$38,"Complete")+SUMIFS('Status of Curriculum Completion'!$Z$4:$Z$38,'Status of Curriculum Completion'!$P$4:$P$38,"CIC China",'Status of Curriculum Completion'!$V$4:$V$38,"Complete")+SUMIFS('Status of Curriculum Completion'!$AM$4:$AM$38,'Status of Curriculum Completion'!$AC$4:$AC$38,"CIC China",'Status of Curriculum Completion'!$AI$4:$AI$38,"Complete")</f>
        <v>0</v>
      </c>
      <c r="I6" s="59">
        <f>SUMIFS('Status of Curriculum Completion'!$M$4:$M$38,'Status of Curriculum Completion'!$C$4:$C$38,"CIC China",'Status of Curriculum Completion'!$I$4:$I$38,"In Progress")+SUMIFS('Status of Curriculum Completion'!$Z$4:$Z$38,'Status of Curriculum Completion'!$P$4:$P$38,"CIC China",'Status of Curriculum Completion'!$V$4:$V$38,"In Progress")+SUMIFS('Status of Curriculum Completion'!$AM$4:$AM$38,'Status of Curriculum Completion'!$AC$4:$AC$38,"CIC China",'Status of Curriculum Completion'!$AI$4:$AI$38,"In Progress")</f>
        <v>0</v>
      </c>
      <c r="J6" s="59">
        <f>SUMIFS('Status of Curriculum Completion'!$M$4:$M$38,'Status of Curriculum Completion'!$C$4:$C$38,"CIC China",'Status of Curriculum Completion'!$I$4:$I$38,"Planned")+SUMIFS('Status of Curriculum Completion'!$Z$4:$Z$38,'Status of Curriculum Completion'!$P$4:$P$38,"CIC China",'Status of Curriculum Completion'!$V$4:$V$38,"Planned")+SUMIFS('Status of Curriculum Completion'!$AM$4:$AM$38,'Status of Curriculum Completion'!$AC$4:$AC$38,"CIC China",'Status of Curriculum Completion'!$AI$4:$AI$38,"Planned")</f>
        <v>0</v>
      </c>
      <c r="K6" s="60">
        <f>SUMIFS('Status of Curriculum Completion'!$AZ$4:$AZ$38,'Status of Curriculum Completion'!$AP$4:$AP$38,"CIC China",'Status of Curriculum Completion'!$AT$4:$AT$38,"Complete")+SUMIFS('Status of Curriculum Completion'!$BM$4:$BM$38,'Status of Curriculum Completion'!$BC$4:$BC$38,"CIC China",'Status of Curriculum Completion'!$BG$4:$BG$38,"Complete")+SUMIFS('Status of Curriculum Completion'!$BZ$4:$BZ$38,'Status of Curriculum Completion'!$BP$4:$BP$38,"CIC China",'Status of Curriculum Completion'!$BT$4:$BT$38,"Complete")</f>
        <v>0</v>
      </c>
      <c r="L6" s="60">
        <f>SUMIFS('Status of Curriculum Completion'!$AZ$4:$AZ$38,'Status of Curriculum Completion'!$AP$4:$AP$38,"CIC China",'Status of Curriculum Completion'!$AT$4:$AT$38,"In Progress")+SUMIFS('Status of Curriculum Completion'!$BM$4:$BM$38,'Status of Curriculum Completion'!$BC$4:$BC$38,"CIC China",'Status of Curriculum Completion'!$BG$4:$BG$38,"In Progress")+SUMIFS('Status of Curriculum Completion'!$BZ$4:$BZ$38,'Status of Curriculum Completion'!$BP$4:$BP$38,"CIC China",'Status of Curriculum Completion'!$BT$4:$BT$38,"In Progress")</f>
        <v>0</v>
      </c>
      <c r="M6" s="60">
        <f>SUMIFS('Status of Curriculum Completion'!$AZ$4:$AZ$38,'Status of Curriculum Completion'!$AP$4:$AP$38,"CIC China",'Status of Curriculum Completion'!$AT$4:$AT$38,"Planned")+SUMIFS('Status of Curriculum Completion'!$BM$4:$BM$38,'Status of Curriculum Completion'!$BC$4:$BC$38,"CIC China",'Status of Curriculum Completion'!$BG$4:$BG$38,"Planned")+SUMIFS('Status of Curriculum Completion'!$BZ$4:$BZ$38,'Status of Curriculum Completion'!$BP$4:$BP$38,"CIC China",'Status of Curriculum Completion'!$BT$4:$BT$38,"Planned")</f>
        <v>0</v>
      </c>
      <c r="N6" s="60">
        <f>SUMIFS('Status of Curriculum Completion'!$AZ$4:$AZ$38,'Status of Curriculum Completion'!$AP$4:$AP$38,"CIC China",'Status of Curriculum Completion'!$AU$4:$AU$38,"Complete")+SUMIFS('Status of Curriculum Completion'!$BM$4:$BM$38,'Status of Curriculum Completion'!$BC$4:$BC$38,"CIC China",'Status of Curriculum Completion'!$BH$4:$BH$38,"Complete")+SUMIFS('Status of Curriculum Completion'!$BZ$4:$BZ$38,'Status of Curriculum Completion'!$BP$4:$BP$38,"CIC China",'Status of Curriculum Completion'!$BU$4:$BU$38,"Complete")</f>
        <v>0</v>
      </c>
      <c r="O6" s="60">
        <f>SUMIFS('Status of Curriculum Completion'!$AZ$4:$AZ$38,'Status of Curriculum Completion'!$AP$4:$AP$38,"CIC China",'Status of Curriculum Completion'!$AU$4:$AU$38,"In Progress")+SUMIFS('Status of Curriculum Completion'!$BM$4:$BM$38,'Status of Curriculum Completion'!$BC$4:$BC$38,"CIC China",'Status of Curriculum Completion'!$BH$4:$BH$38,"In Progress")+SUMIFS('Status of Curriculum Completion'!$BZ$4:$BZ$38,'Status of Curriculum Completion'!$BP$4:$BP$38,"CIC China",'Status of Curriculum Completion'!$BU$4:$BU$38,"In Progress")</f>
        <v>0</v>
      </c>
      <c r="P6" s="60">
        <f>SUMIFS('Status of Curriculum Completion'!$AZ$4:$AZ$38,'Status of Curriculum Completion'!$AP$4:$AP$38,"CIC China",'Status of Curriculum Completion'!$AU$4:$AU$38,"Planned")+SUMIFS('Status of Curriculum Completion'!$BM$4:$BM$38,'Status of Curriculum Completion'!$BC$4:$BC$38,"CIC China",'Status of Curriculum Completion'!$BH$4:$BH$38,"Planned")+SUMIFS('Status of Curriculum Completion'!$BZ$4:$BZ$38,'Status of Curriculum Completion'!$BP$4:$BP$38,"CIC China",'Status of Curriculum Completion'!$BU$4:$BU$38,"Planned")</f>
        <v>0</v>
      </c>
      <c r="Q6" s="60">
        <f>SUMIFS('Status of Curriculum Completion'!$AZ$4:$AZ$38,'Status of Curriculum Completion'!$AP$4:$AP$38,"CIC China",'Status of Curriculum Completion'!$AV$4:$AV$38,"Complete")+SUMIFS('Status of Curriculum Completion'!$BM$4:$BM$38,'Status of Curriculum Completion'!$BC$4:$BC$38,"CIC China",'Status of Curriculum Completion'!$BI$4:$BI$38,"Complete")+SUMIFS('Status of Curriculum Completion'!$BZ$4:$BZ$38,'Status of Curriculum Completion'!$BP$4:$BP$38,"CIC China",'Status of Curriculum Completion'!$BV$4:$BV$38,"Complete")</f>
        <v>0</v>
      </c>
      <c r="R6" s="60">
        <f>SUMIFS('Status of Curriculum Completion'!$AZ$4:$AZ$38,'Status of Curriculum Completion'!$AP$4:$AP$38,"CIC China",'Status of Curriculum Completion'!$AV$4:$AV$38,"In Progress")+SUMIFS('Status of Curriculum Completion'!$BM$4:$BM$38,'Status of Curriculum Completion'!$BC$4:$BC$38,"CIC China",'Status of Curriculum Completion'!$BI$4:$BI$38,"In Progress")+SUMIFS('Status of Curriculum Completion'!$BZ$4:$BZ$38,'Status of Curriculum Completion'!$BP$4:$BP$38,"CIC China",'Status of Curriculum Completion'!$BV$4:$BV$38,"In Progress")</f>
        <v>0</v>
      </c>
      <c r="S6" s="60">
        <f>SUMIFS('Status of Curriculum Completion'!$AZ$4:$AZ$38,'Status of Curriculum Completion'!$AP$4:$AP$38,"CIC China",'Status of Curriculum Completion'!$AV$4:$AV$38,"Planned")+SUMIFS('Status of Curriculum Completion'!$BM$4:$BM$38,'Status of Curriculum Completion'!$BC$4:$BC$38,"CIC China",'Status of Curriculum Completion'!$BI$4:$BI$38,"Planned")+SUMIFS('Status of Curriculum Completion'!$BZ$4:$BZ$38,'Status of Curriculum Completion'!$BP$4:$BP$38,"CIC China",'Status of Curriculum Completion'!$BV$4:$BV$38,"Planned")</f>
        <v>0</v>
      </c>
      <c r="U6" s="63" t="s">
        <v>1162</v>
      </c>
      <c r="V6" s="61">
        <f>SUMIFS('Status of Curriculum Completion'!$CM$4:$CM$38,'Status of Curriculum Completion'!$CC$4:$CC$38,"CIC China",'Status of Curriculum Completion'!$CG$4:$CG$38,"Complete")+SUMIFS('Status of Curriculum Completion'!$CZ$4:$CZ$38,'Status of Curriculum Completion'!$CP$4:$CP$38,"CIC China",'Status of Curriculum Completion'!$CT$4:$CT$38,"Complete")+SUMIFS('Status of Curriculum Completion'!$DM$4:$DM$38,'Status of Curriculum Completion'!$DC$4:$DC$38,"CIC China",'Status of Curriculum Completion'!$DG$4:$DG$38,"Complete")</f>
        <v>0</v>
      </c>
      <c r="W6" s="61">
        <f>SUMIFS('Status of Curriculum Completion'!$CM$4:$CM$38,'Status of Curriculum Completion'!$CC$4:$CC$38,"CIC China",'Status of Curriculum Completion'!$CG$4:$CG$38,"In Progress")+SUMIFS('Status of Curriculum Completion'!$CZ$4:$CZ$38,'Status of Curriculum Completion'!$CP$4:$CP$38,"CIC China",'Status of Curriculum Completion'!$CT$4:$CT$38,"In Progress")+SUMIFS('Status of Curriculum Completion'!$DM$4:$DM$38,'Status of Curriculum Completion'!$DC$4:$DC$38,"CIC China",'Status of Curriculum Completion'!$DG$4:$DG$38,"In Progress")</f>
        <v>0</v>
      </c>
      <c r="X6" s="61">
        <f>SUMIFS('Status of Curriculum Completion'!$CM$4:$CM$38,'Status of Curriculum Completion'!$CC$4:$CC$38,"CIC China",'Status of Curriculum Completion'!$CG$4:$CG$38,"Planned")+SUMIFS('Status of Curriculum Completion'!$CZ$4:$CZ$38,'Status of Curriculum Completion'!$CP$4:$CP$38,"CIC China",'Status of Curriculum Completion'!$CT$4:$CT$38,"Planned")+SUMIFS('Status of Curriculum Completion'!$DM$4:$DM$38,'Status of Curriculum Completion'!$DC$4:$DC$38,"CIC China",'Status of Curriculum Completion'!$DG$4:$DG$38,"Planned")</f>
        <v>0</v>
      </c>
      <c r="Y6" s="61">
        <f>SUMIFS('Status of Curriculum Completion'!$CM$4:$CM$38,'Status of Curriculum Completion'!$CC$4:$CC$38,"CIC China",'Status of Curriculum Completion'!$CG$4:$CG$38,"Tentative")+SUMIFS('Status of Curriculum Completion'!$CZ$4:$CZ$38,'Status of Curriculum Completion'!$CP$4:$CP$38,"CIC China",'Status of Curriculum Completion'!$CT$4:$CT$38,"Tentative")+SUMIFS('Status of Curriculum Completion'!$DM$4:$DM$38,'Status of Curriculum Completion'!$DC$4:$DC$38,"CIC China",'Status of Curriculum Completion'!$DG$4:$DG$38,"Tentative")</f>
        <v>0</v>
      </c>
      <c r="Z6" s="61">
        <f>SUMIFS('Status of Curriculum Completion'!$CM$4:$CM$38,'Status of Curriculum Completion'!$CC$4:$CC$38,"CIC China",'Status of Curriculum Completion'!$CH$4:$CH$38,"Complete")+SUMIFS('Status of Curriculum Completion'!$CZ$4:$CZ$38,'Status of Curriculum Completion'!$CP$4:$CP$38,"CIC China",'Status of Curriculum Completion'!$CU$4:$CU$38,"Complete")+SUMIFS('Status of Curriculum Completion'!$DM$4:$DM$38,'Status of Curriculum Completion'!$DC$4:$DC$38,"CIC China",'Status of Curriculum Completion'!$DH$4:$DH$38,"Complete")</f>
        <v>0</v>
      </c>
      <c r="AA6" s="61">
        <f>SUMIFS('Status of Curriculum Completion'!$CM$4:$CM$38,'Status of Curriculum Completion'!$CC$4:$CC$38,"CIC China",'Status of Curriculum Completion'!$CH$4:$CH$38,"In Progress")+SUMIFS('Status of Curriculum Completion'!$CZ$4:$CZ$38,'Status of Curriculum Completion'!$CP$4:$CP$38,"CIC China",'Status of Curriculum Completion'!$CU$4:$CU$38,"In Progress")+SUMIFS('Status of Curriculum Completion'!$DM$4:$DM$38,'Status of Curriculum Completion'!$DC$4:$DC$38,"CIC China",'Status of Curriculum Completion'!$DH$4:$DH$38,"In Progress")</f>
        <v>0</v>
      </c>
      <c r="AB6" s="61">
        <f>SUMIFS('Status of Curriculum Completion'!$CM$4:$CM$38,'Status of Curriculum Completion'!$CC$4:$CC$38,"CIC China",'Status of Curriculum Completion'!$CH$4:$CH$38,"Planned")+SUMIFS('Status of Curriculum Completion'!$CZ$4:$CZ$38,'Status of Curriculum Completion'!$CP$4:$CP$38,"CIC China",'Status of Curriculum Completion'!$CU$4:$CU$38,"Planned")+SUMIFS('Status of Curriculum Completion'!$DM$4:$DM$38,'Status of Curriculum Completion'!$DC$4:$DC$38,"CIC China",'Status of Curriculum Completion'!$DH$4:$DH$38,"Planned")</f>
        <v>0</v>
      </c>
      <c r="AC6" s="61">
        <f>SUMIFS('Status of Curriculum Completion'!$CM$4:$CM$38,'Status of Curriculum Completion'!$CC$4:$CC$38,"CIC China",'Status of Curriculum Completion'!$CH$4:$CH$38,"Tentative")+SUMIFS('Status of Curriculum Completion'!$CZ$4:$CZ$38,'Status of Curriculum Completion'!$CP$4:$CP$38,"CIC China",'Status of Curriculum Completion'!$CU$4:$CU$38,"Tentative")+SUMIFS('Status of Curriculum Completion'!$DM$4:$DM$38,'Status of Curriculum Completion'!$DC$4:$DC$38,"CIC China",'Status of Curriculum Completion'!$DH$4:$DH$38,"Tentative")</f>
        <v>0</v>
      </c>
      <c r="AD6" s="61">
        <f>SUMIFS('Status of Curriculum Completion'!$CM$4:$CM$38,'Status of Curriculum Completion'!$CC$4:$CC$38,"CIC China",'Status of Curriculum Completion'!$CI$4:$CI$38,"Complete")+SUMIFS('Status of Curriculum Completion'!$CZ$4:$CZ$38,'Status of Curriculum Completion'!$CP$4:$CP$38,"CIC China",'Status of Curriculum Completion'!$CV$4:$CV$38,"Complete")+SUMIFS('Status of Curriculum Completion'!$DM$4:$DM$38,'Status of Curriculum Completion'!$DC$4:$DC$38,"CIC China",'Status of Curriculum Completion'!$DI$4:$DI$38,"Complete")</f>
        <v>0</v>
      </c>
      <c r="AE6" s="61">
        <f>SUMIFS('Status of Curriculum Completion'!$CM$4:$CM$38,'Status of Curriculum Completion'!$CC$4:$CC$38,"CIC China",'Status of Curriculum Completion'!$CI$4:$CI$38,"In Progress")+SUMIFS('Status of Curriculum Completion'!$CZ$4:$CZ$38,'Status of Curriculum Completion'!$CP$4:$CP$38,"CIC China",'Status of Curriculum Completion'!$CV$4:$CV$38,"In Progress")+SUMIFS('Status of Curriculum Completion'!$DM$4:$DM$38,'Status of Curriculum Completion'!$DC$4:$DC$38,"CIC China",'Status of Curriculum Completion'!$DI$4:$DI$38,"In Progress")</f>
        <v>0</v>
      </c>
      <c r="AF6" s="61">
        <f>SUMIFS('Status of Curriculum Completion'!$CM$4:$CM$38,'Status of Curriculum Completion'!$CC$4:$CC$38,"CIC China",'Status of Curriculum Completion'!$CI$4:$CI$38,"Planned")+SUMIFS('Status of Curriculum Completion'!$CZ$4:$CZ$38,'Status of Curriculum Completion'!$CP$4:$CP$38,"CIC China",'Status of Curriculum Completion'!$CV$4:$CV$38,"Planned")+SUMIFS('Status of Curriculum Completion'!$DM$4:$DM$38,'Status of Curriculum Completion'!$DC$4:$DC$38,"CIC China",'Status of Curriculum Completion'!$DI$4:$DI$38,"Planned")</f>
        <v>0</v>
      </c>
      <c r="AG6" s="61">
        <f>SUMIFS('Status of Curriculum Completion'!$CM$4:$CM$38,'Status of Curriculum Completion'!$CC$4:$CC$38,"CIC China",'Status of Curriculum Completion'!$CI$4:$CI$38,"Tentative")+SUMIFS('Status of Curriculum Completion'!$CZ$4:$CZ$38,'Status of Curriculum Completion'!$CP$4:$CP$38,"CIC China",'Status of Curriculum Completion'!$CV$4:$CV$38,"Tentative")+SUMIFS('Status of Curriculum Completion'!$DM$4:$DM$38,'Status of Curriculum Completion'!$DC$4:$DC$38,"CIC China",'Status of Curriculum Completion'!$DI$4:$DI$38,"Tentative")</f>
        <v>0</v>
      </c>
      <c r="AH6" s="62">
        <f>SUMIFS('Status of Curriculum Completion'!$DZ$4:$DZ$38,'Status of Curriculum Completion'!$DP$4:$DP$38,"CIC China",'Status of Curriculum Completion'!$DT$4:$DT$38,"Complete")+SUMIFS('Status of Curriculum Completion'!$EM$4:$EM$38,'Status of Curriculum Completion'!$EC$4:$EC$38,"CIC China",'Status of Curriculum Completion'!$EG$4:$EG$38,"Complete")+SUMIFS('Status of Curriculum Completion'!$EZ$4:$EZ$38,'Status of Curriculum Completion'!$EP$4:$EP$38,"CIC China",'Status of Curriculum Completion'!$ET$4:$ET$38,"Complete")</f>
        <v>0</v>
      </c>
      <c r="AI6" s="62">
        <f>SUMIFS('Status of Curriculum Completion'!$DZ$4:$DZ$38,'Status of Curriculum Completion'!$DP$4:$DP$38,"CIC China",'Status of Curriculum Completion'!$DT$4:$DT$38,"In Progress")+SUMIFS('Status of Curriculum Completion'!$EM$4:$EM$38,'Status of Curriculum Completion'!$EC$4:$EC$38,"CIC China",'Status of Curriculum Completion'!$EG$4:$EG$38,"In Progress")+SUMIFS('Status of Curriculum Completion'!$EZ$4:$EZ$38,'Status of Curriculum Completion'!$EP$4:$EP$38,"CIC China",'Status of Curriculum Completion'!$ET$4:$ET$38,"In Progress")</f>
        <v>0</v>
      </c>
      <c r="AJ6" s="62">
        <f>SUMIFS('Status of Curriculum Completion'!$DZ$4:$DZ$38,'Status of Curriculum Completion'!$DP$4:$DP$38,"CIC China",'Status of Curriculum Completion'!$DT$4:$DT$38,"Planned")+SUMIFS('Status of Curriculum Completion'!$EM$4:$EM$38,'Status of Curriculum Completion'!$EC$4:$EC$38,"CIC China",'Status of Curriculum Completion'!$EG$4:$EG$38,"Planned")+SUMIFS('Status of Curriculum Completion'!$EZ$4:$EZ$38,'Status of Curriculum Completion'!$EP$4:$EP$38,"CIC China",'Status of Curriculum Completion'!$ET$4:$ET$38,"Planned")</f>
        <v>0</v>
      </c>
      <c r="AK6" s="62">
        <f>SUMIFS('Status of Curriculum Completion'!$DZ$4:$DZ$38,'Status of Curriculum Completion'!$DP$4:$DP$38,"CIC China",'Status of Curriculum Completion'!$DT$4:$DT$38,"Tentative")+SUMIFS('Status of Curriculum Completion'!$EM$4:$EM$38,'Status of Curriculum Completion'!$EC$4:$EC$38,"CIC China",'Status of Curriculum Completion'!$EG$4:$EG$38,"Tentative")+SUMIFS('Status of Curriculum Completion'!$EZ$4:$EZ$38,'Status of Curriculum Completion'!$EP$4:$EP$38,"CIC China",'Status of Curriculum Completion'!$ET$4:$ET$38,"Tentative")</f>
        <v>0</v>
      </c>
      <c r="AL6" s="62">
        <f>SUMIFS('Status of Curriculum Completion'!$DZ$4:$DZ$38,'Status of Curriculum Completion'!$DP$4:$DP$38,"CIC China",'Status of Curriculum Completion'!$DU$4:$DU$38,"Complete")+SUMIFS('Status of Curriculum Completion'!$EM$4:$EM$38,'Status of Curriculum Completion'!$EC$4:$EC$38,"CIC China",'Status of Curriculum Completion'!$EH$4:$EH$38,"Complete")+SUMIFS('Status of Curriculum Completion'!$EZ$4:$EZ$38,'Status of Curriculum Completion'!$EP$4:$EP$38,"CIC China",'Status of Curriculum Completion'!$EU$4:$EU$38,"Complete")</f>
        <v>0</v>
      </c>
      <c r="AM6" s="62">
        <f>SUMIFS('Status of Curriculum Completion'!$DZ$4:$DZ$38,'Status of Curriculum Completion'!$DP$4:$DP$38,"CIC China",'Status of Curriculum Completion'!$DU$4:$DU$38,"In Progress")+SUMIFS('Status of Curriculum Completion'!$EM$4:$EM$38,'Status of Curriculum Completion'!$EC$4:$EC$38,"CIC China",'Status of Curriculum Completion'!$EH$4:$EH$38,"In Progress")+SUMIFS('Status of Curriculum Completion'!$EZ$4:$EZ$38,'Status of Curriculum Completion'!$EP$4:$EP$38,"CIC China",'Status of Curriculum Completion'!$EU$4:$EU$38,"In Progress")</f>
        <v>0</v>
      </c>
      <c r="AN6" s="62">
        <f>SUMIFS('Status of Curriculum Completion'!$DZ$4:$DZ$38,'Status of Curriculum Completion'!$DP$4:$DP$38,"CIC China",'Status of Curriculum Completion'!$DU$4:$DU$38,"Planned")+SUMIFS('Status of Curriculum Completion'!$EM$4:$EM$38,'Status of Curriculum Completion'!$EC$4:$EC$38,"CIC China",'Status of Curriculum Completion'!$EH$4:$EH$38,"Planned")+SUMIFS('Status of Curriculum Completion'!$EZ$4:$EZ$38,'Status of Curriculum Completion'!$EP$4:$EP$38,"CIC China",'Status of Curriculum Completion'!$EU$4:$EU$38,"Planned")</f>
        <v>0</v>
      </c>
      <c r="AO6" s="62">
        <f>SUMIFS('Status of Curriculum Completion'!$DZ$4:$DZ$38,'Status of Curriculum Completion'!$DP$4:$DP$38,"CIC China",'Status of Curriculum Completion'!$DU$4:$DU$38,"Tentative")+SUMIFS('Status of Curriculum Completion'!$EM$4:$EM$38,'Status of Curriculum Completion'!$EC$4:$EC$38,"CIC China",'Status of Curriculum Completion'!$EH$4:$EH$38,"Tentative")+SUMIFS('Status of Curriculum Completion'!$EZ$4:$EZ$38,'Status of Curriculum Completion'!$EP$4:$EP$38,"CIC China",'Status of Curriculum Completion'!$EU$4:$EU$38,"Tentative")</f>
        <v>0</v>
      </c>
      <c r="AP6" s="62">
        <f>SUMIFS('Status of Curriculum Completion'!$DZ$4:$DZ$38,'Status of Curriculum Completion'!$DP$4:$DP$38,"CIC China",'Status of Curriculum Completion'!$DV$4:$DV$38,"Complete")+SUMIFS('Status of Curriculum Completion'!$EM$4:$EM$38,'Status of Curriculum Completion'!$EC$4:$EC$38,"CIC China",'Status of Curriculum Completion'!$EI$4:$EI$38,"Complete")+SUMIFS('Status of Curriculum Completion'!$EZ$4:$EZ$38,'Status of Curriculum Completion'!$EP$4:$EP$38,"CIC China",'Status of Curriculum Completion'!$EV$4:$EV$38,"Complete")</f>
        <v>0</v>
      </c>
      <c r="AQ6" s="62">
        <f>SUMIFS('Status of Curriculum Completion'!$DZ$4:$DZ$38,'Status of Curriculum Completion'!$DP$4:$DP$38,"CIC China",'Status of Curriculum Completion'!$DV$4:$DV$38,"In Progress")+SUMIFS('Status of Curriculum Completion'!$EM$4:$EM$38,'Status of Curriculum Completion'!$EC$4:$EC$38,"CIC China",'Status of Curriculum Completion'!$EI$4:$EI$38,"In Progress")+SUMIFS('Status of Curriculum Completion'!$EZ$4:$EZ$38,'Status of Curriculum Completion'!$EP$4:$EP$38,"CIC China",'Status of Curriculum Completion'!$EV$4:$EV$38,"In Progress")</f>
        <v>0</v>
      </c>
      <c r="AR6" s="62">
        <f>SUMIFS('Status of Curriculum Completion'!$DZ$4:$DZ$38,'Status of Curriculum Completion'!$DP$4:$DP$38,"CIC China",'Status of Curriculum Completion'!$DV$4:$DV$38,"Planned")+SUMIFS('Status of Curriculum Completion'!$EM$4:$EM$38,'Status of Curriculum Completion'!$EC$4:$EC$38,"CIC China",'Status of Curriculum Completion'!$EI$4:$EI$38,"Planned")+SUMIFS('Status of Curriculum Completion'!$EZ$4:$EZ$38,'Status of Curriculum Completion'!$EP$4:$EP$38,"CIC China",'Status of Curriculum Completion'!$EV$4:$EV$38,"Planned")</f>
        <v>0</v>
      </c>
      <c r="AS6" s="62">
        <f>SUMIFS('Status of Curriculum Completion'!$DZ$4:$DZ$38,'Status of Curriculum Completion'!$DP$4:$DP$38,"CIC China",'Status of Curriculum Completion'!$DV$4:$DV$38,"Tentative")+SUMIFS('Status of Curriculum Completion'!$EM$4:$EM$38,'Status of Curriculum Completion'!$EC$4:$EC$38,"CIC China",'Status of Curriculum Completion'!$EI$4:$EI$38,"Tentative")+SUMIFS('Status of Curriculum Completion'!$EZ$4:$EZ$38,'Status of Curriculum Completion'!$EP$4:$EP$38,"CIC China",'Status of Curriculum Completion'!$EV$4:$EV$38,"Tentative")</f>
        <v>0</v>
      </c>
    </row>
    <row r="7" spans="1:45" ht="29.5" thickBot="1">
      <c r="A7" s="63" t="s">
        <v>1163</v>
      </c>
      <c r="B7" s="59">
        <f>SUMIFS('Status of Curriculum Completion'!M$4:M$38,'Status of Curriculum Completion'!C$4:C$38,"India",'Status of Curriculum Completion'!G$4:G$38,"Complete")+SUMIFS('Status of Curriculum Completion'!Z$4:Z$38,'Status of Curriculum Completion'!P$4:P$38,"India",'Status of Curriculum Completion'!T$4:T$38,"Complete")+SUMIFS('Status of Curriculum Completion'!AM$4:AM$38,'Status of Curriculum Completion'!AC$4:AC$38,"India",'Status of Curriculum Completion'!AG$4:AG$38,"Complete")</f>
        <v>0</v>
      </c>
      <c r="C7" s="59">
        <f>SUMIFS('Status of Curriculum Completion'!$M$4:$M$38,'Status of Curriculum Completion'!$C$4:$C$38,"India",'Status of Curriculum Completion'!$G$4:$G$38,"In progress")+SUMIFS('Status of Curriculum Completion'!$Z$4:$Z$38,'Status of Curriculum Completion'!$P$4:$P$38,"India",'Status of Curriculum Completion'!$T$4:$T$38,"In progress")+SUMIFS('Status of Curriculum Completion'!$AM$4:$AM$38,'Status of Curriculum Completion'!$AC$4:$AC$38,"India",'Status of Curriculum Completion'!$AG$4:$AG$38,"In progress")</f>
        <v>0</v>
      </c>
      <c r="D7" s="59">
        <f>SUMIFS('Status of Curriculum Completion'!$M$4:$M$38,'Status of Curriculum Completion'!$C$4:$C$38,"India",'Status of Curriculum Completion'!$G$4:$G$38,"Planned")+SUMIFS('Status of Curriculum Completion'!$Z$4:$Z$38,'Status of Curriculum Completion'!$P$4:$P$38,"India",'Status of Curriculum Completion'!$T$4:$T$38,"Planned")+SUMIFS('Status of Curriculum Completion'!$AM$4:$AM$38,'Status of Curriculum Completion'!$AC$4:$AC$38,"India",'Status of Curriculum Completion'!$AG$4:$AG$38,"Planned")</f>
        <v>0</v>
      </c>
      <c r="E7" s="59">
        <f>SUMIFS('Status of Curriculum Completion'!$M$4:$M$38,'Status of Curriculum Completion'!$C$4:$C$38,"India",'Status of Curriculum Completion'!$H$4:$H$38,"Complete")+SUMIFS('Status of Curriculum Completion'!$Z$4:$Z$38,'Status of Curriculum Completion'!$P$4:$P$38,"India",'Status of Curriculum Completion'!$U$4:$U$38,"Complete")+SUMIFS('Status of Curriculum Completion'!$AM$4:$AM$38,'Status of Curriculum Completion'!$AC$4:$AC$38,"India",'Status of Curriculum Completion'!$AH$4:$AH$38,"Complete")</f>
        <v>0</v>
      </c>
      <c r="F7" s="59">
        <f>SUMIFS('Status of Curriculum Completion'!$M$4:$M$38,'Status of Curriculum Completion'!$C$4:$C$38,"India",'Status of Curriculum Completion'!$H$4:$H$38,"In Progress")+SUMIFS('Status of Curriculum Completion'!$Z$4:$Z$38,'Status of Curriculum Completion'!$P$4:$P$38,"India",'Status of Curriculum Completion'!$U$4:$U$38,"In Progress")+SUMIFS('Status of Curriculum Completion'!$AM$4:$AM$38,'Status of Curriculum Completion'!$AC$4:$AC$38,"India",'Status of Curriculum Completion'!$AH$4:$AH$38,"In Progress")</f>
        <v>0</v>
      </c>
      <c r="G7" s="59">
        <f>SUMIFS('Status of Curriculum Completion'!$M$4:$M$38,'Status of Curriculum Completion'!$C$4:$C$38,"India",'Status of Curriculum Completion'!$H$4:$H$38,"Planned")+SUMIFS('Status of Curriculum Completion'!$Z$4:$Z$38,'Status of Curriculum Completion'!$P$4:$P$38,"India",'Status of Curriculum Completion'!$U$4:$U$38,"Planned")+SUMIFS('Status of Curriculum Completion'!$AM$4:$AM$38,'Status of Curriculum Completion'!$AC$4:$AC$38,"India",'Status of Curriculum Completion'!$AH$4:$AH$38,"Planned")</f>
        <v>0</v>
      </c>
      <c r="H7" s="59">
        <f>SUMIFS('Status of Curriculum Completion'!$M$4:$M$38,'Status of Curriculum Completion'!$C$4:$C$38,"India",'Status of Curriculum Completion'!$I$4:$I$38,"Complete")+SUMIFS('Status of Curriculum Completion'!$Z$4:$Z$38,'Status of Curriculum Completion'!$P$4:$P$38,"India",'Status of Curriculum Completion'!$V$4:$V$38,"Complete")+SUMIFS('Status of Curriculum Completion'!$AM$4:$AM$38,'Status of Curriculum Completion'!$AC$4:$AC$38,"India",'Status of Curriculum Completion'!$AI$4:$AI$38,"Complete")</f>
        <v>0</v>
      </c>
      <c r="I7" s="59">
        <f>SUMIFS('Status of Curriculum Completion'!$M$4:$M$38,'Status of Curriculum Completion'!$C$4:$C$38,"India",'Status of Curriculum Completion'!$I$4:$I$38,"In Progress")+SUMIFS('Status of Curriculum Completion'!$Z$4:$Z$38,'Status of Curriculum Completion'!$P$4:$P$38,"India",'Status of Curriculum Completion'!$V$4:$V$38,"In Progress")+SUMIFS('Status of Curriculum Completion'!$AM$4:$AM$38,'Status of Curriculum Completion'!$AC$4:$AC$38,"India",'Status of Curriculum Completion'!$AI$4:$AI$38,"In Progress")</f>
        <v>0</v>
      </c>
      <c r="J7" s="59">
        <f>SUMIFS('Status of Curriculum Completion'!$M$4:$M$38,'Status of Curriculum Completion'!$C$4:$C$38,"India",'Status of Curriculum Completion'!$I$4:$I$38,"Planned")+SUMIFS('Status of Curriculum Completion'!$Z$4:$Z$38,'Status of Curriculum Completion'!$P$4:$P$38,"India",'Status of Curriculum Completion'!$V$4:$V$38,"Planned")+SUMIFS('Status of Curriculum Completion'!$AM$4:$AM$38,'Status of Curriculum Completion'!$AC$4:$AC$38,"India",'Status of Curriculum Completion'!$AI$4:$AI$38,"Planned")</f>
        <v>0</v>
      </c>
      <c r="K7" s="60">
        <f>SUMIFS('Status of Curriculum Completion'!$AZ$4:$AZ$38,'Status of Curriculum Completion'!$AP$4:$AP$38,"India",'Status of Curriculum Completion'!$AT$4:$AT$38,"Complete")+SUMIFS('Status of Curriculum Completion'!$BM$4:$BM$38,'Status of Curriculum Completion'!$BC$4:$BC$38,"India",'Status of Curriculum Completion'!$BG$4:$BG$38,"Complete")+SUMIFS('Status of Curriculum Completion'!$BZ$4:$BZ$38,'Status of Curriculum Completion'!$BP$4:$BP$38,"India",'Status of Curriculum Completion'!$BT$4:$BT$38,"Complete")</f>
        <v>0</v>
      </c>
      <c r="L7" s="60">
        <f>SUMIFS('Status of Curriculum Completion'!$AZ$4:$AZ$38,'Status of Curriculum Completion'!$AP$4:$AP$38,"India",'Status of Curriculum Completion'!$AT$4:$AT$38,"In Progress")+SUMIFS('Status of Curriculum Completion'!$BM$4:$BM$38,'Status of Curriculum Completion'!$BC$4:$BC$38,"India",'Status of Curriculum Completion'!$BG$4:$BG$38,"In Progress")+SUMIFS('Status of Curriculum Completion'!$BZ$4:$BZ$38,'Status of Curriculum Completion'!$BP$4:$BP$38,"India",'Status of Curriculum Completion'!$BT$4:$BT$38,"In Progress")</f>
        <v>0</v>
      </c>
      <c r="M7" s="60">
        <f>SUMIFS('Status of Curriculum Completion'!$AZ$4:$AZ$38,'Status of Curriculum Completion'!$AP$4:$AP$38,"India",'Status of Curriculum Completion'!$AT$4:$AT$38,"Planned")+SUMIFS('Status of Curriculum Completion'!$BM$4:$BM$38,'Status of Curriculum Completion'!$BC$4:$BC$38,"India",'Status of Curriculum Completion'!$BG$4:$BG$38,"Planned")+SUMIFS('Status of Curriculum Completion'!$BZ$4:$BZ$38,'Status of Curriculum Completion'!$BP$4:$BP$38,"India",'Status of Curriculum Completion'!$BT$4:$BT$38,"Planned")</f>
        <v>0</v>
      </c>
      <c r="N7" s="60">
        <f>SUMIFS('Status of Curriculum Completion'!$AZ$4:$AZ$38,'Status of Curriculum Completion'!$AP$4:$AP$38,"India",'Status of Curriculum Completion'!$AU$4:$AU$38,"Complete")+SUMIFS('Status of Curriculum Completion'!$BM$4:$BM$38,'Status of Curriculum Completion'!$BC$4:$BC$38,"India",'Status of Curriculum Completion'!$BH$4:$BH$38,"Complete")+SUMIFS('Status of Curriculum Completion'!$BZ$4:$BZ$38,'Status of Curriculum Completion'!$BP$4:$BP$38,"India",'Status of Curriculum Completion'!$BU$4:$BU$38,"Complete")</f>
        <v>0</v>
      </c>
      <c r="O7" s="60">
        <f>SUMIFS('Status of Curriculum Completion'!$AZ$4:$AZ$38,'Status of Curriculum Completion'!$AP$4:$AP$38,"India",'Status of Curriculum Completion'!$AU$4:$AU$38,"In Progress")+SUMIFS('Status of Curriculum Completion'!$BM$4:$BM$38,'Status of Curriculum Completion'!$BC$4:$BC$38,"India",'Status of Curriculum Completion'!$BH$4:$BH$38,"In Progress")+SUMIFS('Status of Curriculum Completion'!$BZ$4:$BZ$38,'Status of Curriculum Completion'!$BP$4:$BP$38,"India",'Status of Curriculum Completion'!$BU$4:$BU$38,"In Progress")</f>
        <v>0</v>
      </c>
      <c r="P7" s="60">
        <f>SUMIFS('Status of Curriculum Completion'!$AZ$4:$AZ$38,'Status of Curriculum Completion'!$AP$4:$AP$38,"India",'Status of Curriculum Completion'!$AU$4:$AU$38,"Planned")+SUMIFS('Status of Curriculum Completion'!$BM$4:$BM$38,'Status of Curriculum Completion'!$BC$4:$BC$38,"India",'Status of Curriculum Completion'!$BH$4:$BH$38,"Planned")+SUMIFS('Status of Curriculum Completion'!$BZ$4:$BZ$38,'Status of Curriculum Completion'!$BP$4:$BP$38,"India",'Status of Curriculum Completion'!$BU$4:$BU$38,"Planned")</f>
        <v>0</v>
      </c>
      <c r="Q7" s="60">
        <f>SUMIFS('Status of Curriculum Completion'!$AZ$4:$AZ$38,'Status of Curriculum Completion'!$AP$4:$AP$38,"India",'Status of Curriculum Completion'!$AV$4:$AV$38,"Complete")+SUMIFS('Status of Curriculum Completion'!$BM$4:$BM$38,'Status of Curriculum Completion'!$BC$4:$BC$38,"India",'Status of Curriculum Completion'!$BI$4:$BI$38,"Complete")+SUMIFS('Status of Curriculum Completion'!$BZ$4:$BZ$38,'Status of Curriculum Completion'!$BP$4:$BP$38,"India",'Status of Curriculum Completion'!$BV$4:$BV$38,"Complete")</f>
        <v>0</v>
      </c>
      <c r="R7" s="60">
        <f>SUMIFS('Status of Curriculum Completion'!$AZ$4:$AZ$38,'Status of Curriculum Completion'!$AP$4:$AP$38,"India",'Status of Curriculum Completion'!$AV$4:$AV$38,"In Progress")+SUMIFS('Status of Curriculum Completion'!$BM$4:$BM$38,'Status of Curriculum Completion'!$BC$4:$BC$38,"India",'Status of Curriculum Completion'!$BI$4:$BI$38,"In Progress")+SUMIFS('Status of Curriculum Completion'!$BZ$4:$BZ$38,'Status of Curriculum Completion'!$BP$4:$BP$38,"India",'Status of Curriculum Completion'!$BV$4:$BV$38,"In Progress")</f>
        <v>0</v>
      </c>
      <c r="S7" s="60">
        <f>SUMIFS('Status of Curriculum Completion'!$AZ$4:$AZ$38,'Status of Curriculum Completion'!$AP$4:$AP$38,"India",'Status of Curriculum Completion'!$AV$4:$AV$38,"Planned")+SUMIFS('Status of Curriculum Completion'!$BM$4:$BM$38,'Status of Curriculum Completion'!$BC$4:$BC$38,"India",'Status of Curriculum Completion'!$BI$4:$BI$38,"Planned")+SUMIFS('Status of Curriculum Completion'!$BZ$4:$BZ$38,'Status of Curriculum Completion'!$BP$4:$BP$38,"India",'Status of Curriculum Completion'!$BV$4:$BV$38,"Planned")</f>
        <v>0</v>
      </c>
      <c r="U7" s="63" t="s">
        <v>1163</v>
      </c>
      <c r="V7" s="61">
        <f>SUMIFS('Status of Curriculum Completion'!$CM$4:$CM$38,'Status of Curriculum Completion'!$CC$4:$CC$38,"India",'Status of Curriculum Completion'!$CG$4:$CG$38,"Complete")+SUMIFS('Status of Curriculum Completion'!$CZ$4:$CZ$38,'Status of Curriculum Completion'!$CP$4:$CP$38,"India",'Status of Curriculum Completion'!$CT$4:$CT$38,"Complete")+SUMIFS('Status of Curriculum Completion'!$DM$4:$DM$38,'Status of Curriculum Completion'!$DC$4:$DC$38,"India",'Status of Curriculum Completion'!$DG$4:$DG$38,"Complete")</f>
        <v>0</v>
      </c>
      <c r="W7" s="61">
        <f>SUMIFS('Status of Curriculum Completion'!$CM$4:$CM$38,'Status of Curriculum Completion'!$CC$4:$CC$38,"India",'Status of Curriculum Completion'!$CG$4:$CG$38,"In Progress")+SUMIFS('Status of Curriculum Completion'!$CZ$4:$CZ$38,'Status of Curriculum Completion'!$CP$4:$CP$38,"India",'Status of Curriculum Completion'!$CT$4:$CT$38,"In Progress")+SUMIFS('Status of Curriculum Completion'!$DM$4:$DM$38,'Status of Curriculum Completion'!$DC$4:$DC$38,"India",'Status of Curriculum Completion'!$DG$4:$DG$38,"In Progress")</f>
        <v>0</v>
      </c>
      <c r="X7" s="61">
        <f>SUMIFS('Status of Curriculum Completion'!$CM$4:$CM$38,'Status of Curriculum Completion'!$CC$4:$CC$38,"India",'Status of Curriculum Completion'!$CG$4:$CG$38,"Planned")+SUMIFS('Status of Curriculum Completion'!$CZ$4:$CZ$38,'Status of Curriculum Completion'!$CP$4:$CP$38,"India",'Status of Curriculum Completion'!$CT$4:$CT$38,"Planned")+SUMIFS('Status of Curriculum Completion'!$DM$4:$DM$38,'Status of Curriculum Completion'!$DC$4:$DC$38,"India",'Status of Curriculum Completion'!$DG$4:$DG$38,"Planned")</f>
        <v>0</v>
      </c>
      <c r="Y7" s="61">
        <f>SUMIFS('Status of Curriculum Completion'!$CM$4:$CM$38,'Status of Curriculum Completion'!$CC$4:$CC$38,"India",'Status of Curriculum Completion'!$CG$4:$CG$38,"Tentative")+SUMIFS('Status of Curriculum Completion'!$CZ$4:$CZ$38,'Status of Curriculum Completion'!$CP$4:$CP$38,"India",'Status of Curriculum Completion'!$CT$4:$CT$38,"Tentative")+SUMIFS('Status of Curriculum Completion'!$DM$4:$DM$38,'Status of Curriculum Completion'!$DC$4:$DC$38,"India",'Status of Curriculum Completion'!$DG$4:$DG$38,"Tentative")</f>
        <v>0</v>
      </c>
      <c r="Z7" s="61">
        <f>SUMIFS('Status of Curriculum Completion'!$CM$4:$CM$38,'Status of Curriculum Completion'!$CC$4:$CC$38,"India",'Status of Curriculum Completion'!$CH$4:$CH$38,"Complete")+SUMIFS('Status of Curriculum Completion'!$CZ$4:$CZ$38,'Status of Curriculum Completion'!$CP$4:$CP$38,"India",'Status of Curriculum Completion'!$CU$4:$CU$38,"Complete")+SUMIFS('Status of Curriculum Completion'!$DM$4:$DM$38,'Status of Curriculum Completion'!$DC$4:$DC$38,"India",'Status of Curriculum Completion'!$DH$4:$DH$38,"Complete")</f>
        <v>0</v>
      </c>
      <c r="AA7" s="61">
        <f>SUMIFS('Status of Curriculum Completion'!$CM$4:$CM$38,'Status of Curriculum Completion'!$CC$4:$CC$38,"India",'Status of Curriculum Completion'!$CH$4:$CH$38,"In Progress")+SUMIFS('Status of Curriculum Completion'!$CZ$4:$CZ$38,'Status of Curriculum Completion'!$CP$4:$CP$38,"India",'Status of Curriculum Completion'!$CU$4:$CU$38,"In Progress")+SUMIFS('Status of Curriculum Completion'!$DM$4:$DM$38,'Status of Curriculum Completion'!$DC$4:$DC$38,"India",'Status of Curriculum Completion'!$DH$4:$DH$38,"In Progress")</f>
        <v>0</v>
      </c>
      <c r="AB7" s="61">
        <f>SUMIFS('Status of Curriculum Completion'!$CM$4:$CM$38,'Status of Curriculum Completion'!$CC$4:$CC$38,"India",'Status of Curriculum Completion'!$CH$4:$CH$38,"Planned")+SUMIFS('Status of Curriculum Completion'!$CZ$4:$CZ$38,'Status of Curriculum Completion'!$CP$4:$CP$38,"India",'Status of Curriculum Completion'!$CU$4:$CU$38,"Planned")+SUMIFS('Status of Curriculum Completion'!$DM$4:$DM$38,'Status of Curriculum Completion'!$DC$4:$DC$38,"India",'Status of Curriculum Completion'!$DH$4:$DH$38,"Planned")</f>
        <v>0</v>
      </c>
      <c r="AC7" s="61">
        <f>SUMIFS('Status of Curriculum Completion'!$CM$4:$CM$38,'Status of Curriculum Completion'!$CC$4:$CC$38,"India",'Status of Curriculum Completion'!$CH$4:$CH$38,"Tentative")+SUMIFS('Status of Curriculum Completion'!$CZ$4:$CZ$38,'Status of Curriculum Completion'!$CP$4:$CP$38,"India",'Status of Curriculum Completion'!$CU$4:$CU$38,"Tentative")+SUMIFS('Status of Curriculum Completion'!$DM$4:$DM$38,'Status of Curriculum Completion'!$DC$4:$DC$38,"India",'Status of Curriculum Completion'!$DH$4:$DH$38,"Tentative")</f>
        <v>0</v>
      </c>
      <c r="AD7" s="61">
        <f>SUMIFS('Status of Curriculum Completion'!$CM$4:$CM$38,'Status of Curriculum Completion'!$CC$4:$CC$38,"India",'Status of Curriculum Completion'!$CI$4:$CI$38,"Complete")+SUMIFS('Status of Curriculum Completion'!$CZ$4:$CZ$38,'Status of Curriculum Completion'!$CP$4:$CP$38,"India",'Status of Curriculum Completion'!$CV$4:$CV$38,"Complete")+SUMIFS('Status of Curriculum Completion'!$DM$4:$DM$38,'Status of Curriculum Completion'!$DC$4:$DC$38,"India",'Status of Curriculum Completion'!$DI$4:$DI$38,"Complete")</f>
        <v>0</v>
      </c>
      <c r="AE7" s="61">
        <f>SUMIFS('Status of Curriculum Completion'!$CM$4:$CM$38,'Status of Curriculum Completion'!$CC$4:$CC$38,"India",'Status of Curriculum Completion'!$CI$4:$CI$38,"In Progress")+SUMIFS('Status of Curriculum Completion'!$CZ$4:$CZ$38,'Status of Curriculum Completion'!$CP$4:$CP$38,"India",'Status of Curriculum Completion'!$CV$4:$CV$38,"In Progress")+SUMIFS('Status of Curriculum Completion'!$DM$4:$DM$38,'Status of Curriculum Completion'!$DC$4:$DC$38,"India",'Status of Curriculum Completion'!$DI$4:$DI$38,"In Progress")</f>
        <v>0</v>
      </c>
      <c r="AF7" s="61">
        <f>SUMIFS('Status of Curriculum Completion'!$CM$4:$CM$38,'Status of Curriculum Completion'!$CC$4:$CC$38,"India",'Status of Curriculum Completion'!$CI$4:$CI$38,"Planned")+SUMIFS('Status of Curriculum Completion'!$CZ$4:$CZ$38,'Status of Curriculum Completion'!$CP$4:$CP$38,"India",'Status of Curriculum Completion'!$CV$4:$CV$38,"Planned")+SUMIFS('Status of Curriculum Completion'!$DM$4:$DM$38,'Status of Curriculum Completion'!$DC$4:$DC$38,"India",'Status of Curriculum Completion'!$DI$4:$DI$38,"Planned")</f>
        <v>0</v>
      </c>
      <c r="AG7" s="61">
        <f>SUMIFS('Status of Curriculum Completion'!$CM$4:$CM$38,'Status of Curriculum Completion'!$CC$4:$CC$38,"India",'Status of Curriculum Completion'!$CI$4:$CI$38,"Tentative")+SUMIFS('Status of Curriculum Completion'!$CZ$4:$CZ$38,'Status of Curriculum Completion'!$CP$4:$CP$38,"India",'Status of Curriculum Completion'!$CV$4:$CV$38,"Tentative")+SUMIFS('Status of Curriculum Completion'!$DM$4:$DM$38,'Status of Curriculum Completion'!$DC$4:$DC$38,"India",'Status of Curriculum Completion'!$DI$4:$DI$38,"Tentative")</f>
        <v>0</v>
      </c>
      <c r="AH7" s="62">
        <f>SUMIFS('Status of Curriculum Completion'!$DZ$4:$DZ$38,'Status of Curriculum Completion'!$DP$4:$DP$38,"India",'Status of Curriculum Completion'!$DT$4:$DT$38,"Complete")+SUMIFS('Status of Curriculum Completion'!$EM$4:$EM$38,'Status of Curriculum Completion'!$EC$4:$EC$38,"India",'Status of Curriculum Completion'!$EG$4:$EG$38,"Complete")+SUMIFS('Status of Curriculum Completion'!$EZ$4:$EZ$38,'Status of Curriculum Completion'!$EP$4:$EP$38,"India",'Status of Curriculum Completion'!$ET$4:$ET$38,"Complete")</f>
        <v>0</v>
      </c>
      <c r="AI7" s="62">
        <f>SUMIFS('Status of Curriculum Completion'!$DZ$4:$DZ$38,'Status of Curriculum Completion'!$DP$4:$DP$38,"India",'Status of Curriculum Completion'!$DT$4:$DT$38,"In Progress")+SUMIFS('Status of Curriculum Completion'!$EM$4:$EM$38,'Status of Curriculum Completion'!$EC$4:$EC$38,"India",'Status of Curriculum Completion'!$EG$4:$EG$38,"In Progress")+SUMIFS('Status of Curriculum Completion'!$EZ$4:$EZ$38,'Status of Curriculum Completion'!$EP$4:$EP$38,"India",'Status of Curriculum Completion'!$ET$4:$ET$38,"In Progress")</f>
        <v>0</v>
      </c>
      <c r="AJ7" s="62">
        <f>SUMIFS('Status of Curriculum Completion'!$DZ$4:$DZ$38,'Status of Curriculum Completion'!$DP$4:$DP$38,"India",'Status of Curriculum Completion'!$DT$4:$DT$38,"Planned")+SUMIFS('Status of Curriculum Completion'!$EM$4:$EM$38,'Status of Curriculum Completion'!$EC$4:$EC$38,"India",'Status of Curriculum Completion'!$EG$4:$EG$38,"Planned")+SUMIFS('Status of Curriculum Completion'!$EZ$4:$EZ$38,'Status of Curriculum Completion'!$EP$4:$EP$38,"India",'Status of Curriculum Completion'!$ET$4:$ET$38,"Planned")</f>
        <v>0</v>
      </c>
      <c r="AK7" s="62">
        <f>SUMIFS('Status of Curriculum Completion'!$DZ$4:$DZ$38,'Status of Curriculum Completion'!$DP$4:$DP$38,"India",'Status of Curriculum Completion'!$DT$4:$DT$38,"Tentative")+SUMIFS('Status of Curriculum Completion'!$EM$4:$EM$38,'Status of Curriculum Completion'!$EC$4:$EC$38,"India",'Status of Curriculum Completion'!$EG$4:$EG$38,"Tentative")+SUMIFS('Status of Curriculum Completion'!$EZ$4:$EZ$38,'Status of Curriculum Completion'!$EP$4:$EP$38,"India",'Status of Curriculum Completion'!$ET$4:$ET$38,"Tentative")</f>
        <v>0</v>
      </c>
      <c r="AL7" s="62">
        <f>SUMIFS('Status of Curriculum Completion'!$DZ$4:$DZ$38,'Status of Curriculum Completion'!$DP$4:$DP$38,"India",'Status of Curriculum Completion'!$DU$4:$DU$38,"Complete")+SUMIFS('Status of Curriculum Completion'!$EM$4:$EM$38,'Status of Curriculum Completion'!$EC$4:$EC$38,"India",'Status of Curriculum Completion'!$EH$4:$EH$38,"Complete")+SUMIFS('Status of Curriculum Completion'!$EZ$4:$EZ$38,'Status of Curriculum Completion'!$EP$4:$EP$38,"India",'Status of Curriculum Completion'!$EU$4:$EU$38,"Complete")</f>
        <v>0</v>
      </c>
      <c r="AM7" s="62">
        <f>SUMIFS('Status of Curriculum Completion'!$DZ$4:$DZ$38,'Status of Curriculum Completion'!$DP$4:$DP$38,"India",'Status of Curriculum Completion'!$DU$4:$DU$38,"In Progress")+SUMIFS('Status of Curriculum Completion'!$EM$4:$EM$38,'Status of Curriculum Completion'!$EC$4:$EC$38,"India",'Status of Curriculum Completion'!$EH$4:$EH$38,"In Progress")+SUMIFS('Status of Curriculum Completion'!$EZ$4:$EZ$38,'Status of Curriculum Completion'!$EP$4:$EP$38,"India",'Status of Curriculum Completion'!$EU$4:$EU$38,"In Progress")</f>
        <v>0</v>
      </c>
      <c r="AN7" s="62">
        <f>SUMIFS('Status of Curriculum Completion'!$DZ$4:$DZ$38,'Status of Curriculum Completion'!$DP$4:$DP$38,"India",'Status of Curriculum Completion'!$DU$4:$DU$38,"Planned")+SUMIFS('Status of Curriculum Completion'!$EM$4:$EM$38,'Status of Curriculum Completion'!$EC$4:$EC$38,"India",'Status of Curriculum Completion'!$EH$4:$EH$38,"Planned")+SUMIFS('Status of Curriculum Completion'!$EZ$4:$EZ$38,'Status of Curriculum Completion'!$EP$4:$EP$38,"India",'Status of Curriculum Completion'!$EU$4:$EU$38,"Planned")</f>
        <v>0</v>
      </c>
      <c r="AO7" s="62">
        <f>SUMIFS('Status of Curriculum Completion'!$DZ$4:$DZ$38,'Status of Curriculum Completion'!$DP$4:$DP$38,"India",'Status of Curriculum Completion'!$DU$4:$DU$38,"Tentative")+SUMIFS('Status of Curriculum Completion'!$EM$4:$EM$38,'Status of Curriculum Completion'!$EC$4:$EC$38,"India",'Status of Curriculum Completion'!$EH$4:$EH$38,"Tentative")+SUMIFS('Status of Curriculum Completion'!$EZ$4:$EZ$38,'Status of Curriculum Completion'!$EP$4:$EP$38,"India",'Status of Curriculum Completion'!$EU$4:$EU$38,"Tentative")</f>
        <v>0</v>
      </c>
      <c r="AP7" s="62">
        <f>SUMIFS('Status of Curriculum Completion'!$DZ$4:$DZ$38,'Status of Curriculum Completion'!$DP$4:$DP$38,"India",'Status of Curriculum Completion'!$DV$4:$DV$38,"Complete")+SUMIFS('Status of Curriculum Completion'!$EM$4:$EM$38,'Status of Curriculum Completion'!$EC$4:$EC$38,"India",'Status of Curriculum Completion'!$EI$4:$EI$38,"Complete")+SUMIFS('Status of Curriculum Completion'!$EZ$4:$EZ$38,'Status of Curriculum Completion'!$EP$4:$EP$38,"India",'Status of Curriculum Completion'!$EV$4:$EV$38,"Complete")</f>
        <v>0</v>
      </c>
      <c r="AQ7" s="62">
        <f>SUMIFS('Status of Curriculum Completion'!$DZ$4:$DZ$38,'Status of Curriculum Completion'!$DP$4:$DP$38,"India",'Status of Curriculum Completion'!$DV$4:$DV$38,"In Progress")+SUMIFS('Status of Curriculum Completion'!$EM$4:$EM$38,'Status of Curriculum Completion'!$EC$4:$EC$38,"India",'Status of Curriculum Completion'!$EI$4:$EI$38,"In Progress")+SUMIFS('Status of Curriculum Completion'!$EZ$4:$EZ$38,'Status of Curriculum Completion'!$EP$4:$EP$38,"India",'Status of Curriculum Completion'!$EV$4:$EV$38,"In Progress")</f>
        <v>0</v>
      </c>
      <c r="AR7" s="62">
        <f>SUMIFS('Status of Curriculum Completion'!$DZ$4:$DZ$38,'Status of Curriculum Completion'!$DP$4:$DP$38,"India",'Status of Curriculum Completion'!$DV$4:$DV$38,"Planned")+SUMIFS('Status of Curriculum Completion'!$EM$4:$EM$38,'Status of Curriculum Completion'!$EC$4:$EC$38,"India",'Status of Curriculum Completion'!$EI$4:$EI$38,"Planned")+SUMIFS('Status of Curriculum Completion'!$EZ$4:$EZ$38,'Status of Curriculum Completion'!$EP$4:$EP$38,"India",'Status of Curriculum Completion'!$EV$4:$EV$38,"Planned")</f>
        <v>0</v>
      </c>
      <c r="AS7" s="62">
        <f>SUMIFS('Status of Curriculum Completion'!$DZ$4:$DZ$38,'Status of Curriculum Completion'!$DP$4:$DP$38,"India",'Status of Curriculum Completion'!$DV$4:$DV$38,"Tentative")+SUMIFS('Status of Curriculum Completion'!$EM$4:$EM$38,'Status of Curriculum Completion'!$EC$4:$EC$38,"India",'Status of Curriculum Completion'!$EI$4:$EI$38,"Tentative")+SUMIFS('Status of Curriculum Completion'!$EZ$4:$EZ$38,'Status of Curriculum Completion'!$EP$4:$EP$38,"India",'Status of Curriculum Completion'!$EV$4:$EV$38,"Tentative")</f>
        <v>0</v>
      </c>
    </row>
    <row r="8" spans="1:45" ht="15" thickBot="1">
      <c r="A8" s="63" t="s">
        <v>1164</v>
      </c>
      <c r="B8" s="59">
        <f>SUMIFS('Status of Curriculum Completion'!M$4:M$38,'Status of Curriculum Completion'!C$4:C$38,"LA",'Status of Curriculum Completion'!G$4:G$38,"Complete")+SUMIFS('Status of Curriculum Completion'!Z$4:Z$38,'Status of Curriculum Completion'!P$4:P$38,"LA",'Status of Curriculum Completion'!T$4:T$38,"Complete")+SUMIFS('Status of Curriculum Completion'!AM$4:AM$38,'Status of Curriculum Completion'!AC$4:AC$38,"LA",'Status of Curriculum Completion'!AG$4:AG$38,"Complete")</f>
        <v>0</v>
      </c>
      <c r="C8" s="59">
        <f>SUMIFS('Status of Curriculum Completion'!$M$4:$M$38,'Status of Curriculum Completion'!$C$4:$C$38,"LA",'Status of Curriculum Completion'!$G$4:$G$38,"In progress")+SUMIFS('Status of Curriculum Completion'!$Z$4:$Z$38,'Status of Curriculum Completion'!$P$4:$P$38,"LA",'Status of Curriculum Completion'!$T$4:$T$38,"In progress")+SUMIFS('Status of Curriculum Completion'!$AM$4:$AM$38,'Status of Curriculum Completion'!$AC$4:$AC$38,"LA",'Status of Curriculum Completion'!$AG$4:$AG$38,"In progress")</f>
        <v>0</v>
      </c>
      <c r="D8" s="59">
        <f>SUMIFS('Status of Curriculum Completion'!$M$4:$M$38,'Status of Curriculum Completion'!$C$4:$C$38,"LA",'Status of Curriculum Completion'!$G$4:$G$38,"Planned")+SUMIFS('Status of Curriculum Completion'!$Z$4:$Z$38,'Status of Curriculum Completion'!$P$4:$P$38,"LA",'Status of Curriculum Completion'!$T$4:$T$38,"Planned")+SUMIFS('Status of Curriculum Completion'!$AM$4:$AM$38,'Status of Curriculum Completion'!$AC$4:$AC$38,"LA",'Status of Curriculum Completion'!$AG$4:$AG$38,"Planned")</f>
        <v>0</v>
      </c>
      <c r="E8" s="59">
        <f>SUMIFS('Status of Curriculum Completion'!$M$4:$M$38,'Status of Curriculum Completion'!$C$4:$C$38,"LA",'Status of Curriculum Completion'!$H$4:$H$38,"Complete")+SUMIFS('Status of Curriculum Completion'!$Z$4:$Z$38,'Status of Curriculum Completion'!$P$4:$P$38,"LA",'Status of Curriculum Completion'!$U$4:$U$38,"Complete")+SUMIFS('Status of Curriculum Completion'!$AM$4:$AM$38,'Status of Curriculum Completion'!$AC$4:$AC$38,"LA",'Status of Curriculum Completion'!$AH$4:$AH$38,"Complete")</f>
        <v>0</v>
      </c>
      <c r="F8" s="59">
        <f>SUMIFS('Status of Curriculum Completion'!$M$4:$M$38,'Status of Curriculum Completion'!$C$4:$C$38,"LA",'Status of Curriculum Completion'!$H$4:$H$38,"In Progress")+SUMIFS('Status of Curriculum Completion'!$Z$4:$Z$38,'Status of Curriculum Completion'!$P$4:$P$38,"LA",'Status of Curriculum Completion'!$U$4:$U$38,"In Progress")+SUMIFS('Status of Curriculum Completion'!$AM$4:$AM$38,'Status of Curriculum Completion'!$AC$4:$AC$38,"LA",'Status of Curriculum Completion'!$AH$4:$AH$38,"In Progress")</f>
        <v>0</v>
      </c>
      <c r="G8" s="59">
        <f>SUMIFS('Status of Curriculum Completion'!$M$4:$M$38,'Status of Curriculum Completion'!$C$4:$C$38,"LA",'Status of Curriculum Completion'!$H$4:$H$38,"Planned")+SUMIFS('Status of Curriculum Completion'!$Z$4:$Z$38,'Status of Curriculum Completion'!$P$4:$P$38,"LA",'Status of Curriculum Completion'!$U$4:$U$38,"Planned")+SUMIFS('Status of Curriculum Completion'!$AM$4:$AM$38,'Status of Curriculum Completion'!$AC$4:$AC$38,"LA",'Status of Curriculum Completion'!$AH$4:$AH$38,"Planned")</f>
        <v>0</v>
      </c>
      <c r="H8" s="59">
        <f>SUMIFS('Status of Curriculum Completion'!$M$4:$M$38,'Status of Curriculum Completion'!$C$4:$C$38,"LA",'Status of Curriculum Completion'!$I$4:$I$38,"Complete")+SUMIFS('Status of Curriculum Completion'!$Z$4:$Z$38,'Status of Curriculum Completion'!$P$4:$P$38,"LA",'Status of Curriculum Completion'!$V$4:$V$38,"Complete")+SUMIFS('Status of Curriculum Completion'!$AM$4:$AM$38,'Status of Curriculum Completion'!$AC$4:$AC$38,"LA",'Status of Curriculum Completion'!$AI$4:$AI$38,"Complete")</f>
        <v>0</v>
      </c>
      <c r="I8" s="59">
        <f>SUMIFS('Status of Curriculum Completion'!$M$4:$M$38,'Status of Curriculum Completion'!$C$4:$C$38,"LA",'Status of Curriculum Completion'!$I$4:$I$38,"In Progress")+SUMIFS('Status of Curriculum Completion'!$Z$4:$Z$38,'Status of Curriculum Completion'!$P$4:$P$38,"LA",'Status of Curriculum Completion'!$V$4:$V$38,"In Progress")+SUMIFS('Status of Curriculum Completion'!$AM$4:$AM$38,'Status of Curriculum Completion'!$AC$4:$AC$38,"LA",'Status of Curriculum Completion'!$AI$4:$AI$38,"In Progress")</f>
        <v>0</v>
      </c>
      <c r="J8" s="59">
        <f>SUMIFS('Status of Curriculum Completion'!$M$4:$M$38,'Status of Curriculum Completion'!$C$4:$C$38,"LA",'Status of Curriculum Completion'!$I$4:$I$38,"Planned")+SUMIFS('Status of Curriculum Completion'!$Z$4:$Z$38,'Status of Curriculum Completion'!$P$4:$P$38,"LA",'Status of Curriculum Completion'!$V$4:$V$38,"Planned")+SUMIFS('Status of Curriculum Completion'!$AM$4:$AM$38,'Status of Curriculum Completion'!$AC$4:$AC$38,"LA",'Status of Curriculum Completion'!$AI$4:$AI$38,"Planned")</f>
        <v>0</v>
      </c>
      <c r="K8" s="60">
        <f>SUMIFS('Status of Curriculum Completion'!$AZ$4:$AZ$38,'Status of Curriculum Completion'!$AP$4:$AP$38,"LA",'Status of Curriculum Completion'!$AT$4:$AT$38,"Complete")+SUMIFS('Status of Curriculum Completion'!$BM$4:$BM$38,'Status of Curriculum Completion'!$BC$4:$BC$38,"LA",'Status of Curriculum Completion'!$BG$4:$BG$38,"Complete")+SUMIFS('Status of Curriculum Completion'!$BZ$4:$BZ$38,'Status of Curriculum Completion'!$BP$4:$BP$38,"LA",'Status of Curriculum Completion'!$BT$4:$BT$38,"Complete")</f>
        <v>0</v>
      </c>
      <c r="L8" s="60">
        <f>SUMIFS('Status of Curriculum Completion'!$AZ$4:$AZ$38,'Status of Curriculum Completion'!$AP$4:$AP$38,"LA",'Status of Curriculum Completion'!$AT$4:$AT$38,"In Progress")+SUMIFS('Status of Curriculum Completion'!$BM$4:$BM$38,'Status of Curriculum Completion'!$BC$4:$BC$38,"LA",'Status of Curriculum Completion'!$BG$4:$BG$38,"In Progress")+SUMIFS('Status of Curriculum Completion'!$BZ$4:$BZ$38,'Status of Curriculum Completion'!$BP$4:$BP$38,"LA",'Status of Curriculum Completion'!$BT$4:$BT$38,"In Progress")</f>
        <v>0</v>
      </c>
      <c r="M8" s="60">
        <f>SUMIFS('Status of Curriculum Completion'!$AZ$4:$AZ$38,'Status of Curriculum Completion'!$AP$4:$AP$38,"LA",'Status of Curriculum Completion'!$AT$4:$AT$38,"Planned")+SUMIFS('Status of Curriculum Completion'!$BM$4:$BM$38,'Status of Curriculum Completion'!$BC$4:$BC$38,"LA",'Status of Curriculum Completion'!$BG$4:$BG$38,"Planned")+SUMIFS('Status of Curriculum Completion'!$BZ$4:$BZ$38,'Status of Curriculum Completion'!$BP$4:$BP$38,"LA",'Status of Curriculum Completion'!$BT$4:$BT$38,"Planned")</f>
        <v>0</v>
      </c>
      <c r="N8" s="60">
        <f>SUMIFS('Status of Curriculum Completion'!$AZ$4:$AZ$38,'Status of Curriculum Completion'!$AP$4:$AP$38,"LA",'Status of Curriculum Completion'!$AU$4:$AU$38,"Complete")+SUMIFS('Status of Curriculum Completion'!$BM$4:$BM$38,'Status of Curriculum Completion'!$BC$4:$BC$38,"LA",'Status of Curriculum Completion'!$BH$4:$BH$38,"Complete")+SUMIFS('Status of Curriculum Completion'!$BZ$4:$BZ$38,'Status of Curriculum Completion'!$BP$4:$BP$38,"LA",'Status of Curriculum Completion'!$BU$4:$BU$38,"Complete")</f>
        <v>0</v>
      </c>
      <c r="O8" s="60">
        <f>SUMIFS('Status of Curriculum Completion'!$AZ$4:$AZ$38,'Status of Curriculum Completion'!$AP$4:$AP$38,"LA",'Status of Curriculum Completion'!$AU$4:$AU$38,"In Progress")+SUMIFS('Status of Curriculum Completion'!$BM$4:$BM$38,'Status of Curriculum Completion'!$BC$4:$BC$38,"LA",'Status of Curriculum Completion'!$BH$4:$BH$38,"In Progress")+SUMIFS('Status of Curriculum Completion'!$BZ$4:$BZ$38,'Status of Curriculum Completion'!$BP$4:$BP$38,"LA",'Status of Curriculum Completion'!$BU$4:$BU$38,"In Progress")</f>
        <v>0</v>
      </c>
      <c r="P8" s="60">
        <f>SUMIFS('Status of Curriculum Completion'!$AZ$4:$AZ$38,'Status of Curriculum Completion'!$AP$4:$AP$38,"LA",'Status of Curriculum Completion'!$AU$4:$AU$38,"Planned")+SUMIFS('Status of Curriculum Completion'!$BM$4:$BM$38,'Status of Curriculum Completion'!$BC$4:$BC$38,"LA",'Status of Curriculum Completion'!$BH$4:$BH$38,"Planned")+SUMIFS('Status of Curriculum Completion'!$BZ$4:$BZ$38,'Status of Curriculum Completion'!$BP$4:$BP$38,"LA",'Status of Curriculum Completion'!$BU$4:$BU$38,"Planned")</f>
        <v>0</v>
      </c>
      <c r="Q8" s="60">
        <f>SUMIFS('Status of Curriculum Completion'!$AZ$4:$AZ$38,'Status of Curriculum Completion'!$AP$4:$AP$38,"LA",'Status of Curriculum Completion'!$AV$4:$AV$38,"Complete")+SUMIFS('Status of Curriculum Completion'!$BM$4:$BM$38,'Status of Curriculum Completion'!$BC$4:$BC$38,"LA",'Status of Curriculum Completion'!$BI$4:$BI$38,"Complete")+SUMIFS('Status of Curriculum Completion'!$BZ$4:$BZ$38,'Status of Curriculum Completion'!$BP$4:$BP$38,"LA",'Status of Curriculum Completion'!$BV$4:$BV$38,"Complete")</f>
        <v>0</v>
      </c>
      <c r="R8" s="60">
        <f>SUMIFS('Status of Curriculum Completion'!$AZ$4:$AZ$38,'Status of Curriculum Completion'!$AP$4:$AP$38,"LA",'Status of Curriculum Completion'!$AV$4:$AV$38,"In Progress")+SUMIFS('Status of Curriculum Completion'!$BM$4:$BM$38,'Status of Curriculum Completion'!$BC$4:$BC$38,"LA",'Status of Curriculum Completion'!$BI$4:$BI$38,"In Progress")+SUMIFS('Status of Curriculum Completion'!$BZ$4:$BZ$38,'Status of Curriculum Completion'!$BP$4:$BP$38,"LA",'Status of Curriculum Completion'!$BV$4:$BV$38,"In Progress")</f>
        <v>0</v>
      </c>
      <c r="S8" s="60">
        <f>SUMIFS('Status of Curriculum Completion'!$AZ$4:$AZ$38,'Status of Curriculum Completion'!$AP$4:$AP$38,"LA",'Status of Curriculum Completion'!$AV$4:$AV$38,"Planned")+SUMIFS('Status of Curriculum Completion'!$BM$4:$BM$38,'Status of Curriculum Completion'!$BC$4:$BC$38,"LA",'Status of Curriculum Completion'!$BI$4:$BI$38,"Planned")+SUMIFS('Status of Curriculum Completion'!$BZ$4:$BZ$38,'Status of Curriculum Completion'!$BP$4:$BP$38,"LA",'Status of Curriculum Completion'!$BV$4:$BV$38,"Planned")</f>
        <v>0</v>
      </c>
      <c r="U8" s="63" t="s">
        <v>1164</v>
      </c>
      <c r="V8" s="61">
        <f>SUMIFS('Status of Curriculum Completion'!$CM$4:$CM$38,'Status of Curriculum Completion'!$CC$4:$CC$38,"LA",'Status of Curriculum Completion'!$CG$4:$CG$38,"Complete")+SUMIFS('Status of Curriculum Completion'!$CZ$4:$CZ$38,'Status of Curriculum Completion'!$CP$4:$CP$38,"LA",'Status of Curriculum Completion'!$CT$4:$CT$38,"Complete")+SUMIFS('Status of Curriculum Completion'!$DM$4:$DM$38,'Status of Curriculum Completion'!$DC$4:$DC$38,"LA",'Status of Curriculum Completion'!$DG$4:$DG$38,"Complete")</f>
        <v>0</v>
      </c>
      <c r="W8" s="61">
        <f>SUMIFS('Status of Curriculum Completion'!$CM$4:$CM$38,'Status of Curriculum Completion'!$CC$4:$CC$38,"LA",'Status of Curriculum Completion'!$CG$4:$CG$38,"In Progress")+SUMIFS('Status of Curriculum Completion'!$CZ$4:$CZ$38,'Status of Curriculum Completion'!$CP$4:$CP$38,"LA",'Status of Curriculum Completion'!$CT$4:$CT$38,"In Progress")+SUMIFS('Status of Curriculum Completion'!$DM$4:$DM$38,'Status of Curriculum Completion'!$DC$4:$DC$38,"LA",'Status of Curriculum Completion'!$DG$4:$DG$38,"In Progress")</f>
        <v>0</v>
      </c>
      <c r="X8" s="61">
        <f>SUMIFS('Status of Curriculum Completion'!$CM$4:$CM$38,'Status of Curriculum Completion'!$CC$4:$CC$38,"LA",'Status of Curriculum Completion'!$CG$4:$CG$38,"Planned")+SUMIFS('Status of Curriculum Completion'!$CZ$4:$CZ$38,'Status of Curriculum Completion'!$CP$4:$CP$38,"LA",'Status of Curriculum Completion'!$CT$4:$CT$38,"Planned")+SUMIFS('Status of Curriculum Completion'!$DM$4:$DM$38,'Status of Curriculum Completion'!$DC$4:$DC$38,"LA",'Status of Curriculum Completion'!$DG$4:$DG$38,"Planned")</f>
        <v>0</v>
      </c>
      <c r="Y8" s="61">
        <f>SUMIFS('Status of Curriculum Completion'!$CM$4:$CM$38,'Status of Curriculum Completion'!$CC$4:$CC$38,"LA",'Status of Curriculum Completion'!$CG$4:$CG$38,"Tentative")+SUMIFS('Status of Curriculum Completion'!$CZ$4:$CZ$38,'Status of Curriculum Completion'!$CP$4:$CP$38,"LA",'Status of Curriculum Completion'!$CT$4:$CT$38,"Tentative")+SUMIFS('Status of Curriculum Completion'!$DM$4:$DM$38,'Status of Curriculum Completion'!$DC$4:$DC$38,"LA",'Status of Curriculum Completion'!$DG$4:$DG$38,"Tentative")</f>
        <v>0</v>
      </c>
      <c r="Z8" s="61">
        <f>SUMIFS('Status of Curriculum Completion'!$CM$4:$CM$38,'Status of Curriculum Completion'!$CC$4:$CC$38,"LA",'Status of Curriculum Completion'!$CH$4:$CH$38,"Complete")+SUMIFS('Status of Curriculum Completion'!$CZ$4:$CZ$38,'Status of Curriculum Completion'!$CP$4:$CP$38,"LA",'Status of Curriculum Completion'!$CU$4:$CU$38,"Complete")+SUMIFS('Status of Curriculum Completion'!$DM$4:$DM$38,'Status of Curriculum Completion'!$DC$4:$DC$38,"LA",'Status of Curriculum Completion'!$DH$4:$DH$38,"Complete")</f>
        <v>0</v>
      </c>
      <c r="AA8" s="61">
        <f>SUMIFS('Status of Curriculum Completion'!$CM$4:$CM$38,'Status of Curriculum Completion'!$CC$4:$CC$38,"LA",'Status of Curriculum Completion'!$CH$4:$CH$38,"In Progress")+SUMIFS('Status of Curriculum Completion'!$CZ$4:$CZ$38,'Status of Curriculum Completion'!$CP$4:$CP$38,"LA",'Status of Curriculum Completion'!$CU$4:$CU$38,"In Progress")+SUMIFS('Status of Curriculum Completion'!$DM$4:$DM$38,'Status of Curriculum Completion'!$DC$4:$DC$38,"LA",'Status of Curriculum Completion'!$DH$4:$DH$38,"In Progress")</f>
        <v>0</v>
      </c>
      <c r="AB8" s="61">
        <f>SUMIFS('Status of Curriculum Completion'!$CM$4:$CM$38,'Status of Curriculum Completion'!$CC$4:$CC$38,"LA",'Status of Curriculum Completion'!$CH$4:$CH$38,"Planned")+SUMIFS('Status of Curriculum Completion'!$CZ$4:$CZ$38,'Status of Curriculum Completion'!$CP$4:$CP$38,"LA",'Status of Curriculum Completion'!$CU$4:$CU$38,"Planned")+SUMIFS('Status of Curriculum Completion'!$DM$4:$DM$38,'Status of Curriculum Completion'!$DC$4:$DC$38,"LA",'Status of Curriculum Completion'!$DH$4:$DH$38,"Planned")</f>
        <v>0</v>
      </c>
      <c r="AC8" s="61">
        <f>SUMIFS('Status of Curriculum Completion'!$CM$4:$CM$38,'Status of Curriculum Completion'!$CC$4:$CC$38,"LA",'Status of Curriculum Completion'!$CH$4:$CH$38,"Tentative")+SUMIFS('Status of Curriculum Completion'!$CZ$4:$CZ$38,'Status of Curriculum Completion'!$CP$4:$CP$38,"LA",'Status of Curriculum Completion'!$CU$4:$CU$38,"Tentative")+SUMIFS('Status of Curriculum Completion'!$DM$4:$DM$38,'Status of Curriculum Completion'!$DC$4:$DC$38,"LA",'Status of Curriculum Completion'!$DH$4:$DH$38,"Tentative")</f>
        <v>0</v>
      </c>
      <c r="AD8" s="61">
        <f>SUMIFS('Status of Curriculum Completion'!$CM$4:$CM$38,'Status of Curriculum Completion'!$CC$4:$CC$38,"LA",'Status of Curriculum Completion'!$CI$4:$CI$38,"Complete")+SUMIFS('Status of Curriculum Completion'!$CZ$4:$CZ$38,'Status of Curriculum Completion'!$CP$4:$CP$38,"LA",'Status of Curriculum Completion'!$CV$4:$CV$38,"Complete")+SUMIFS('Status of Curriculum Completion'!$DM$4:$DM$38,'Status of Curriculum Completion'!$DC$4:$DC$38,"LA",'Status of Curriculum Completion'!$DI$4:$DI$38,"Complete")</f>
        <v>0</v>
      </c>
      <c r="AE8" s="61">
        <f>SUMIFS('Status of Curriculum Completion'!$CM$4:$CM$38,'Status of Curriculum Completion'!$CC$4:$CC$38,"LA",'Status of Curriculum Completion'!$CI$4:$CI$38,"In Progress")+SUMIFS('Status of Curriculum Completion'!$CZ$4:$CZ$38,'Status of Curriculum Completion'!$CP$4:$CP$38,"LA",'Status of Curriculum Completion'!$CV$4:$CV$38,"In Progress")+SUMIFS('Status of Curriculum Completion'!$DM$4:$DM$38,'Status of Curriculum Completion'!$DC$4:$DC$38,"LA",'Status of Curriculum Completion'!$DI$4:$DI$38,"In Progress")</f>
        <v>0</v>
      </c>
      <c r="AF8" s="61">
        <f>SUMIFS('Status of Curriculum Completion'!$CM$4:$CM$38,'Status of Curriculum Completion'!$CC$4:$CC$38,"LA",'Status of Curriculum Completion'!$CI$4:$CI$38,"Planned")+SUMIFS('Status of Curriculum Completion'!$CZ$4:$CZ$38,'Status of Curriculum Completion'!$CP$4:$CP$38,"LA",'Status of Curriculum Completion'!$CV$4:$CV$38,"Planned")+SUMIFS('Status of Curriculum Completion'!$DM$4:$DM$38,'Status of Curriculum Completion'!$DC$4:$DC$38,"LA",'Status of Curriculum Completion'!$DI$4:$DI$38,"Planned")</f>
        <v>0</v>
      </c>
      <c r="AG8" s="61">
        <f>SUMIFS('Status of Curriculum Completion'!$CM$4:$CM$38,'Status of Curriculum Completion'!$CC$4:$CC$38,"LA",'Status of Curriculum Completion'!$CI$4:$CI$38,"Tentative")+SUMIFS('Status of Curriculum Completion'!$CZ$4:$CZ$38,'Status of Curriculum Completion'!$CP$4:$CP$38,"LA",'Status of Curriculum Completion'!$CV$4:$CV$38,"Tentative")+SUMIFS('Status of Curriculum Completion'!$DM$4:$DM$38,'Status of Curriculum Completion'!$DC$4:$DC$38,"LA",'Status of Curriculum Completion'!$DI$4:$DI$38,"Tentative")</f>
        <v>0</v>
      </c>
      <c r="AH8" s="62">
        <f>SUMIFS('Status of Curriculum Completion'!$DZ$4:$DZ$38,'Status of Curriculum Completion'!$DP$4:$DP$38,"LA",'Status of Curriculum Completion'!$DT$4:$DT$38,"Complete")+SUMIFS('Status of Curriculum Completion'!$EM$4:$EM$38,'Status of Curriculum Completion'!$EC$4:$EC$38,"LA",'Status of Curriculum Completion'!$EG$4:$EG$38,"Complete")+SUMIFS('Status of Curriculum Completion'!$EZ$4:$EZ$38,'Status of Curriculum Completion'!$EP$4:$EP$38,"LA",'Status of Curriculum Completion'!$ET$4:$ET$38,"Complete")</f>
        <v>0</v>
      </c>
      <c r="AI8" s="62">
        <f>SUMIFS('Status of Curriculum Completion'!$DZ$4:$DZ$38,'Status of Curriculum Completion'!$DP$4:$DP$38,"LA",'Status of Curriculum Completion'!$DT$4:$DT$38,"In Progress")+SUMIFS('Status of Curriculum Completion'!$EM$4:$EM$38,'Status of Curriculum Completion'!$EC$4:$EC$38,"LA",'Status of Curriculum Completion'!$EG$4:$EG$38,"In Progress")+SUMIFS('Status of Curriculum Completion'!$EZ$4:$EZ$38,'Status of Curriculum Completion'!$EP$4:$EP$38,"LA",'Status of Curriculum Completion'!$ET$4:$ET$38,"In Progress")</f>
        <v>0</v>
      </c>
      <c r="AJ8" s="62">
        <f>SUMIFS('Status of Curriculum Completion'!$DZ$4:$DZ$38,'Status of Curriculum Completion'!$DP$4:$DP$38,"LA",'Status of Curriculum Completion'!$DT$4:$DT$38,"Planned")+SUMIFS('Status of Curriculum Completion'!$EM$4:$EM$38,'Status of Curriculum Completion'!$EC$4:$EC$38,"LA",'Status of Curriculum Completion'!$EG$4:$EG$38,"Planned")+SUMIFS('Status of Curriculum Completion'!$EZ$4:$EZ$38,'Status of Curriculum Completion'!$EP$4:$EP$38,"LA",'Status of Curriculum Completion'!$ET$4:$ET$38,"Planned")</f>
        <v>0</v>
      </c>
      <c r="AK8" s="62">
        <f>SUMIFS('Status of Curriculum Completion'!$DZ$4:$DZ$38,'Status of Curriculum Completion'!$DP$4:$DP$38,"LA",'Status of Curriculum Completion'!$DT$4:$DT$38,"Tentative")+SUMIFS('Status of Curriculum Completion'!$EM$4:$EM$38,'Status of Curriculum Completion'!$EC$4:$EC$38,"LA",'Status of Curriculum Completion'!$EG$4:$EG$38,"Tentative")+SUMIFS('Status of Curriculum Completion'!$EZ$4:$EZ$38,'Status of Curriculum Completion'!$EP$4:$EP$38,"LA",'Status of Curriculum Completion'!$ET$4:$ET$38,"Tentative")</f>
        <v>0</v>
      </c>
      <c r="AL8" s="62">
        <f>SUMIFS('Status of Curriculum Completion'!$DZ$4:$DZ$38,'Status of Curriculum Completion'!$DP$4:$DP$38,"LA",'Status of Curriculum Completion'!$DU$4:$DU$38,"Complete")+SUMIFS('Status of Curriculum Completion'!$EM$4:$EM$38,'Status of Curriculum Completion'!$EC$4:$EC$38,"LA",'Status of Curriculum Completion'!$EH$4:$EH$38,"Complete")+SUMIFS('Status of Curriculum Completion'!$EZ$4:$EZ$38,'Status of Curriculum Completion'!$EP$4:$EP$38,"LA",'Status of Curriculum Completion'!$EU$4:$EU$38,"Complete")</f>
        <v>0</v>
      </c>
      <c r="AM8" s="62">
        <f>SUMIFS('Status of Curriculum Completion'!$DZ$4:$DZ$38,'Status of Curriculum Completion'!$DP$4:$DP$38,"LA",'Status of Curriculum Completion'!$DU$4:$DU$38,"In Progress")+SUMIFS('Status of Curriculum Completion'!$EM$4:$EM$38,'Status of Curriculum Completion'!$EC$4:$EC$38,"LA",'Status of Curriculum Completion'!$EH$4:$EH$38,"In Progress")+SUMIFS('Status of Curriculum Completion'!$EZ$4:$EZ$38,'Status of Curriculum Completion'!$EP$4:$EP$38,"LA",'Status of Curriculum Completion'!$EU$4:$EU$38,"In Progress")</f>
        <v>0</v>
      </c>
      <c r="AN8" s="62">
        <f>SUMIFS('Status of Curriculum Completion'!$DZ$4:$DZ$38,'Status of Curriculum Completion'!$DP$4:$DP$38,"LA",'Status of Curriculum Completion'!$DU$4:$DU$38,"Planned")+SUMIFS('Status of Curriculum Completion'!$EM$4:$EM$38,'Status of Curriculum Completion'!$EC$4:$EC$38,"LA",'Status of Curriculum Completion'!$EH$4:$EH$38,"Planned")+SUMIFS('Status of Curriculum Completion'!$EZ$4:$EZ$38,'Status of Curriculum Completion'!$EP$4:$EP$38,"LA",'Status of Curriculum Completion'!$EU$4:$EU$38,"Planned")</f>
        <v>0</v>
      </c>
      <c r="AO8" s="62">
        <f>SUMIFS('Status of Curriculum Completion'!$DZ$4:$DZ$38,'Status of Curriculum Completion'!$DP$4:$DP$38,"LA",'Status of Curriculum Completion'!$DU$4:$DU$38,"Tentative")+SUMIFS('Status of Curriculum Completion'!$EM$4:$EM$38,'Status of Curriculum Completion'!$EC$4:$EC$38,"LA",'Status of Curriculum Completion'!$EH$4:$EH$38,"Tentative")+SUMIFS('Status of Curriculum Completion'!$EZ$4:$EZ$38,'Status of Curriculum Completion'!$EP$4:$EP$38,"LA",'Status of Curriculum Completion'!$EU$4:$EU$38,"Tentative")</f>
        <v>0</v>
      </c>
      <c r="AP8" s="62">
        <f>SUMIFS('Status of Curriculum Completion'!$DZ$4:$DZ$38,'Status of Curriculum Completion'!$DP$4:$DP$38,"LA",'Status of Curriculum Completion'!$DV$4:$DV$38,"Complete")+SUMIFS('Status of Curriculum Completion'!$EM$4:$EM$38,'Status of Curriculum Completion'!$EC$4:$EC$38,"LA",'Status of Curriculum Completion'!$EI$4:$EI$38,"Complete")+SUMIFS('Status of Curriculum Completion'!$EZ$4:$EZ$38,'Status of Curriculum Completion'!$EP$4:$EP$38,"LA",'Status of Curriculum Completion'!$EV$4:$EV$38,"Complete")</f>
        <v>0</v>
      </c>
      <c r="AQ8" s="62">
        <f>SUMIFS('Status of Curriculum Completion'!$DZ$4:$DZ$38,'Status of Curriculum Completion'!$DP$4:$DP$38,"LA",'Status of Curriculum Completion'!$DV$4:$DV$38,"In Progress")+SUMIFS('Status of Curriculum Completion'!$EM$4:$EM$38,'Status of Curriculum Completion'!$EC$4:$EC$38,"LA",'Status of Curriculum Completion'!$EI$4:$EI$38,"In Progress")+SUMIFS('Status of Curriculum Completion'!$EZ$4:$EZ$38,'Status of Curriculum Completion'!$EP$4:$EP$38,"LA",'Status of Curriculum Completion'!$EV$4:$EV$38,"In Progress")</f>
        <v>0</v>
      </c>
      <c r="AR8" s="62">
        <f>SUMIFS('Status of Curriculum Completion'!$DZ$4:$DZ$38,'Status of Curriculum Completion'!$DP$4:$DP$38,"LA",'Status of Curriculum Completion'!$DV$4:$DV$38,"Planned")+SUMIFS('Status of Curriculum Completion'!$EM$4:$EM$38,'Status of Curriculum Completion'!$EC$4:$EC$38,"LA",'Status of Curriculum Completion'!$EI$4:$EI$38,"Planned")+SUMIFS('Status of Curriculum Completion'!$EZ$4:$EZ$38,'Status of Curriculum Completion'!$EP$4:$EP$38,"LA",'Status of Curriculum Completion'!$EV$4:$EV$38,"Planned")</f>
        <v>0</v>
      </c>
      <c r="AS8" s="62">
        <f>SUMIFS('Status of Curriculum Completion'!$DZ$4:$DZ$38,'Status of Curriculum Completion'!$DP$4:$DP$38,"LA",'Status of Curriculum Completion'!$DV$4:$DV$38,"Tentative")+SUMIFS('Status of Curriculum Completion'!$EM$4:$EM$38,'Status of Curriculum Completion'!$EC$4:$EC$38,"LA",'Status of Curriculum Completion'!$EI$4:$EI$38,"Tentative")+SUMIFS('Status of Curriculum Completion'!$EZ$4:$EZ$38,'Status of Curriculum Completion'!$EP$4:$EP$38,"LA",'Status of Curriculum Completion'!$EV$4:$EV$38,"Tentative")</f>
        <v>0</v>
      </c>
    </row>
    <row r="9" spans="1:45" ht="15" thickBot="1">
      <c r="A9" s="63" t="s">
        <v>1165</v>
      </c>
      <c r="B9" s="59">
        <f>SUMIFS('Status of Curriculum Completion'!M$4:M$38,'Status of Curriculum Completion'!C$4:C$38,"CIC MEA",'Status of Curriculum Completion'!G$4:G$38,"Complete")+SUMIFS('Status of Curriculum Completion'!Z$4:Z$38,'Status of Curriculum Completion'!P$4:P$38,"CIC MEA",'Status of Curriculum Completion'!T$4:T$38,"Complete")+SUMIFS('Status of Curriculum Completion'!AM$4:AM$38,'Status of Curriculum Completion'!AC$4:AC$38,"CIC MEA",'Status of Curriculum Completion'!AG$4:AG$38,"Complete")</f>
        <v>0</v>
      </c>
      <c r="C9" s="59">
        <f>SUMIFS('Status of Curriculum Completion'!$M$4:$M$38,'Status of Curriculum Completion'!$C$4:$C$38,"CIC MEA",'Status of Curriculum Completion'!$G$4:$G$38,"In progress")+SUMIFS('Status of Curriculum Completion'!$Z$4:$Z$38,'Status of Curriculum Completion'!$P$4:$P$38,"CIC MEA",'Status of Curriculum Completion'!$T$4:$T$38,"In progress")+SUMIFS('Status of Curriculum Completion'!$AM$4:$AM$38,'Status of Curriculum Completion'!$AC$4:$AC$38,"CIC MEA",'Status of Curriculum Completion'!$AG$4:$AG$38,"In progress")</f>
        <v>0</v>
      </c>
      <c r="D9" s="59">
        <f>SUMIFS('Status of Curriculum Completion'!$M$4:$M$38,'Status of Curriculum Completion'!$C$4:$C$38,"CIC MEA",'Status of Curriculum Completion'!$G$4:$G$38,"Planned")+SUMIFS('Status of Curriculum Completion'!$Z$4:$Z$38,'Status of Curriculum Completion'!$P$4:$P$38,"CIC MEA",'Status of Curriculum Completion'!$T$4:$T$38,"Planned")+SUMIFS('Status of Curriculum Completion'!$AM$4:$AM$38,'Status of Curriculum Completion'!$AC$4:$AC$38,"CIC MEA",'Status of Curriculum Completion'!$AG$4:$AG$38,"Planned")</f>
        <v>0</v>
      </c>
      <c r="E9" s="59">
        <f>SUMIFS('Status of Curriculum Completion'!$M$4:$M$38,'Status of Curriculum Completion'!$C$4:$C$38,"CIC MEA",'Status of Curriculum Completion'!$H$4:$H$38,"Complete")+SUMIFS('Status of Curriculum Completion'!$Z$4:$Z$38,'Status of Curriculum Completion'!$P$4:$P$38,"CIC MEA",'Status of Curriculum Completion'!$U$4:$U$38,"Complete")+SUMIFS('Status of Curriculum Completion'!$AM$4:$AM$38,'Status of Curriculum Completion'!$AC$4:$AC$38,"CIC MEA",'Status of Curriculum Completion'!$AH$4:$AH$38,"Complete")</f>
        <v>0</v>
      </c>
      <c r="F9" s="59">
        <f>SUMIFS('Status of Curriculum Completion'!$M$4:$M$38,'Status of Curriculum Completion'!$C$4:$C$38,"CIC MEA",'Status of Curriculum Completion'!$H$4:$H$38,"In Progress")+SUMIFS('Status of Curriculum Completion'!$Z$4:$Z$38,'Status of Curriculum Completion'!$P$4:$P$38,"CIC MEA",'Status of Curriculum Completion'!$U$4:$U$38,"In Progress")+SUMIFS('Status of Curriculum Completion'!$AM$4:$AM$38,'Status of Curriculum Completion'!$AC$4:$AC$38,"CIC MEA",'Status of Curriculum Completion'!$AH$4:$AH$38,"In Progress")</f>
        <v>0</v>
      </c>
      <c r="G9" s="59">
        <f>SUMIFS('Status of Curriculum Completion'!$M$4:$M$38,'Status of Curriculum Completion'!$C$4:$C$38,"CIC MEA",'Status of Curriculum Completion'!$H$4:$H$38,"Planned")+SUMIFS('Status of Curriculum Completion'!$Z$4:$Z$38,'Status of Curriculum Completion'!$P$4:$P$38,"CIC MEA",'Status of Curriculum Completion'!$U$4:$U$38,"Planned")+SUMIFS('Status of Curriculum Completion'!$AM$4:$AM$38,'Status of Curriculum Completion'!$AC$4:$AC$38,"CIC MEA",'Status of Curriculum Completion'!$AH$4:$AH$38,"Planned")</f>
        <v>0</v>
      </c>
      <c r="H9" s="59">
        <f>SUMIFS('Status of Curriculum Completion'!$M$4:$M$38,'Status of Curriculum Completion'!$C$4:$C$38,"CIC MEA",'Status of Curriculum Completion'!$I$4:$I$38,"Complete")+SUMIFS('Status of Curriculum Completion'!$Z$4:$Z$38,'Status of Curriculum Completion'!$P$4:$P$38,"CIC MEA",'Status of Curriculum Completion'!$V$4:$V$38,"Complete")+SUMIFS('Status of Curriculum Completion'!$AM$4:$AM$38,'Status of Curriculum Completion'!$AC$4:$AC$38,"CIC MEA",'Status of Curriculum Completion'!$AI$4:$AI$38,"Complete")</f>
        <v>0</v>
      </c>
      <c r="I9" s="59">
        <f>SUMIFS('Status of Curriculum Completion'!$M$4:$M$38,'Status of Curriculum Completion'!$C$4:$C$38,"CIC MEA",'Status of Curriculum Completion'!$I$4:$I$38,"In Progress")+SUMIFS('Status of Curriculum Completion'!$Z$4:$Z$38,'Status of Curriculum Completion'!$P$4:$P$38,"CIC MEA",'Status of Curriculum Completion'!$V$4:$V$38,"In Progress")+SUMIFS('Status of Curriculum Completion'!$AM$4:$AM$38,'Status of Curriculum Completion'!$AC$4:$AC$38,"CIC MEA",'Status of Curriculum Completion'!$AI$4:$AI$38,"In Progress")</f>
        <v>0</v>
      </c>
      <c r="J9" s="59">
        <f>SUMIFS('Status of Curriculum Completion'!$M$4:$M$38,'Status of Curriculum Completion'!$C$4:$C$38,"CIC MEA",'Status of Curriculum Completion'!$I$4:$I$38,"Planned")+SUMIFS('Status of Curriculum Completion'!$Z$4:$Z$38,'Status of Curriculum Completion'!$P$4:$P$38,"CIC MEA",'Status of Curriculum Completion'!$V$4:$V$38,"Planned")+SUMIFS('Status of Curriculum Completion'!$AM$4:$AM$38,'Status of Curriculum Completion'!$AC$4:$AC$38,"CIC MEA",'Status of Curriculum Completion'!$AI$4:$AI$38,"Planned")</f>
        <v>0</v>
      </c>
      <c r="K9" s="60">
        <f>SUMIFS('Status of Curriculum Completion'!$AZ$4:$AZ$38,'Status of Curriculum Completion'!$AP$4:$AP$38,"CIC MEA",'Status of Curriculum Completion'!$AT$4:$AT$38,"Complete")+SUMIFS('Status of Curriculum Completion'!$BM$4:$BM$38,'Status of Curriculum Completion'!$BC$4:$BC$38,"CIC MEA",'Status of Curriculum Completion'!$BG$4:$BG$38,"Complete")+SUMIFS('Status of Curriculum Completion'!$BZ$4:$BZ$38,'Status of Curriculum Completion'!$BP$4:$BP$38,"CIC MEA",'Status of Curriculum Completion'!$BT$4:$BT$38,"Complete")</f>
        <v>0</v>
      </c>
      <c r="L9" s="60">
        <f>SUMIFS('Status of Curriculum Completion'!$AZ$4:$AZ$38,'Status of Curriculum Completion'!$AP$4:$AP$38,"CIC MEA",'Status of Curriculum Completion'!$AT$4:$AT$38,"In Progress")+SUMIFS('Status of Curriculum Completion'!$BM$4:$BM$38,'Status of Curriculum Completion'!$BC$4:$BC$38,"CIC MEA",'Status of Curriculum Completion'!$BG$4:$BG$38,"In Progress")+SUMIFS('Status of Curriculum Completion'!$BZ$4:$BZ$38,'Status of Curriculum Completion'!$BP$4:$BP$38,"CIC MEA",'Status of Curriculum Completion'!$BT$4:$BT$38,"In Progress")</f>
        <v>0</v>
      </c>
      <c r="M9" s="60">
        <f>SUMIFS('Status of Curriculum Completion'!$AZ$4:$AZ$38,'Status of Curriculum Completion'!$AP$4:$AP$38,"CIC MEA",'Status of Curriculum Completion'!$AT$4:$AT$38,"Planned")+SUMIFS('Status of Curriculum Completion'!$BM$4:$BM$38,'Status of Curriculum Completion'!$BC$4:$BC$38,"CIC MEA",'Status of Curriculum Completion'!$BG$4:$BG$38,"Planned")+SUMIFS('Status of Curriculum Completion'!$BZ$4:$BZ$38,'Status of Curriculum Completion'!$BP$4:$BP$38,"CIC MEA",'Status of Curriculum Completion'!$BT$4:$BT$38,"Planned")</f>
        <v>0</v>
      </c>
      <c r="N9" s="60">
        <f>SUMIFS('Status of Curriculum Completion'!$AZ$4:$AZ$38,'Status of Curriculum Completion'!$AP$4:$AP$38,"CIC MEA",'Status of Curriculum Completion'!$AU$4:$AU$38,"Complete")+SUMIFS('Status of Curriculum Completion'!$BM$4:$BM$38,'Status of Curriculum Completion'!$BC$4:$BC$38,"CIC MEA",'Status of Curriculum Completion'!$BH$4:$BH$38,"Complete")+SUMIFS('Status of Curriculum Completion'!$BZ$4:$BZ$38,'Status of Curriculum Completion'!$BP$4:$BP$38,"CIC MEA",'Status of Curriculum Completion'!$BU$4:$BU$38,"Complete")</f>
        <v>0</v>
      </c>
      <c r="O9" s="60">
        <f>SUMIFS('Status of Curriculum Completion'!$AZ$4:$AZ$38,'Status of Curriculum Completion'!$AP$4:$AP$38,"CIC MEA",'Status of Curriculum Completion'!$AU$4:$AU$38,"In Progress")+SUMIFS('Status of Curriculum Completion'!$BM$4:$BM$38,'Status of Curriculum Completion'!$BC$4:$BC$38,"CIC MEA",'Status of Curriculum Completion'!$BH$4:$BH$38,"In Progress")+SUMIFS('Status of Curriculum Completion'!$BZ$4:$BZ$38,'Status of Curriculum Completion'!$BP$4:$BP$38,"CIC MEA",'Status of Curriculum Completion'!$BU$4:$BU$38,"In Progress")</f>
        <v>0</v>
      </c>
      <c r="P9" s="60">
        <f>SUMIFS('Status of Curriculum Completion'!$AZ$4:$AZ$38,'Status of Curriculum Completion'!$AP$4:$AP$38,"CIC MEA",'Status of Curriculum Completion'!$AU$4:$AU$38,"Planned")+SUMIFS('Status of Curriculum Completion'!$BM$4:$BM$38,'Status of Curriculum Completion'!$BC$4:$BC$38,"CIC MEA",'Status of Curriculum Completion'!$BH$4:$BH$38,"Planned")+SUMIFS('Status of Curriculum Completion'!$BZ$4:$BZ$38,'Status of Curriculum Completion'!$BP$4:$BP$38,"CIC MEA",'Status of Curriculum Completion'!$BU$4:$BU$38,"Planned")</f>
        <v>0</v>
      </c>
      <c r="Q9" s="60">
        <f>SUMIFS('Status of Curriculum Completion'!$AZ$4:$AZ$38,'Status of Curriculum Completion'!$AP$4:$AP$38,"CIC MEA",'Status of Curriculum Completion'!$AV$4:$AV$38,"Complete")+SUMIFS('Status of Curriculum Completion'!$BM$4:$BM$38,'Status of Curriculum Completion'!$BC$4:$BC$38,"CIC MEA",'Status of Curriculum Completion'!$BI$4:$BI$38,"Complete")+SUMIFS('Status of Curriculum Completion'!$BZ$4:$BZ$38,'Status of Curriculum Completion'!$BP$4:$BP$38,"CIC MEA",'Status of Curriculum Completion'!$BV$4:$BV$38,"Complete")</f>
        <v>0</v>
      </c>
      <c r="R9" s="60">
        <f>SUMIFS('Status of Curriculum Completion'!$AZ$4:$AZ$38,'Status of Curriculum Completion'!$AP$4:$AP$38,"CIC MEA",'Status of Curriculum Completion'!$AV$4:$AV$38,"In Progress")+SUMIFS('Status of Curriculum Completion'!$BM$4:$BM$38,'Status of Curriculum Completion'!$BC$4:$BC$38,"CIC MEA",'Status of Curriculum Completion'!$BI$4:$BI$38,"In Progress")+SUMIFS('Status of Curriculum Completion'!$BZ$4:$BZ$38,'Status of Curriculum Completion'!$BP$4:$BP$38,"CIC MEA",'Status of Curriculum Completion'!$BV$4:$BV$38,"In Progress")</f>
        <v>0</v>
      </c>
      <c r="S9" s="60">
        <f>SUMIFS('Status of Curriculum Completion'!$AZ$4:$AZ$38,'Status of Curriculum Completion'!$AP$4:$AP$38,"CIC MEA",'Status of Curriculum Completion'!$AV$4:$AV$38,"Planned")+SUMIFS('Status of Curriculum Completion'!$BM$4:$BM$38,'Status of Curriculum Completion'!$BC$4:$BC$38,"CIC MEA",'Status of Curriculum Completion'!$BI$4:$BI$38,"Planned")+SUMIFS('Status of Curriculum Completion'!$BZ$4:$BZ$38,'Status of Curriculum Completion'!$BP$4:$BP$38,"CIC MEA",'Status of Curriculum Completion'!$BV$4:$BV$38,"Planned")</f>
        <v>0</v>
      </c>
      <c r="U9" s="63" t="s">
        <v>1165</v>
      </c>
      <c r="V9" s="61">
        <f>SUMIFS('Status of Curriculum Completion'!$CM$4:$CM$38,'Status of Curriculum Completion'!$CC$4:$CC$38,"CIC MEA",'Status of Curriculum Completion'!$CG$4:$CG$38,"Complete")+SUMIFS('Status of Curriculum Completion'!$CZ$4:$CZ$38,'Status of Curriculum Completion'!$CP$4:$CP$38,"CIC MEA",'Status of Curriculum Completion'!$CT$4:$CT$38,"Complete")+SUMIFS('Status of Curriculum Completion'!$DM$4:$DM$38,'Status of Curriculum Completion'!$DC$4:$DC$38,"CIC MEA",'Status of Curriculum Completion'!$DG$4:$DG$38,"Complete")</f>
        <v>0</v>
      </c>
      <c r="W9" s="61">
        <f>SUMIFS('Status of Curriculum Completion'!$CM$4:$CM$38,'Status of Curriculum Completion'!$CC$4:$CC$38,"CIC MEA",'Status of Curriculum Completion'!$CG$4:$CG$38,"In Progress")+SUMIFS('Status of Curriculum Completion'!$CZ$4:$CZ$38,'Status of Curriculum Completion'!$CP$4:$CP$38,"CIC MEA",'Status of Curriculum Completion'!$CT$4:$CT$38,"In Progress")+SUMIFS('Status of Curriculum Completion'!$DM$4:$DM$38,'Status of Curriculum Completion'!$DC$4:$DC$38,"CIC MEA",'Status of Curriculum Completion'!$DG$4:$DG$38,"In Progress")</f>
        <v>0</v>
      </c>
      <c r="X9" s="61">
        <f>SUMIFS('Status of Curriculum Completion'!$CM$4:$CM$38,'Status of Curriculum Completion'!$CC$4:$CC$38,"CIC MEA",'Status of Curriculum Completion'!$CG$4:$CG$38,"Planned")+SUMIFS('Status of Curriculum Completion'!$CZ$4:$CZ$38,'Status of Curriculum Completion'!$CP$4:$CP$38,"CIC MEA",'Status of Curriculum Completion'!$CT$4:$CT$38,"Planned")+SUMIFS('Status of Curriculum Completion'!$DM$4:$DM$38,'Status of Curriculum Completion'!$DC$4:$DC$38,"CIC MEA",'Status of Curriculum Completion'!$DG$4:$DG$38,"Planned")</f>
        <v>0</v>
      </c>
      <c r="Y9" s="61">
        <f>SUMIFS('Status of Curriculum Completion'!$CM$4:$CM$38,'Status of Curriculum Completion'!$CC$4:$CC$38,"CIC MEA",'Status of Curriculum Completion'!$CG$4:$CG$38,"Tentative")+SUMIFS('Status of Curriculum Completion'!$CZ$4:$CZ$38,'Status of Curriculum Completion'!$CP$4:$CP$38,"CIC MEA",'Status of Curriculum Completion'!$CT$4:$CT$38,"Tentative")+SUMIFS('Status of Curriculum Completion'!$DM$4:$DM$38,'Status of Curriculum Completion'!$DC$4:$DC$38,"CIC MEA",'Status of Curriculum Completion'!$DG$4:$DG$38,"Tentative")</f>
        <v>0</v>
      </c>
      <c r="Z9" s="61">
        <f>SUMIFS('Status of Curriculum Completion'!$CM$4:$CM$38,'Status of Curriculum Completion'!$CC$4:$CC$38,"CIC MEA",'Status of Curriculum Completion'!$CH$4:$CH$38,"Complete")+SUMIFS('Status of Curriculum Completion'!$CZ$4:$CZ$38,'Status of Curriculum Completion'!$CP$4:$CP$38,"CIC MEA",'Status of Curriculum Completion'!$CU$4:$CU$38,"Complete")+SUMIFS('Status of Curriculum Completion'!$DM$4:$DM$38,'Status of Curriculum Completion'!$DC$4:$DC$38,"CIC MEA",'Status of Curriculum Completion'!$DH$4:$DH$38,"Complete")</f>
        <v>0</v>
      </c>
      <c r="AA9" s="61">
        <f>SUMIFS('Status of Curriculum Completion'!$CM$4:$CM$38,'Status of Curriculum Completion'!$CC$4:$CC$38,"CIC MEA",'Status of Curriculum Completion'!$CH$4:$CH$38,"In Progress")+SUMIFS('Status of Curriculum Completion'!$CZ$4:$CZ$38,'Status of Curriculum Completion'!$CP$4:$CP$38,"CIC MEA",'Status of Curriculum Completion'!$CU$4:$CU$38,"In Progress")+SUMIFS('Status of Curriculum Completion'!$DM$4:$DM$38,'Status of Curriculum Completion'!$DC$4:$DC$38,"CIC MEA",'Status of Curriculum Completion'!$DH$4:$DH$38,"In Progress")</f>
        <v>0</v>
      </c>
      <c r="AB9" s="61">
        <f>SUMIFS('Status of Curriculum Completion'!$CM$4:$CM$38,'Status of Curriculum Completion'!$CC$4:$CC$38,"CIC MEA",'Status of Curriculum Completion'!$CH$4:$CH$38,"Planned")+SUMIFS('Status of Curriculum Completion'!$CZ$4:$CZ$38,'Status of Curriculum Completion'!$CP$4:$CP$38,"CIC MEA",'Status of Curriculum Completion'!$CU$4:$CU$38,"Planned")+SUMIFS('Status of Curriculum Completion'!$DM$4:$DM$38,'Status of Curriculum Completion'!$DC$4:$DC$38,"CIC MEA",'Status of Curriculum Completion'!$DH$4:$DH$38,"Planned")</f>
        <v>0</v>
      </c>
      <c r="AC9" s="61">
        <f>SUMIFS('Status of Curriculum Completion'!$CM$4:$CM$38,'Status of Curriculum Completion'!$CC$4:$CC$38,"CIC MEA",'Status of Curriculum Completion'!$CH$4:$CH$38,"Tentative")+SUMIFS('Status of Curriculum Completion'!$CZ$4:$CZ$38,'Status of Curriculum Completion'!$CP$4:$CP$38,"CIC MEA",'Status of Curriculum Completion'!$CU$4:$CU$38,"Tentative")+SUMIFS('Status of Curriculum Completion'!$DM$4:$DM$38,'Status of Curriculum Completion'!$DC$4:$DC$38,"CIC MEA",'Status of Curriculum Completion'!$DH$4:$DH$38,"Tentative")</f>
        <v>0</v>
      </c>
      <c r="AD9" s="61">
        <f>SUMIFS('Status of Curriculum Completion'!$CM$4:$CM$38,'Status of Curriculum Completion'!$CC$4:$CC$38,"CIC MEA",'Status of Curriculum Completion'!$CI$4:$CI$38,"Complete")+SUMIFS('Status of Curriculum Completion'!$CZ$4:$CZ$38,'Status of Curriculum Completion'!$CP$4:$CP$38,"CIC MEA",'Status of Curriculum Completion'!$CV$4:$CV$38,"Complete")+SUMIFS('Status of Curriculum Completion'!$DM$4:$DM$38,'Status of Curriculum Completion'!$DC$4:$DC$38,"CIC MEA",'Status of Curriculum Completion'!$DI$4:$DI$38,"Complete")</f>
        <v>0</v>
      </c>
      <c r="AE9" s="61">
        <f>SUMIFS('Status of Curriculum Completion'!$CM$4:$CM$38,'Status of Curriculum Completion'!$CC$4:$CC$38,"CIC MEA",'Status of Curriculum Completion'!$CI$4:$CI$38,"In Progress")+SUMIFS('Status of Curriculum Completion'!$CZ$4:$CZ$38,'Status of Curriculum Completion'!$CP$4:$CP$38,"CIC MEA",'Status of Curriculum Completion'!$CV$4:$CV$38,"In Progress")+SUMIFS('Status of Curriculum Completion'!$DM$4:$DM$38,'Status of Curriculum Completion'!$DC$4:$DC$38,"CIC MEA",'Status of Curriculum Completion'!$DI$4:$DI$38,"In Progress")</f>
        <v>0</v>
      </c>
      <c r="AF9" s="61">
        <f>SUMIFS('Status of Curriculum Completion'!$CM$4:$CM$38,'Status of Curriculum Completion'!$CC$4:$CC$38,"CIC MEA",'Status of Curriculum Completion'!$CI$4:$CI$38,"Planned")+SUMIFS('Status of Curriculum Completion'!$CZ$4:$CZ$38,'Status of Curriculum Completion'!$CP$4:$CP$38,"CIC MEA",'Status of Curriculum Completion'!$CV$4:$CV$38,"Planned")+SUMIFS('Status of Curriculum Completion'!$DM$4:$DM$38,'Status of Curriculum Completion'!$DC$4:$DC$38,"CIC MEA",'Status of Curriculum Completion'!$DI$4:$DI$38,"Planned")</f>
        <v>0</v>
      </c>
      <c r="AG9" s="61">
        <f>SUMIFS('Status of Curriculum Completion'!$CM$4:$CM$38,'Status of Curriculum Completion'!$CC$4:$CC$38,"CIC MEA",'Status of Curriculum Completion'!$CI$4:$CI$38,"Tentative")+SUMIFS('Status of Curriculum Completion'!$CZ$4:$CZ$38,'Status of Curriculum Completion'!$CP$4:$CP$38,"CIC MEA",'Status of Curriculum Completion'!$CV$4:$CV$38,"Tentative")+SUMIFS('Status of Curriculum Completion'!$DM$4:$DM$38,'Status of Curriculum Completion'!$DC$4:$DC$38,"CIC MEA",'Status of Curriculum Completion'!$DI$4:$DI$38,"Tentative")</f>
        <v>0</v>
      </c>
      <c r="AH9" s="62">
        <f>SUMIFS('Status of Curriculum Completion'!$DZ$4:$DZ$38,'Status of Curriculum Completion'!$DP$4:$DP$38,"CIC MEA",'Status of Curriculum Completion'!$DT$4:$DT$38,"Complete")+SUMIFS('Status of Curriculum Completion'!$EM$4:$EM$38,'Status of Curriculum Completion'!$EC$4:$EC$38,"CIC MEA",'Status of Curriculum Completion'!$EG$4:$EG$38,"Complete")+SUMIFS('Status of Curriculum Completion'!$EZ$4:$EZ$38,'Status of Curriculum Completion'!$EP$4:$EP$38,"CIC MEA",'Status of Curriculum Completion'!$ET$4:$ET$38,"Complete")</f>
        <v>0</v>
      </c>
      <c r="AI9" s="62">
        <f>SUMIFS('Status of Curriculum Completion'!$DZ$4:$DZ$38,'Status of Curriculum Completion'!$DP$4:$DP$38,"CIC MEA",'Status of Curriculum Completion'!$DT$4:$DT$38,"In Progress")+SUMIFS('Status of Curriculum Completion'!$EM$4:$EM$38,'Status of Curriculum Completion'!$EC$4:$EC$38,"CIC MEA",'Status of Curriculum Completion'!$EG$4:$EG$38,"In Progress")+SUMIFS('Status of Curriculum Completion'!$EZ$4:$EZ$38,'Status of Curriculum Completion'!$EP$4:$EP$38,"CIC MEA",'Status of Curriculum Completion'!$ET$4:$ET$38,"In Progress")</f>
        <v>0</v>
      </c>
      <c r="AJ9" s="62">
        <f>SUMIFS('Status of Curriculum Completion'!$DZ$4:$DZ$38,'Status of Curriculum Completion'!$DP$4:$DP$38,"CIC MEA",'Status of Curriculum Completion'!$DT$4:$DT$38,"Planned")+SUMIFS('Status of Curriculum Completion'!$EM$4:$EM$38,'Status of Curriculum Completion'!$EC$4:$EC$38,"CIC MEA",'Status of Curriculum Completion'!$EG$4:$EG$38,"Planned")+SUMIFS('Status of Curriculum Completion'!$EZ$4:$EZ$38,'Status of Curriculum Completion'!$EP$4:$EP$38,"CIC MEA",'Status of Curriculum Completion'!$ET$4:$ET$38,"Planned")</f>
        <v>0</v>
      </c>
      <c r="AK9" s="62">
        <f>SUMIFS('Status of Curriculum Completion'!$DZ$4:$DZ$38,'Status of Curriculum Completion'!$DP$4:$DP$38,"CIC MEA",'Status of Curriculum Completion'!$DT$4:$DT$38,"Tentative")+SUMIFS('Status of Curriculum Completion'!$EM$4:$EM$38,'Status of Curriculum Completion'!$EC$4:$EC$38,"CIC MEA",'Status of Curriculum Completion'!$EG$4:$EG$38,"Tentative")+SUMIFS('Status of Curriculum Completion'!$EZ$4:$EZ$38,'Status of Curriculum Completion'!$EP$4:$EP$38,"CIC MEA",'Status of Curriculum Completion'!$ET$4:$ET$38,"Tentative")</f>
        <v>0</v>
      </c>
      <c r="AL9" s="62">
        <f>SUMIFS('Status of Curriculum Completion'!$DZ$4:$DZ$38,'Status of Curriculum Completion'!$DP$4:$DP$38,"CIC MEA",'Status of Curriculum Completion'!$DU$4:$DU$38,"Complete")+SUMIFS('Status of Curriculum Completion'!$EM$4:$EM$38,'Status of Curriculum Completion'!$EC$4:$EC$38,"CIC MEA",'Status of Curriculum Completion'!$EH$4:$EH$38,"Complete")+SUMIFS('Status of Curriculum Completion'!$EZ$4:$EZ$38,'Status of Curriculum Completion'!$EP$4:$EP$38,"CIC MEA",'Status of Curriculum Completion'!$EU$4:$EU$38,"Complete")</f>
        <v>0</v>
      </c>
      <c r="AM9" s="62">
        <f>SUMIFS('Status of Curriculum Completion'!$DZ$4:$DZ$38,'Status of Curriculum Completion'!$DP$4:$DP$38,"CIC MEA",'Status of Curriculum Completion'!$DU$4:$DU$38,"In Progress")+SUMIFS('Status of Curriculum Completion'!$EM$4:$EM$38,'Status of Curriculum Completion'!$EC$4:$EC$38,"CIC MEA",'Status of Curriculum Completion'!$EH$4:$EH$38,"In Progress")+SUMIFS('Status of Curriculum Completion'!$EZ$4:$EZ$38,'Status of Curriculum Completion'!$EP$4:$EP$38,"CIC MEA",'Status of Curriculum Completion'!$EU$4:$EU$38,"In Progress")</f>
        <v>0</v>
      </c>
      <c r="AN9" s="62">
        <f>SUMIFS('Status of Curriculum Completion'!$DZ$4:$DZ$38,'Status of Curriculum Completion'!$DP$4:$DP$38,"CIC MEA",'Status of Curriculum Completion'!$DU$4:$DU$38,"Planned")+SUMIFS('Status of Curriculum Completion'!$EM$4:$EM$38,'Status of Curriculum Completion'!$EC$4:$EC$38,"CIC MEA",'Status of Curriculum Completion'!$EH$4:$EH$38,"Planned")+SUMIFS('Status of Curriculum Completion'!$EZ$4:$EZ$38,'Status of Curriculum Completion'!$EP$4:$EP$38,"CIC MEA",'Status of Curriculum Completion'!$EU$4:$EU$38,"Planned")</f>
        <v>0</v>
      </c>
      <c r="AO9" s="62">
        <f>SUMIFS('Status of Curriculum Completion'!$DZ$4:$DZ$38,'Status of Curriculum Completion'!$DP$4:$DP$38,"CIC MEA",'Status of Curriculum Completion'!$DU$4:$DU$38,"Tentative")+SUMIFS('Status of Curriculum Completion'!$EM$4:$EM$38,'Status of Curriculum Completion'!$EC$4:$EC$38,"CIC MEA",'Status of Curriculum Completion'!$EH$4:$EH$38,"Tentative")+SUMIFS('Status of Curriculum Completion'!$EZ$4:$EZ$38,'Status of Curriculum Completion'!$EP$4:$EP$38,"CIC MEA",'Status of Curriculum Completion'!$EU$4:$EU$38,"Tentative")</f>
        <v>0</v>
      </c>
      <c r="AP9" s="62">
        <f>SUMIFS('Status of Curriculum Completion'!$DZ$4:$DZ$38,'Status of Curriculum Completion'!$DP$4:$DP$38,"CIC MEA",'Status of Curriculum Completion'!$DV$4:$DV$38,"Complete")+SUMIFS('Status of Curriculum Completion'!$EM$4:$EM$38,'Status of Curriculum Completion'!$EC$4:$EC$38,"CIC MEA",'Status of Curriculum Completion'!$EI$4:$EI$38,"Complete")+SUMIFS('Status of Curriculum Completion'!$EZ$4:$EZ$38,'Status of Curriculum Completion'!$EP$4:$EP$38,"CIC MEA",'Status of Curriculum Completion'!$EV$4:$EV$38,"Complete")</f>
        <v>0</v>
      </c>
      <c r="AQ9" s="62">
        <f>SUMIFS('Status of Curriculum Completion'!$DZ$4:$DZ$38,'Status of Curriculum Completion'!$DP$4:$DP$38,"CIC MEA",'Status of Curriculum Completion'!$DV$4:$DV$38,"In Progress")+SUMIFS('Status of Curriculum Completion'!$EM$4:$EM$38,'Status of Curriculum Completion'!$EC$4:$EC$38,"CIC MEA",'Status of Curriculum Completion'!$EI$4:$EI$38,"In Progress")+SUMIFS('Status of Curriculum Completion'!$EZ$4:$EZ$38,'Status of Curriculum Completion'!$EP$4:$EP$38,"CIC MEA",'Status of Curriculum Completion'!$EV$4:$EV$38,"In Progress")</f>
        <v>0</v>
      </c>
      <c r="AR9" s="62">
        <f>SUMIFS('Status of Curriculum Completion'!$DZ$4:$DZ$38,'Status of Curriculum Completion'!$DP$4:$DP$38,"CIC MEA",'Status of Curriculum Completion'!$DV$4:$DV$38,"Planned")+SUMIFS('Status of Curriculum Completion'!$EM$4:$EM$38,'Status of Curriculum Completion'!$EC$4:$EC$38,"CIC MEA",'Status of Curriculum Completion'!$EI$4:$EI$38,"Planned")+SUMIFS('Status of Curriculum Completion'!$EZ$4:$EZ$38,'Status of Curriculum Completion'!$EP$4:$EP$38,"CIC MEA",'Status of Curriculum Completion'!$EV$4:$EV$38,"Planned")</f>
        <v>0</v>
      </c>
      <c r="AS9" s="62">
        <f>SUMIFS('Status of Curriculum Completion'!$DZ$4:$DZ$38,'Status of Curriculum Completion'!$DP$4:$DP$38,"CIC MEA",'Status of Curriculum Completion'!$DV$4:$DV$38,"Tentative")+SUMIFS('Status of Curriculum Completion'!$EM$4:$EM$38,'Status of Curriculum Completion'!$EC$4:$EC$38,"CIC MEA",'Status of Curriculum Completion'!$EI$4:$EI$38,"Tentative")+SUMIFS('Status of Curriculum Completion'!$EZ$4:$EZ$38,'Status of Curriculum Completion'!$EP$4:$EP$38,"CIC MEA",'Status of Curriculum Completion'!$EV$4:$EV$38,"Tentative")</f>
        <v>0</v>
      </c>
    </row>
    <row r="10" spans="1:45" ht="15" thickBot="1">
      <c r="A10" s="63" t="s">
        <v>1166</v>
      </c>
      <c r="B10" s="59">
        <f>SUMIFS('Status of Curriculum Completion'!M$4:M$38,'Status of Curriculum Completion'!C$4:C$38,"CIC NA",'Status of Curriculum Completion'!G$4:G$38,"Complete")+SUMIFS('Status of Curriculum Completion'!Z$4:Z$38,'Status of Curriculum Completion'!P$4:P$38,"CIC NA",'Status of Curriculum Completion'!T$4:T$38,"Complete")+SUMIFS('Status of Curriculum Completion'!AM$4:AM$38,'Status of Curriculum Completion'!AC$4:AC$38,"CIC NA",'Status of Curriculum Completion'!AG$4:AG$38,"Complete")</f>
        <v>0</v>
      </c>
      <c r="C10" s="59">
        <f>SUMIFS('Status of Curriculum Completion'!$M$4:$M$38,'Status of Curriculum Completion'!$C$4:$C$38,"CIC NA",'Status of Curriculum Completion'!$G$4:$G$38,"In progress")+SUMIFS('Status of Curriculum Completion'!$Z$4:$Z$38,'Status of Curriculum Completion'!$P$4:$P$38,"CIC NA",'Status of Curriculum Completion'!$T$4:$T$38,"In progress")+SUMIFS('Status of Curriculum Completion'!$AM$4:$AM$38,'Status of Curriculum Completion'!$AC$4:$AC$38,"CIC NA",'Status of Curriculum Completion'!$AG$4:$AG$38,"In progress")</f>
        <v>0</v>
      </c>
      <c r="D10" s="59">
        <f>SUMIFS('Status of Curriculum Completion'!$M$4:$M$38,'Status of Curriculum Completion'!$C$4:$C$38,"CIC NA",'Status of Curriculum Completion'!$G$4:$G$38,"Planned")+SUMIFS('Status of Curriculum Completion'!$Z$4:$Z$38,'Status of Curriculum Completion'!$P$4:$P$38,"CIC NA",'Status of Curriculum Completion'!$T$4:$T$38,"Planned")+SUMIFS('Status of Curriculum Completion'!$AM$4:$AM$38,'Status of Curriculum Completion'!$AC$4:$AC$38,"CIC NA",'Status of Curriculum Completion'!$AG$4:$AG$38,"Planned")</f>
        <v>0</v>
      </c>
      <c r="E10" s="59">
        <f>SUMIFS('Status of Curriculum Completion'!$M$4:$M$38,'Status of Curriculum Completion'!$C$4:$C$38,"CIC NA",'Status of Curriculum Completion'!$H$4:$H$38,"Complete")+SUMIFS('Status of Curriculum Completion'!$Z$4:$Z$38,'Status of Curriculum Completion'!$P$4:$P$38,"CIC NA",'Status of Curriculum Completion'!$U$4:$U$38,"Complete")+SUMIFS('Status of Curriculum Completion'!$AM$4:$AM$38,'Status of Curriculum Completion'!$AC$4:$AC$38,"CIC NA",'Status of Curriculum Completion'!$AH$4:$AH$38,"Complete")</f>
        <v>0</v>
      </c>
      <c r="F10" s="59">
        <f>SUMIFS('Status of Curriculum Completion'!$M$4:$M$38,'Status of Curriculum Completion'!$C$4:$C$38,"CIC NA",'Status of Curriculum Completion'!$H$4:$H$38,"In Progress")+SUMIFS('Status of Curriculum Completion'!$Z$4:$Z$38,'Status of Curriculum Completion'!$P$4:$P$38,"CIC NA",'Status of Curriculum Completion'!$U$4:$U$38,"In Progress")+SUMIFS('Status of Curriculum Completion'!$AM$4:$AM$38,'Status of Curriculum Completion'!$AC$4:$AC$38,"CIC NA",'Status of Curriculum Completion'!$AH$4:$AH$38,"In Progress")</f>
        <v>0</v>
      </c>
      <c r="G10" s="59">
        <f>SUMIFS('Status of Curriculum Completion'!$M$4:$M$38,'Status of Curriculum Completion'!$C$4:$C$38,"CIC NA",'Status of Curriculum Completion'!$H$4:$H$38,"Planned")+SUMIFS('Status of Curriculum Completion'!$Z$4:$Z$38,'Status of Curriculum Completion'!$P$4:$P$38,"CIC NA",'Status of Curriculum Completion'!$U$4:$U$38,"Planned")+SUMIFS('Status of Curriculum Completion'!$AM$4:$AM$38,'Status of Curriculum Completion'!$AC$4:$AC$38,"CIC NA",'Status of Curriculum Completion'!$AH$4:$AH$38,"Planned")</f>
        <v>0</v>
      </c>
      <c r="H10" s="59">
        <f>SUMIFS('Status of Curriculum Completion'!$M$4:$M$38,'Status of Curriculum Completion'!$C$4:$C$38,"CIC NA",'Status of Curriculum Completion'!$I$4:$I$38,"Complete")+SUMIFS('Status of Curriculum Completion'!$Z$4:$Z$38,'Status of Curriculum Completion'!$P$4:$P$38,"CIC NA",'Status of Curriculum Completion'!$V$4:$V$38,"Complete")+SUMIFS('Status of Curriculum Completion'!$AM$4:$AM$38,'Status of Curriculum Completion'!$AC$4:$AC$38,"CIC NA",'Status of Curriculum Completion'!$AI$4:$AI$38,"Complete")</f>
        <v>0</v>
      </c>
      <c r="I10" s="59">
        <f>SUMIFS('Status of Curriculum Completion'!$M$4:$M$38,'Status of Curriculum Completion'!$C$4:$C$38,"CIC NA",'Status of Curriculum Completion'!$I$4:$I$38,"In Progress")+SUMIFS('Status of Curriculum Completion'!$Z$4:$Z$38,'Status of Curriculum Completion'!$P$4:$P$38,"CIC NA",'Status of Curriculum Completion'!$V$4:$V$38,"In Progress")+SUMIFS('Status of Curriculum Completion'!$AM$4:$AM$38,'Status of Curriculum Completion'!$AC$4:$AC$38,"CIC NA",'Status of Curriculum Completion'!$AI$4:$AI$38,"In Progress")</f>
        <v>0</v>
      </c>
      <c r="J10" s="59">
        <f>SUMIFS('Status of Curriculum Completion'!$M$4:$M$38,'Status of Curriculum Completion'!$C$4:$C$38,"CIC NA",'Status of Curriculum Completion'!$I$4:$I$38,"Planned")+SUMIFS('Status of Curriculum Completion'!$Z$4:$Z$38,'Status of Curriculum Completion'!$P$4:$P$38,"CIC NA",'Status of Curriculum Completion'!$V$4:$V$38,"Planned")+SUMIFS('Status of Curriculum Completion'!$AM$4:$AM$38,'Status of Curriculum Completion'!$AC$4:$AC$38,"CIC NA",'Status of Curriculum Completion'!$AI$4:$AI$38,"Planned")</f>
        <v>0</v>
      </c>
      <c r="K10" s="60">
        <f>SUMIFS('Status of Curriculum Completion'!$AZ$4:$AZ$38,'Status of Curriculum Completion'!$AP$4:$AP$38,"CIC NA",'Status of Curriculum Completion'!$AT$4:$AT$38,"Complete")+SUMIFS('Status of Curriculum Completion'!$BM$4:$BM$38,'Status of Curriculum Completion'!$BC$4:$BC$38,"CIC NA",'Status of Curriculum Completion'!$BG$4:$BG$38,"Complete")+SUMIFS('Status of Curriculum Completion'!$BZ$4:$BZ$38,'Status of Curriculum Completion'!$BP$4:$BP$38,"CIC NA",'Status of Curriculum Completion'!$BT$4:$BT$38,"Complete")</f>
        <v>0</v>
      </c>
      <c r="L10" s="60">
        <f>SUMIFS('Status of Curriculum Completion'!$AZ$4:$AZ$38,'Status of Curriculum Completion'!$AP$4:$AP$38,"CIC NA",'Status of Curriculum Completion'!$AT$4:$AT$38,"In Progress")+SUMIFS('Status of Curriculum Completion'!$BM$4:$BM$38,'Status of Curriculum Completion'!$BC$4:$BC$38,"CIC NA",'Status of Curriculum Completion'!$BG$4:$BG$38,"In Progress")+SUMIFS('Status of Curriculum Completion'!$BZ$4:$BZ$38,'Status of Curriculum Completion'!$BP$4:$BP$38,"CIC NA",'Status of Curriculum Completion'!$BT$4:$BT$38,"In Progress")</f>
        <v>0</v>
      </c>
      <c r="M10" s="60">
        <f>SUMIFS('Status of Curriculum Completion'!$AZ$4:$AZ$38,'Status of Curriculum Completion'!$AP$4:$AP$38,"CIC NA",'Status of Curriculum Completion'!$AT$4:$AT$38,"Planned")+SUMIFS('Status of Curriculum Completion'!$BM$4:$BM$38,'Status of Curriculum Completion'!$BC$4:$BC$38,"CIC NA",'Status of Curriculum Completion'!$BG$4:$BG$38,"Planned")+SUMIFS('Status of Curriculum Completion'!$BZ$4:$BZ$38,'Status of Curriculum Completion'!$BP$4:$BP$38,"CIC NA",'Status of Curriculum Completion'!$BT$4:$BT$38,"Planned")</f>
        <v>0</v>
      </c>
      <c r="N10" s="60">
        <f>SUMIFS('Status of Curriculum Completion'!$AZ$4:$AZ$38,'Status of Curriculum Completion'!$AP$4:$AP$38,"CIC NA",'Status of Curriculum Completion'!$AU$4:$AU$38,"Complete")+SUMIFS('Status of Curriculum Completion'!$BM$4:$BM$38,'Status of Curriculum Completion'!$BC$4:$BC$38,"CIC NA",'Status of Curriculum Completion'!$BH$4:$BH$38,"Complete")+SUMIFS('Status of Curriculum Completion'!$BZ$4:$BZ$38,'Status of Curriculum Completion'!$BP$4:$BP$38,"CIC NA",'Status of Curriculum Completion'!$BU$4:$BU$38,"Complete")</f>
        <v>0</v>
      </c>
      <c r="O10" s="60">
        <f>SUMIFS('Status of Curriculum Completion'!$AZ$4:$AZ$38,'Status of Curriculum Completion'!$AP$4:$AP$38,"CIC NA",'Status of Curriculum Completion'!$AU$4:$AU$38,"In Progress")+SUMIFS('Status of Curriculum Completion'!$BM$4:$BM$38,'Status of Curriculum Completion'!$BC$4:$BC$38,"CIC NA",'Status of Curriculum Completion'!$BH$4:$BH$38,"In Progress")+SUMIFS('Status of Curriculum Completion'!$BZ$4:$BZ$38,'Status of Curriculum Completion'!$BP$4:$BP$38,"CIC NA",'Status of Curriculum Completion'!$BU$4:$BU$38,"In Progress")</f>
        <v>0</v>
      </c>
      <c r="P10" s="60">
        <f>SUMIFS('Status of Curriculum Completion'!$AZ$4:$AZ$38,'Status of Curriculum Completion'!$AP$4:$AP$38,"CIC NA",'Status of Curriculum Completion'!$AU$4:$AU$38,"Planned")+SUMIFS('Status of Curriculum Completion'!$BM$4:$BM$38,'Status of Curriculum Completion'!$BC$4:$BC$38,"CIC NA",'Status of Curriculum Completion'!$BH$4:$BH$38,"Planned")+SUMIFS('Status of Curriculum Completion'!$BZ$4:$BZ$38,'Status of Curriculum Completion'!$BP$4:$BP$38,"CIC NA",'Status of Curriculum Completion'!$BU$4:$BU$38,"Planned")</f>
        <v>0</v>
      </c>
      <c r="Q10" s="60">
        <f>SUMIFS('Status of Curriculum Completion'!$AZ$4:$AZ$38,'Status of Curriculum Completion'!$AP$4:$AP$38,"CIC NA",'Status of Curriculum Completion'!$AV$4:$AV$38,"Complete")+SUMIFS('Status of Curriculum Completion'!$BM$4:$BM$38,'Status of Curriculum Completion'!$BC$4:$BC$38,"CIC NA",'Status of Curriculum Completion'!$BI$4:$BI$38,"Complete")+SUMIFS('Status of Curriculum Completion'!$BZ$4:$BZ$38,'Status of Curriculum Completion'!$BP$4:$BP$38,"CIC NA",'Status of Curriculum Completion'!$BV$4:$BV$38,"Complete")</f>
        <v>0</v>
      </c>
      <c r="R10" s="60">
        <f>SUMIFS('Status of Curriculum Completion'!$AZ$4:$AZ$38,'Status of Curriculum Completion'!$AP$4:$AP$38,"CIC NA",'Status of Curriculum Completion'!$AV$4:$AV$38,"In Progress")+SUMIFS('Status of Curriculum Completion'!$BM$4:$BM$38,'Status of Curriculum Completion'!$BC$4:$BC$38,"CIC NA",'Status of Curriculum Completion'!$BI$4:$BI$38,"In Progress")+SUMIFS('Status of Curriculum Completion'!$BZ$4:$BZ$38,'Status of Curriculum Completion'!$BP$4:$BP$38,"CIC NA",'Status of Curriculum Completion'!$BV$4:$BV$38,"In Progress")</f>
        <v>0</v>
      </c>
      <c r="S10" s="60">
        <f>SUMIFS('Status of Curriculum Completion'!$AZ$4:$AZ$38,'Status of Curriculum Completion'!$AP$4:$AP$38,"CIC NA",'Status of Curriculum Completion'!$AV$4:$AV$38,"Planned")+SUMIFS('Status of Curriculum Completion'!$BM$4:$BM$38,'Status of Curriculum Completion'!$BC$4:$BC$38,"CIC NA",'Status of Curriculum Completion'!$BI$4:$BI$38,"Planned")+SUMIFS('Status of Curriculum Completion'!$BZ$4:$BZ$38,'Status of Curriculum Completion'!$BP$4:$BP$38,"CIC NA",'Status of Curriculum Completion'!$BV$4:$BV$38,"Planned")</f>
        <v>0</v>
      </c>
      <c r="U10" s="63" t="s">
        <v>1166</v>
      </c>
      <c r="V10" s="61">
        <f>SUMIFS('Status of Curriculum Completion'!$CM$4:$CM$38,'Status of Curriculum Completion'!$CC$4:$CC$38,"CIC NA",'Status of Curriculum Completion'!$CG$4:$CG$38,"Complete")+SUMIFS('Status of Curriculum Completion'!$CZ$4:$CZ$38,'Status of Curriculum Completion'!$CP$4:$CP$38,"CIC NA",'Status of Curriculum Completion'!$CT$4:$CT$38,"Complete")+SUMIFS('Status of Curriculum Completion'!$DM$4:$DM$38,'Status of Curriculum Completion'!$DC$4:$DC$38,"CIC NA",'Status of Curriculum Completion'!$DG$4:$DG$38,"Complete")</f>
        <v>0</v>
      </c>
      <c r="W10" s="61">
        <f>SUMIFS('Status of Curriculum Completion'!$CM$4:$CM$38,'Status of Curriculum Completion'!$CC$4:$CC$38,"CIC NA",'Status of Curriculum Completion'!$CG$4:$CG$38,"In Progress")+SUMIFS('Status of Curriculum Completion'!$CZ$4:$CZ$38,'Status of Curriculum Completion'!$CP$4:$CP$38,"CIC NA",'Status of Curriculum Completion'!$CT$4:$CT$38,"In Progress")+SUMIFS('Status of Curriculum Completion'!$DM$4:$DM$38,'Status of Curriculum Completion'!$DC$4:$DC$38,"CIC NA",'Status of Curriculum Completion'!$DG$4:$DG$38,"In Progress")</f>
        <v>0</v>
      </c>
      <c r="X10" s="61">
        <f>SUMIFS('Status of Curriculum Completion'!$CM$4:$CM$38,'Status of Curriculum Completion'!$CC$4:$CC$38,"CIC NA",'Status of Curriculum Completion'!$CG$4:$CG$38,"Planned")+SUMIFS('Status of Curriculum Completion'!$CZ$4:$CZ$38,'Status of Curriculum Completion'!$CP$4:$CP$38,"CIC NA",'Status of Curriculum Completion'!$CT$4:$CT$38,"Planned")+SUMIFS('Status of Curriculum Completion'!$DM$4:$DM$38,'Status of Curriculum Completion'!$DC$4:$DC$38,"CIC NA",'Status of Curriculum Completion'!$DG$4:$DG$38,"Planned")</f>
        <v>0</v>
      </c>
      <c r="Y10" s="61">
        <f>SUMIFS('Status of Curriculum Completion'!$CM$4:$CM$38,'Status of Curriculum Completion'!$CC$4:$CC$38,"CIC NA",'Status of Curriculum Completion'!$CG$4:$CG$38,"Tentative")+SUMIFS('Status of Curriculum Completion'!$CZ$4:$CZ$38,'Status of Curriculum Completion'!$CP$4:$CP$38,"CIC NA",'Status of Curriculum Completion'!$CT$4:$CT$38,"Tentative")+SUMIFS('Status of Curriculum Completion'!$DM$4:$DM$38,'Status of Curriculum Completion'!$DC$4:$DC$38,"CIC NA",'Status of Curriculum Completion'!$DG$4:$DG$38,"Tentative")</f>
        <v>0</v>
      </c>
      <c r="Z10" s="61">
        <f>SUMIFS('Status of Curriculum Completion'!$CM$4:$CM$38,'Status of Curriculum Completion'!$CC$4:$CC$38,"CIC NA",'Status of Curriculum Completion'!$CH$4:$CH$38,"Complete")+SUMIFS('Status of Curriculum Completion'!$CZ$4:$CZ$38,'Status of Curriculum Completion'!$CP$4:$CP$38,"CIC NA",'Status of Curriculum Completion'!$CU$4:$CU$38,"Complete")+SUMIFS('Status of Curriculum Completion'!$DM$4:$DM$38,'Status of Curriculum Completion'!$DC$4:$DC$38,"CIC NA",'Status of Curriculum Completion'!$DH$4:$DH$38,"Complete")</f>
        <v>0</v>
      </c>
      <c r="AA10" s="61">
        <f>SUMIFS('Status of Curriculum Completion'!$CM$4:$CM$38,'Status of Curriculum Completion'!$CC$4:$CC$38,"CIC NA",'Status of Curriculum Completion'!$CH$4:$CH$38,"In Progress")+SUMIFS('Status of Curriculum Completion'!$CZ$4:$CZ$38,'Status of Curriculum Completion'!$CP$4:$CP$38,"CIC NA",'Status of Curriculum Completion'!$CU$4:$CU$38,"In Progress")+SUMIFS('Status of Curriculum Completion'!$DM$4:$DM$38,'Status of Curriculum Completion'!$DC$4:$DC$38,"CIC NA",'Status of Curriculum Completion'!$DH$4:$DH$38,"In Progress")</f>
        <v>0</v>
      </c>
      <c r="AB10" s="61">
        <f>SUMIFS('Status of Curriculum Completion'!$CM$4:$CM$38,'Status of Curriculum Completion'!$CC$4:$CC$38,"CIC NA",'Status of Curriculum Completion'!$CH$4:$CH$38,"Planned")+SUMIFS('Status of Curriculum Completion'!$CZ$4:$CZ$38,'Status of Curriculum Completion'!$CP$4:$CP$38,"CIC NA",'Status of Curriculum Completion'!$CU$4:$CU$38,"Planned")+SUMIFS('Status of Curriculum Completion'!$DM$4:$DM$38,'Status of Curriculum Completion'!$DC$4:$DC$38,"CIC NA",'Status of Curriculum Completion'!$DH$4:$DH$38,"Planned")</f>
        <v>0</v>
      </c>
      <c r="AC10" s="61">
        <f>SUMIFS('Status of Curriculum Completion'!$CM$4:$CM$38,'Status of Curriculum Completion'!$CC$4:$CC$38,"CIC NA",'Status of Curriculum Completion'!$CH$4:$CH$38,"Tentative")+SUMIFS('Status of Curriculum Completion'!$CZ$4:$CZ$38,'Status of Curriculum Completion'!$CP$4:$CP$38,"CIC NA",'Status of Curriculum Completion'!$CU$4:$CU$38,"Tentative")+SUMIFS('Status of Curriculum Completion'!$DM$4:$DM$38,'Status of Curriculum Completion'!$DC$4:$DC$38,"CIC NA",'Status of Curriculum Completion'!$DH$4:$DH$38,"Tentative")</f>
        <v>0</v>
      </c>
      <c r="AD10" s="61">
        <f>SUMIFS('Status of Curriculum Completion'!$CM$4:$CM$38,'Status of Curriculum Completion'!$CC$4:$CC$38,"CIC NA",'Status of Curriculum Completion'!$CI$4:$CI$38,"Complete")+SUMIFS('Status of Curriculum Completion'!$CZ$4:$CZ$38,'Status of Curriculum Completion'!$CP$4:$CP$38,"CIC NA",'Status of Curriculum Completion'!$CV$4:$CV$38,"Complete")+SUMIFS('Status of Curriculum Completion'!$DM$4:$DM$38,'Status of Curriculum Completion'!$DC$4:$DC$38,"CIC NA",'Status of Curriculum Completion'!$DI$4:$DI$38,"Complete")</f>
        <v>0</v>
      </c>
      <c r="AE10" s="61">
        <f>SUMIFS('Status of Curriculum Completion'!$CM$4:$CM$38,'Status of Curriculum Completion'!$CC$4:$CC$38,"CIC NA",'Status of Curriculum Completion'!$CI$4:$CI$38,"In Progress")+SUMIFS('Status of Curriculum Completion'!$CZ$4:$CZ$38,'Status of Curriculum Completion'!$CP$4:$CP$38,"CIC NA",'Status of Curriculum Completion'!$CV$4:$CV$38,"In Progress")+SUMIFS('Status of Curriculum Completion'!$DM$4:$DM$38,'Status of Curriculum Completion'!$DC$4:$DC$38,"CIC NA",'Status of Curriculum Completion'!$DI$4:$DI$38,"In Progress")</f>
        <v>0</v>
      </c>
      <c r="AF10" s="61">
        <f>SUMIFS('Status of Curriculum Completion'!$CM$4:$CM$38,'Status of Curriculum Completion'!$CC$4:$CC$38,"CIC NA",'Status of Curriculum Completion'!$CI$4:$CI$38,"Planned")+SUMIFS('Status of Curriculum Completion'!$CZ$4:$CZ$38,'Status of Curriculum Completion'!$CP$4:$CP$38,"CIC NA",'Status of Curriculum Completion'!$CV$4:$CV$38,"Planned")+SUMIFS('Status of Curriculum Completion'!$DM$4:$DM$38,'Status of Curriculum Completion'!$DC$4:$DC$38,"CIC NA",'Status of Curriculum Completion'!$DI$4:$DI$38,"Planned")</f>
        <v>0</v>
      </c>
      <c r="AG10" s="61">
        <f>SUMIFS('Status of Curriculum Completion'!$CM$4:$CM$38,'Status of Curriculum Completion'!$CC$4:$CC$38,"CIC NA",'Status of Curriculum Completion'!$CI$4:$CI$38,"Tentative")+SUMIFS('Status of Curriculum Completion'!$CZ$4:$CZ$38,'Status of Curriculum Completion'!$CP$4:$CP$38,"CIC NA",'Status of Curriculum Completion'!$CV$4:$CV$38,"Tentative")+SUMIFS('Status of Curriculum Completion'!$DM$4:$DM$38,'Status of Curriculum Completion'!$DC$4:$DC$38,"CIC NA",'Status of Curriculum Completion'!$DI$4:$DI$38,"Tentative")</f>
        <v>0</v>
      </c>
      <c r="AH10" s="62">
        <f>SUMIFS('Status of Curriculum Completion'!$DZ$4:$DZ$38,'Status of Curriculum Completion'!$DP$4:$DP$38,"CIC NA",'Status of Curriculum Completion'!$DT$4:$DT$38,"Complete")+SUMIFS('Status of Curriculum Completion'!$EM$4:$EM$38,'Status of Curriculum Completion'!$EC$4:$EC$38,"CIC NA",'Status of Curriculum Completion'!$EG$4:$EG$38,"Complete")+SUMIFS('Status of Curriculum Completion'!$EZ$4:$EZ$38,'Status of Curriculum Completion'!$EP$4:$EP$38,"CIC NA",'Status of Curriculum Completion'!$ET$4:$ET$38,"Complete")</f>
        <v>0</v>
      </c>
      <c r="AI10" s="62">
        <f>SUMIFS('Status of Curriculum Completion'!$DZ$4:$DZ$38,'Status of Curriculum Completion'!$DP$4:$DP$38,"CIC NA",'Status of Curriculum Completion'!$DT$4:$DT$38,"In Progress")+SUMIFS('Status of Curriculum Completion'!$EM$4:$EM$38,'Status of Curriculum Completion'!$EC$4:$EC$38,"CIC NA",'Status of Curriculum Completion'!$EG$4:$EG$38,"In Progress")+SUMIFS('Status of Curriculum Completion'!$EZ$4:$EZ$38,'Status of Curriculum Completion'!$EP$4:$EP$38,"CIC NA",'Status of Curriculum Completion'!$ET$4:$ET$38,"In Progress")</f>
        <v>0</v>
      </c>
      <c r="AJ10" s="62">
        <f>SUMIFS('Status of Curriculum Completion'!$DZ$4:$DZ$38,'Status of Curriculum Completion'!$DP$4:$DP$38,"CIC NA",'Status of Curriculum Completion'!$DT$4:$DT$38,"Planned")+SUMIFS('Status of Curriculum Completion'!$EM$4:$EM$38,'Status of Curriculum Completion'!$EC$4:$EC$38,"CIC NA",'Status of Curriculum Completion'!$EG$4:$EG$38,"Planned")+SUMIFS('Status of Curriculum Completion'!$EZ$4:$EZ$38,'Status of Curriculum Completion'!$EP$4:$EP$38,"CIC NA",'Status of Curriculum Completion'!$ET$4:$ET$38,"Planned")</f>
        <v>0</v>
      </c>
      <c r="AK10" s="62">
        <f>SUMIFS('Status of Curriculum Completion'!$DZ$4:$DZ$38,'Status of Curriculum Completion'!$DP$4:$DP$38,"CIC NA",'Status of Curriculum Completion'!$DT$4:$DT$38,"Tentative")+SUMIFS('Status of Curriculum Completion'!$EM$4:$EM$38,'Status of Curriculum Completion'!$EC$4:$EC$38,"CIC NA",'Status of Curriculum Completion'!$EG$4:$EG$38,"Tentative")+SUMIFS('Status of Curriculum Completion'!$EZ$4:$EZ$38,'Status of Curriculum Completion'!$EP$4:$EP$38,"CIC NA",'Status of Curriculum Completion'!$ET$4:$ET$38,"Tentative")</f>
        <v>0</v>
      </c>
      <c r="AL10" s="62">
        <f>SUMIFS('Status of Curriculum Completion'!$DZ$4:$DZ$38,'Status of Curriculum Completion'!$DP$4:$DP$38,"CIC NA",'Status of Curriculum Completion'!$DU$4:$DU$38,"Complete")+SUMIFS('Status of Curriculum Completion'!$EM$4:$EM$38,'Status of Curriculum Completion'!$EC$4:$EC$38,"CIC NA",'Status of Curriculum Completion'!$EH$4:$EH$38,"Complete")+SUMIFS('Status of Curriculum Completion'!$EZ$4:$EZ$38,'Status of Curriculum Completion'!$EP$4:$EP$38,"CIC NA",'Status of Curriculum Completion'!$EU$4:$EU$38,"Complete")</f>
        <v>0</v>
      </c>
      <c r="AM10" s="62">
        <f>SUMIFS('Status of Curriculum Completion'!$DZ$4:$DZ$38,'Status of Curriculum Completion'!$DP$4:$DP$38,"CIC NA",'Status of Curriculum Completion'!$DU$4:$DU$38,"In Progress")+SUMIFS('Status of Curriculum Completion'!$EM$4:$EM$38,'Status of Curriculum Completion'!$EC$4:$EC$38,"CIC NA",'Status of Curriculum Completion'!$EH$4:$EH$38,"In Progress")+SUMIFS('Status of Curriculum Completion'!$EZ$4:$EZ$38,'Status of Curriculum Completion'!$EP$4:$EP$38,"CIC NA",'Status of Curriculum Completion'!$EU$4:$EU$38,"In Progress")</f>
        <v>0</v>
      </c>
      <c r="AN10" s="62">
        <f>SUMIFS('Status of Curriculum Completion'!$DZ$4:$DZ$38,'Status of Curriculum Completion'!$DP$4:$DP$38,"CIC NA",'Status of Curriculum Completion'!$DU$4:$DU$38,"Planned")+SUMIFS('Status of Curriculum Completion'!$EM$4:$EM$38,'Status of Curriculum Completion'!$EC$4:$EC$38,"CIC NA",'Status of Curriculum Completion'!$EH$4:$EH$38,"Planned")+SUMIFS('Status of Curriculum Completion'!$EZ$4:$EZ$38,'Status of Curriculum Completion'!$EP$4:$EP$38,"CIC NA",'Status of Curriculum Completion'!$EU$4:$EU$38,"Planned")</f>
        <v>0</v>
      </c>
      <c r="AO10" s="62">
        <f>SUMIFS('Status of Curriculum Completion'!$DZ$4:$DZ$38,'Status of Curriculum Completion'!$DP$4:$DP$38,"CIC NA",'Status of Curriculum Completion'!$DU$4:$DU$38,"Tentative")+SUMIFS('Status of Curriculum Completion'!$EM$4:$EM$38,'Status of Curriculum Completion'!$EC$4:$EC$38,"CIC NA",'Status of Curriculum Completion'!$EH$4:$EH$38,"Tentative")+SUMIFS('Status of Curriculum Completion'!$EZ$4:$EZ$38,'Status of Curriculum Completion'!$EP$4:$EP$38,"CIC NA",'Status of Curriculum Completion'!$EU$4:$EU$38,"Tentative")</f>
        <v>0</v>
      </c>
      <c r="AP10" s="62">
        <f>SUMIFS('Status of Curriculum Completion'!$DZ$4:$DZ$38,'Status of Curriculum Completion'!$DP$4:$DP$38,"CIC NA",'Status of Curriculum Completion'!$DV$4:$DV$38,"Complete")+SUMIFS('Status of Curriculum Completion'!$EM$4:$EM$38,'Status of Curriculum Completion'!$EC$4:$EC$38,"CIC NA",'Status of Curriculum Completion'!$EI$4:$EI$38,"Complete")+SUMIFS('Status of Curriculum Completion'!$EZ$4:$EZ$38,'Status of Curriculum Completion'!$EP$4:$EP$38,"CIC NA",'Status of Curriculum Completion'!$EV$4:$EV$38,"Complete")</f>
        <v>0</v>
      </c>
      <c r="AQ10" s="62">
        <f>SUMIFS('Status of Curriculum Completion'!$DZ$4:$DZ$38,'Status of Curriculum Completion'!$DP$4:$DP$38,"CIC NA",'Status of Curriculum Completion'!$DV$4:$DV$38,"In Progress")+SUMIFS('Status of Curriculum Completion'!$EM$4:$EM$38,'Status of Curriculum Completion'!$EC$4:$EC$38,"CIC NA",'Status of Curriculum Completion'!$EI$4:$EI$38,"In Progress")+SUMIFS('Status of Curriculum Completion'!$EZ$4:$EZ$38,'Status of Curriculum Completion'!$EP$4:$EP$38,"CIC NA",'Status of Curriculum Completion'!$EV$4:$EV$38,"In Progress")</f>
        <v>0</v>
      </c>
      <c r="AR10" s="62">
        <f>SUMIFS('Status of Curriculum Completion'!$DZ$4:$DZ$38,'Status of Curriculum Completion'!$DP$4:$DP$38,"CIC NA",'Status of Curriculum Completion'!$DV$4:$DV$38,"Planned")+SUMIFS('Status of Curriculum Completion'!$EM$4:$EM$38,'Status of Curriculum Completion'!$EC$4:$EC$38,"CIC NA",'Status of Curriculum Completion'!$EI$4:$EI$38,"Planned")+SUMIFS('Status of Curriculum Completion'!$EZ$4:$EZ$38,'Status of Curriculum Completion'!$EP$4:$EP$38,"CIC NA",'Status of Curriculum Completion'!$EV$4:$EV$38,"Planned")</f>
        <v>0</v>
      </c>
      <c r="AS10" s="62">
        <f>SUMIFS('Status of Curriculum Completion'!$DZ$4:$DZ$38,'Status of Curriculum Completion'!$DP$4:$DP$38,"CIC NA",'Status of Curriculum Completion'!$DV$4:$DV$38,"Tentative")+SUMIFS('Status of Curriculum Completion'!$EM$4:$EM$38,'Status of Curriculum Completion'!$EC$4:$EC$38,"CIC NA",'Status of Curriculum Completion'!$EI$4:$EI$38,"Tentative")+SUMIFS('Status of Curriculum Completion'!$EZ$4:$EZ$38,'Status of Curriculum Completion'!$EP$4:$EP$38,"CIC NA",'Status of Curriculum Completion'!$EV$4:$EV$38,"Tentative")</f>
        <v>0</v>
      </c>
    </row>
    <row r="11" spans="1:45" ht="44" thickBot="1">
      <c r="A11" s="63" t="s">
        <v>1167</v>
      </c>
      <c r="B11" s="59">
        <f>SUMIFS('Status of Curriculum Completion'!M$4:M$38,'Status of Curriculum Completion'!C$4:C$38,"PH",'Status of Curriculum Completion'!G$4:G$38,"Complete")+SUMIFS('Status of Curriculum Completion'!Z$4:Z$38,'Status of Curriculum Completion'!P$4:P$38,"PH",'Status of Curriculum Completion'!T$4:T$38,"Complete")+SUMIFS('Status of Curriculum Completion'!AM$4:AM$38,'Status of Curriculum Completion'!AC$4:AC$38,"PH",'Status of Curriculum Completion'!AG$4:AG$38,"Complete")</f>
        <v>0</v>
      </c>
      <c r="C11" s="59">
        <f>SUMIFS('Status of Curriculum Completion'!$M$4:$M$38,'Status of Curriculum Completion'!$C$4:$C$38,"PH",'Status of Curriculum Completion'!$G$4:$G$38,"In progress")+SUMIFS('Status of Curriculum Completion'!$Z$4:$Z$38,'Status of Curriculum Completion'!$P$4:$P$38,"PH",'Status of Curriculum Completion'!$T$4:$T$38,"In progress")+SUMIFS('Status of Curriculum Completion'!$AM$4:$AM$38,'Status of Curriculum Completion'!$AC$4:$AC$38,"PH",'Status of Curriculum Completion'!$AG$4:$AG$38,"In progress")</f>
        <v>0</v>
      </c>
      <c r="D11" s="59">
        <f>SUMIFS('Status of Curriculum Completion'!$M$4:$M$38,'Status of Curriculum Completion'!$C$4:$C$38,"PH",'Status of Curriculum Completion'!$G$4:$G$38,"Planned")+SUMIFS('Status of Curriculum Completion'!$Z$4:$Z$38,'Status of Curriculum Completion'!$P$4:$P$38,"PH",'Status of Curriculum Completion'!$T$4:$T$38,"Planned")+SUMIFS('Status of Curriculum Completion'!$AM$4:$AM$38,'Status of Curriculum Completion'!$AC$4:$AC$38,"PH",'Status of Curriculum Completion'!$AG$4:$AG$38,"Planned")</f>
        <v>0</v>
      </c>
      <c r="E11" s="59">
        <f>SUMIFS('Status of Curriculum Completion'!$M$4:$M$38,'Status of Curriculum Completion'!$C$4:$C$38,"PH",'Status of Curriculum Completion'!$H$4:$H$38,"Complete")+SUMIFS('Status of Curriculum Completion'!$Z$4:$Z$38,'Status of Curriculum Completion'!$P$4:$P$38,"PH",'Status of Curriculum Completion'!$U$4:$U$38,"Complete")+SUMIFS('Status of Curriculum Completion'!$AM$4:$AM$38,'Status of Curriculum Completion'!$AC$4:$AC$38,"PH",'Status of Curriculum Completion'!$AH$4:$AH$38,"Complete")</f>
        <v>0</v>
      </c>
      <c r="F11" s="59">
        <f>SUMIFS('Status of Curriculum Completion'!$M$4:$M$38,'Status of Curriculum Completion'!$C$4:$C$38,"PH",'Status of Curriculum Completion'!$H$4:$H$38,"In Progress")+SUMIFS('Status of Curriculum Completion'!$Z$4:$Z$38,'Status of Curriculum Completion'!$P$4:$P$38,"PH",'Status of Curriculum Completion'!$U$4:$U$38,"In Progress")+SUMIFS('Status of Curriculum Completion'!$AM$4:$AM$38,'Status of Curriculum Completion'!$AC$4:$AC$38,"PH",'Status of Curriculum Completion'!$AH$4:$AH$38,"In Progress")</f>
        <v>0</v>
      </c>
      <c r="G11" s="59">
        <f>SUMIFS('Status of Curriculum Completion'!$M$4:$M$38,'Status of Curriculum Completion'!$C$4:$C$38,"PH",'Status of Curriculum Completion'!$H$4:$H$38,"Planned")+SUMIFS('Status of Curriculum Completion'!$Z$4:$Z$38,'Status of Curriculum Completion'!$P$4:$P$38,"PH",'Status of Curriculum Completion'!$U$4:$U$38,"Planned")+SUMIFS('Status of Curriculum Completion'!$AM$4:$AM$38,'Status of Curriculum Completion'!$AC$4:$AC$38,"PH",'Status of Curriculum Completion'!$AH$4:$AH$38,"Planned")</f>
        <v>0</v>
      </c>
      <c r="H11" s="59">
        <f>SUMIFS('Status of Curriculum Completion'!$M$4:$M$38,'Status of Curriculum Completion'!$C$4:$C$38,"PH",'Status of Curriculum Completion'!$I$4:$I$38,"Complete")+SUMIFS('Status of Curriculum Completion'!$Z$4:$Z$38,'Status of Curriculum Completion'!$P$4:$P$38,"PH",'Status of Curriculum Completion'!$V$4:$V$38,"Complete")+SUMIFS('Status of Curriculum Completion'!$AM$4:$AM$38,'Status of Curriculum Completion'!$AC$4:$AC$38,"PH",'Status of Curriculum Completion'!$AI$4:$AI$38,"Complete")</f>
        <v>0</v>
      </c>
      <c r="I11" s="59">
        <f>SUMIFS('Status of Curriculum Completion'!$M$4:$M$38,'Status of Curriculum Completion'!$C$4:$C$38,"PH",'Status of Curriculum Completion'!$I$4:$I$38,"In Progress")+SUMIFS('Status of Curriculum Completion'!$Z$4:$Z$38,'Status of Curriculum Completion'!$P$4:$P$38,"PH",'Status of Curriculum Completion'!$V$4:$V$38,"In Progress")+SUMIFS('Status of Curriculum Completion'!$AM$4:$AM$38,'Status of Curriculum Completion'!$AC$4:$AC$38,"PH",'Status of Curriculum Completion'!$AI$4:$AI$38,"In Progress")</f>
        <v>0</v>
      </c>
      <c r="J11" s="59">
        <f>SUMIFS('Status of Curriculum Completion'!$M$4:$M$38,'Status of Curriculum Completion'!$C$4:$C$38,"PH",'Status of Curriculum Completion'!$I$4:$I$38,"Planned")+SUMIFS('Status of Curriculum Completion'!$Z$4:$Z$38,'Status of Curriculum Completion'!$P$4:$P$38,"PH",'Status of Curriculum Completion'!$V$4:$V$38,"Planned")+SUMIFS('Status of Curriculum Completion'!$AM$4:$AM$38,'Status of Curriculum Completion'!$AC$4:$AC$38,"PH",'Status of Curriculum Completion'!$AI$4:$AI$38,"Planned")</f>
        <v>0</v>
      </c>
      <c r="K11" s="60">
        <f>SUMIFS('Status of Curriculum Completion'!$AZ$4:$AZ$38,'Status of Curriculum Completion'!$AP$4:$AP$38,"PH",'Status of Curriculum Completion'!$AT$4:$AT$38,"Complete")+SUMIFS('Status of Curriculum Completion'!$BM$4:$BM$38,'Status of Curriculum Completion'!$BC$4:$BC$38,"PH",'Status of Curriculum Completion'!$BG$4:$BG$38,"Complete")+SUMIFS('Status of Curriculum Completion'!$BZ$4:$BZ$38,'Status of Curriculum Completion'!$BP$4:$BP$38,"PH",'Status of Curriculum Completion'!$BT$4:$BT$38,"Complete")</f>
        <v>0</v>
      </c>
      <c r="L11" s="60">
        <f>SUMIFS('Status of Curriculum Completion'!$AZ$4:$AZ$38,'Status of Curriculum Completion'!$AP$4:$AP$38,"PH",'Status of Curriculum Completion'!$AT$4:$AT$38,"In Progress")+SUMIFS('Status of Curriculum Completion'!$BM$4:$BM$38,'Status of Curriculum Completion'!$BC$4:$BC$38,"PH",'Status of Curriculum Completion'!$BG$4:$BG$38,"In Progress")+SUMIFS('Status of Curriculum Completion'!$BZ$4:$BZ$38,'Status of Curriculum Completion'!$BP$4:$BP$38,"PH",'Status of Curriculum Completion'!$BT$4:$BT$38,"In Progress")</f>
        <v>0</v>
      </c>
      <c r="M11" s="60">
        <f>SUMIFS('Status of Curriculum Completion'!$AZ$4:$AZ$38,'Status of Curriculum Completion'!$AP$4:$AP$38,"PH",'Status of Curriculum Completion'!$AT$4:$AT$38,"Planned")+SUMIFS('Status of Curriculum Completion'!$BM$4:$BM$38,'Status of Curriculum Completion'!$BC$4:$BC$38,"PH",'Status of Curriculum Completion'!$BG$4:$BG$38,"Planned")+SUMIFS('Status of Curriculum Completion'!$BZ$4:$BZ$38,'Status of Curriculum Completion'!$BP$4:$BP$38,"PH",'Status of Curriculum Completion'!$BT$4:$BT$38,"Planned")</f>
        <v>0</v>
      </c>
      <c r="N11" s="60">
        <f>SUMIFS('Status of Curriculum Completion'!$AZ$4:$AZ$38,'Status of Curriculum Completion'!$AP$4:$AP$38,"PH",'Status of Curriculum Completion'!$AU$4:$AU$38,"Complete")+SUMIFS('Status of Curriculum Completion'!$BM$4:$BM$38,'Status of Curriculum Completion'!$BC$4:$BC$38,"PH",'Status of Curriculum Completion'!$BH$4:$BH$38,"Complete")+SUMIFS('Status of Curriculum Completion'!$BZ$4:$BZ$38,'Status of Curriculum Completion'!$BP$4:$BP$38,"PH",'Status of Curriculum Completion'!$BU$4:$BU$38,"Complete")</f>
        <v>0</v>
      </c>
      <c r="O11" s="60">
        <f>SUMIFS('Status of Curriculum Completion'!$AZ$4:$AZ$38,'Status of Curriculum Completion'!$AP$4:$AP$38,"PH",'Status of Curriculum Completion'!$AU$4:$AU$38,"In Progress")+SUMIFS('Status of Curriculum Completion'!$BM$4:$BM$38,'Status of Curriculum Completion'!$BC$4:$BC$38,"PH",'Status of Curriculum Completion'!$BH$4:$BH$38,"In Progress")+SUMIFS('Status of Curriculum Completion'!$BZ$4:$BZ$38,'Status of Curriculum Completion'!$BP$4:$BP$38,"PH",'Status of Curriculum Completion'!$BU$4:$BU$38,"In Progress")</f>
        <v>0</v>
      </c>
      <c r="P11" s="60">
        <f>SUMIFS('Status of Curriculum Completion'!$AZ$4:$AZ$38,'Status of Curriculum Completion'!$AP$4:$AP$38,"PH",'Status of Curriculum Completion'!$AU$4:$AU$38,"Planned")+SUMIFS('Status of Curriculum Completion'!$BM$4:$BM$38,'Status of Curriculum Completion'!$BC$4:$BC$38,"PH",'Status of Curriculum Completion'!$BH$4:$BH$38,"Planned")+SUMIFS('Status of Curriculum Completion'!$BZ$4:$BZ$38,'Status of Curriculum Completion'!$BP$4:$BP$38,"PH",'Status of Curriculum Completion'!$BU$4:$BU$38,"Planned")</f>
        <v>0</v>
      </c>
      <c r="Q11" s="60">
        <f>SUMIFS('Status of Curriculum Completion'!$AZ$4:$AZ$38,'Status of Curriculum Completion'!$AP$4:$AP$38,"PH",'Status of Curriculum Completion'!$AV$4:$AV$38,"Complete")+SUMIFS('Status of Curriculum Completion'!$BM$4:$BM$38,'Status of Curriculum Completion'!$BC$4:$BC$38,"PH",'Status of Curriculum Completion'!$BI$4:$BI$38,"Complete")+SUMIFS('Status of Curriculum Completion'!$BZ$4:$BZ$38,'Status of Curriculum Completion'!$BP$4:$BP$38,"PH",'Status of Curriculum Completion'!$BV$4:$BV$38,"Complete")</f>
        <v>0</v>
      </c>
      <c r="R11" s="60">
        <f>SUMIFS('Status of Curriculum Completion'!$AZ$4:$AZ$38,'Status of Curriculum Completion'!$AP$4:$AP$38,"PH",'Status of Curriculum Completion'!$AV$4:$AV$38,"In Progress")+SUMIFS('Status of Curriculum Completion'!$BM$4:$BM$38,'Status of Curriculum Completion'!$BC$4:$BC$38,"PH",'Status of Curriculum Completion'!$BI$4:$BI$38,"In Progress")+SUMIFS('Status of Curriculum Completion'!$BZ$4:$BZ$38,'Status of Curriculum Completion'!$BP$4:$BP$38,"PH",'Status of Curriculum Completion'!$BV$4:$BV$38,"In Progress")</f>
        <v>0</v>
      </c>
      <c r="S11" s="60">
        <f>SUMIFS('Status of Curriculum Completion'!$AZ$4:$AZ$38,'Status of Curriculum Completion'!$AP$4:$AP$38,"PH",'Status of Curriculum Completion'!$AV$4:$AV$38,"Planned")+SUMIFS('Status of Curriculum Completion'!$BM$4:$BM$38,'Status of Curriculum Completion'!$BC$4:$BC$38,"PH",'Status of Curriculum Completion'!$BI$4:$BI$38,"Planned")+SUMIFS('Status of Curriculum Completion'!$BZ$4:$BZ$38,'Status of Curriculum Completion'!$BP$4:$BP$38,"PH",'Status of Curriculum Completion'!$BV$4:$BV$38,"Planned")</f>
        <v>0</v>
      </c>
      <c r="U11" s="63" t="s">
        <v>1167</v>
      </c>
      <c r="V11" s="61">
        <f>SUMIFS('Status of Curriculum Completion'!$CM$4:$CM$38,'Status of Curriculum Completion'!$CC$4:$CC$38,"PH",'Status of Curriculum Completion'!$CG$4:$CG$38,"Complete")+SUMIFS('Status of Curriculum Completion'!$CZ$4:$CZ$38,'Status of Curriculum Completion'!$CP$4:$CP$38,"PH",'Status of Curriculum Completion'!$CT$4:$CT$38,"Complete")+SUMIFS('Status of Curriculum Completion'!$DM$4:$DM$38,'Status of Curriculum Completion'!$DC$4:$DC$38,"PH",'Status of Curriculum Completion'!$DG$4:$DG$38,"Complete")</f>
        <v>0</v>
      </c>
      <c r="W11" s="61">
        <f>SUMIFS('Status of Curriculum Completion'!$CM$4:$CM$38,'Status of Curriculum Completion'!$CC$4:$CC$38,"PH",'Status of Curriculum Completion'!$CG$4:$CG$38,"In Progress")+SUMIFS('Status of Curriculum Completion'!$CZ$4:$CZ$38,'Status of Curriculum Completion'!$CP$4:$CP$38,"PH",'Status of Curriculum Completion'!$CT$4:$CT$38,"In Progress")+SUMIFS('Status of Curriculum Completion'!$DM$4:$DM$38,'Status of Curriculum Completion'!$DC$4:$DC$38,"PH",'Status of Curriculum Completion'!$DG$4:$DG$38,"In Progress")</f>
        <v>0</v>
      </c>
      <c r="X11" s="61">
        <f>SUMIFS('Status of Curriculum Completion'!$CM$4:$CM$38,'Status of Curriculum Completion'!$CC$4:$CC$38,"PH",'Status of Curriculum Completion'!$CG$4:$CG$38,"Planned")+SUMIFS('Status of Curriculum Completion'!$CZ$4:$CZ$38,'Status of Curriculum Completion'!$CP$4:$CP$38,"PH",'Status of Curriculum Completion'!$CT$4:$CT$38,"Planned")+SUMIFS('Status of Curriculum Completion'!$DM$4:$DM$38,'Status of Curriculum Completion'!$DC$4:$DC$38,"PH",'Status of Curriculum Completion'!$DG$4:$DG$38,"Planned")</f>
        <v>0</v>
      </c>
      <c r="Y11" s="61">
        <f>SUMIFS('Status of Curriculum Completion'!$CM$4:$CM$38,'Status of Curriculum Completion'!$CC$4:$CC$38,"PH",'Status of Curriculum Completion'!$CG$4:$CG$38,"Tentative")+SUMIFS('Status of Curriculum Completion'!$CZ$4:$CZ$38,'Status of Curriculum Completion'!$CP$4:$CP$38,"PH",'Status of Curriculum Completion'!$CT$4:$CT$38,"Tentative")+SUMIFS('Status of Curriculum Completion'!$DM$4:$DM$38,'Status of Curriculum Completion'!$DC$4:$DC$38,"PH",'Status of Curriculum Completion'!$DG$4:$DG$38,"Tentative")</f>
        <v>0</v>
      </c>
      <c r="Z11" s="61">
        <f>SUMIFS('Status of Curriculum Completion'!$CM$4:$CM$38,'Status of Curriculum Completion'!$CC$4:$CC$38,"PH",'Status of Curriculum Completion'!$CH$4:$CH$38,"Complete")+SUMIFS('Status of Curriculum Completion'!$CZ$4:$CZ$38,'Status of Curriculum Completion'!$CP$4:$CP$38,"PH",'Status of Curriculum Completion'!$CU$4:$CU$38,"Complete")+SUMIFS('Status of Curriculum Completion'!$DM$4:$DM$38,'Status of Curriculum Completion'!$DC$4:$DC$38,"PH",'Status of Curriculum Completion'!$DH$4:$DH$38,"Complete")</f>
        <v>0</v>
      </c>
      <c r="AA11" s="61">
        <f>SUMIFS('Status of Curriculum Completion'!$CM$4:$CM$38,'Status of Curriculum Completion'!$CC$4:$CC$38,"PH",'Status of Curriculum Completion'!$CH$4:$CH$38,"In Progress")+SUMIFS('Status of Curriculum Completion'!$CZ$4:$CZ$38,'Status of Curriculum Completion'!$CP$4:$CP$38,"PH",'Status of Curriculum Completion'!$CU$4:$CU$38,"In Progress")+SUMIFS('Status of Curriculum Completion'!$DM$4:$DM$38,'Status of Curriculum Completion'!$DC$4:$DC$38,"PH",'Status of Curriculum Completion'!$DH$4:$DH$38,"In Progress")</f>
        <v>0</v>
      </c>
      <c r="AB11" s="61">
        <f>SUMIFS('Status of Curriculum Completion'!$CM$4:$CM$38,'Status of Curriculum Completion'!$CC$4:$CC$38,"PH",'Status of Curriculum Completion'!$CH$4:$CH$38,"Planned")+SUMIFS('Status of Curriculum Completion'!$CZ$4:$CZ$38,'Status of Curriculum Completion'!$CP$4:$CP$38,"PH",'Status of Curriculum Completion'!$CU$4:$CU$38,"Planned")+SUMIFS('Status of Curriculum Completion'!$DM$4:$DM$38,'Status of Curriculum Completion'!$DC$4:$DC$38,"PH",'Status of Curriculum Completion'!$DH$4:$DH$38,"Planned")</f>
        <v>0</v>
      </c>
      <c r="AC11" s="61">
        <f>SUMIFS('Status of Curriculum Completion'!$CM$4:$CM$38,'Status of Curriculum Completion'!$CC$4:$CC$38,"PH",'Status of Curriculum Completion'!$CH$4:$CH$38,"Tentative")+SUMIFS('Status of Curriculum Completion'!$CZ$4:$CZ$38,'Status of Curriculum Completion'!$CP$4:$CP$38,"PH",'Status of Curriculum Completion'!$CU$4:$CU$38,"Tentative")+SUMIFS('Status of Curriculum Completion'!$DM$4:$DM$38,'Status of Curriculum Completion'!$DC$4:$DC$38,"PH",'Status of Curriculum Completion'!$DH$4:$DH$38,"Tentative")</f>
        <v>0</v>
      </c>
      <c r="AD11" s="61">
        <f>SUMIFS('Status of Curriculum Completion'!$CM$4:$CM$38,'Status of Curriculum Completion'!$CC$4:$CC$38,"PH",'Status of Curriculum Completion'!$CI$4:$CI$38,"Complete")+SUMIFS('Status of Curriculum Completion'!$CZ$4:$CZ$38,'Status of Curriculum Completion'!$CP$4:$CP$38,"PH",'Status of Curriculum Completion'!$CV$4:$CV$38,"Complete")+SUMIFS('Status of Curriculum Completion'!$DM$4:$DM$38,'Status of Curriculum Completion'!$DC$4:$DC$38,"PH",'Status of Curriculum Completion'!$DI$4:$DI$38,"Complete")</f>
        <v>0</v>
      </c>
      <c r="AE11" s="61">
        <f>SUMIFS('Status of Curriculum Completion'!$CM$4:$CM$38,'Status of Curriculum Completion'!$CC$4:$CC$38,"PH",'Status of Curriculum Completion'!$CI$4:$CI$38,"In Progress")+SUMIFS('Status of Curriculum Completion'!$CZ$4:$CZ$38,'Status of Curriculum Completion'!$CP$4:$CP$38,"PH",'Status of Curriculum Completion'!$CV$4:$CV$38,"In Progress")+SUMIFS('Status of Curriculum Completion'!$DM$4:$DM$38,'Status of Curriculum Completion'!$DC$4:$DC$38,"PH",'Status of Curriculum Completion'!$DI$4:$DI$38,"In Progress")</f>
        <v>0</v>
      </c>
      <c r="AF11" s="61">
        <f>SUMIFS('Status of Curriculum Completion'!$CM$4:$CM$38,'Status of Curriculum Completion'!$CC$4:$CC$38,"PH",'Status of Curriculum Completion'!$CI$4:$CI$38,"Planned")+SUMIFS('Status of Curriculum Completion'!$CZ$4:$CZ$38,'Status of Curriculum Completion'!$CP$4:$CP$38,"PH",'Status of Curriculum Completion'!$CV$4:$CV$38,"Planned")+SUMIFS('Status of Curriculum Completion'!$DM$4:$DM$38,'Status of Curriculum Completion'!$DC$4:$DC$38,"PH",'Status of Curriculum Completion'!$DI$4:$DI$38,"Planned")</f>
        <v>0</v>
      </c>
      <c r="AG11" s="61">
        <f>SUMIFS('Status of Curriculum Completion'!$CM$4:$CM$38,'Status of Curriculum Completion'!$CC$4:$CC$38,"PH",'Status of Curriculum Completion'!$CI$4:$CI$38,"Tentative")+SUMIFS('Status of Curriculum Completion'!$CZ$4:$CZ$38,'Status of Curriculum Completion'!$CP$4:$CP$38,"PH",'Status of Curriculum Completion'!$CV$4:$CV$38,"Tentative")+SUMIFS('Status of Curriculum Completion'!$DM$4:$DM$38,'Status of Curriculum Completion'!$DC$4:$DC$38,"PH",'Status of Curriculum Completion'!$DI$4:$DI$38,"Tentative")</f>
        <v>0</v>
      </c>
      <c r="AH11" s="62">
        <f>SUMIFS('Status of Curriculum Completion'!$DZ$4:$DZ$38,'Status of Curriculum Completion'!$DP$4:$DP$38,"PH",'Status of Curriculum Completion'!$DT$4:$DT$38,"Complete")+SUMIFS('Status of Curriculum Completion'!$EM$4:$EM$38,'Status of Curriculum Completion'!$EC$4:$EC$38,"PH",'Status of Curriculum Completion'!$EG$4:$EG$38,"Complete")+SUMIFS('Status of Curriculum Completion'!$EZ$4:$EZ$38,'Status of Curriculum Completion'!$EP$4:$EP$38,"PH",'Status of Curriculum Completion'!$ET$4:$ET$38,"Complete")</f>
        <v>0</v>
      </c>
      <c r="AI11" s="62">
        <f>SUMIFS('Status of Curriculum Completion'!$DZ$4:$DZ$38,'Status of Curriculum Completion'!$DP$4:$DP$38,"PH",'Status of Curriculum Completion'!$DT$4:$DT$38,"In Progress")+SUMIFS('Status of Curriculum Completion'!$EM$4:$EM$38,'Status of Curriculum Completion'!$EC$4:$EC$38,"PH",'Status of Curriculum Completion'!$EG$4:$EG$38,"In Progress")+SUMIFS('Status of Curriculum Completion'!$EZ$4:$EZ$38,'Status of Curriculum Completion'!$EP$4:$EP$38,"PH",'Status of Curriculum Completion'!$ET$4:$ET$38,"In Progress")</f>
        <v>0</v>
      </c>
      <c r="AJ11" s="62">
        <f>SUMIFS('Status of Curriculum Completion'!$DZ$4:$DZ$38,'Status of Curriculum Completion'!$DP$4:$DP$38,"PH",'Status of Curriculum Completion'!$DT$4:$DT$38,"Planned")+SUMIFS('Status of Curriculum Completion'!$EM$4:$EM$38,'Status of Curriculum Completion'!$EC$4:$EC$38,"PH",'Status of Curriculum Completion'!$EG$4:$EG$38,"Planned")+SUMIFS('Status of Curriculum Completion'!$EZ$4:$EZ$38,'Status of Curriculum Completion'!$EP$4:$EP$38,"PH",'Status of Curriculum Completion'!$ET$4:$ET$38,"Planned")</f>
        <v>0</v>
      </c>
      <c r="AK11" s="62">
        <f>SUMIFS('Status of Curriculum Completion'!$DZ$4:$DZ$38,'Status of Curriculum Completion'!$DP$4:$DP$38,"PH",'Status of Curriculum Completion'!$DT$4:$DT$38,"Tentative")+SUMIFS('Status of Curriculum Completion'!$EM$4:$EM$38,'Status of Curriculum Completion'!$EC$4:$EC$38,"PH",'Status of Curriculum Completion'!$EG$4:$EG$38,"Tentative")+SUMIFS('Status of Curriculum Completion'!$EZ$4:$EZ$38,'Status of Curriculum Completion'!$EP$4:$EP$38,"PH",'Status of Curriculum Completion'!$ET$4:$ET$38,"Tentative")</f>
        <v>0</v>
      </c>
      <c r="AL11" s="62">
        <f>SUMIFS('Status of Curriculum Completion'!$DZ$4:$DZ$38,'Status of Curriculum Completion'!$DP$4:$DP$38,"PH",'Status of Curriculum Completion'!$DU$4:$DU$38,"Complete")+SUMIFS('Status of Curriculum Completion'!$EM$4:$EM$38,'Status of Curriculum Completion'!$EC$4:$EC$38,"PH",'Status of Curriculum Completion'!$EH$4:$EH$38,"Complete")+SUMIFS('Status of Curriculum Completion'!$EZ$4:$EZ$38,'Status of Curriculum Completion'!$EP$4:$EP$38,"PH",'Status of Curriculum Completion'!$EU$4:$EU$38,"Complete")</f>
        <v>0</v>
      </c>
      <c r="AM11" s="62">
        <f>SUMIFS('Status of Curriculum Completion'!$DZ$4:$DZ$38,'Status of Curriculum Completion'!$DP$4:$DP$38,"PH",'Status of Curriculum Completion'!$DU$4:$DU$38,"In Progress")+SUMIFS('Status of Curriculum Completion'!$EM$4:$EM$38,'Status of Curriculum Completion'!$EC$4:$EC$38,"PH",'Status of Curriculum Completion'!$EH$4:$EH$38,"In Progress")+SUMIFS('Status of Curriculum Completion'!$EZ$4:$EZ$38,'Status of Curriculum Completion'!$EP$4:$EP$38,"PH",'Status of Curriculum Completion'!$EU$4:$EU$38,"In Progress")</f>
        <v>0</v>
      </c>
      <c r="AN11" s="62">
        <f>SUMIFS('Status of Curriculum Completion'!$DZ$4:$DZ$38,'Status of Curriculum Completion'!$DP$4:$DP$38,"PH",'Status of Curriculum Completion'!$DU$4:$DU$38,"Planned")+SUMIFS('Status of Curriculum Completion'!$EM$4:$EM$38,'Status of Curriculum Completion'!$EC$4:$EC$38,"PH",'Status of Curriculum Completion'!$EH$4:$EH$38,"Planned")+SUMIFS('Status of Curriculum Completion'!$EZ$4:$EZ$38,'Status of Curriculum Completion'!$EP$4:$EP$38,"PH",'Status of Curriculum Completion'!$EU$4:$EU$38,"Planned")</f>
        <v>0</v>
      </c>
      <c r="AO11" s="62">
        <f>SUMIFS('Status of Curriculum Completion'!$DZ$4:$DZ$38,'Status of Curriculum Completion'!$DP$4:$DP$38,"PH",'Status of Curriculum Completion'!$DU$4:$DU$38,"Tentative")+SUMIFS('Status of Curriculum Completion'!$EM$4:$EM$38,'Status of Curriculum Completion'!$EC$4:$EC$38,"PH",'Status of Curriculum Completion'!$EH$4:$EH$38,"Tentative")+SUMIFS('Status of Curriculum Completion'!$EZ$4:$EZ$38,'Status of Curriculum Completion'!$EP$4:$EP$38,"PH",'Status of Curriculum Completion'!$EU$4:$EU$38,"Tentative")</f>
        <v>0</v>
      </c>
      <c r="AP11" s="62">
        <f>SUMIFS('Status of Curriculum Completion'!$DZ$4:$DZ$38,'Status of Curriculum Completion'!$DP$4:$DP$38,"PH",'Status of Curriculum Completion'!$DV$4:$DV$38,"Complete")+SUMIFS('Status of Curriculum Completion'!$EM$4:$EM$38,'Status of Curriculum Completion'!$EC$4:$EC$38,"PH",'Status of Curriculum Completion'!$EI$4:$EI$38,"Complete")+SUMIFS('Status of Curriculum Completion'!$EZ$4:$EZ$38,'Status of Curriculum Completion'!$EP$4:$EP$38,"PH",'Status of Curriculum Completion'!$EV$4:$EV$38,"Complete")</f>
        <v>0</v>
      </c>
      <c r="AQ11" s="62">
        <f>SUMIFS('Status of Curriculum Completion'!$DZ$4:$DZ$38,'Status of Curriculum Completion'!$DP$4:$DP$38,"PH",'Status of Curriculum Completion'!$DV$4:$DV$38,"In Progress")+SUMIFS('Status of Curriculum Completion'!$EM$4:$EM$38,'Status of Curriculum Completion'!$EC$4:$EC$38,"PH",'Status of Curriculum Completion'!$EI$4:$EI$38,"In Progress")+SUMIFS('Status of Curriculum Completion'!$EZ$4:$EZ$38,'Status of Curriculum Completion'!$EP$4:$EP$38,"PH",'Status of Curriculum Completion'!$EV$4:$EV$38,"In Progress")</f>
        <v>0</v>
      </c>
      <c r="AR11" s="62">
        <f>SUMIFS('Status of Curriculum Completion'!$DZ$4:$DZ$38,'Status of Curriculum Completion'!$DP$4:$DP$38,"PH",'Status of Curriculum Completion'!$DV$4:$DV$38,"Planned")+SUMIFS('Status of Curriculum Completion'!$EM$4:$EM$38,'Status of Curriculum Completion'!$EC$4:$EC$38,"PH",'Status of Curriculum Completion'!$EI$4:$EI$38,"Planned")+SUMIFS('Status of Curriculum Completion'!$EZ$4:$EZ$38,'Status of Curriculum Completion'!$EP$4:$EP$38,"PH",'Status of Curriculum Completion'!$EV$4:$EV$38,"Planned")</f>
        <v>0</v>
      </c>
      <c r="AS11" s="62">
        <f>SUMIFS('Status of Curriculum Completion'!$DZ$4:$DZ$38,'Status of Curriculum Completion'!$DP$4:$DP$38,"PH",'Status of Curriculum Completion'!$DV$4:$DV$38,"Tentative")+SUMIFS('Status of Curriculum Completion'!$EM$4:$EM$38,'Status of Curriculum Completion'!$EC$4:$EC$38,"PH",'Status of Curriculum Completion'!$EI$4:$EI$38,"Tentative")+SUMIFS('Status of Curriculum Completion'!$EZ$4:$EZ$38,'Status of Curriculum Completion'!$EP$4:$EP$38,"PH",'Status of Curriculum Completion'!$EV$4:$EV$38,"Tentative")</f>
        <v>0</v>
      </c>
    </row>
    <row r="12" spans="1:45" ht="44" thickBot="1">
      <c r="A12" s="63" t="s">
        <v>1168</v>
      </c>
      <c r="B12" s="59">
        <f>SUMIFS('Status of Curriculum Completion'!M$4:M$38,'Status of Curriculum Completion'!C$4:C$38,"CIC WE",'Status of Curriculum Completion'!G$4:G$38,"Complete")+SUMIFS('Status of Curriculum Completion'!Z$4:Z$38,'Status of Curriculum Completion'!P$4:P$38,"CIC WE",'Status of Curriculum Completion'!T$4:T$38,"Complete")+SUMIFS('Status of Curriculum Completion'!AM$4:AM$38,'Status of Curriculum Completion'!AC$4:AC$38,"CIC WE",'Status of Curriculum Completion'!AG$4:AG$38,"Complete")</f>
        <v>0</v>
      </c>
      <c r="C12" s="59">
        <f>SUMIFS('Status of Curriculum Completion'!$M$4:$M$38,'Status of Curriculum Completion'!$C$4:$C$38,"CIC WE",'Status of Curriculum Completion'!$G$4:$G$38,"In progress")+SUMIFS('Status of Curriculum Completion'!$Z$4:$Z$38,'Status of Curriculum Completion'!$P$4:$P$38,"CIC WE",'Status of Curriculum Completion'!$T$4:$T$38,"In progress")+SUMIFS('Status of Curriculum Completion'!$AM$4:$AM$38,'Status of Curriculum Completion'!$AC$4:$AC$38,"CIC WE",'Status of Curriculum Completion'!$AG$4:$AG$38,"In progress")</f>
        <v>0</v>
      </c>
      <c r="D12" s="59">
        <f>SUMIFS('Status of Curriculum Completion'!$M$4:$M$38,'Status of Curriculum Completion'!$C$4:$C$38,"CIC WE",'Status of Curriculum Completion'!$G$4:$G$38,"Planned")+SUMIFS('Status of Curriculum Completion'!$Z$4:$Z$38,'Status of Curriculum Completion'!$P$4:$P$38,"CIC WE",'Status of Curriculum Completion'!$T$4:$T$38,"Planned")+SUMIFS('Status of Curriculum Completion'!$AM$4:$AM$38,'Status of Curriculum Completion'!$AC$4:$AC$38,"CIC WE",'Status of Curriculum Completion'!$AG$4:$AG$38,"Planned")</f>
        <v>0</v>
      </c>
      <c r="E12" s="59">
        <f>SUMIFS('Status of Curriculum Completion'!$M$4:$M$38,'Status of Curriculum Completion'!$C$4:$C$38,"CIC WE",'Status of Curriculum Completion'!$H$4:$H$38,"Complete")+SUMIFS('Status of Curriculum Completion'!$Z$4:$Z$38,'Status of Curriculum Completion'!$P$4:$P$38,"CIC WE",'Status of Curriculum Completion'!$U$4:$U$38,"Complete")+SUMIFS('Status of Curriculum Completion'!$AM$4:$AM$38,'Status of Curriculum Completion'!$AC$4:$AC$38,"CIC WE",'Status of Curriculum Completion'!$AH$4:$AH$38,"Complete")</f>
        <v>0</v>
      </c>
      <c r="F12" s="59">
        <f>SUMIFS('Status of Curriculum Completion'!$M$4:$M$38,'Status of Curriculum Completion'!$C$4:$C$38,"CIC WE",'Status of Curriculum Completion'!$H$4:$H$38,"In Progress")+SUMIFS('Status of Curriculum Completion'!$Z$4:$Z$38,'Status of Curriculum Completion'!$P$4:$P$38,"CIC WE",'Status of Curriculum Completion'!$U$4:$U$38,"In Progress")+SUMIFS('Status of Curriculum Completion'!$AM$4:$AM$38,'Status of Curriculum Completion'!$AC$4:$AC$38,"CIC WE",'Status of Curriculum Completion'!$AH$4:$AH$38,"In Progress")</f>
        <v>0</v>
      </c>
      <c r="G12" s="59">
        <f>SUMIFS('Status of Curriculum Completion'!$M$4:$M$38,'Status of Curriculum Completion'!$C$4:$C$38,"CIC WE",'Status of Curriculum Completion'!$H$4:$H$38,"Planned")+SUMIFS('Status of Curriculum Completion'!$Z$4:$Z$38,'Status of Curriculum Completion'!$P$4:$P$38,"CIC WE",'Status of Curriculum Completion'!$U$4:$U$38,"Planned")+SUMIFS('Status of Curriculum Completion'!$AM$4:$AM$38,'Status of Curriculum Completion'!$AC$4:$AC$38,"CIC WE",'Status of Curriculum Completion'!$AH$4:$AH$38,"Planned")</f>
        <v>0</v>
      </c>
      <c r="H12" s="59">
        <f>SUMIFS('Status of Curriculum Completion'!$M$4:$M$38,'Status of Curriculum Completion'!$C$4:$C$38,"CIC WE",'Status of Curriculum Completion'!$I$4:$I$38,"Complete")+SUMIFS('Status of Curriculum Completion'!$Z$4:$Z$38,'Status of Curriculum Completion'!$P$4:$P$38,"CIC WE",'Status of Curriculum Completion'!$V$4:$V$38,"Complete")+SUMIFS('Status of Curriculum Completion'!$AM$4:$AM$38,'Status of Curriculum Completion'!$AC$4:$AC$38,"CIC WE",'Status of Curriculum Completion'!$AI$4:$AI$38,"Complete")</f>
        <v>0</v>
      </c>
      <c r="I12" s="59">
        <f>SUMIFS('Status of Curriculum Completion'!$M$4:$M$38,'Status of Curriculum Completion'!$C$4:$C$38,"CIC WE",'Status of Curriculum Completion'!$I$4:$I$38,"In Progress")+SUMIFS('Status of Curriculum Completion'!$Z$4:$Z$38,'Status of Curriculum Completion'!$P$4:$P$38,"CIC WE",'Status of Curriculum Completion'!$V$4:$V$38,"In Progress")+SUMIFS('Status of Curriculum Completion'!$AM$4:$AM$38,'Status of Curriculum Completion'!$AC$4:$AC$38,"CIC WE",'Status of Curriculum Completion'!$AI$4:$AI$38,"In Progress")</f>
        <v>0</v>
      </c>
      <c r="J12" s="59">
        <f>SUMIFS('Status of Curriculum Completion'!$M$4:$M$38,'Status of Curriculum Completion'!$C$4:$C$38,"CIC WE",'Status of Curriculum Completion'!$I$4:$I$38,"Planned")+SUMIFS('Status of Curriculum Completion'!$Z$4:$Z$38,'Status of Curriculum Completion'!$P$4:$P$38,"CIC WE",'Status of Curriculum Completion'!$V$4:$V$38,"Planned")+SUMIFS('Status of Curriculum Completion'!$AM$4:$AM$38,'Status of Curriculum Completion'!$AC$4:$AC$38,"CIC WE",'Status of Curriculum Completion'!$AI$4:$AI$38,"Planned")</f>
        <v>0</v>
      </c>
      <c r="K12" s="60">
        <f>SUMIFS('Status of Curriculum Completion'!$AZ$4:$AZ$38,'Status of Curriculum Completion'!$AP$4:$AP$38,"CIC WE",'Status of Curriculum Completion'!$AT$4:$AT$38,"Complete")+SUMIFS('Status of Curriculum Completion'!$BM$4:$BM$38,'Status of Curriculum Completion'!$BC$4:$BC$38,"CIC WE",'Status of Curriculum Completion'!$BG$4:$BG$38,"Complete")+SUMIFS('Status of Curriculum Completion'!$BZ$4:$BZ$38,'Status of Curriculum Completion'!$BP$4:$BP$38,"CIC WE",'Status of Curriculum Completion'!$BT$4:$BT$38,"Complete")</f>
        <v>0</v>
      </c>
      <c r="L12" s="60">
        <f>SUMIFS('Status of Curriculum Completion'!$AZ$4:$AZ$38,'Status of Curriculum Completion'!$AP$4:$AP$38,"CIC WE",'Status of Curriculum Completion'!$AT$4:$AT$38,"In Progress")+SUMIFS('Status of Curriculum Completion'!$BM$4:$BM$38,'Status of Curriculum Completion'!$BC$4:$BC$38,"CIC WE",'Status of Curriculum Completion'!$BG$4:$BG$38,"In Progress")+SUMIFS('Status of Curriculum Completion'!$BZ$4:$BZ$38,'Status of Curriculum Completion'!$BP$4:$BP$38,"CIC WE",'Status of Curriculum Completion'!$BT$4:$BT$38,"In Progress")</f>
        <v>0</v>
      </c>
      <c r="M12" s="60">
        <f>SUMIFS('Status of Curriculum Completion'!$AZ$4:$AZ$38,'Status of Curriculum Completion'!$AP$4:$AP$38,"CIC WE",'Status of Curriculum Completion'!$AT$4:$AT$38,"Planned")+SUMIFS('Status of Curriculum Completion'!$BM$4:$BM$38,'Status of Curriculum Completion'!$BC$4:$BC$38,"CIC WE",'Status of Curriculum Completion'!$BG$4:$BG$38,"Planned")+SUMIFS('Status of Curriculum Completion'!$BZ$4:$BZ$38,'Status of Curriculum Completion'!$BP$4:$BP$38,"CIC WE",'Status of Curriculum Completion'!$BT$4:$BT$38,"Planned")</f>
        <v>0</v>
      </c>
      <c r="N12" s="60">
        <f>SUMIFS('Status of Curriculum Completion'!$AZ$4:$AZ$38,'Status of Curriculum Completion'!$AP$4:$AP$38,"CIC WE",'Status of Curriculum Completion'!$AU$4:$AU$38,"Complete")+SUMIFS('Status of Curriculum Completion'!$BM$4:$BM$38,'Status of Curriculum Completion'!$BC$4:$BC$38,"CIC WE",'Status of Curriculum Completion'!$BH$4:$BH$38,"Complete")+SUMIFS('Status of Curriculum Completion'!$BZ$4:$BZ$38,'Status of Curriculum Completion'!$BP$4:$BP$38,"CIC WE",'Status of Curriculum Completion'!$BU$4:$BU$38,"Complete")</f>
        <v>0</v>
      </c>
      <c r="O12" s="60">
        <f>SUMIFS('Status of Curriculum Completion'!$AZ$4:$AZ$38,'Status of Curriculum Completion'!$AP$4:$AP$38,"CIC WE",'Status of Curriculum Completion'!$AU$4:$AU$38,"In Progress")+SUMIFS('Status of Curriculum Completion'!$BM$4:$BM$38,'Status of Curriculum Completion'!$BC$4:$BC$38,"CIC WE",'Status of Curriculum Completion'!$BH$4:$BH$38,"In Progress")+SUMIFS('Status of Curriculum Completion'!$BZ$4:$BZ$38,'Status of Curriculum Completion'!$BP$4:$BP$38,"CIC WE",'Status of Curriculum Completion'!$BU$4:$BU$38,"In Progress")</f>
        <v>0</v>
      </c>
      <c r="P12" s="60">
        <f>SUMIFS('Status of Curriculum Completion'!$AZ$4:$AZ$38,'Status of Curriculum Completion'!$AP$4:$AP$38,"CIC WE",'Status of Curriculum Completion'!$AU$4:$AU$38,"Planned")+SUMIFS('Status of Curriculum Completion'!$BM$4:$BM$38,'Status of Curriculum Completion'!$BC$4:$BC$38,"CIC WE",'Status of Curriculum Completion'!$BH$4:$BH$38,"Planned")+SUMIFS('Status of Curriculum Completion'!$BZ$4:$BZ$38,'Status of Curriculum Completion'!$BP$4:$BP$38,"CIC WE",'Status of Curriculum Completion'!$BU$4:$BU$38,"Planned")</f>
        <v>0</v>
      </c>
      <c r="Q12" s="60">
        <f>SUMIFS('Status of Curriculum Completion'!$AZ$4:$AZ$38,'Status of Curriculum Completion'!$AP$4:$AP$38,"CIC WE",'Status of Curriculum Completion'!$AV$4:$AV$38,"Complete")+SUMIFS('Status of Curriculum Completion'!$BM$4:$BM$38,'Status of Curriculum Completion'!$BC$4:$BC$38,"CIC WE",'Status of Curriculum Completion'!$BI$4:$BI$38,"Complete")+SUMIFS('Status of Curriculum Completion'!$BZ$4:$BZ$38,'Status of Curriculum Completion'!$BP$4:$BP$38,"CIC WE",'Status of Curriculum Completion'!$BV$4:$BV$38,"Complete")</f>
        <v>0</v>
      </c>
      <c r="R12" s="60">
        <f>SUMIFS('Status of Curriculum Completion'!$AZ$4:$AZ$38,'Status of Curriculum Completion'!$AP$4:$AP$38,"CIC WE",'Status of Curriculum Completion'!$AV$4:$AV$38,"In Progress")+SUMIFS('Status of Curriculum Completion'!$BM$4:$BM$38,'Status of Curriculum Completion'!$BC$4:$BC$38,"CIC WE",'Status of Curriculum Completion'!$BI$4:$BI$38,"In Progress")+SUMIFS('Status of Curriculum Completion'!$BZ$4:$BZ$38,'Status of Curriculum Completion'!$BP$4:$BP$38,"CIC WE",'Status of Curriculum Completion'!$BV$4:$BV$38,"In Progress")</f>
        <v>0</v>
      </c>
      <c r="S12" s="60">
        <f>SUMIFS('Status of Curriculum Completion'!$AZ$4:$AZ$38,'Status of Curriculum Completion'!$AP$4:$AP$38,"CIC WE",'Status of Curriculum Completion'!$AV$4:$AV$38,"Planned")+SUMIFS('Status of Curriculum Completion'!$BM$4:$BM$38,'Status of Curriculum Completion'!$BC$4:$BC$38,"CIC WE",'Status of Curriculum Completion'!$BI$4:$BI$38,"Planned")+SUMIFS('Status of Curriculum Completion'!$BZ$4:$BZ$38,'Status of Curriculum Completion'!$BP$4:$BP$38,"CIC WE",'Status of Curriculum Completion'!$BV$4:$BV$38,"Planned")</f>
        <v>0</v>
      </c>
      <c r="U12" s="63" t="s">
        <v>1168</v>
      </c>
      <c r="V12" s="61">
        <f>SUMIFS('Status of Curriculum Completion'!$CM$4:$CM$38,'Status of Curriculum Completion'!$CC$4:$CC$38,"CIC WE",'Status of Curriculum Completion'!$CG$4:$CG$38,"Complete")+SUMIFS('Status of Curriculum Completion'!$CZ$4:$CZ$38,'Status of Curriculum Completion'!$CP$4:$CP$38,"CIC WE",'Status of Curriculum Completion'!$CT$4:$CT$38,"Complete")+SUMIFS('Status of Curriculum Completion'!$DM$4:$DM$38,'Status of Curriculum Completion'!$DC$4:$DC$38,"CIC WE",'Status of Curriculum Completion'!$DG$4:$DG$38,"Complete")</f>
        <v>0</v>
      </c>
      <c r="W12" s="61">
        <f>SUMIFS('Status of Curriculum Completion'!$CM$4:$CM$38,'Status of Curriculum Completion'!$CC$4:$CC$38,"CIC WE",'Status of Curriculum Completion'!$CG$4:$CG$38,"In Progress")+SUMIFS('Status of Curriculum Completion'!$CZ$4:$CZ$38,'Status of Curriculum Completion'!$CP$4:$CP$38,"CIC WE",'Status of Curriculum Completion'!$CT$4:$CT$38,"In Progress")+SUMIFS('Status of Curriculum Completion'!$DM$4:$DM$38,'Status of Curriculum Completion'!$DC$4:$DC$38,"CIC WE",'Status of Curriculum Completion'!$DG$4:$DG$38,"In Progress")</f>
        <v>0</v>
      </c>
      <c r="X12" s="61">
        <f>SUMIFS('Status of Curriculum Completion'!$CM$4:$CM$38,'Status of Curriculum Completion'!$CC$4:$CC$38,"CIC WE",'Status of Curriculum Completion'!$CG$4:$CG$38,"Planned")+SUMIFS('Status of Curriculum Completion'!$CZ$4:$CZ$38,'Status of Curriculum Completion'!$CP$4:$CP$38,"CIC WE",'Status of Curriculum Completion'!$CT$4:$CT$38,"Planned")+SUMIFS('Status of Curriculum Completion'!$DM$4:$DM$38,'Status of Curriculum Completion'!$DC$4:$DC$38,"CIC WE",'Status of Curriculum Completion'!$DG$4:$DG$38,"Planned")</f>
        <v>0</v>
      </c>
      <c r="Y12" s="61">
        <f>SUMIFS('Status of Curriculum Completion'!$CM$4:$CM$38,'Status of Curriculum Completion'!$CC$4:$CC$38,"CIC WE",'Status of Curriculum Completion'!$CG$4:$CG$38,"Tentative")+SUMIFS('Status of Curriculum Completion'!$CZ$4:$CZ$38,'Status of Curriculum Completion'!$CP$4:$CP$38,"CIC WE",'Status of Curriculum Completion'!$CT$4:$CT$38,"Tentative")+SUMIFS('Status of Curriculum Completion'!$DM$4:$DM$38,'Status of Curriculum Completion'!$DC$4:$DC$38,"CIC WE",'Status of Curriculum Completion'!$DG$4:$DG$38,"Tentative")</f>
        <v>0</v>
      </c>
      <c r="Z12" s="61">
        <f>SUMIFS('Status of Curriculum Completion'!$CM$4:$CM$38,'Status of Curriculum Completion'!$CC$4:$CC$38,"CIC WE",'Status of Curriculum Completion'!$CH$4:$CH$38,"Complete")+SUMIFS('Status of Curriculum Completion'!$CZ$4:$CZ$38,'Status of Curriculum Completion'!$CP$4:$CP$38,"CIC WE",'Status of Curriculum Completion'!$CU$4:$CU$38,"Complete")+SUMIFS('Status of Curriculum Completion'!$DM$4:$DM$38,'Status of Curriculum Completion'!$DC$4:$DC$38,"CIC WE",'Status of Curriculum Completion'!$DH$4:$DH$38,"Complete")</f>
        <v>0</v>
      </c>
      <c r="AA12" s="61">
        <f>SUMIFS('Status of Curriculum Completion'!$CM$4:$CM$38,'Status of Curriculum Completion'!$CC$4:$CC$38,"CIC WE",'Status of Curriculum Completion'!$CH$4:$CH$38,"In Progress")+SUMIFS('Status of Curriculum Completion'!$CZ$4:$CZ$38,'Status of Curriculum Completion'!$CP$4:$CP$38,"CIC WE",'Status of Curriculum Completion'!$CU$4:$CU$38,"In Progress")+SUMIFS('Status of Curriculum Completion'!$DM$4:$DM$38,'Status of Curriculum Completion'!$DC$4:$DC$38,"CIC WE",'Status of Curriculum Completion'!$DH$4:$DH$38,"In Progress")</f>
        <v>0</v>
      </c>
      <c r="AB12" s="61">
        <f>SUMIFS('Status of Curriculum Completion'!$CM$4:$CM$38,'Status of Curriculum Completion'!$CC$4:$CC$38,"CIC WE",'Status of Curriculum Completion'!$CH$4:$CH$38,"Planned")+SUMIFS('Status of Curriculum Completion'!$CZ$4:$CZ$38,'Status of Curriculum Completion'!$CP$4:$CP$38,"CIC WE",'Status of Curriculum Completion'!$CU$4:$CU$38,"Planned")+SUMIFS('Status of Curriculum Completion'!$DM$4:$DM$38,'Status of Curriculum Completion'!$DC$4:$DC$38,"CIC WE",'Status of Curriculum Completion'!$DH$4:$DH$38,"Planned")</f>
        <v>0</v>
      </c>
      <c r="AC12" s="61">
        <f>SUMIFS('Status of Curriculum Completion'!$CM$4:$CM$38,'Status of Curriculum Completion'!$CC$4:$CC$38,"CIC WE",'Status of Curriculum Completion'!$CH$4:$CH$38,"Tentative")+SUMIFS('Status of Curriculum Completion'!$CZ$4:$CZ$38,'Status of Curriculum Completion'!$CP$4:$CP$38,"CIC WE",'Status of Curriculum Completion'!$CU$4:$CU$38,"Tentative")+SUMIFS('Status of Curriculum Completion'!$DM$4:$DM$38,'Status of Curriculum Completion'!$DC$4:$DC$38,"CIC WE",'Status of Curriculum Completion'!$DH$4:$DH$38,"Tentative")</f>
        <v>0</v>
      </c>
      <c r="AD12" s="61">
        <f>SUMIFS('Status of Curriculum Completion'!$CM$4:$CM$38,'Status of Curriculum Completion'!$CC$4:$CC$38,"CIC WE",'Status of Curriculum Completion'!$CI$4:$CI$38,"Complete")+SUMIFS('Status of Curriculum Completion'!$CZ$4:$CZ$38,'Status of Curriculum Completion'!$CP$4:$CP$38,"CIC WE",'Status of Curriculum Completion'!$CV$4:$CV$38,"Complete")+SUMIFS('Status of Curriculum Completion'!$DM$4:$DM$38,'Status of Curriculum Completion'!$DC$4:$DC$38,"CIC WE",'Status of Curriculum Completion'!$DI$4:$DI$38,"Complete")</f>
        <v>0</v>
      </c>
      <c r="AE12" s="61">
        <f>SUMIFS('Status of Curriculum Completion'!$CM$4:$CM$38,'Status of Curriculum Completion'!$CC$4:$CC$38,"CIC WE",'Status of Curriculum Completion'!$CI$4:$CI$38,"In Progress")+SUMIFS('Status of Curriculum Completion'!$CZ$4:$CZ$38,'Status of Curriculum Completion'!$CP$4:$CP$38,"CIC WE",'Status of Curriculum Completion'!$CV$4:$CV$38,"In Progress")+SUMIFS('Status of Curriculum Completion'!$DM$4:$DM$38,'Status of Curriculum Completion'!$DC$4:$DC$38,"CIC WE",'Status of Curriculum Completion'!$DI$4:$DI$38,"In Progress")</f>
        <v>0</v>
      </c>
      <c r="AF12" s="61">
        <f>SUMIFS('Status of Curriculum Completion'!$CM$4:$CM$38,'Status of Curriculum Completion'!$CC$4:$CC$38,"CIC WE",'Status of Curriculum Completion'!$CI$4:$CI$38,"Planned")+SUMIFS('Status of Curriculum Completion'!$CZ$4:$CZ$38,'Status of Curriculum Completion'!$CP$4:$CP$38,"CIC WE",'Status of Curriculum Completion'!$CV$4:$CV$38,"Planned")+SUMIFS('Status of Curriculum Completion'!$DM$4:$DM$38,'Status of Curriculum Completion'!$DC$4:$DC$38,"CIC WE",'Status of Curriculum Completion'!$DI$4:$DI$38,"Planned")</f>
        <v>0</v>
      </c>
      <c r="AG12" s="61">
        <f>SUMIFS('Status of Curriculum Completion'!$CM$4:$CM$38,'Status of Curriculum Completion'!$CC$4:$CC$38,"CIC WE",'Status of Curriculum Completion'!$CI$4:$CI$38,"Tentative")+SUMIFS('Status of Curriculum Completion'!$CZ$4:$CZ$38,'Status of Curriculum Completion'!$CP$4:$CP$38,"CIC WE",'Status of Curriculum Completion'!$CV$4:$CV$38,"Tentative")+SUMIFS('Status of Curriculum Completion'!$DM$4:$DM$38,'Status of Curriculum Completion'!$DC$4:$DC$38,"CIC WE",'Status of Curriculum Completion'!$DI$4:$DI$38,"Tentative")</f>
        <v>0</v>
      </c>
      <c r="AH12" s="62">
        <f>SUMIFS('Status of Curriculum Completion'!$DZ$4:$DZ$38,'Status of Curriculum Completion'!$DP$4:$DP$38,"CIC WE",'Status of Curriculum Completion'!$DT$4:$DT$38,"Complete")+SUMIFS('Status of Curriculum Completion'!$EM$4:$EM$38,'Status of Curriculum Completion'!$EC$4:$EC$38,"CIC WE",'Status of Curriculum Completion'!$EG$4:$EG$38,"Complete")+SUMIFS('Status of Curriculum Completion'!$EZ$4:$EZ$38,'Status of Curriculum Completion'!$EP$4:$EP$38,"CIC WE",'Status of Curriculum Completion'!$ET$4:$ET$38,"Complete")</f>
        <v>0</v>
      </c>
      <c r="AI12" s="62">
        <f>SUMIFS('Status of Curriculum Completion'!$DZ$4:$DZ$38,'Status of Curriculum Completion'!$DP$4:$DP$38,"CIC WE",'Status of Curriculum Completion'!$DT$4:$DT$38,"In Progress")+SUMIFS('Status of Curriculum Completion'!$EM$4:$EM$38,'Status of Curriculum Completion'!$EC$4:$EC$38,"CIC WE",'Status of Curriculum Completion'!$EG$4:$EG$38,"In Progress")+SUMIFS('Status of Curriculum Completion'!$EZ$4:$EZ$38,'Status of Curriculum Completion'!$EP$4:$EP$38,"CIC WE",'Status of Curriculum Completion'!$ET$4:$ET$38,"In Progress")</f>
        <v>0</v>
      </c>
      <c r="AJ12" s="62">
        <f>SUMIFS('Status of Curriculum Completion'!$DZ$4:$DZ$38,'Status of Curriculum Completion'!$DP$4:$DP$38,"CIC WE",'Status of Curriculum Completion'!$DT$4:$DT$38,"Planned")+SUMIFS('Status of Curriculum Completion'!$EM$4:$EM$38,'Status of Curriculum Completion'!$EC$4:$EC$38,"CIC WE",'Status of Curriculum Completion'!$EG$4:$EG$38,"Planned")+SUMIFS('Status of Curriculum Completion'!$EZ$4:$EZ$38,'Status of Curriculum Completion'!$EP$4:$EP$38,"CIC WE",'Status of Curriculum Completion'!$ET$4:$ET$38,"Planned")</f>
        <v>0</v>
      </c>
      <c r="AK12" s="62">
        <f>SUMIFS('Status of Curriculum Completion'!$DZ$4:$DZ$38,'Status of Curriculum Completion'!$DP$4:$DP$38,"CIC WE",'Status of Curriculum Completion'!$DT$4:$DT$38,"Tentative")+SUMIFS('Status of Curriculum Completion'!$EM$4:$EM$38,'Status of Curriculum Completion'!$EC$4:$EC$38,"CIC WE",'Status of Curriculum Completion'!$EG$4:$EG$38,"Tentative")+SUMIFS('Status of Curriculum Completion'!$EZ$4:$EZ$38,'Status of Curriculum Completion'!$EP$4:$EP$38,"CIC WE",'Status of Curriculum Completion'!$ET$4:$ET$38,"Tentative")</f>
        <v>0</v>
      </c>
      <c r="AL12" s="62">
        <f>SUMIFS('Status of Curriculum Completion'!$DZ$4:$DZ$38,'Status of Curriculum Completion'!$DP$4:$DP$38,"CIC WE",'Status of Curriculum Completion'!$DU$4:$DU$38,"Complete")+SUMIFS('Status of Curriculum Completion'!$EM$4:$EM$38,'Status of Curriculum Completion'!$EC$4:$EC$38,"CIC WE",'Status of Curriculum Completion'!$EH$4:$EH$38,"Complete")+SUMIFS('Status of Curriculum Completion'!$EZ$4:$EZ$38,'Status of Curriculum Completion'!$EP$4:$EP$38,"CIC WE",'Status of Curriculum Completion'!$EU$4:$EU$38,"Complete")</f>
        <v>0</v>
      </c>
      <c r="AM12" s="62">
        <f>SUMIFS('Status of Curriculum Completion'!$DZ$4:$DZ$38,'Status of Curriculum Completion'!$DP$4:$DP$38,"CIC WE",'Status of Curriculum Completion'!$DU$4:$DU$38,"In Progress")+SUMIFS('Status of Curriculum Completion'!$EM$4:$EM$38,'Status of Curriculum Completion'!$EC$4:$EC$38,"CIC WE",'Status of Curriculum Completion'!$EH$4:$EH$38,"In Progress")+SUMIFS('Status of Curriculum Completion'!$EZ$4:$EZ$38,'Status of Curriculum Completion'!$EP$4:$EP$38,"CIC WE",'Status of Curriculum Completion'!$EU$4:$EU$38,"In Progress")</f>
        <v>0</v>
      </c>
      <c r="AN12" s="62">
        <f>SUMIFS('Status of Curriculum Completion'!$DZ$4:$DZ$38,'Status of Curriculum Completion'!$DP$4:$DP$38,"CIC WE",'Status of Curriculum Completion'!$DU$4:$DU$38,"Planned")+SUMIFS('Status of Curriculum Completion'!$EM$4:$EM$38,'Status of Curriculum Completion'!$EC$4:$EC$38,"CIC WE",'Status of Curriculum Completion'!$EH$4:$EH$38,"Planned")+SUMIFS('Status of Curriculum Completion'!$EZ$4:$EZ$38,'Status of Curriculum Completion'!$EP$4:$EP$38,"CIC WE",'Status of Curriculum Completion'!$EU$4:$EU$38,"Planned")</f>
        <v>0</v>
      </c>
      <c r="AO12" s="62">
        <f>SUMIFS('Status of Curriculum Completion'!$DZ$4:$DZ$38,'Status of Curriculum Completion'!$DP$4:$DP$38,"CIC WE",'Status of Curriculum Completion'!$DU$4:$DU$38,"Tentative")+SUMIFS('Status of Curriculum Completion'!$EM$4:$EM$38,'Status of Curriculum Completion'!$EC$4:$EC$38,"CIC WE",'Status of Curriculum Completion'!$EH$4:$EH$38,"Tentative")+SUMIFS('Status of Curriculum Completion'!$EZ$4:$EZ$38,'Status of Curriculum Completion'!$EP$4:$EP$38,"CIC WE",'Status of Curriculum Completion'!$EU$4:$EU$38,"Tentative")</f>
        <v>0</v>
      </c>
      <c r="AP12" s="62">
        <f>SUMIFS('Status of Curriculum Completion'!$DZ$4:$DZ$38,'Status of Curriculum Completion'!$DP$4:$DP$38,"CIC WE",'Status of Curriculum Completion'!$DV$4:$DV$38,"Complete")+SUMIFS('Status of Curriculum Completion'!$EM$4:$EM$38,'Status of Curriculum Completion'!$EC$4:$EC$38,"CIC WE",'Status of Curriculum Completion'!$EI$4:$EI$38,"Complete")+SUMIFS('Status of Curriculum Completion'!$EZ$4:$EZ$38,'Status of Curriculum Completion'!$EP$4:$EP$38,"CIC WE",'Status of Curriculum Completion'!$EV$4:$EV$38,"Complete")</f>
        <v>0</v>
      </c>
      <c r="AQ12" s="62">
        <f>SUMIFS('Status of Curriculum Completion'!$DZ$4:$DZ$38,'Status of Curriculum Completion'!$DP$4:$DP$38,"CIC WE",'Status of Curriculum Completion'!$DV$4:$DV$38,"In Progress")+SUMIFS('Status of Curriculum Completion'!$EM$4:$EM$38,'Status of Curriculum Completion'!$EC$4:$EC$38,"CIC WE",'Status of Curriculum Completion'!$EI$4:$EI$38,"In Progress")+SUMIFS('Status of Curriculum Completion'!$EZ$4:$EZ$38,'Status of Curriculum Completion'!$EP$4:$EP$38,"CIC WE",'Status of Curriculum Completion'!$EV$4:$EV$38,"In Progress")</f>
        <v>0</v>
      </c>
      <c r="AR12" s="62">
        <f>SUMIFS('Status of Curriculum Completion'!$DZ$4:$DZ$38,'Status of Curriculum Completion'!$DP$4:$DP$38,"CIC WE",'Status of Curriculum Completion'!$DV$4:$DV$38,"Planned")+SUMIFS('Status of Curriculum Completion'!$EM$4:$EM$38,'Status of Curriculum Completion'!$EC$4:$EC$38,"CIC WE",'Status of Curriculum Completion'!$EI$4:$EI$38,"Planned")+SUMIFS('Status of Curriculum Completion'!$EZ$4:$EZ$38,'Status of Curriculum Completion'!$EP$4:$EP$38,"CIC WE",'Status of Curriculum Completion'!$EV$4:$EV$38,"Planned")</f>
        <v>0</v>
      </c>
      <c r="AS12" s="62">
        <f>SUMIFS('Status of Curriculum Completion'!$DZ$4:$DZ$38,'Status of Curriculum Completion'!$DP$4:$DP$38,"CIC WE",'Status of Curriculum Completion'!$DV$4:$DV$38,"Tentative")+SUMIFS('Status of Curriculum Completion'!$EM$4:$EM$38,'Status of Curriculum Completion'!$EC$4:$EC$38,"CIC WE",'Status of Curriculum Completion'!$EI$4:$EI$38,"Tentative")+SUMIFS('Status of Curriculum Completion'!$EZ$4:$EZ$38,'Status of Curriculum Completion'!$EP$4:$EP$38,"CIC WE",'Status of Curriculum Completion'!$EV$4:$EV$38,"Tentative")</f>
        <v>0</v>
      </c>
    </row>
    <row r="13" spans="1:45" ht="15" thickBot="1">
      <c r="A13" s="63" t="s">
        <v>1169</v>
      </c>
      <c r="B13" s="59">
        <f>SUMIFS('Status of Curriculum Completion'!M$4:M$38,'Status of Curriculum Completion'!C$4:C$38,"AP",'Status of Curriculum Completion'!G$4:G$38,"Complete")+SUMIFS('Status of Curriculum Completion'!Z$4:Z$38,'Status of Curriculum Completion'!P$4:P$38,"AP",'Status of Curriculum Completion'!T$4:T$38,"Complete")+SUMIFS('Status of Curriculum Completion'!AM$4:AM$38,'Status of Curriculum Completion'!AC$4:AC$38,"AP",'Status of Curriculum Completion'!AG$4:AG$38,"Complete")</f>
        <v>0</v>
      </c>
      <c r="C13" s="59">
        <f>SUMIFS('Status of Curriculum Completion'!$M$4:$M$38,'Status of Curriculum Completion'!$C$4:$C$38,"AP",'Status of Curriculum Completion'!$G$4:$G$38,"In progress")+SUMIFS('Status of Curriculum Completion'!$Z$4:$Z$38,'Status of Curriculum Completion'!$P$4:$P$38,"AP",'Status of Curriculum Completion'!$T$4:$T$38,"In progress")+SUMIFS('Status of Curriculum Completion'!$AM$4:$AM$38,'Status of Curriculum Completion'!$AC$4:$AC$38,"AP",'Status of Curriculum Completion'!$AG$4:$AG$38,"In progress")</f>
        <v>0</v>
      </c>
      <c r="D13" s="59">
        <f>SUMIFS('Status of Curriculum Completion'!$M$4:$M$38,'Status of Curriculum Completion'!$C$4:$C$38,"AP",'Status of Curriculum Completion'!$G$4:$G$38,"Planned")+SUMIFS('Status of Curriculum Completion'!$Z$4:$Z$38,'Status of Curriculum Completion'!$P$4:$P$38,"AP",'Status of Curriculum Completion'!$T$4:$T$38,"Planned")+SUMIFS('Status of Curriculum Completion'!$AM$4:$AM$38,'Status of Curriculum Completion'!$AC$4:$AC$38,"AP",'Status of Curriculum Completion'!$AG$4:$AG$38,"Planned")</f>
        <v>0</v>
      </c>
      <c r="E13" s="59">
        <f>SUMIFS('Status of Curriculum Completion'!$M$4:$M$38,'Status of Curriculum Completion'!$C$4:$C$38,"AP",'Status of Curriculum Completion'!$H$4:$H$38,"Complete")+SUMIFS('Status of Curriculum Completion'!$Z$4:$Z$38,'Status of Curriculum Completion'!$P$4:$P$38,"AP",'Status of Curriculum Completion'!$U$4:$U$38,"Complete")+SUMIFS('Status of Curriculum Completion'!$AM$4:$AM$38,'Status of Curriculum Completion'!$AC$4:$AC$38,"AP",'Status of Curriculum Completion'!$AH$4:$AH$38,"Complete")</f>
        <v>0</v>
      </c>
      <c r="F13" s="59">
        <f>SUMIFS('Status of Curriculum Completion'!$M$4:$M$38,'Status of Curriculum Completion'!$C$4:$C$38,"AP",'Status of Curriculum Completion'!$H$4:$H$38,"In Progress")+SUMIFS('Status of Curriculum Completion'!$Z$4:$Z$38,'Status of Curriculum Completion'!$P$4:$P$38,"AP",'Status of Curriculum Completion'!$U$4:$U$38,"In Progress")+SUMIFS('Status of Curriculum Completion'!$AM$4:$AM$38,'Status of Curriculum Completion'!$AC$4:$AC$38,"AP",'Status of Curriculum Completion'!$AH$4:$AH$38,"In Progress")</f>
        <v>0</v>
      </c>
      <c r="G13" s="59">
        <f>SUMIFS('Status of Curriculum Completion'!$M$4:$M$38,'Status of Curriculum Completion'!$C$4:$C$38,"AP",'Status of Curriculum Completion'!$H$4:$H$38,"Planned")+SUMIFS('Status of Curriculum Completion'!$Z$4:$Z$38,'Status of Curriculum Completion'!$P$4:$P$38,"AP",'Status of Curriculum Completion'!$U$4:$U$38,"Planned")+SUMIFS('Status of Curriculum Completion'!$AM$4:$AM$38,'Status of Curriculum Completion'!$AC$4:$AC$38,"AP",'Status of Curriculum Completion'!$AH$4:$AH$38,"Planned")</f>
        <v>0</v>
      </c>
      <c r="H13" s="59">
        <f>SUMIFS('Status of Curriculum Completion'!$M$4:$M$38,'Status of Curriculum Completion'!$C$4:$C$38,"AP",'Status of Curriculum Completion'!$I$4:$I$38,"Complete")+SUMIFS('Status of Curriculum Completion'!$Z$4:$Z$38,'Status of Curriculum Completion'!$P$4:$P$38,"AP",'Status of Curriculum Completion'!$V$4:$V$38,"Complete")+SUMIFS('Status of Curriculum Completion'!$AM$4:$AM$38,'Status of Curriculum Completion'!$AC$4:$AC$38,"AP",'Status of Curriculum Completion'!$AI$4:$AI$38,"Complete")</f>
        <v>0</v>
      </c>
      <c r="I13" s="59">
        <f>SUMIFS('Status of Curriculum Completion'!$M$4:$M$38,'Status of Curriculum Completion'!$C$4:$C$38,"AP",'Status of Curriculum Completion'!$I$4:$I$38,"In Progress")+SUMIFS('Status of Curriculum Completion'!$Z$4:$Z$38,'Status of Curriculum Completion'!$P$4:$P$38,"AP",'Status of Curriculum Completion'!$V$4:$V$38,"In Progress")+SUMIFS('Status of Curriculum Completion'!$AM$4:$AM$38,'Status of Curriculum Completion'!$AC$4:$AC$38,"AP",'Status of Curriculum Completion'!$AI$4:$AI$38,"In Progress")</f>
        <v>0</v>
      </c>
      <c r="J13" s="59">
        <f>SUMIFS('Status of Curriculum Completion'!$M$4:$M$38,'Status of Curriculum Completion'!$C$4:$C$38,"AP",'Status of Curriculum Completion'!$I$4:$I$38,"Planned")+SUMIFS('Status of Curriculum Completion'!$Z$4:$Z$38,'Status of Curriculum Completion'!$P$4:$P$38,"AP",'Status of Curriculum Completion'!$V$4:$V$38,"Planned")+SUMIFS('Status of Curriculum Completion'!$AM$4:$AM$38,'Status of Curriculum Completion'!$AC$4:$AC$38,"AP",'Status of Curriculum Completion'!$AI$4:$AI$38,"Planned")</f>
        <v>0</v>
      </c>
      <c r="K13" s="60">
        <f>SUMIFS('Status of Curriculum Completion'!$AZ$4:$AZ$38,'Status of Curriculum Completion'!$AP$4:$AP$38,"AP",'Status of Curriculum Completion'!$AT$4:$AT$38,"Complete")+SUMIFS('Status of Curriculum Completion'!$BM$4:$BM$38,'Status of Curriculum Completion'!$BC$4:$BC$38,"AP",'Status of Curriculum Completion'!$BG$4:$BG$38,"Complete")+SUMIFS('Status of Curriculum Completion'!$BZ$4:$BZ$38,'Status of Curriculum Completion'!$BP$4:$BP$38,"AP",'Status of Curriculum Completion'!$BT$4:$BT$38,"Complete")</f>
        <v>0</v>
      </c>
      <c r="L13" s="60">
        <f>SUMIFS('Status of Curriculum Completion'!$AZ$4:$AZ$38,'Status of Curriculum Completion'!$AP$4:$AP$38,"AP",'Status of Curriculum Completion'!$AT$4:$AT$38,"In Progress")+SUMIFS('Status of Curriculum Completion'!$BM$4:$BM$38,'Status of Curriculum Completion'!$BC$4:$BC$38,"AP",'Status of Curriculum Completion'!$BG$4:$BG$38,"In Progress")+SUMIFS('Status of Curriculum Completion'!$BZ$4:$BZ$38,'Status of Curriculum Completion'!$BP$4:$BP$38,"AP",'Status of Curriculum Completion'!$BT$4:$BT$38,"In Progress")</f>
        <v>0</v>
      </c>
      <c r="M13" s="60">
        <f>SUMIFS('Status of Curriculum Completion'!$AZ$4:$AZ$38,'Status of Curriculum Completion'!$AP$4:$AP$38,"AP",'Status of Curriculum Completion'!$AT$4:$AT$38,"Planned")+SUMIFS('Status of Curriculum Completion'!$BM$4:$BM$38,'Status of Curriculum Completion'!$BC$4:$BC$38,"AP",'Status of Curriculum Completion'!$BG$4:$BG$38,"Planned")+SUMIFS('Status of Curriculum Completion'!$BZ$4:$BZ$38,'Status of Curriculum Completion'!$BP$4:$BP$38,"AP",'Status of Curriculum Completion'!$BT$4:$BT$38,"Planned")</f>
        <v>0</v>
      </c>
      <c r="N13" s="60">
        <f>SUMIFS('Status of Curriculum Completion'!$AZ$4:$AZ$38,'Status of Curriculum Completion'!$AP$4:$AP$38,"AP",'Status of Curriculum Completion'!$AU$4:$AU$38,"Complete")+SUMIFS('Status of Curriculum Completion'!$BM$4:$BM$38,'Status of Curriculum Completion'!$BC$4:$BC$38,"AP",'Status of Curriculum Completion'!$BH$4:$BH$38,"Complete")+SUMIFS('Status of Curriculum Completion'!$BZ$4:$BZ$38,'Status of Curriculum Completion'!$BP$4:$BP$38,"AP",'Status of Curriculum Completion'!$BU$4:$BU$38,"Complete")</f>
        <v>0</v>
      </c>
      <c r="O13" s="60">
        <f>SUMIFS('Status of Curriculum Completion'!$AZ$4:$AZ$38,'Status of Curriculum Completion'!$AP$4:$AP$38,"AP",'Status of Curriculum Completion'!$AU$4:$AU$38,"In Progress")+SUMIFS('Status of Curriculum Completion'!$BM$4:$BM$38,'Status of Curriculum Completion'!$BC$4:$BC$38,"AP",'Status of Curriculum Completion'!$BH$4:$BH$38,"In Progress")+SUMIFS('Status of Curriculum Completion'!$BZ$4:$BZ$38,'Status of Curriculum Completion'!$BP$4:$BP$38,"AP",'Status of Curriculum Completion'!$BU$4:$BU$38,"In Progress")</f>
        <v>0</v>
      </c>
      <c r="P13" s="60">
        <f>SUMIFS('Status of Curriculum Completion'!$AZ$4:$AZ$38,'Status of Curriculum Completion'!$AP$4:$AP$38,"AP",'Status of Curriculum Completion'!$AU$4:$AU$38,"Planned")+SUMIFS('Status of Curriculum Completion'!$BM$4:$BM$38,'Status of Curriculum Completion'!$BC$4:$BC$38,"AP",'Status of Curriculum Completion'!$BH$4:$BH$38,"Planned")+SUMIFS('Status of Curriculum Completion'!$BZ$4:$BZ$38,'Status of Curriculum Completion'!$BP$4:$BP$38,"AP",'Status of Curriculum Completion'!$BU$4:$BU$38,"Planned")</f>
        <v>0</v>
      </c>
      <c r="Q13" s="60">
        <f>SUMIFS('Status of Curriculum Completion'!$AZ$4:$AZ$38,'Status of Curriculum Completion'!$AP$4:$AP$38,"AP",'Status of Curriculum Completion'!$AV$4:$AV$38,"Complete")+SUMIFS('Status of Curriculum Completion'!$BM$4:$BM$38,'Status of Curriculum Completion'!$BC$4:$BC$38,"AP",'Status of Curriculum Completion'!$BI$4:$BI$38,"Complete")+SUMIFS('Status of Curriculum Completion'!$BZ$4:$BZ$38,'Status of Curriculum Completion'!$BP$4:$BP$38,"AP",'Status of Curriculum Completion'!$BV$4:$BV$38,"Complete")</f>
        <v>0</v>
      </c>
      <c r="R13" s="60">
        <f>SUMIFS('Status of Curriculum Completion'!$AZ$4:$AZ$38,'Status of Curriculum Completion'!$AP$4:$AP$38,"AP",'Status of Curriculum Completion'!$AV$4:$AV$38,"In Progress")+SUMIFS('Status of Curriculum Completion'!$BM$4:$BM$38,'Status of Curriculum Completion'!$BC$4:$BC$38,"AP",'Status of Curriculum Completion'!$BI$4:$BI$38,"In Progress")+SUMIFS('Status of Curriculum Completion'!$BZ$4:$BZ$38,'Status of Curriculum Completion'!$BP$4:$BP$38,"AP",'Status of Curriculum Completion'!$BV$4:$BV$38,"In Progress")</f>
        <v>0</v>
      </c>
      <c r="S13" s="60">
        <f>SUMIFS('Status of Curriculum Completion'!$AZ$4:$AZ$38,'Status of Curriculum Completion'!$AP$4:$AP$38,"AP",'Status of Curriculum Completion'!$AV$4:$AV$38,"Planned")+SUMIFS('Status of Curriculum Completion'!$BM$4:$BM$38,'Status of Curriculum Completion'!$BC$4:$BC$38,"AP",'Status of Curriculum Completion'!$BI$4:$BI$38,"Planned")+SUMIFS('Status of Curriculum Completion'!$BZ$4:$BZ$38,'Status of Curriculum Completion'!$BP$4:$BP$38,"AP",'Status of Curriculum Completion'!$BV$4:$BV$38,"Planned")</f>
        <v>0</v>
      </c>
      <c r="U13" s="63" t="s">
        <v>1169</v>
      </c>
      <c r="V13" s="61">
        <f>SUMIFS('Status of Curriculum Completion'!$CM$4:$CM$38,'Status of Curriculum Completion'!$CC$4:$CC$38,"AP",'Status of Curriculum Completion'!$CG$4:$CG$38,"Complete")+SUMIFS('Status of Curriculum Completion'!$CZ$4:$CZ$38,'Status of Curriculum Completion'!$CP$4:$CP$38,"AP",'Status of Curriculum Completion'!$CT$4:$CT$38,"Complete")+SUMIFS('Status of Curriculum Completion'!$DM$4:$DM$38,'Status of Curriculum Completion'!$DC$4:$DC$38,"AP",'Status of Curriculum Completion'!$DG$4:$DG$38,"Complete")</f>
        <v>0</v>
      </c>
      <c r="W13" s="61">
        <f>SUMIFS('Status of Curriculum Completion'!$CM$4:$CM$38,'Status of Curriculum Completion'!$CC$4:$CC$38,"AP",'Status of Curriculum Completion'!$CG$4:$CG$38,"In Progress")+SUMIFS('Status of Curriculum Completion'!$CZ$4:$CZ$38,'Status of Curriculum Completion'!$CP$4:$CP$38,"AP",'Status of Curriculum Completion'!$CT$4:$CT$38,"In Progress")+SUMIFS('Status of Curriculum Completion'!$DM$4:$DM$38,'Status of Curriculum Completion'!$DC$4:$DC$38,"AP",'Status of Curriculum Completion'!$DG$4:$DG$38,"In Progress")</f>
        <v>0</v>
      </c>
      <c r="X13" s="61">
        <f>SUMIFS('Status of Curriculum Completion'!$CM$4:$CM$38,'Status of Curriculum Completion'!$CC$4:$CC$38,"AP",'Status of Curriculum Completion'!$CG$4:$CG$38,"Planned")+SUMIFS('Status of Curriculum Completion'!$CZ$4:$CZ$38,'Status of Curriculum Completion'!$CP$4:$CP$38,"AP",'Status of Curriculum Completion'!$CT$4:$CT$38,"Planned")+SUMIFS('Status of Curriculum Completion'!$DM$4:$DM$38,'Status of Curriculum Completion'!$DC$4:$DC$38,"AP",'Status of Curriculum Completion'!$DG$4:$DG$38,"Planned")</f>
        <v>0</v>
      </c>
      <c r="Y13" s="61">
        <f>SUMIFS('Status of Curriculum Completion'!$CM$4:$CM$38,'Status of Curriculum Completion'!$CC$4:$CC$38,"AP",'Status of Curriculum Completion'!$CG$4:$CG$38,"Tentative")+SUMIFS('Status of Curriculum Completion'!$CZ$4:$CZ$38,'Status of Curriculum Completion'!$CP$4:$CP$38,"AP",'Status of Curriculum Completion'!$CT$4:$CT$38,"Tentative")+SUMIFS('Status of Curriculum Completion'!$DM$4:$DM$38,'Status of Curriculum Completion'!$DC$4:$DC$38,"AP",'Status of Curriculum Completion'!$DG$4:$DG$38,"Tentative")</f>
        <v>0</v>
      </c>
      <c r="Z13" s="61">
        <f>SUMIFS('Status of Curriculum Completion'!$CM$4:$CM$38,'Status of Curriculum Completion'!$CC$4:$CC$38,"AP",'Status of Curriculum Completion'!$CH$4:$CH$38,"Complete")+SUMIFS('Status of Curriculum Completion'!$CZ$4:$CZ$38,'Status of Curriculum Completion'!$CP$4:$CP$38,"AP",'Status of Curriculum Completion'!$CU$4:$CU$38,"Complete")+SUMIFS('Status of Curriculum Completion'!$DM$4:$DM$38,'Status of Curriculum Completion'!$DC$4:$DC$38,"AP",'Status of Curriculum Completion'!$DH$4:$DH$38,"Complete")</f>
        <v>0</v>
      </c>
      <c r="AA13" s="61">
        <f>SUMIFS('Status of Curriculum Completion'!$CM$4:$CM$38,'Status of Curriculum Completion'!$CC$4:$CC$38,"AP",'Status of Curriculum Completion'!$CH$4:$CH$38,"In Progress")+SUMIFS('Status of Curriculum Completion'!$CZ$4:$CZ$38,'Status of Curriculum Completion'!$CP$4:$CP$38,"AP",'Status of Curriculum Completion'!$CU$4:$CU$38,"In Progress")+SUMIFS('Status of Curriculum Completion'!$DM$4:$DM$38,'Status of Curriculum Completion'!$DC$4:$DC$38,"AP",'Status of Curriculum Completion'!$DH$4:$DH$38,"In Progress")</f>
        <v>0</v>
      </c>
      <c r="AB13" s="61">
        <f>SUMIFS('Status of Curriculum Completion'!$CM$4:$CM$38,'Status of Curriculum Completion'!$CC$4:$CC$38,"AP",'Status of Curriculum Completion'!$CH$4:$CH$38,"Planned")+SUMIFS('Status of Curriculum Completion'!$CZ$4:$CZ$38,'Status of Curriculum Completion'!$CP$4:$CP$38,"AP",'Status of Curriculum Completion'!$CU$4:$CU$38,"Planned")+SUMIFS('Status of Curriculum Completion'!$DM$4:$DM$38,'Status of Curriculum Completion'!$DC$4:$DC$38,"AP",'Status of Curriculum Completion'!$DH$4:$DH$38,"Planned")</f>
        <v>0</v>
      </c>
      <c r="AC13" s="61">
        <f>SUMIFS('Status of Curriculum Completion'!$CM$4:$CM$38,'Status of Curriculum Completion'!$CC$4:$CC$38,"AP",'Status of Curriculum Completion'!$CH$4:$CH$38,"Tentative")+SUMIFS('Status of Curriculum Completion'!$CZ$4:$CZ$38,'Status of Curriculum Completion'!$CP$4:$CP$38,"AP",'Status of Curriculum Completion'!$CU$4:$CU$38,"Tentative")+SUMIFS('Status of Curriculum Completion'!$DM$4:$DM$38,'Status of Curriculum Completion'!$DC$4:$DC$38,"AP",'Status of Curriculum Completion'!$DH$4:$DH$38,"Tentative")</f>
        <v>0</v>
      </c>
      <c r="AD13" s="61">
        <f>SUMIFS('Status of Curriculum Completion'!$CM$4:$CM$38,'Status of Curriculum Completion'!$CC$4:$CC$38,"AP",'Status of Curriculum Completion'!$CI$4:$CI$38,"Complete")+SUMIFS('Status of Curriculum Completion'!$CZ$4:$CZ$38,'Status of Curriculum Completion'!$CP$4:$CP$38,"AP",'Status of Curriculum Completion'!$CV$4:$CV$38,"Complete")+SUMIFS('Status of Curriculum Completion'!$DM$4:$DM$38,'Status of Curriculum Completion'!$DC$4:$DC$38,"AP",'Status of Curriculum Completion'!$DI$4:$DI$38,"Complete")</f>
        <v>0</v>
      </c>
      <c r="AE13" s="61">
        <f>SUMIFS('Status of Curriculum Completion'!$CM$4:$CM$38,'Status of Curriculum Completion'!$CC$4:$CC$38,"AP",'Status of Curriculum Completion'!$CI$4:$CI$38,"In Progress")+SUMIFS('Status of Curriculum Completion'!$CZ$4:$CZ$38,'Status of Curriculum Completion'!$CP$4:$CP$38,"AP",'Status of Curriculum Completion'!$CV$4:$CV$38,"In Progress")+SUMIFS('Status of Curriculum Completion'!$DM$4:$DM$38,'Status of Curriculum Completion'!$DC$4:$DC$38,"AP",'Status of Curriculum Completion'!$DI$4:$DI$38,"In Progress")</f>
        <v>0</v>
      </c>
      <c r="AF13" s="61">
        <f>SUMIFS('Status of Curriculum Completion'!$CM$4:$CM$38,'Status of Curriculum Completion'!$CC$4:$CC$38,"AP",'Status of Curriculum Completion'!$CI$4:$CI$38,"Planned")+SUMIFS('Status of Curriculum Completion'!$CZ$4:$CZ$38,'Status of Curriculum Completion'!$CP$4:$CP$38,"AP",'Status of Curriculum Completion'!$CV$4:$CV$38,"Planned")+SUMIFS('Status of Curriculum Completion'!$DM$4:$DM$38,'Status of Curriculum Completion'!$DC$4:$DC$38,"AP",'Status of Curriculum Completion'!$DI$4:$DI$38,"Planned")</f>
        <v>0</v>
      </c>
      <c r="AG13" s="61">
        <f>SUMIFS('Status of Curriculum Completion'!$CM$4:$CM$38,'Status of Curriculum Completion'!$CC$4:$CC$38,"AP",'Status of Curriculum Completion'!$CI$4:$CI$38,"Tentative")+SUMIFS('Status of Curriculum Completion'!$CZ$4:$CZ$38,'Status of Curriculum Completion'!$CP$4:$CP$38,"AP",'Status of Curriculum Completion'!$CV$4:$CV$38,"Tentative")+SUMIFS('Status of Curriculum Completion'!$DM$4:$DM$38,'Status of Curriculum Completion'!$DC$4:$DC$38,"AP",'Status of Curriculum Completion'!$DI$4:$DI$38,"Tentative")</f>
        <v>0</v>
      </c>
      <c r="AH13" s="62">
        <f>SUMIFS('Status of Curriculum Completion'!$DZ$4:$DZ$38,'Status of Curriculum Completion'!$DP$4:$DP$38,"AP",'Status of Curriculum Completion'!$DT$4:$DT$38,"Complete")+SUMIFS('Status of Curriculum Completion'!$EM$4:$EM$38,'Status of Curriculum Completion'!$EC$4:$EC$38,"AP",'Status of Curriculum Completion'!$EG$4:$EG$38,"Complete")+SUMIFS('Status of Curriculum Completion'!$EZ$4:$EZ$38,'Status of Curriculum Completion'!$EP$4:$EP$38,"AP",'Status of Curriculum Completion'!$ET$4:$ET$38,"Complete")</f>
        <v>0</v>
      </c>
      <c r="AI13" s="62">
        <f>SUMIFS('Status of Curriculum Completion'!$DZ$4:$DZ$38,'Status of Curriculum Completion'!$DP$4:$DP$38,"AP",'Status of Curriculum Completion'!$DT$4:$DT$38,"In Progress")+SUMIFS('Status of Curriculum Completion'!$EM$4:$EM$38,'Status of Curriculum Completion'!$EC$4:$EC$38,"AP",'Status of Curriculum Completion'!$EG$4:$EG$38,"In Progress")+SUMIFS('Status of Curriculum Completion'!$EZ$4:$EZ$38,'Status of Curriculum Completion'!$EP$4:$EP$38,"AP",'Status of Curriculum Completion'!$ET$4:$ET$38,"In Progress")</f>
        <v>0</v>
      </c>
      <c r="AJ13" s="62">
        <f>SUMIFS('Status of Curriculum Completion'!$DZ$4:$DZ$38,'Status of Curriculum Completion'!$DP$4:$DP$38,"AP",'Status of Curriculum Completion'!$DT$4:$DT$38,"Planned")+SUMIFS('Status of Curriculum Completion'!$EM$4:$EM$38,'Status of Curriculum Completion'!$EC$4:$EC$38,"AP",'Status of Curriculum Completion'!$EG$4:$EG$38,"Planned")+SUMIFS('Status of Curriculum Completion'!$EZ$4:$EZ$38,'Status of Curriculum Completion'!$EP$4:$EP$38,"AP",'Status of Curriculum Completion'!$ET$4:$ET$38,"Planned")</f>
        <v>0</v>
      </c>
      <c r="AK13" s="62">
        <f>SUMIFS('Status of Curriculum Completion'!$DZ$4:$DZ$38,'Status of Curriculum Completion'!$DP$4:$DP$38,"AP",'Status of Curriculum Completion'!$DT$4:$DT$38,"Tentative")+SUMIFS('Status of Curriculum Completion'!$EM$4:$EM$38,'Status of Curriculum Completion'!$EC$4:$EC$38,"AP",'Status of Curriculum Completion'!$EG$4:$EG$38,"Tentative")+SUMIFS('Status of Curriculum Completion'!$EZ$4:$EZ$38,'Status of Curriculum Completion'!$EP$4:$EP$38,"AP",'Status of Curriculum Completion'!$ET$4:$ET$38,"Tentative")</f>
        <v>0</v>
      </c>
      <c r="AL13" s="62">
        <f>SUMIFS('Status of Curriculum Completion'!$DZ$4:$DZ$38,'Status of Curriculum Completion'!$DP$4:$DP$38,"AP",'Status of Curriculum Completion'!$DU$4:$DU$38,"Complete")+SUMIFS('Status of Curriculum Completion'!$EM$4:$EM$38,'Status of Curriculum Completion'!$EC$4:$EC$38,"AP",'Status of Curriculum Completion'!$EH$4:$EH$38,"Complete")+SUMIFS('Status of Curriculum Completion'!$EZ$4:$EZ$38,'Status of Curriculum Completion'!$EP$4:$EP$38,"AP",'Status of Curriculum Completion'!$EU$4:$EU$38,"Complete")</f>
        <v>0</v>
      </c>
      <c r="AM13" s="62">
        <f>SUMIFS('Status of Curriculum Completion'!$DZ$4:$DZ$38,'Status of Curriculum Completion'!$DP$4:$DP$38,"AP",'Status of Curriculum Completion'!$DU$4:$DU$38,"In Progress")+SUMIFS('Status of Curriculum Completion'!$EM$4:$EM$38,'Status of Curriculum Completion'!$EC$4:$EC$38,"AP",'Status of Curriculum Completion'!$EH$4:$EH$38,"In Progress")+SUMIFS('Status of Curriculum Completion'!$EZ$4:$EZ$38,'Status of Curriculum Completion'!$EP$4:$EP$38,"AP",'Status of Curriculum Completion'!$EU$4:$EU$38,"In Progress")</f>
        <v>0</v>
      </c>
      <c r="AN13" s="62">
        <f>SUMIFS('Status of Curriculum Completion'!$DZ$4:$DZ$38,'Status of Curriculum Completion'!$DP$4:$DP$38,"AP",'Status of Curriculum Completion'!$DU$4:$DU$38,"Planned")+SUMIFS('Status of Curriculum Completion'!$EM$4:$EM$38,'Status of Curriculum Completion'!$EC$4:$EC$38,"AP",'Status of Curriculum Completion'!$EH$4:$EH$38,"Planned")+SUMIFS('Status of Curriculum Completion'!$EZ$4:$EZ$38,'Status of Curriculum Completion'!$EP$4:$EP$38,"AP",'Status of Curriculum Completion'!$EU$4:$EU$38,"Planned")</f>
        <v>0</v>
      </c>
      <c r="AO13" s="62">
        <f>SUMIFS('Status of Curriculum Completion'!$DZ$4:$DZ$38,'Status of Curriculum Completion'!$DP$4:$DP$38,"AP",'Status of Curriculum Completion'!$DU$4:$DU$38,"Tentative")+SUMIFS('Status of Curriculum Completion'!$EM$4:$EM$38,'Status of Curriculum Completion'!$EC$4:$EC$38,"AP",'Status of Curriculum Completion'!$EH$4:$EH$38,"Tentative")+SUMIFS('Status of Curriculum Completion'!$EZ$4:$EZ$38,'Status of Curriculum Completion'!$EP$4:$EP$38,"AP",'Status of Curriculum Completion'!$EU$4:$EU$38,"Tentative")</f>
        <v>0</v>
      </c>
      <c r="AP13" s="62">
        <f>SUMIFS('Status of Curriculum Completion'!$DZ$4:$DZ$38,'Status of Curriculum Completion'!$DP$4:$DP$38,"AP",'Status of Curriculum Completion'!$DV$4:$DV$38,"Complete")+SUMIFS('Status of Curriculum Completion'!$EM$4:$EM$38,'Status of Curriculum Completion'!$EC$4:$EC$38,"AP",'Status of Curriculum Completion'!$EI$4:$EI$38,"Complete")+SUMIFS('Status of Curriculum Completion'!$EZ$4:$EZ$38,'Status of Curriculum Completion'!$EP$4:$EP$38,"AP",'Status of Curriculum Completion'!$EV$4:$EV$38,"Complete")</f>
        <v>0</v>
      </c>
      <c r="AQ13" s="62">
        <f>SUMIFS('Status of Curriculum Completion'!$DZ$4:$DZ$38,'Status of Curriculum Completion'!$DP$4:$DP$38,"AP",'Status of Curriculum Completion'!$DV$4:$DV$38,"In Progress")+SUMIFS('Status of Curriculum Completion'!$EM$4:$EM$38,'Status of Curriculum Completion'!$EC$4:$EC$38,"AP",'Status of Curriculum Completion'!$EI$4:$EI$38,"In Progress")+SUMIFS('Status of Curriculum Completion'!$EZ$4:$EZ$38,'Status of Curriculum Completion'!$EP$4:$EP$38,"AP",'Status of Curriculum Completion'!$EV$4:$EV$38,"In Progress")</f>
        <v>0</v>
      </c>
      <c r="AR13" s="62">
        <f>SUMIFS('Status of Curriculum Completion'!$DZ$4:$DZ$38,'Status of Curriculum Completion'!$DP$4:$DP$38,"AP",'Status of Curriculum Completion'!$DV$4:$DV$38,"Planned")+SUMIFS('Status of Curriculum Completion'!$EM$4:$EM$38,'Status of Curriculum Completion'!$EC$4:$EC$38,"AP",'Status of Curriculum Completion'!$EI$4:$EI$38,"Planned")+SUMIFS('Status of Curriculum Completion'!$EZ$4:$EZ$38,'Status of Curriculum Completion'!$EP$4:$EP$38,"AP",'Status of Curriculum Completion'!$EV$4:$EV$38,"Planned")</f>
        <v>0</v>
      </c>
      <c r="AS13" s="62">
        <f>SUMIFS('Status of Curriculum Completion'!$DZ$4:$DZ$38,'Status of Curriculum Completion'!$DP$4:$DP$38,"AP",'Status of Curriculum Completion'!$DV$4:$DV$38,"Tentative")+SUMIFS('Status of Curriculum Completion'!$EM$4:$EM$38,'Status of Curriculum Completion'!$EC$4:$EC$38,"AP",'Status of Curriculum Completion'!$EI$4:$EI$38,"Tentative")+SUMIFS('Status of Curriculum Completion'!$EZ$4:$EZ$38,'Status of Curriculum Completion'!$EP$4:$EP$38,"AP",'Status of Curriculum Completion'!$EV$4:$EV$38,"Tentative")</f>
        <v>0</v>
      </c>
    </row>
    <row r="14" spans="1:45" ht="29.5" thickBot="1">
      <c r="A14" s="63" t="s">
        <v>1170</v>
      </c>
      <c r="B14" s="59">
        <f>SUMIFS('Status of Curriculum Completion'!M$4:M$38,'Status of Curriculum Completion'!C$4:C$38,"Geo China",'Status of Curriculum Completion'!G$4:G$38,"Complete")+SUMIFS('Status of Curriculum Completion'!Z$4:Z$38,'Status of Curriculum Completion'!P$4:P$38,"Geo China",'Status of Curriculum Completion'!T$4:T$38,"Complete")+SUMIFS('Status of Curriculum Completion'!AM$4:AM$38,'Status of Curriculum Completion'!AC$4:AC$38,"Geo China",'Status of Curriculum Completion'!AG$4:AG$38,"Complete")</f>
        <v>0</v>
      </c>
      <c r="C14" s="59">
        <f>SUMIFS('Status of Curriculum Completion'!$M$4:$M$38,'Status of Curriculum Completion'!$C$4:$C$38,"Geo China",'Status of Curriculum Completion'!$G$4:$G$38,"In progress")+SUMIFS('Status of Curriculum Completion'!$Z$4:$Z$38,'Status of Curriculum Completion'!$P$4:$P$38,"Geo China",'Status of Curriculum Completion'!$T$4:$T$38,"In progress")+SUMIFS('Status of Curriculum Completion'!$AM$4:$AM$38,'Status of Curriculum Completion'!$AC$4:$AC$38,"Geo China",'Status of Curriculum Completion'!$AG$4:$AG$38,"In progress")</f>
        <v>0</v>
      </c>
      <c r="D14" s="59">
        <f>SUMIFS('Status of Curriculum Completion'!$M$4:$M$38,'Status of Curriculum Completion'!$C$4:$C$38,"Geo China",'Status of Curriculum Completion'!$G$4:$G$38,"Planned")+SUMIFS('Status of Curriculum Completion'!$Z$4:$Z$38,'Status of Curriculum Completion'!$P$4:$P$38,"Geo China",'Status of Curriculum Completion'!$T$4:$T$38,"Planned")+SUMIFS('Status of Curriculum Completion'!$AM$4:$AM$38,'Status of Curriculum Completion'!$AC$4:$AC$38,"Geo China",'Status of Curriculum Completion'!$AG$4:$AG$38,"Planned")</f>
        <v>0</v>
      </c>
      <c r="E14" s="59">
        <f>SUMIFS('Status of Curriculum Completion'!$M$4:$M$38,'Status of Curriculum Completion'!$C$4:$C$38,"Geo China",'Status of Curriculum Completion'!$H$4:$H$38,"Complete")+SUMIFS('Status of Curriculum Completion'!$Z$4:$Z$38,'Status of Curriculum Completion'!$P$4:$P$38,"Geo China",'Status of Curriculum Completion'!$U$4:$U$38,"Complete")+SUMIFS('Status of Curriculum Completion'!$AM$4:$AM$38,'Status of Curriculum Completion'!$AC$4:$AC$38,"Geo China",'Status of Curriculum Completion'!$AH$4:$AH$38,"Complete")</f>
        <v>0</v>
      </c>
      <c r="F14" s="59">
        <f>SUMIFS('Status of Curriculum Completion'!$M$4:$M$38,'Status of Curriculum Completion'!$C$4:$C$38,"Geo China",'Status of Curriculum Completion'!$H$4:$H$38,"In Progress")+SUMIFS('Status of Curriculum Completion'!$Z$4:$Z$38,'Status of Curriculum Completion'!$P$4:$P$38,"Geo China",'Status of Curriculum Completion'!$U$4:$U$38,"In Progress")+SUMIFS('Status of Curriculum Completion'!$AM$4:$AM$38,'Status of Curriculum Completion'!$AC$4:$AC$38,"Geo China",'Status of Curriculum Completion'!$AH$4:$AH$38,"In Progress")</f>
        <v>0</v>
      </c>
      <c r="G14" s="59">
        <f>SUMIFS('Status of Curriculum Completion'!$M$4:$M$38,'Status of Curriculum Completion'!$C$4:$C$38,"Geo China",'Status of Curriculum Completion'!$H$4:$H$38,"Planned")+SUMIFS('Status of Curriculum Completion'!$Z$4:$Z$38,'Status of Curriculum Completion'!$P$4:$P$38,"Geo China",'Status of Curriculum Completion'!$U$4:$U$38,"Planned")+SUMIFS('Status of Curriculum Completion'!$AM$4:$AM$38,'Status of Curriculum Completion'!$AC$4:$AC$38,"Geo China",'Status of Curriculum Completion'!$AH$4:$AH$38,"Planned")</f>
        <v>0</v>
      </c>
      <c r="H14" s="59">
        <f>SUMIFS('Status of Curriculum Completion'!$M$4:$M$38,'Status of Curriculum Completion'!$C$4:$C$38,"Geo China",'Status of Curriculum Completion'!$I$4:$I$38,"Complete")+SUMIFS('Status of Curriculum Completion'!$Z$4:$Z$38,'Status of Curriculum Completion'!$P$4:$P$38,"Geo China",'Status of Curriculum Completion'!$V$4:$V$38,"Complete")+SUMIFS('Status of Curriculum Completion'!$AM$4:$AM$38,'Status of Curriculum Completion'!$AC$4:$AC$38,"Geo China",'Status of Curriculum Completion'!$AI$4:$AI$38,"Complete")</f>
        <v>0</v>
      </c>
      <c r="I14" s="59">
        <f>SUMIFS('Status of Curriculum Completion'!$M$4:$M$38,'Status of Curriculum Completion'!$C$4:$C$38,"Geo China",'Status of Curriculum Completion'!$I$4:$I$38,"In Progress")+SUMIFS('Status of Curriculum Completion'!$Z$4:$Z$38,'Status of Curriculum Completion'!$P$4:$P$38,"Geo China",'Status of Curriculum Completion'!$V$4:$V$38,"In Progress")+SUMIFS('Status of Curriculum Completion'!$AM$4:$AM$38,'Status of Curriculum Completion'!$AC$4:$AC$38,"Geo China",'Status of Curriculum Completion'!$AI$4:$AI$38,"In Progress")</f>
        <v>0</v>
      </c>
      <c r="J14" s="59">
        <f>SUMIFS('Status of Curriculum Completion'!$M$4:$M$38,'Status of Curriculum Completion'!$C$4:$C$38,"Geo China",'Status of Curriculum Completion'!$I$4:$I$38,"Planned")+SUMIFS('Status of Curriculum Completion'!$Z$4:$Z$38,'Status of Curriculum Completion'!$P$4:$P$38,"Geo China",'Status of Curriculum Completion'!$V$4:$V$38,"Planned")+SUMIFS('Status of Curriculum Completion'!$AM$4:$AM$38,'Status of Curriculum Completion'!$AC$4:$AC$38,"Geo China",'Status of Curriculum Completion'!$AI$4:$AI$38,"Planned")</f>
        <v>0</v>
      </c>
      <c r="K14" s="60">
        <f>SUMIFS('Status of Curriculum Completion'!$AZ$4:$AZ$38,'Status of Curriculum Completion'!$AP$4:$AP$38,"Geo China",'Status of Curriculum Completion'!$AT$4:$AT$38,"Complete")+SUMIFS('Status of Curriculum Completion'!$BM$4:$BM$38,'Status of Curriculum Completion'!$BC$4:$BC$38,"Geo China",'Status of Curriculum Completion'!$BG$4:$BG$38,"Complete")+SUMIFS('Status of Curriculum Completion'!$BZ$4:$BZ$38,'Status of Curriculum Completion'!$BP$4:$BP$38,"Geo China",'Status of Curriculum Completion'!$BT$4:$BT$38,"Complete")</f>
        <v>0</v>
      </c>
      <c r="L14" s="60">
        <f>SUMIFS('Status of Curriculum Completion'!$AZ$4:$AZ$38,'Status of Curriculum Completion'!$AP$4:$AP$38,"Geo China",'Status of Curriculum Completion'!$AT$4:$AT$38,"In Progress")+SUMIFS('Status of Curriculum Completion'!$BM$4:$BM$38,'Status of Curriculum Completion'!$BC$4:$BC$38,"Geo China",'Status of Curriculum Completion'!$BG$4:$BG$38,"In Progress")+SUMIFS('Status of Curriculum Completion'!$BZ$4:$BZ$38,'Status of Curriculum Completion'!$BP$4:$BP$38,"Geo China",'Status of Curriculum Completion'!$BT$4:$BT$38,"In Progress")</f>
        <v>0</v>
      </c>
      <c r="M14" s="60">
        <f>SUMIFS('Status of Curriculum Completion'!$AZ$4:$AZ$38,'Status of Curriculum Completion'!$AP$4:$AP$38,"Geo China",'Status of Curriculum Completion'!$AT$4:$AT$38,"Planned")+SUMIFS('Status of Curriculum Completion'!$BM$4:$BM$38,'Status of Curriculum Completion'!$BC$4:$BC$38,"Geo China",'Status of Curriculum Completion'!$BG$4:$BG$38,"Planned")+SUMIFS('Status of Curriculum Completion'!$BZ$4:$BZ$38,'Status of Curriculum Completion'!$BP$4:$BP$38,"Geo China",'Status of Curriculum Completion'!$BT$4:$BT$38,"Planned")</f>
        <v>0</v>
      </c>
      <c r="N14" s="60">
        <f>SUMIFS('Status of Curriculum Completion'!$AZ$4:$AZ$38,'Status of Curriculum Completion'!$AP$4:$AP$38,"Geo China",'Status of Curriculum Completion'!$AU$4:$AU$38,"Complete")+SUMIFS('Status of Curriculum Completion'!$BM$4:$BM$38,'Status of Curriculum Completion'!$BC$4:$BC$38,"Geo China",'Status of Curriculum Completion'!$BH$4:$BH$38,"Complete")+SUMIFS('Status of Curriculum Completion'!$BZ$4:$BZ$38,'Status of Curriculum Completion'!$BP$4:$BP$38,"Geo China",'Status of Curriculum Completion'!$BU$4:$BU$38,"Complete")</f>
        <v>0</v>
      </c>
      <c r="O14" s="60">
        <f>SUMIFS('Status of Curriculum Completion'!$AZ$4:$AZ$38,'Status of Curriculum Completion'!$AP$4:$AP$38,"Geo China",'Status of Curriculum Completion'!$AU$4:$AU$38,"In Progress")+SUMIFS('Status of Curriculum Completion'!$BM$4:$BM$38,'Status of Curriculum Completion'!$BC$4:$BC$38,"Geo China",'Status of Curriculum Completion'!$BH$4:$BH$38,"In Progress")+SUMIFS('Status of Curriculum Completion'!$BZ$4:$BZ$38,'Status of Curriculum Completion'!$BP$4:$BP$38,"Geo China",'Status of Curriculum Completion'!$BU$4:$BU$38,"In Progress")</f>
        <v>0</v>
      </c>
      <c r="P14" s="60">
        <f>SUMIFS('Status of Curriculum Completion'!$AZ$4:$AZ$38,'Status of Curriculum Completion'!$AP$4:$AP$38,"Geo China",'Status of Curriculum Completion'!$AU$4:$AU$38,"Planned")+SUMIFS('Status of Curriculum Completion'!$BM$4:$BM$38,'Status of Curriculum Completion'!$BC$4:$BC$38,"Geo China",'Status of Curriculum Completion'!$BH$4:$BH$38,"Planned")+SUMIFS('Status of Curriculum Completion'!$BZ$4:$BZ$38,'Status of Curriculum Completion'!$BP$4:$BP$38,"Geo China",'Status of Curriculum Completion'!$BU$4:$BU$38,"Planned")</f>
        <v>0</v>
      </c>
      <c r="Q14" s="60">
        <f>SUMIFS('Status of Curriculum Completion'!$AZ$4:$AZ$38,'Status of Curriculum Completion'!$AP$4:$AP$38,"Geo China",'Status of Curriculum Completion'!$AV$4:$AV$38,"Complete")+SUMIFS('Status of Curriculum Completion'!$BM$4:$BM$38,'Status of Curriculum Completion'!$BC$4:$BC$38,"Geo China",'Status of Curriculum Completion'!$BI$4:$BI$38,"Complete")+SUMIFS('Status of Curriculum Completion'!$BZ$4:$BZ$38,'Status of Curriculum Completion'!$BP$4:$BP$38,"Geo China",'Status of Curriculum Completion'!$BV$4:$BV$38,"Complete")</f>
        <v>0</v>
      </c>
      <c r="R14" s="60">
        <f>SUMIFS('Status of Curriculum Completion'!$AZ$4:$AZ$38,'Status of Curriculum Completion'!$AP$4:$AP$38,"Geo China",'Status of Curriculum Completion'!$AV$4:$AV$38,"In Progress")+SUMIFS('Status of Curriculum Completion'!$BM$4:$BM$38,'Status of Curriculum Completion'!$BC$4:$BC$38,"Geo China",'Status of Curriculum Completion'!$BI$4:$BI$38,"In Progress")+SUMIFS('Status of Curriculum Completion'!$BZ$4:$BZ$38,'Status of Curriculum Completion'!$BP$4:$BP$38,"Geo China",'Status of Curriculum Completion'!$BV$4:$BV$38,"In Progress")</f>
        <v>0</v>
      </c>
      <c r="S14" s="60">
        <f>SUMIFS('Status of Curriculum Completion'!$AZ$4:$AZ$38,'Status of Curriculum Completion'!$AP$4:$AP$38,"Geo China",'Status of Curriculum Completion'!$AV$4:$AV$38,"Planned")+SUMIFS('Status of Curriculum Completion'!$BM$4:$BM$38,'Status of Curriculum Completion'!$BC$4:$BC$38,"Geo China",'Status of Curriculum Completion'!$BI$4:$BI$38,"Planned")+SUMIFS('Status of Curriculum Completion'!$BZ$4:$BZ$38,'Status of Curriculum Completion'!$BP$4:$BP$38,"Geo China",'Status of Curriculum Completion'!$BV$4:$BV$38,"Planned")</f>
        <v>0</v>
      </c>
      <c r="U14" s="63" t="s">
        <v>1170</v>
      </c>
      <c r="V14" s="61">
        <f>SUMIFS('Status of Curriculum Completion'!$CM$4:$CM$38,'Status of Curriculum Completion'!$CC$4:$CC$38,"Geo China",'Status of Curriculum Completion'!$CG$4:$CG$38,"Complete")+SUMIFS('Status of Curriculum Completion'!$CZ$4:$CZ$38,'Status of Curriculum Completion'!$CP$4:$CP$38,"Geo China",'Status of Curriculum Completion'!$CT$4:$CT$38,"Complete")+SUMIFS('Status of Curriculum Completion'!$DM$4:$DM$38,'Status of Curriculum Completion'!$DC$4:$DC$38,"Geo China",'Status of Curriculum Completion'!$DG$4:$DG$38,"Complete")</f>
        <v>0</v>
      </c>
      <c r="W14" s="61">
        <f>SUMIFS('Status of Curriculum Completion'!$CM$4:$CM$38,'Status of Curriculum Completion'!$CC$4:$CC$38,"Geo China",'Status of Curriculum Completion'!$CG$4:$CG$38,"In Progress")+SUMIFS('Status of Curriculum Completion'!$CZ$4:$CZ$38,'Status of Curriculum Completion'!$CP$4:$CP$38,"Geo China",'Status of Curriculum Completion'!$CT$4:$CT$38,"In Progress")+SUMIFS('Status of Curriculum Completion'!$DM$4:$DM$38,'Status of Curriculum Completion'!$DC$4:$DC$38,"Geo China",'Status of Curriculum Completion'!$DG$4:$DG$38,"In Progress")</f>
        <v>0</v>
      </c>
      <c r="X14" s="61">
        <f>SUMIFS('Status of Curriculum Completion'!$CM$4:$CM$38,'Status of Curriculum Completion'!$CC$4:$CC$38,"Geo China",'Status of Curriculum Completion'!$CG$4:$CG$38,"Planned")+SUMIFS('Status of Curriculum Completion'!$CZ$4:$CZ$38,'Status of Curriculum Completion'!$CP$4:$CP$38,"Geo China",'Status of Curriculum Completion'!$CT$4:$CT$38,"Planned")+SUMIFS('Status of Curriculum Completion'!$DM$4:$DM$38,'Status of Curriculum Completion'!$DC$4:$DC$38,"Geo China",'Status of Curriculum Completion'!$DG$4:$DG$38,"Planned")</f>
        <v>0</v>
      </c>
      <c r="Y14" s="61">
        <f>SUMIFS('Status of Curriculum Completion'!$CM$4:$CM$38,'Status of Curriculum Completion'!$CC$4:$CC$38,"Geo China",'Status of Curriculum Completion'!$CG$4:$CG$38,"Tentative")+SUMIFS('Status of Curriculum Completion'!$CZ$4:$CZ$38,'Status of Curriculum Completion'!$CP$4:$CP$38,"Geo China",'Status of Curriculum Completion'!$CT$4:$CT$38,"Tentative")+SUMIFS('Status of Curriculum Completion'!$DM$4:$DM$38,'Status of Curriculum Completion'!$DC$4:$DC$38,"Geo China",'Status of Curriculum Completion'!$DG$4:$DG$38,"Tentative")</f>
        <v>0</v>
      </c>
      <c r="Z14" s="61">
        <f>SUMIFS('Status of Curriculum Completion'!$CM$4:$CM$38,'Status of Curriculum Completion'!$CC$4:$CC$38,"Geo China",'Status of Curriculum Completion'!$CH$4:$CH$38,"Complete")+SUMIFS('Status of Curriculum Completion'!$CZ$4:$CZ$38,'Status of Curriculum Completion'!$CP$4:$CP$38,"Geo China",'Status of Curriculum Completion'!$CU$4:$CU$38,"Complete")+SUMIFS('Status of Curriculum Completion'!$DM$4:$DM$38,'Status of Curriculum Completion'!$DC$4:$DC$38,"Geo China",'Status of Curriculum Completion'!$DH$4:$DH$38,"Complete")</f>
        <v>0</v>
      </c>
      <c r="AA14" s="61">
        <f>SUMIFS('Status of Curriculum Completion'!$CM$4:$CM$38,'Status of Curriculum Completion'!$CC$4:$CC$38,"Geo China",'Status of Curriculum Completion'!$CH$4:$CH$38,"In Progress")+SUMIFS('Status of Curriculum Completion'!$CZ$4:$CZ$38,'Status of Curriculum Completion'!$CP$4:$CP$38,"Geo China",'Status of Curriculum Completion'!$CU$4:$CU$38,"In Progress")+SUMIFS('Status of Curriculum Completion'!$DM$4:$DM$38,'Status of Curriculum Completion'!$DC$4:$DC$38,"Geo China",'Status of Curriculum Completion'!$DH$4:$DH$38,"In Progress")</f>
        <v>0</v>
      </c>
      <c r="AB14" s="61">
        <f>SUMIFS('Status of Curriculum Completion'!$CM$4:$CM$38,'Status of Curriculum Completion'!$CC$4:$CC$38,"Geo China",'Status of Curriculum Completion'!$CH$4:$CH$38,"Planned")+SUMIFS('Status of Curriculum Completion'!$CZ$4:$CZ$38,'Status of Curriculum Completion'!$CP$4:$CP$38,"Geo China",'Status of Curriculum Completion'!$CU$4:$CU$38,"Planned")+SUMIFS('Status of Curriculum Completion'!$DM$4:$DM$38,'Status of Curriculum Completion'!$DC$4:$DC$38,"Geo China",'Status of Curriculum Completion'!$DH$4:$DH$38,"Planned")</f>
        <v>0</v>
      </c>
      <c r="AC14" s="61">
        <f>SUMIFS('Status of Curriculum Completion'!$CM$4:$CM$38,'Status of Curriculum Completion'!$CC$4:$CC$38,"Geo China",'Status of Curriculum Completion'!$CH$4:$CH$38,"Tentative")+SUMIFS('Status of Curriculum Completion'!$CZ$4:$CZ$38,'Status of Curriculum Completion'!$CP$4:$CP$38,"Geo China",'Status of Curriculum Completion'!$CU$4:$CU$38,"Tentative")+SUMIFS('Status of Curriculum Completion'!$DM$4:$DM$38,'Status of Curriculum Completion'!$DC$4:$DC$38,"Geo China",'Status of Curriculum Completion'!$DH$4:$DH$38,"Tentative")</f>
        <v>0</v>
      </c>
      <c r="AD14" s="61">
        <f>SUMIFS('Status of Curriculum Completion'!$CM$4:$CM$38,'Status of Curriculum Completion'!$CC$4:$CC$38,"Geo China",'Status of Curriculum Completion'!$CI$4:$CI$38,"Complete")+SUMIFS('Status of Curriculum Completion'!$CZ$4:$CZ$38,'Status of Curriculum Completion'!$CP$4:$CP$38,"Geo China",'Status of Curriculum Completion'!$CV$4:$CV$38,"Complete")+SUMIFS('Status of Curriculum Completion'!$DM$4:$DM$38,'Status of Curriculum Completion'!$DC$4:$DC$38,"Geo China",'Status of Curriculum Completion'!$DI$4:$DI$38,"Complete")</f>
        <v>0</v>
      </c>
      <c r="AE14" s="61">
        <f>SUMIFS('Status of Curriculum Completion'!$CM$4:$CM$38,'Status of Curriculum Completion'!$CC$4:$CC$38,"Geo China",'Status of Curriculum Completion'!$CI$4:$CI$38,"In Progress")+SUMIFS('Status of Curriculum Completion'!$CZ$4:$CZ$38,'Status of Curriculum Completion'!$CP$4:$CP$38,"Geo China",'Status of Curriculum Completion'!$CV$4:$CV$38,"In Progress")+SUMIFS('Status of Curriculum Completion'!$DM$4:$DM$38,'Status of Curriculum Completion'!$DC$4:$DC$38,"Geo China",'Status of Curriculum Completion'!$DI$4:$DI$38,"In Progress")</f>
        <v>0</v>
      </c>
      <c r="AF14" s="61">
        <f>SUMIFS('Status of Curriculum Completion'!$CM$4:$CM$38,'Status of Curriculum Completion'!$CC$4:$CC$38,"Geo China",'Status of Curriculum Completion'!$CI$4:$CI$38,"Planned")+SUMIFS('Status of Curriculum Completion'!$CZ$4:$CZ$38,'Status of Curriculum Completion'!$CP$4:$CP$38,"Geo China",'Status of Curriculum Completion'!$CV$4:$CV$38,"Planned")+SUMIFS('Status of Curriculum Completion'!$DM$4:$DM$38,'Status of Curriculum Completion'!$DC$4:$DC$38,"Geo China",'Status of Curriculum Completion'!$DI$4:$DI$38,"Planned")</f>
        <v>0</v>
      </c>
      <c r="AG14" s="61">
        <f>SUMIFS('Status of Curriculum Completion'!$CM$4:$CM$38,'Status of Curriculum Completion'!$CC$4:$CC$38,"Geo China",'Status of Curriculum Completion'!$CI$4:$CI$38,"Tentative")+SUMIFS('Status of Curriculum Completion'!$CZ$4:$CZ$38,'Status of Curriculum Completion'!$CP$4:$CP$38,"Geo China",'Status of Curriculum Completion'!$CV$4:$CV$38,"Tentative")+SUMIFS('Status of Curriculum Completion'!$DM$4:$DM$38,'Status of Curriculum Completion'!$DC$4:$DC$38,"Geo China",'Status of Curriculum Completion'!$DI$4:$DI$38,"Tentative")</f>
        <v>0</v>
      </c>
      <c r="AH14" s="62">
        <f>SUMIFS('Status of Curriculum Completion'!$DZ$4:$DZ$38,'Status of Curriculum Completion'!$DP$4:$DP$38,"Geo China",'Status of Curriculum Completion'!$DT$4:$DT$38,"Complete")+SUMIFS('Status of Curriculum Completion'!$EM$4:$EM$38,'Status of Curriculum Completion'!$EC$4:$EC$38,"Geo China",'Status of Curriculum Completion'!$EG$4:$EG$38,"Complete")+SUMIFS('Status of Curriculum Completion'!$EZ$4:$EZ$38,'Status of Curriculum Completion'!$EP$4:$EP$38,"Geo China",'Status of Curriculum Completion'!$ET$4:$ET$38,"Complete")</f>
        <v>0</v>
      </c>
      <c r="AI14" s="62">
        <f>SUMIFS('Status of Curriculum Completion'!$DZ$4:$DZ$38,'Status of Curriculum Completion'!$DP$4:$DP$38,"Geo China",'Status of Curriculum Completion'!$DT$4:$DT$38,"In Progress")+SUMIFS('Status of Curriculum Completion'!$EM$4:$EM$38,'Status of Curriculum Completion'!$EC$4:$EC$38,"Geo China",'Status of Curriculum Completion'!$EG$4:$EG$38,"In Progress")+SUMIFS('Status of Curriculum Completion'!$EZ$4:$EZ$38,'Status of Curriculum Completion'!$EP$4:$EP$38,"Geo China",'Status of Curriculum Completion'!$ET$4:$ET$38,"In Progress")</f>
        <v>0</v>
      </c>
      <c r="AJ14" s="62">
        <f>SUMIFS('Status of Curriculum Completion'!$DZ$4:$DZ$38,'Status of Curriculum Completion'!$DP$4:$DP$38,"Geo China",'Status of Curriculum Completion'!$DT$4:$DT$38,"Planned")+SUMIFS('Status of Curriculum Completion'!$EM$4:$EM$38,'Status of Curriculum Completion'!$EC$4:$EC$38,"Geo China",'Status of Curriculum Completion'!$EG$4:$EG$38,"Planned")+SUMIFS('Status of Curriculum Completion'!$EZ$4:$EZ$38,'Status of Curriculum Completion'!$EP$4:$EP$38,"Geo China",'Status of Curriculum Completion'!$ET$4:$ET$38,"Planned")</f>
        <v>0</v>
      </c>
      <c r="AK14" s="62">
        <f>SUMIFS('Status of Curriculum Completion'!$DZ$4:$DZ$38,'Status of Curriculum Completion'!$DP$4:$DP$38,"Geo China",'Status of Curriculum Completion'!$DT$4:$DT$38,"Tentative")+SUMIFS('Status of Curriculum Completion'!$EM$4:$EM$38,'Status of Curriculum Completion'!$EC$4:$EC$38,"Geo China",'Status of Curriculum Completion'!$EG$4:$EG$38,"Tentative")+SUMIFS('Status of Curriculum Completion'!$EZ$4:$EZ$38,'Status of Curriculum Completion'!$EP$4:$EP$38,"Geo China",'Status of Curriculum Completion'!$ET$4:$ET$38,"Tentative")</f>
        <v>0</v>
      </c>
      <c r="AL14" s="62">
        <f>SUMIFS('Status of Curriculum Completion'!$DZ$4:$DZ$38,'Status of Curriculum Completion'!$DP$4:$DP$38,"Geo China",'Status of Curriculum Completion'!$DU$4:$DU$38,"Complete")+SUMIFS('Status of Curriculum Completion'!$EM$4:$EM$38,'Status of Curriculum Completion'!$EC$4:$EC$38,"Geo China",'Status of Curriculum Completion'!$EH$4:$EH$38,"Complete")+SUMIFS('Status of Curriculum Completion'!$EZ$4:$EZ$38,'Status of Curriculum Completion'!$EP$4:$EP$38,"Geo China",'Status of Curriculum Completion'!$EU$4:$EU$38,"Complete")</f>
        <v>0</v>
      </c>
      <c r="AM14" s="62">
        <f>SUMIFS('Status of Curriculum Completion'!$DZ$4:$DZ$38,'Status of Curriculum Completion'!$DP$4:$DP$38,"Geo China",'Status of Curriculum Completion'!$DU$4:$DU$38,"In Progress")+SUMIFS('Status of Curriculum Completion'!$EM$4:$EM$38,'Status of Curriculum Completion'!$EC$4:$EC$38,"Geo China",'Status of Curriculum Completion'!$EH$4:$EH$38,"In Progress")+SUMIFS('Status of Curriculum Completion'!$EZ$4:$EZ$38,'Status of Curriculum Completion'!$EP$4:$EP$38,"Geo China",'Status of Curriculum Completion'!$EU$4:$EU$38,"In Progress")</f>
        <v>0</v>
      </c>
      <c r="AN14" s="62">
        <f>SUMIFS('Status of Curriculum Completion'!$DZ$4:$DZ$38,'Status of Curriculum Completion'!$DP$4:$DP$38,"Geo China",'Status of Curriculum Completion'!$DU$4:$DU$38,"Planned")+SUMIFS('Status of Curriculum Completion'!$EM$4:$EM$38,'Status of Curriculum Completion'!$EC$4:$EC$38,"Geo China",'Status of Curriculum Completion'!$EH$4:$EH$38,"Planned")+SUMIFS('Status of Curriculum Completion'!$EZ$4:$EZ$38,'Status of Curriculum Completion'!$EP$4:$EP$38,"Geo China",'Status of Curriculum Completion'!$EU$4:$EU$38,"Planned")</f>
        <v>0</v>
      </c>
      <c r="AO14" s="62">
        <f>SUMIFS('Status of Curriculum Completion'!$DZ$4:$DZ$38,'Status of Curriculum Completion'!$DP$4:$DP$38,"Geo China",'Status of Curriculum Completion'!$DU$4:$DU$38,"Tentative")+SUMIFS('Status of Curriculum Completion'!$EM$4:$EM$38,'Status of Curriculum Completion'!$EC$4:$EC$38,"Geo China",'Status of Curriculum Completion'!$EH$4:$EH$38,"Tentative")+SUMIFS('Status of Curriculum Completion'!$EZ$4:$EZ$38,'Status of Curriculum Completion'!$EP$4:$EP$38,"Geo China",'Status of Curriculum Completion'!$EU$4:$EU$38,"Tentative")</f>
        <v>0</v>
      </c>
      <c r="AP14" s="62">
        <f>SUMIFS('Status of Curriculum Completion'!$DZ$4:$DZ$38,'Status of Curriculum Completion'!$DP$4:$DP$38,"Geo China",'Status of Curriculum Completion'!$DV$4:$DV$38,"Complete")+SUMIFS('Status of Curriculum Completion'!$EM$4:$EM$38,'Status of Curriculum Completion'!$EC$4:$EC$38,"Geo China",'Status of Curriculum Completion'!$EI$4:$EI$38,"Complete")+SUMIFS('Status of Curriculum Completion'!$EZ$4:$EZ$38,'Status of Curriculum Completion'!$EP$4:$EP$38,"Geo China",'Status of Curriculum Completion'!$EV$4:$EV$38,"Complete")</f>
        <v>0</v>
      </c>
      <c r="AQ14" s="62">
        <f>SUMIFS('Status of Curriculum Completion'!$DZ$4:$DZ$38,'Status of Curriculum Completion'!$DP$4:$DP$38,"Geo China",'Status of Curriculum Completion'!$DV$4:$DV$38,"In Progress")+SUMIFS('Status of Curriculum Completion'!$EM$4:$EM$38,'Status of Curriculum Completion'!$EC$4:$EC$38,"Geo China",'Status of Curriculum Completion'!$EI$4:$EI$38,"In Progress")+SUMIFS('Status of Curriculum Completion'!$EZ$4:$EZ$38,'Status of Curriculum Completion'!$EP$4:$EP$38,"Geo China",'Status of Curriculum Completion'!$EV$4:$EV$38,"In Progress")</f>
        <v>0</v>
      </c>
      <c r="AR14" s="62">
        <f>SUMIFS('Status of Curriculum Completion'!$DZ$4:$DZ$38,'Status of Curriculum Completion'!$DP$4:$DP$38,"Geo China",'Status of Curriculum Completion'!$DV$4:$DV$38,"Planned")+SUMIFS('Status of Curriculum Completion'!$EM$4:$EM$38,'Status of Curriculum Completion'!$EC$4:$EC$38,"Geo China",'Status of Curriculum Completion'!$EI$4:$EI$38,"Planned")+SUMIFS('Status of Curriculum Completion'!$EZ$4:$EZ$38,'Status of Curriculum Completion'!$EP$4:$EP$38,"Geo China",'Status of Curriculum Completion'!$EV$4:$EV$38,"Planned")</f>
        <v>0</v>
      </c>
      <c r="AS14" s="62">
        <f>SUMIFS('Status of Curriculum Completion'!$DZ$4:$DZ$38,'Status of Curriculum Completion'!$DP$4:$DP$38,"Geo China",'Status of Curriculum Completion'!$DV$4:$DV$38,"Tentative")+SUMIFS('Status of Curriculum Completion'!$EM$4:$EM$38,'Status of Curriculum Completion'!$EC$4:$EC$38,"Geo China",'Status of Curriculum Completion'!$EI$4:$EI$38,"Tentative")+SUMIFS('Status of Curriculum Completion'!$EZ$4:$EZ$38,'Status of Curriculum Completion'!$EP$4:$EP$38,"Geo China",'Status of Curriculum Completion'!$EV$4:$EV$38,"Tentative")</f>
        <v>0</v>
      </c>
    </row>
    <row r="15" spans="1:45" ht="29.5" thickBot="1">
      <c r="A15" s="63" t="s">
        <v>1171</v>
      </c>
      <c r="B15" s="59">
        <f>SUMIFS('Status of Curriculum Completion'!M$4:M$38,'Status of Curriculum Completion'!C$4:C$38,"Japan",'Status of Curriculum Completion'!G$4:G$38,"Complete")+SUMIFS('Status of Curriculum Completion'!Z$4:Z$38,'Status of Curriculum Completion'!P$4:P$38,"Japan",'Status of Curriculum Completion'!T$4:T$38,"Complete")+SUMIFS('Status of Curriculum Completion'!AM$4:AM$38,'Status of Curriculum Completion'!AC$4:AC$38,"Japan",'Status of Curriculum Completion'!AG$4:AG$38,"Complete")</f>
        <v>0</v>
      </c>
      <c r="C15" s="59">
        <f>SUMIFS('Status of Curriculum Completion'!$M$4:$M$38,'Status of Curriculum Completion'!$C$4:$C$38,"Japan",'Status of Curriculum Completion'!$G$4:$G$38,"In progress")+SUMIFS('Status of Curriculum Completion'!$Z$4:$Z$38,'Status of Curriculum Completion'!$P$4:$P$38,"Japan",'Status of Curriculum Completion'!$T$4:$T$38,"In progress")+SUMIFS('Status of Curriculum Completion'!$AM$4:$AM$38,'Status of Curriculum Completion'!$AC$4:$AC$38,"Japan",'Status of Curriculum Completion'!$AG$4:$AG$38,"In progress")</f>
        <v>0</v>
      </c>
      <c r="D15" s="59">
        <f>SUMIFS('Status of Curriculum Completion'!$M$4:$M$38,'Status of Curriculum Completion'!$C$4:$C$38,"Japan",'Status of Curriculum Completion'!$G$4:$G$38,"Planned")+SUMIFS('Status of Curriculum Completion'!$Z$4:$Z$38,'Status of Curriculum Completion'!$P$4:$P$38,"Japan",'Status of Curriculum Completion'!$T$4:$T$38,"Planned")+SUMIFS('Status of Curriculum Completion'!$AM$4:$AM$38,'Status of Curriculum Completion'!$AC$4:$AC$38,"Japan",'Status of Curriculum Completion'!$AG$4:$AG$38,"Planned")</f>
        <v>0</v>
      </c>
      <c r="E15" s="59">
        <f>SUMIFS('Status of Curriculum Completion'!$M$4:$M$38,'Status of Curriculum Completion'!$C$4:$C$38,"Japan",'Status of Curriculum Completion'!$H$4:$H$38,"Complete")+SUMIFS('Status of Curriculum Completion'!$Z$4:$Z$38,'Status of Curriculum Completion'!$P$4:$P$38,"Japan",'Status of Curriculum Completion'!$U$4:$U$38,"Complete")+SUMIFS('Status of Curriculum Completion'!$AM$4:$AM$38,'Status of Curriculum Completion'!$AC$4:$AC$38,"Japan",'Status of Curriculum Completion'!$AH$4:$AH$38,"Complete")</f>
        <v>0</v>
      </c>
      <c r="F15" s="59">
        <f>SUMIFS('Status of Curriculum Completion'!$M$4:$M$38,'Status of Curriculum Completion'!$C$4:$C$38,"Japan",'Status of Curriculum Completion'!$H$4:$H$38,"In Progress")+SUMIFS('Status of Curriculum Completion'!$Z$4:$Z$38,'Status of Curriculum Completion'!$P$4:$P$38,"Japan",'Status of Curriculum Completion'!$U$4:$U$38,"In Progress")+SUMIFS('Status of Curriculum Completion'!$AM$4:$AM$38,'Status of Curriculum Completion'!$AC$4:$AC$38,"Japan",'Status of Curriculum Completion'!$AH$4:$AH$38,"In Progress")</f>
        <v>0</v>
      </c>
      <c r="G15" s="59">
        <f>SUMIFS('Status of Curriculum Completion'!$M$4:$M$38,'Status of Curriculum Completion'!$C$4:$C$38,"Japan",'Status of Curriculum Completion'!$H$4:$H$38,"Planned")+SUMIFS('Status of Curriculum Completion'!$Z$4:$Z$38,'Status of Curriculum Completion'!$P$4:$P$38,"Japan",'Status of Curriculum Completion'!$U$4:$U$38,"Planned")+SUMIFS('Status of Curriculum Completion'!$AM$4:$AM$38,'Status of Curriculum Completion'!$AC$4:$AC$38,"Japan",'Status of Curriculum Completion'!$AH$4:$AH$38,"Planned")</f>
        <v>0</v>
      </c>
      <c r="H15" s="59">
        <f>SUMIFS('Status of Curriculum Completion'!$M$4:$M$38,'Status of Curriculum Completion'!$C$4:$C$38,"Japan",'Status of Curriculum Completion'!$I$4:$I$38,"Complete")+SUMIFS('Status of Curriculum Completion'!$Z$4:$Z$38,'Status of Curriculum Completion'!$P$4:$P$38,"Japan",'Status of Curriculum Completion'!$V$5:$V$39,"Complete")+SUMIFS('Status of Curriculum Completion'!$AM$4:$AM$38,'Status of Curriculum Completion'!$AC$4:$AC$38,"Japan",'Status of Curriculum Completion'!$AI$4:$AI$38,"Complete")</f>
        <v>0</v>
      </c>
      <c r="I15" s="59">
        <f>SUMIFS('Status of Curriculum Completion'!$M$4:$M$38,'Status of Curriculum Completion'!$C$4:$C$38,"Japan",'Status of Curriculum Completion'!$I$4:$I$38,"In Progress")+SUMIFS('Status of Curriculum Completion'!$Z$4:$Z$38,'Status of Curriculum Completion'!$P$4:$P$38,"Japan",'Status of Curriculum Completion'!$V$5:$V$39,"In Progress")+SUMIFS('Status of Curriculum Completion'!$AM$4:$AM$38,'Status of Curriculum Completion'!$AC$4:$AC$38,"Japan",'Status of Curriculum Completion'!$AI$4:$AI$38,"In Progress")</f>
        <v>0</v>
      </c>
      <c r="J15" s="59">
        <f>SUMIFS('Status of Curriculum Completion'!$M$4:$M$38,'Status of Curriculum Completion'!$C$4:$C$38,"Japan",'Status of Curriculum Completion'!$I$4:$I$38,"Planned")+SUMIFS('Status of Curriculum Completion'!$Z$4:$Z$38,'Status of Curriculum Completion'!$P$4:$P$38,"Japan",'Status of Curriculum Completion'!$V$5:$V$39,"Planned")+SUMIFS('Status of Curriculum Completion'!$AM$4:$AM$38,'Status of Curriculum Completion'!$AC$4:$AC$38,"Japan",'Status of Curriculum Completion'!$AI$4:$AI$38,"Planned")</f>
        <v>0</v>
      </c>
      <c r="K15" s="60">
        <f>SUMIFS('Status of Curriculum Completion'!$AZ$4:$AZ$38,'Status of Curriculum Completion'!$AP$4:$AP$38,"Japan",'Status of Curriculum Completion'!$AT$4:$AT$38,"Complete")+SUMIFS('Status of Curriculum Completion'!$BM$4:$BM$38,'Status of Curriculum Completion'!$BC$4:$BC$38,"Japan",'Status of Curriculum Completion'!$BG$4:$BG$38,"Complete")+SUMIFS('Status of Curriculum Completion'!$BZ$4:$BZ$38,'Status of Curriculum Completion'!$BP$4:$BP$38,"Japan",'Status of Curriculum Completion'!$BT$4:$BT$38,"Complete")</f>
        <v>0</v>
      </c>
      <c r="L15" s="60">
        <f>SUMIFS('Status of Curriculum Completion'!$AZ$4:$AZ$38,'Status of Curriculum Completion'!$AP$4:$AP$38,"Japan",'Status of Curriculum Completion'!$AT$4:$AT$38,"In Progress")+SUMIFS('Status of Curriculum Completion'!$BM$4:$BM$38,'Status of Curriculum Completion'!$BC$4:$BC$38,"Japan",'Status of Curriculum Completion'!$BG$4:$BG$38,"In Progress")+SUMIFS('Status of Curriculum Completion'!$BZ$4:$BZ$38,'Status of Curriculum Completion'!$BP$4:$BP$38,"Japan",'Status of Curriculum Completion'!$BT$4:$BT$38,"In Progress")</f>
        <v>0</v>
      </c>
      <c r="M15" s="60">
        <f>SUMIFS('Status of Curriculum Completion'!$AZ$4:$AZ$38,'Status of Curriculum Completion'!$AP$4:$AP$38,"Japan",'Status of Curriculum Completion'!$AT$4:$AT$38,"Planned")+SUMIFS('Status of Curriculum Completion'!$BM$4:$BM$38,'Status of Curriculum Completion'!$BC$4:$BC$38,"Japan",'Status of Curriculum Completion'!$BG$4:$BG$38,"Planned")+SUMIFS('Status of Curriculum Completion'!$BZ$4:$BZ$38,'Status of Curriculum Completion'!$BP$4:$BP$38,"Japan",'Status of Curriculum Completion'!$BT$4:$BT$38,"Planned")</f>
        <v>0</v>
      </c>
      <c r="N15" s="60">
        <f>SUMIFS('Status of Curriculum Completion'!$AZ$4:$AZ$38,'Status of Curriculum Completion'!$AP$4:$AP$38,"Japan",'Status of Curriculum Completion'!$AU$4:$AU$38,"Complete")+SUMIFS('Status of Curriculum Completion'!$BM$4:$BM$38,'Status of Curriculum Completion'!$BC$4:$BC$38,"Japan",'Status of Curriculum Completion'!$BH$4:$BH$38,"Complete")+SUMIFS('Status of Curriculum Completion'!$BZ$4:$BZ$38,'Status of Curriculum Completion'!$BP$4:$BP$38,"Japan",'Status of Curriculum Completion'!$BU$4:$BU$38,"Complete")</f>
        <v>0</v>
      </c>
      <c r="O15" s="60">
        <f>SUMIFS('Status of Curriculum Completion'!$AZ$4:$AZ$38,'Status of Curriculum Completion'!$AP$4:$AP$38,"Japan",'Status of Curriculum Completion'!$AU$4:$AU$38,"In Progress")+SUMIFS('Status of Curriculum Completion'!$BM$4:$BM$38,'Status of Curriculum Completion'!$BC$4:$BC$38,"Japan",'Status of Curriculum Completion'!$BH$4:$BH$38,"In Progress")+SUMIFS('Status of Curriculum Completion'!$BZ$4:$BZ$38,'Status of Curriculum Completion'!$BP$4:$BP$38,"Japan",'Status of Curriculum Completion'!$BU$4:$BU$38,"In Progress")</f>
        <v>0</v>
      </c>
      <c r="P15" s="60">
        <f>SUMIFS('Status of Curriculum Completion'!$AZ$4:$AZ$38,'Status of Curriculum Completion'!$AP$4:$AP$38,"Japan",'Status of Curriculum Completion'!$AU$4:$AU$38,"Planned")+SUMIFS('Status of Curriculum Completion'!$BM$4:$BM$38,'Status of Curriculum Completion'!$BC$4:$BC$38,"Japan",'Status of Curriculum Completion'!$BH$4:$BH$38,"Planned")+SUMIFS('Status of Curriculum Completion'!$BZ$4:$BZ$38,'Status of Curriculum Completion'!$BP$4:$BP$38,"Japan",'Status of Curriculum Completion'!$BU$4:$BU$38,"Planned")</f>
        <v>0</v>
      </c>
      <c r="Q15" s="60">
        <f>SUMIFS('Status of Curriculum Completion'!$AZ$4:$AZ$38,'Status of Curriculum Completion'!$AP$4:$AP$38,"Japan",'Status of Curriculum Completion'!$AV$4:$AV$38,"Complete")+SUMIFS('Status of Curriculum Completion'!$BM$4:$BM$38,'Status of Curriculum Completion'!$BC$4:$BC$38,"Japan",'Status of Curriculum Completion'!$BI$4:$BI$38,"Complete")+SUMIFS('Status of Curriculum Completion'!$BZ$4:$BZ$38,'Status of Curriculum Completion'!$BP$4:$BP$38,"Japan",'Status of Curriculum Completion'!$BV$4:$BV$38,"Complete")</f>
        <v>0</v>
      </c>
      <c r="R15" s="60">
        <f>SUMIFS('Status of Curriculum Completion'!$AZ$4:$AZ$38,'Status of Curriculum Completion'!$AP$4:$AP$38,"Japan",'Status of Curriculum Completion'!$AV$4:$AV$38,"In Progress")+SUMIFS('Status of Curriculum Completion'!$BM$4:$BM$38,'Status of Curriculum Completion'!$BC$4:$BC$38,"Japan",'Status of Curriculum Completion'!$BI$4:$BI$38,"In Progress")+SUMIFS('Status of Curriculum Completion'!$BZ$4:$BZ$38,'Status of Curriculum Completion'!$BP$4:$BP$38,"Japan",'Status of Curriculum Completion'!$BV$4:$BV$38,"In Progress")</f>
        <v>0</v>
      </c>
      <c r="S15" s="60">
        <f>SUMIFS('Status of Curriculum Completion'!$AZ$4:$AZ$38,'Status of Curriculum Completion'!$AP$4:$AP$38,"Japan",'Status of Curriculum Completion'!$AV$4:$AV$38,"Planned")+SUMIFS('Status of Curriculum Completion'!$BM$4:$BM$38,'Status of Curriculum Completion'!$BC$4:$BC$38,"Japan",'Status of Curriculum Completion'!$BI$4:$BI$38,"Planned")+SUMIFS('Status of Curriculum Completion'!$BZ$4:$BZ$38,'Status of Curriculum Completion'!$BP$4:$BP$38,"Japan",'Status of Curriculum Completion'!$BV$4:$BV$38,"Planned")</f>
        <v>0</v>
      </c>
      <c r="U15" s="63" t="s">
        <v>1171</v>
      </c>
      <c r="V15" s="61">
        <f>SUMIFS('Status of Curriculum Completion'!$CM$4:$CM$38,'Status of Curriculum Completion'!$CC$4:$CC$38,"Japan",'Status of Curriculum Completion'!$CG$4:$CG$38,"Complete")+SUMIFS('Status of Curriculum Completion'!$CZ$4:$CZ$38,'Status of Curriculum Completion'!$CP$4:$CP$38,"Japan",'Status of Curriculum Completion'!$CT$4:$CT$38,"Complete")+SUMIFS('Status of Curriculum Completion'!$DM$4:$DM$38,'Status of Curriculum Completion'!$DC$4:$DC$38,"Japan",'Status of Curriculum Completion'!$DG$4:$DG$38,"Complete")</f>
        <v>0</v>
      </c>
      <c r="W15" s="61">
        <f>SUMIFS('Status of Curriculum Completion'!$CM$4:$CM$38,'Status of Curriculum Completion'!$CC$4:$CC$38,"Japan",'Status of Curriculum Completion'!$CG$4:$CG$38,"In Progress")+SUMIFS('Status of Curriculum Completion'!$CZ$4:$CZ$38,'Status of Curriculum Completion'!$CP$4:$CP$38,"Japan",'Status of Curriculum Completion'!$CT$4:$CT$38,"In Progress")+SUMIFS('Status of Curriculum Completion'!$DM$4:$DM$38,'Status of Curriculum Completion'!$DC$4:$DC$38,"Japan",'Status of Curriculum Completion'!$DG$4:$DG$38,"In Progress")</f>
        <v>0</v>
      </c>
      <c r="X15" s="61">
        <f>SUMIFS('Status of Curriculum Completion'!$CM$4:$CM$38,'Status of Curriculum Completion'!$CC$4:$CC$38,"Japan",'Status of Curriculum Completion'!$CG$4:$CG$38,"Planned")+SUMIFS('Status of Curriculum Completion'!$CZ$4:$CZ$38,'Status of Curriculum Completion'!$CP$4:$CP$38,"Japan",'Status of Curriculum Completion'!$CT$4:$CT$38,"Planned")+SUMIFS('Status of Curriculum Completion'!$DM$4:$DM$38,'Status of Curriculum Completion'!$DC$4:$DC$38,"Japan",'Status of Curriculum Completion'!$DG$4:$DG$38,"Planned")</f>
        <v>0</v>
      </c>
      <c r="Y15" s="61">
        <f>SUMIFS('Status of Curriculum Completion'!$CM$4:$CM$38,'Status of Curriculum Completion'!$CC$4:$CC$38,"Japan",'Status of Curriculum Completion'!$CG$4:$CG$38,"Tentative")+SUMIFS('Status of Curriculum Completion'!$CZ$4:$CZ$38,'Status of Curriculum Completion'!$CP$4:$CP$38,"Japan",'Status of Curriculum Completion'!$CT$4:$CT$38,"Tentative")+SUMIFS('Status of Curriculum Completion'!$DM$4:$DM$38,'Status of Curriculum Completion'!$DC$4:$DC$38,"Japan",'Status of Curriculum Completion'!$DG$4:$DG$38,"Tentative")</f>
        <v>0</v>
      </c>
      <c r="Z15" s="61">
        <f>SUMIFS('Status of Curriculum Completion'!$CM$4:$CM$38,'Status of Curriculum Completion'!$CC$4:$CC$38,"Japan",'Status of Curriculum Completion'!$CH$4:$CH$38,"Complete")+SUMIFS('Status of Curriculum Completion'!$CZ$4:$CZ$38,'Status of Curriculum Completion'!$CP$4:$CP$38,"Japan",'Status of Curriculum Completion'!$CU$4:$CU$38,"Complete")+SUMIFS('Status of Curriculum Completion'!$DM$4:$DM$38,'Status of Curriculum Completion'!$DC$4:$DC$38,"Japan",'Status of Curriculum Completion'!$DH$4:$DH$38,"Complete")</f>
        <v>0</v>
      </c>
      <c r="AA15" s="61">
        <f>SUMIFS('Status of Curriculum Completion'!$CM$4:$CM$38,'Status of Curriculum Completion'!$CC$4:$CC$38,"Japan",'Status of Curriculum Completion'!$CH$4:$CH$38,"In Progress")+SUMIFS('Status of Curriculum Completion'!$CZ$4:$CZ$38,'Status of Curriculum Completion'!$CP$4:$CP$38,"Japan",'Status of Curriculum Completion'!$CU$4:$CU$38,"In Progress")+SUMIFS('Status of Curriculum Completion'!$DM$4:$DM$38,'Status of Curriculum Completion'!$DC$4:$DC$38,"Japan",'Status of Curriculum Completion'!$DH$4:$DH$38,"In Progress")</f>
        <v>0</v>
      </c>
      <c r="AB15" s="61">
        <f>SUMIFS('Status of Curriculum Completion'!$CM$4:$CM$38,'Status of Curriculum Completion'!$CC$4:$CC$38,"Japan",'Status of Curriculum Completion'!$CH$4:$CH$38,"Planned")+SUMIFS('Status of Curriculum Completion'!$CZ$4:$CZ$38,'Status of Curriculum Completion'!$CP$4:$CP$38,"Japan",'Status of Curriculum Completion'!$CU$4:$CU$38,"Planned")+SUMIFS('Status of Curriculum Completion'!$DM$4:$DM$38,'Status of Curriculum Completion'!$DC$4:$DC$38,"Japan",'Status of Curriculum Completion'!$DH$4:$DH$38,"Planned")</f>
        <v>0</v>
      </c>
      <c r="AC15" s="61">
        <f>SUMIFS('Status of Curriculum Completion'!$CM$4:$CM$38,'Status of Curriculum Completion'!$CC$4:$CC$38,"Japan",'Status of Curriculum Completion'!$CH$4:$CH$38,"Tentative")+SUMIFS('Status of Curriculum Completion'!$CZ$4:$CZ$38,'Status of Curriculum Completion'!$CP$4:$CP$38,"Japan",'Status of Curriculum Completion'!$CU$4:$CU$38,"Tentative")+SUMIFS('Status of Curriculum Completion'!$DM$4:$DM$38,'Status of Curriculum Completion'!$DC$4:$DC$38,"Japan",'Status of Curriculum Completion'!$DH$4:$DH$38,"Tentative")</f>
        <v>0</v>
      </c>
      <c r="AD15" s="61">
        <f>SUMIFS('Status of Curriculum Completion'!$CM$4:$CM$38,'Status of Curriculum Completion'!$CC$4:$CC$38,"Japan",'Status of Curriculum Completion'!$CI$4:$CI$38,"Complete")+SUMIFS('Status of Curriculum Completion'!$CZ$4:$CZ$38,'Status of Curriculum Completion'!$CP$4:$CP$38,"Japan",'Status of Curriculum Completion'!$CV$4:$CV$38,"Complete")+SUMIFS('Status of Curriculum Completion'!$DM$4:$DM$38,'Status of Curriculum Completion'!$DC$4:$DC$38,"Japan",'Status of Curriculum Completion'!$DI$4:$DI$38,"Complete")</f>
        <v>0</v>
      </c>
      <c r="AE15" s="61">
        <f>SUMIFS('Status of Curriculum Completion'!$CM$4:$CM$38,'Status of Curriculum Completion'!$CC$4:$CC$38,"Japan",'Status of Curriculum Completion'!$CI$4:$CI$38,"In Progress")+SUMIFS('Status of Curriculum Completion'!$CZ$4:$CZ$38,'Status of Curriculum Completion'!$CP$4:$CP$38,"Japan",'Status of Curriculum Completion'!$CV$4:$CV$38,"In Progress")+SUMIFS('Status of Curriculum Completion'!$DM$4:$DM$38,'Status of Curriculum Completion'!$DC$4:$DC$38,"Japan",'Status of Curriculum Completion'!$DI$4:$DI$38,"In Progress")</f>
        <v>0</v>
      </c>
      <c r="AF15" s="61">
        <f>SUMIFS('Status of Curriculum Completion'!$CM$4:$CM$38,'Status of Curriculum Completion'!$CC$4:$CC$38,"Japan",'Status of Curriculum Completion'!$CI$4:$CI$38,"Planned")+SUMIFS('Status of Curriculum Completion'!$CZ$4:$CZ$38,'Status of Curriculum Completion'!$CP$4:$CP$38,"Japan",'Status of Curriculum Completion'!$CV$4:$CV$38,"Planned")+SUMIFS('Status of Curriculum Completion'!$DM$4:$DM$38,'Status of Curriculum Completion'!$DC$4:$DC$38,"Japan",'Status of Curriculum Completion'!$DI$4:$DI$38,"Planned")</f>
        <v>0</v>
      </c>
      <c r="AG15" s="61">
        <f>SUMIFS('Status of Curriculum Completion'!$CM$4:$CM$38,'Status of Curriculum Completion'!$CC$4:$CC$38,"Japan",'Status of Curriculum Completion'!$CI$4:$CI$38,"Tentative")+SUMIFS('Status of Curriculum Completion'!$CZ$4:$CZ$38,'Status of Curriculum Completion'!$CP$4:$CP$38,"Japan",'Status of Curriculum Completion'!$CV$4:$CV$38,"Tentative")+SUMIFS('Status of Curriculum Completion'!$DM$4:$DM$38,'Status of Curriculum Completion'!$DC$4:$DC$38,"Japan",'Status of Curriculum Completion'!$DI$4:$DI$38,"Tentative")</f>
        <v>0</v>
      </c>
      <c r="AH15" s="62">
        <f>SUMIFS('Status of Curriculum Completion'!$DZ$4:$DZ$38,'Status of Curriculum Completion'!$DP$4:$DP$38,"Japan",'Status of Curriculum Completion'!$DT$4:$DT$38,"Complete")+SUMIFS('Status of Curriculum Completion'!$EM$4:$EM$38,'Status of Curriculum Completion'!$EC$4:$EC$38,"Japan",'Status of Curriculum Completion'!$EG$4:$EG$38,"Complete")+SUMIFS('Status of Curriculum Completion'!$EZ$4:$EZ$38,'Status of Curriculum Completion'!$EP$4:$EP$38,"Japan",'Status of Curriculum Completion'!$ET$4:$ET$38,"Complete")</f>
        <v>0</v>
      </c>
      <c r="AI15" s="62">
        <f>SUMIFS('Status of Curriculum Completion'!$DZ$4:$DZ$38,'Status of Curriculum Completion'!$DP$4:$DP$38,"Japan",'Status of Curriculum Completion'!$DT$4:$DT$38,"In Progress")+SUMIFS('Status of Curriculum Completion'!$EM$4:$EM$38,'Status of Curriculum Completion'!$EC$4:$EC$38,"Japan",'Status of Curriculum Completion'!$EG$4:$EG$38,"In Progress")+SUMIFS('Status of Curriculum Completion'!$EZ$4:$EZ$38,'Status of Curriculum Completion'!$EP$4:$EP$38,"Japan",'Status of Curriculum Completion'!$ET$4:$ET$38,"In Progress")</f>
        <v>0</v>
      </c>
      <c r="AJ15" s="62">
        <f>SUMIFS('Status of Curriculum Completion'!$DZ$4:$DZ$38,'Status of Curriculum Completion'!$DP$4:$DP$38,"Japan",'Status of Curriculum Completion'!$DT$4:$DT$38,"Planned")+SUMIFS('Status of Curriculum Completion'!$EM$4:$EM$38,'Status of Curriculum Completion'!$EC$4:$EC$38,"Japan",'Status of Curriculum Completion'!$EG$4:$EG$38,"Planned")+SUMIFS('Status of Curriculum Completion'!$EZ$4:$EZ$38,'Status of Curriculum Completion'!$EP$4:$EP$38,"Japan",'Status of Curriculum Completion'!$ET$4:$ET$38,"Planned")</f>
        <v>0</v>
      </c>
      <c r="AK15" s="62">
        <f>SUMIFS('Status of Curriculum Completion'!$DZ$4:$DZ$38,'Status of Curriculum Completion'!$DP$4:$DP$38,"Japan",'Status of Curriculum Completion'!$DT$4:$DT$38,"Tentative")+SUMIFS('Status of Curriculum Completion'!$EM$4:$EM$38,'Status of Curriculum Completion'!$EC$4:$EC$38,"Japan",'Status of Curriculum Completion'!$EG$4:$EG$38,"Tentative")+SUMIFS('Status of Curriculum Completion'!$EZ$4:$EZ$38,'Status of Curriculum Completion'!$EP$4:$EP$38,"Japan",'Status of Curriculum Completion'!$ET$4:$ET$38,"Tentative")</f>
        <v>0</v>
      </c>
      <c r="AL15" s="62">
        <f>SUMIFS('Status of Curriculum Completion'!$DZ$4:$DZ$38,'Status of Curriculum Completion'!$DP$4:$DP$38,"Japan",'Status of Curriculum Completion'!$DU$4:$DU$38,"Complete")+SUMIFS('Status of Curriculum Completion'!$EM$4:$EM$38,'Status of Curriculum Completion'!$EC$4:$EC$38,"Japan",'Status of Curriculum Completion'!$EH$4:$EH$38,"Complete")+SUMIFS('Status of Curriculum Completion'!$EZ$4:$EZ$38,'Status of Curriculum Completion'!$EP$4:$EP$38,"Japan",'Status of Curriculum Completion'!$EU$4:$EU$38,"Complete")</f>
        <v>0</v>
      </c>
      <c r="AM15" s="62">
        <f>SUMIFS('Status of Curriculum Completion'!$DZ$4:$DZ$38,'Status of Curriculum Completion'!$DP$4:$DP$38,"Japan",'Status of Curriculum Completion'!$DU$4:$DU$38,"In Progress")+SUMIFS('Status of Curriculum Completion'!$EM$4:$EM$38,'Status of Curriculum Completion'!$EC$4:$EC$38,"Japan",'Status of Curriculum Completion'!$EH$4:$EH$38,"In Progress")+SUMIFS('Status of Curriculum Completion'!$EZ$4:$EZ$38,'Status of Curriculum Completion'!$EP$4:$EP$38,"Japan",'Status of Curriculum Completion'!$EU$4:$EU$38,"In Progress")</f>
        <v>0</v>
      </c>
      <c r="AN15" s="62">
        <f>SUMIFS('Status of Curriculum Completion'!$DZ$4:$DZ$38,'Status of Curriculum Completion'!$DP$4:$DP$38,"Japan",'Status of Curriculum Completion'!$DU$4:$DU$38,"Planned")+SUMIFS('Status of Curriculum Completion'!$EM$4:$EM$38,'Status of Curriculum Completion'!$EC$4:$EC$38,"Japan",'Status of Curriculum Completion'!$EH$4:$EH$38,"Planned")+SUMIFS('Status of Curriculum Completion'!$EZ$4:$EZ$38,'Status of Curriculum Completion'!$EP$4:$EP$38,"Japan",'Status of Curriculum Completion'!$EU$4:$EU$38,"Planned")</f>
        <v>0</v>
      </c>
      <c r="AO15" s="62">
        <f>SUMIFS('Status of Curriculum Completion'!$DZ$4:$DZ$38,'Status of Curriculum Completion'!$DP$4:$DP$38,"Japan",'Status of Curriculum Completion'!$DU$4:$DU$38,"Tentative")+SUMIFS('Status of Curriculum Completion'!$EM$4:$EM$38,'Status of Curriculum Completion'!$EC$4:$EC$38,"Japan",'Status of Curriculum Completion'!$EH$4:$EH$38,"Tentative")+SUMIFS('Status of Curriculum Completion'!$EZ$4:$EZ$38,'Status of Curriculum Completion'!$EP$4:$EP$38,"Japan",'Status of Curriculum Completion'!$EU$4:$EU$38,"Tentative")</f>
        <v>0</v>
      </c>
      <c r="AP15" s="62">
        <f>SUMIFS('Status of Curriculum Completion'!$DZ$4:$DZ$38,'Status of Curriculum Completion'!$DP$4:$DP$38,"Japan",'Status of Curriculum Completion'!$DV$4:$DV$38,"Complete")+SUMIFS('Status of Curriculum Completion'!$EM$4:$EM$38,'Status of Curriculum Completion'!$EC$4:$EC$38,"Japan",'Status of Curriculum Completion'!$EI$4:$EI$38,"Complete")+SUMIFS('Status of Curriculum Completion'!$EZ$4:$EZ$38,'Status of Curriculum Completion'!$EP$4:$EP$38,"Japan",'Status of Curriculum Completion'!$EV$4:$EV$38,"Complete")</f>
        <v>0</v>
      </c>
      <c r="AQ15" s="62">
        <f>SUMIFS('Status of Curriculum Completion'!$DZ$4:$DZ$38,'Status of Curriculum Completion'!$DP$4:$DP$38,"Japan",'Status of Curriculum Completion'!$DV$4:$DV$38,"In Progress")+SUMIFS('Status of Curriculum Completion'!$EM$4:$EM$38,'Status of Curriculum Completion'!$EC$4:$EC$38,"Japan",'Status of Curriculum Completion'!$EI$4:$EI$38,"In Progress")+SUMIFS('Status of Curriculum Completion'!$EZ$4:$EZ$38,'Status of Curriculum Completion'!$EP$4:$EP$38,"Japan",'Status of Curriculum Completion'!$EV$4:$EV$38,"In Progress")</f>
        <v>0</v>
      </c>
      <c r="AR15" s="62">
        <f>SUMIFS('Status of Curriculum Completion'!$DZ$4:$DZ$38,'Status of Curriculum Completion'!$DP$4:$DP$38,"Japan",'Status of Curriculum Completion'!$DV$4:$DV$38,"Planned")+SUMIFS('Status of Curriculum Completion'!$EM$4:$EM$38,'Status of Curriculum Completion'!$EC$4:$EC$38,"Japan",'Status of Curriculum Completion'!$EI$4:$EI$38,"Planned")+SUMIFS('Status of Curriculum Completion'!$EZ$4:$EZ$38,'Status of Curriculum Completion'!$EP$4:$EP$38,"Japan",'Status of Curriculum Completion'!$EV$4:$EV$38,"Planned")</f>
        <v>0</v>
      </c>
      <c r="AS15" s="62">
        <f>SUMIFS('Status of Curriculum Completion'!$DZ$4:$DZ$38,'Status of Curriculum Completion'!$DP$4:$DP$38,"Japan",'Status of Curriculum Completion'!$DV$4:$DV$38,"Tentative")+SUMIFS('Status of Curriculum Completion'!$EM$4:$EM$38,'Status of Curriculum Completion'!$EC$4:$EC$38,"Japan",'Status of Curriculum Completion'!$EI$4:$EI$38,"Tentative")+SUMIFS('Status of Curriculum Completion'!$EZ$4:$EZ$38,'Status of Curriculum Completion'!$EP$4:$EP$38,"Japan",'Status of Curriculum Completion'!$EV$4:$EV$38,"Tentative")</f>
        <v>0</v>
      </c>
    </row>
    <row r="16" spans="1:45" ht="29.5" thickBot="1">
      <c r="A16" s="63" t="s">
        <v>1172</v>
      </c>
      <c r="B16" s="59">
        <f>SUMIFS('Status of Curriculum Completion'!M$4:M$38,'Status of Curriculum Completion'!C$4:C$38,"Geo MEA",'Status of Curriculum Completion'!G$4:G$38,"Complete")+SUMIFS('Status of Curriculum Completion'!Z$4:Z$38,'Status of Curriculum Completion'!P$4:P$38,"Geo MEA",'Status of Curriculum Completion'!T$4:T$38,"Complete")+SUMIFS('Status of Curriculum Completion'!AM$4:AM$38,'Status of Curriculum Completion'!AC$4:AC$38,"Geo MEA",'Status of Curriculum Completion'!AG$4:AG$38,"Complete")</f>
        <v>0</v>
      </c>
      <c r="C16" s="59">
        <f>SUMIFS('Status of Curriculum Completion'!$M$4:$M$38,'Status of Curriculum Completion'!$C$4:$C$38,"Geo MEA",'Status of Curriculum Completion'!$G$4:$G$38,"In progress")+SUMIFS('Status of Curriculum Completion'!$Z$4:$Z$38,'Status of Curriculum Completion'!$P$4:$P$38,"Geo MEA",'Status of Curriculum Completion'!$T$4:$T$38,"In progress")+SUMIFS('Status of Curriculum Completion'!$AM$4:$AM$38,'Status of Curriculum Completion'!$AC$4:$AC$38,"Geo MEA",'Status of Curriculum Completion'!$AG$4:$AG$38,"In progress")</f>
        <v>0</v>
      </c>
      <c r="D16" s="59">
        <f>SUMIFS('Status of Curriculum Completion'!$M$4:$M$38,'Status of Curriculum Completion'!$C$4:$C$38,"Geo MEA",'Status of Curriculum Completion'!$G$4:$G$38,"Planned")+SUMIFS('Status of Curriculum Completion'!$Z$4:$Z$38,'Status of Curriculum Completion'!$P$4:$P$38,"Geo MEA",'Status of Curriculum Completion'!$T$4:$T$38,"Planned")+SUMIFS('Status of Curriculum Completion'!$AM$4:$AM$38,'Status of Curriculum Completion'!$AC$4:$AC$38,"Geo MEA",'Status of Curriculum Completion'!$AG$4:$AG$38,"Planned")</f>
        <v>0</v>
      </c>
      <c r="E16" s="59">
        <f>SUMIFS('Status of Curriculum Completion'!$M$4:$M$38,'Status of Curriculum Completion'!$C$4:$C$38,"Geo MEA",'Status of Curriculum Completion'!$H$4:$H$38,"Complete")+SUMIFS('Status of Curriculum Completion'!$Z$4:$Z$38,'Status of Curriculum Completion'!$P$4:$P$38,"Geo MEA",'Status of Curriculum Completion'!$U$4:$U$38,"Complete")+SUMIFS('Status of Curriculum Completion'!$AM$4:$AM$38,'Status of Curriculum Completion'!$AC$4:$AC$38,"Geo MEA",'Status of Curriculum Completion'!$AH$4:$AH$38,"Complete")</f>
        <v>0</v>
      </c>
      <c r="F16" s="59">
        <f>SUMIFS('Status of Curriculum Completion'!$M$4:$M$38,'Status of Curriculum Completion'!$C$4:$C$38,"Geo MEA",'Status of Curriculum Completion'!$H$4:$H$38,"In Progress")+SUMIFS('Status of Curriculum Completion'!$Z$4:$Z$38,'Status of Curriculum Completion'!$P$4:$P$38,"Geo MEA",'Status of Curriculum Completion'!$U$4:$U$38,"In Progress")+SUMIFS('Status of Curriculum Completion'!$AM$4:$AM$38,'Status of Curriculum Completion'!$AC$4:$AC$38,"Geo MEA",'Status of Curriculum Completion'!$AH$4:$AH$38,"In Progress")</f>
        <v>0</v>
      </c>
      <c r="G16" s="59">
        <f>SUMIFS('Status of Curriculum Completion'!$M$4:$M$38,'Status of Curriculum Completion'!$C$4:$C$38,"Geo MEA",'Status of Curriculum Completion'!$H$4:$H$38,"Planned")+SUMIFS('Status of Curriculum Completion'!$Z$4:$Z$38,'Status of Curriculum Completion'!$P$4:$P$38,"Geo MEA",'Status of Curriculum Completion'!$U$4:$U$38,"Planned")+SUMIFS('Status of Curriculum Completion'!$AM$4:$AM$38,'Status of Curriculum Completion'!$AC$4:$AC$38,"Geo MEA",'Status of Curriculum Completion'!$AH$4:$AH$38,"Planned")</f>
        <v>0</v>
      </c>
      <c r="H16" s="59">
        <f>SUMIFS('Status of Curriculum Completion'!$M$4:$M$38,'Status of Curriculum Completion'!$C$4:$C$38,"Geo MEA",'Status of Curriculum Completion'!$I$4:$I$38,"Complete")+SUMIFS('Status of Curriculum Completion'!$Z$4:$Z$38,'Status of Curriculum Completion'!$P$4:$P$38,"Geo MEA",'Status of Curriculum Completion'!$V$4:$V$38,"Complete")+SUMIFS('Status of Curriculum Completion'!$AM$4:$AM$38,'Status of Curriculum Completion'!$AC$4:$AC$38,"Geo MEA",'Status of Curriculum Completion'!$AI$4:$AI$38,"Complete")</f>
        <v>0</v>
      </c>
      <c r="I16" s="59">
        <f>SUMIFS('Status of Curriculum Completion'!$M$4:$M$38,'Status of Curriculum Completion'!$C$4:$C$38,"Geo MEA",'Status of Curriculum Completion'!$I$4:$I$38,"In Progress")+SUMIFS('Status of Curriculum Completion'!$Z$4:$Z$38,'Status of Curriculum Completion'!$P$4:$P$38,"Geo MEA",'Status of Curriculum Completion'!$V$4:$V$38,"In Progress")+SUMIFS('Status of Curriculum Completion'!$AM$4:$AM$38,'Status of Curriculum Completion'!$AC$4:$AC$38,"Geo MEA",'Status of Curriculum Completion'!$AI$4:$AI$38,"In Progress")</f>
        <v>0</v>
      </c>
      <c r="J16" s="59">
        <f>SUMIFS('Status of Curriculum Completion'!$M$4:$M$38,'Status of Curriculum Completion'!$C$4:$C$38,"Geo MEA",'Status of Curriculum Completion'!$I$4:$I$38,"Planned")+SUMIFS('Status of Curriculum Completion'!$Z$4:$Z$38,'Status of Curriculum Completion'!$P$4:$P$38,"Geo MEA",'Status of Curriculum Completion'!$V$4:$V$38,"Planned")+SUMIFS('Status of Curriculum Completion'!$AM$4:$AM$38,'Status of Curriculum Completion'!$AC$4:$AC$38,"Geo MEA",'Status of Curriculum Completion'!$AI$4:$AI$38,"Planned")</f>
        <v>0</v>
      </c>
      <c r="K16" s="60">
        <f>SUMIFS('Status of Curriculum Completion'!$AZ$4:$AZ$38,'Status of Curriculum Completion'!$AP$4:$AP$38,"Geo MEA",'Status of Curriculum Completion'!$AT$4:$AT$38,"Complete")+SUMIFS('Status of Curriculum Completion'!$BM$4:$BM$38,'Status of Curriculum Completion'!$BC$4:$BC$38,"Geo MEA",'Status of Curriculum Completion'!$BG$4:$BG$38,"Complete")+SUMIFS('Status of Curriculum Completion'!$BZ$4:$BZ$38,'Status of Curriculum Completion'!$BP$4:$BP$38,"Geo MEA",'Status of Curriculum Completion'!$BT$4:$BT$38,"Complete")</f>
        <v>0</v>
      </c>
      <c r="L16" s="60">
        <f>SUMIFS('Status of Curriculum Completion'!$AZ$4:$AZ$38,'Status of Curriculum Completion'!$AP$4:$AP$38,"Geo MEA",'Status of Curriculum Completion'!$AT$4:$AT$38,"In Progress")+SUMIFS('Status of Curriculum Completion'!$BM$4:$BM$38,'Status of Curriculum Completion'!$BC$4:$BC$38,"Geo MEA",'Status of Curriculum Completion'!$BG$4:$BG$38,"In Progress")+SUMIFS('Status of Curriculum Completion'!$BZ$4:$BZ$38,'Status of Curriculum Completion'!$BP$4:$BP$38,"Geo MEA",'Status of Curriculum Completion'!$BT$4:$BT$38,"In Progress")</f>
        <v>0</v>
      </c>
      <c r="M16" s="60">
        <f>SUMIFS('Status of Curriculum Completion'!$AZ$4:$AZ$38,'Status of Curriculum Completion'!$AP$4:$AP$38,"Geo MEA",'Status of Curriculum Completion'!$AT$4:$AT$38,"Planned")+SUMIFS('Status of Curriculum Completion'!$BM$4:$BM$38,'Status of Curriculum Completion'!$BC$4:$BC$38,"Geo MEA",'Status of Curriculum Completion'!$BG$4:$BG$38,"Planned")+SUMIFS('Status of Curriculum Completion'!$BZ$4:$BZ$38,'Status of Curriculum Completion'!$BP$4:$BP$38,"Geo MEA",'Status of Curriculum Completion'!$BT$4:$BT$38,"Planned")</f>
        <v>0</v>
      </c>
      <c r="N16" s="60">
        <f>SUMIFS('Status of Curriculum Completion'!$AZ$4:$AZ$38,'Status of Curriculum Completion'!$AP$4:$AP$38,"Geo MEA",'Status of Curriculum Completion'!$AU$4:$AU$38,"Complete")+SUMIFS('Status of Curriculum Completion'!$BM$4:$BM$38,'Status of Curriculum Completion'!$BC$4:$BC$38,"Geo MEA",'Status of Curriculum Completion'!$BH$4:$BH$38,"Complete")+SUMIFS('Status of Curriculum Completion'!$BZ$4:$BZ$38,'Status of Curriculum Completion'!$BP$4:$BP$38,"Geo MEA",'Status of Curriculum Completion'!$BU$4:$BU$38,"Complete")</f>
        <v>0</v>
      </c>
      <c r="O16" s="60">
        <f>SUMIFS('Status of Curriculum Completion'!$AZ$4:$AZ$38,'Status of Curriculum Completion'!$AP$4:$AP$38,"Geo MEA",'Status of Curriculum Completion'!$AU$4:$AU$38,"In Progress")+SUMIFS('Status of Curriculum Completion'!$BM$4:$BM$38,'Status of Curriculum Completion'!$BC$4:$BC$38,"Geo MEA",'Status of Curriculum Completion'!$BH$4:$BH$38,"In Progress")+SUMIFS('Status of Curriculum Completion'!$BZ$4:$BZ$38,'Status of Curriculum Completion'!$BP$4:$BP$38,"Geo MEA",'Status of Curriculum Completion'!$BU$4:$BU$38,"In Progress")</f>
        <v>0</v>
      </c>
      <c r="P16" s="60">
        <f>SUMIFS('Status of Curriculum Completion'!$AZ$4:$AZ$38,'Status of Curriculum Completion'!$AP$4:$AP$38,"Geo MEA",'Status of Curriculum Completion'!$AU$4:$AU$38,"Planned")+SUMIFS('Status of Curriculum Completion'!$BM$4:$BM$38,'Status of Curriculum Completion'!$BC$4:$BC$38,"Geo MEA",'Status of Curriculum Completion'!$BH$4:$BH$38,"Planned")+SUMIFS('Status of Curriculum Completion'!$BZ$4:$BZ$38,'Status of Curriculum Completion'!$BP$4:$BP$38,"Geo MEA",'Status of Curriculum Completion'!$BU$4:$BU$38,"Planned")</f>
        <v>0</v>
      </c>
      <c r="Q16" s="60">
        <f>SUMIFS('Status of Curriculum Completion'!$AZ$4:$AZ$38,'Status of Curriculum Completion'!$AP$4:$AP$38,"Geo MEA",'Status of Curriculum Completion'!$AV$4:$AV$38,"Complete")+SUMIFS('Status of Curriculum Completion'!$BM$4:$BM$38,'Status of Curriculum Completion'!$BC$4:$BC$38,"Geo MEA",'Status of Curriculum Completion'!$BI$4:$BI$38,"Complete")+SUMIFS('Status of Curriculum Completion'!$BZ$4:$BZ$38,'Status of Curriculum Completion'!$BP$4:$BP$38,"Geo MEA",'Status of Curriculum Completion'!$BV$4:$BV$38,"Complete")</f>
        <v>0</v>
      </c>
      <c r="R16" s="60">
        <f>SUMIFS('Status of Curriculum Completion'!$AZ$4:$AZ$38,'Status of Curriculum Completion'!$AP$4:$AP$38,"Geo MEA",'Status of Curriculum Completion'!$AV$4:$AV$38,"In Progress")+SUMIFS('Status of Curriculum Completion'!$BM$4:$BM$38,'Status of Curriculum Completion'!$BC$4:$BC$38,"Geo MEA",'Status of Curriculum Completion'!$BI$4:$BI$38,"In Progress")+SUMIFS('Status of Curriculum Completion'!$BZ$4:$BZ$38,'Status of Curriculum Completion'!$BP$4:$BP$38,"Geo MEA",'Status of Curriculum Completion'!$BV$4:$BV$38,"In Progress")</f>
        <v>0</v>
      </c>
      <c r="S16" s="60">
        <f>SUMIFS('Status of Curriculum Completion'!$AZ$4:$AZ$38,'Status of Curriculum Completion'!$AP$4:$AP$38,"Geo MEA",'Status of Curriculum Completion'!$AV$4:$AV$38,"Planned")+SUMIFS('Status of Curriculum Completion'!$BM$4:$BM$38,'Status of Curriculum Completion'!$BC$4:$BC$38,"Geo MEA",'Status of Curriculum Completion'!$BI$4:$BI$38,"Planned")+SUMIFS('Status of Curriculum Completion'!$BZ$4:$BZ$38,'Status of Curriculum Completion'!$BP$4:$BP$38,"Geo MEA",'Status of Curriculum Completion'!$BV$4:$BV$38,"Planned")</f>
        <v>0</v>
      </c>
      <c r="U16" s="63" t="s">
        <v>1172</v>
      </c>
      <c r="V16" s="61">
        <f>SUMIFS('Status of Curriculum Completion'!$CM$4:$CM$38,'Status of Curriculum Completion'!$CC$4:$CC$38,"Geo MEA",'Status of Curriculum Completion'!$CG$4:$CG$38,"Complete")+SUMIFS('Status of Curriculum Completion'!$CZ$4:$CZ$38,'Status of Curriculum Completion'!$CP$4:$CP$38,"Geo MEA",'Status of Curriculum Completion'!$CT$4:$CT$38,"Complete")+SUMIFS('Status of Curriculum Completion'!$DM$4:$DM$38,'Status of Curriculum Completion'!$DC$4:$DC$38,"Geo MEA",'Status of Curriculum Completion'!$DG$4:$DG$38,"Complete")</f>
        <v>0</v>
      </c>
      <c r="W16" s="61">
        <f>SUMIFS('Status of Curriculum Completion'!$CM$4:$CM$38,'Status of Curriculum Completion'!$CC$4:$CC$38,"Geo MEA",'Status of Curriculum Completion'!$CG$4:$CG$38,"In Progress")+SUMIFS('Status of Curriculum Completion'!$CZ$4:$CZ$38,'Status of Curriculum Completion'!$CP$4:$CP$38,"Geo MEA",'Status of Curriculum Completion'!$CT$4:$CT$38,"In Progress")+SUMIFS('Status of Curriculum Completion'!$DM$4:$DM$38,'Status of Curriculum Completion'!$DC$4:$DC$38,"Geo MEA",'Status of Curriculum Completion'!$DG$4:$DG$38,"In Progress")</f>
        <v>0</v>
      </c>
      <c r="X16" s="61">
        <f>SUMIFS('Status of Curriculum Completion'!$CM$4:$CM$38,'Status of Curriculum Completion'!$CC$4:$CC$38,"Geo MEA",'Status of Curriculum Completion'!$CG$4:$CG$38,"Planned")+SUMIFS('Status of Curriculum Completion'!$CZ$4:$CZ$38,'Status of Curriculum Completion'!$CP$4:$CP$38,"Geo MEA",'Status of Curriculum Completion'!$CT$4:$CT$38,"Planned")+SUMIFS('Status of Curriculum Completion'!$DM$4:$DM$38,'Status of Curriculum Completion'!$DC$4:$DC$38,"Geo MEA",'Status of Curriculum Completion'!$DG$4:$DG$38,"Planned")</f>
        <v>0</v>
      </c>
      <c r="Y16" s="61">
        <f>SUMIFS('Status of Curriculum Completion'!$CM$4:$CM$38,'Status of Curriculum Completion'!$CC$4:$CC$38,"Geo MEA",'Status of Curriculum Completion'!$CG$4:$CG$38,"Tentative")+SUMIFS('Status of Curriculum Completion'!$CZ$4:$CZ$38,'Status of Curriculum Completion'!$CP$4:$CP$38,"Geo MEA",'Status of Curriculum Completion'!$CT$4:$CT$38,"Tentative")+SUMIFS('Status of Curriculum Completion'!$DM$4:$DM$38,'Status of Curriculum Completion'!$DC$4:$DC$38,"Geo MEA",'Status of Curriculum Completion'!$DG$4:$DG$38,"Tentative")</f>
        <v>0</v>
      </c>
      <c r="Z16" s="61">
        <f>SUMIFS('Status of Curriculum Completion'!$CM$4:$CM$38,'Status of Curriculum Completion'!$CC$4:$CC$38,"Geo MEA",'Status of Curriculum Completion'!$CH$4:$CH$38,"Complete")+SUMIFS('Status of Curriculum Completion'!$CZ$4:$CZ$38,'Status of Curriculum Completion'!$CP$4:$CP$38,"Geo MEA",'Status of Curriculum Completion'!$CU$4:$CU$38,"Complete")+SUMIFS('Status of Curriculum Completion'!$DM$4:$DM$38,'Status of Curriculum Completion'!$DC$4:$DC$38,"Geo MEA",'Status of Curriculum Completion'!$DH$4:$DH$38,"Complete")</f>
        <v>0</v>
      </c>
      <c r="AA16" s="61">
        <f>SUMIFS('Status of Curriculum Completion'!$CM$4:$CM$38,'Status of Curriculum Completion'!$CC$4:$CC$38,"Geo MEA",'Status of Curriculum Completion'!$CH$4:$CH$38,"In Progress")+SUMIFS('Status of Curriculum Completion'!$CZ$4:$CZ$38,'Status of Curriculum Completion'!$CP$4:$CP$38,"Geo MEA",'Status of Curriculum Completion'!$CU$4:$CU$38,"In Progress")+SUMIFS('Status of Curriculum Completion'!$DM$4:$DM$38,'Status of Curriculum Completion'!$DC$4:$DC$38,"Geo MEA",'Status of Curriculum Completion'!$DH$4:$DH$38,"In Progress")</f>
        <v>0</v>
      </c>
      <c r="AB16" s="61">
        <f>SUMIFS('Status of Curriculum Completion'!$CM$4:$CM$38,'Status of Curriculum Completion'!$CC$4:$CC$38,"Geo MEA",'Status of Curriculum Completion'!$CH$4:$CH$38,"Planned")+SUMIFS('Status of Curriculum Completion'!$CZ$4:$CZ$38,'Status of Curriculum Completion'!$CP$4:$CP$38,"Geo MEA",'Status of Curriculum Completion'!$CU$4:$CU$38,"Planned")+SUMIFS('Status of Curriculum Completion'!$DM$4:$DM$38,'Status of Curriculum Completion'!$DC$4:$DC$38,"Geo MEA",'Status of Curriculum Completion'!$DH$4:$DH$38,"Planned")</f>
        <v>0</v>
      </c>
      <c r="AC16" s="61">
        <f>SUMIFS('Status of Curriculum Completion'!$CM$4:$CM$38,'Status of Curriculum Completion'!$CC$4:$CC$38,"Geo MEA",'Status of Curriculum Completion'!$CH$4:$CH$38,"Tentative")+SUMIFS('Status of Curriculum Completion'!$CZ$4:$CZ$38,'Status of Curriculum Completion'!$CP$4:$CP$38,"Geo MEA",'Status of Curriculum Completion'!$CU$4:$CU$38,"Tentative")+SUMIFS('Status of Curriculum Completion'!$DM$4:$DM$38,'Status of Curriculum Completion'!$DC$4:$DC$38,"Geo MEA",'Status of Curriculum Completion'!$DH$4:$DH$38,"Tentative")</f>
        <v>0</v>
      </c>
      <c r="AD16" s="61">
        <f>SUMIFS('Status of Curriculum Completion'!$CM$4:$CM$38,'Status of Curriculum Completion'!$CC$4:$CC$38,"Geo MEA",'Status of Curriculum Completion'!$CI$4:$CI$38,"Complete")+SUMIFS('Status of Curriculum Completion'!$CZ$4:$CZ$38,'Status of Curriculum Completion'!$CP$4:$CP$38,"Geo MEA",'Status of Curriculum Completion'!$CV$4:$CV$38,"Complete")+SUMIFS('Status of Curriculum Completion'!$DM$4:$DM$38,'Status of Curriculum Completion'!$DC$4:$DC$38,"Geo MEA",'Status of Curriculum Completion'!$DI$4:$DI$38,"Complete")</f>
        <v>0</v>
      </c>
      <c r="AE16" s="61">
        <f>SUMIFS('Status of Curriculum Completion'!$CM$4:$CM$38,'Status of Curriculum Completion'!$CC$4:$CC$38,"Geo MEA",'Status of Curriculum Completion'!$CI$4:$CI$38,"In Progress")+SUMIFS('Status of Curriculum Completion'!$CZ$4:$CZ$38,'Status of Curriculum Completion'!$CP$4:$CP$38,"Geo MEA",'Status of Curriculum Completion'!$CV$4:$CV$38,"In Progress")+SUMIFS('Status of Curriculum Completion'!$DM$4:$DM$38,'Status of Curriculum Completion'!$DC$4:$DC$38,"Geo MEA",'Status of Curriculum Completion'!$DI$4:$DI$38,"In Progress")</f>
        <v>0</v>
      </c>
      <c r="AF16" s="61">
        <f>SUMIFS('Status of Curriculum Completion'!$CM$4:$CM$38,'Status of Curriculum Completion'!$CC$4:$CC$38,"Geo MEA",'Status of Curriculum Completion'!$CI$4:$CI$38,"Planned")+SUMIFS('Status of Curriculum Completion'!$CZ$4:$CZ$38,'Status of Curriculum Completion'!$CP$4:$CP$38,"Geo MEA",'Status of Curriculum Completion'!$CV$4:$CV$38,"Planned")+SUMIFS('Status of Curriculum Completion'!$DM$4:$DM$38,'Status of Curriculum Completion'!$DC$4:$DC$38,"Geo MEA",'Status of Curriculum Completion'!$DI$4:$DI$38,"Planned")</f>
        <v>0</v>
      </c>
      <c r="AG16" s="61">
        <f>SUMIFS('Status of Curriculum Completion'!$CM$4:$CM$38,'Status of Curriculum Completion'!$CC$4:$CC$38,"Geo MEA",'Status of Curriculum Completion'!$CI$4:$CI$38,"Tentative")+SUMIFS('Status of Curriculum Completion'!$CZ$4:$CZ$38,'Status of Curriculum Completion'!$CP$4:$CP$38,"Geo MEA",'Status of Curriculum Completion'!$CV$4:$CV$38,"Tentative")+SUMIFS('Status of Curriculum Completion'!$DM$4:$DM$38,'Status of Curriculum Completion'!$DC$4:$DC$38,"Geo MEA",'Status of Curriculum Completion'!$DI$4:$DI$38,"Tentative")</f>
        <v>0</v>
      </c>
      <c r="AH16" s="62">
        <f>SUMIFS('Status of Curriculum Completion'!$DZ$4:$DZ$38,'Status of Curriculum Completion'!$DP$4:$DP$38,"Geo MEA",'Status of Curriculum Completion'!$DT$4:$DT$38,"Complete")+SUMIFS('Status of Curriculum Completion'!$EM$4:$EM$38,'Status of Curriculum Completion'!$EC$4:$EC$38,"Geo MEA",'Status of Curriculum Completion'!$EG$4:$EG$38,"Complete")+SUMIFS('Status of Curriculum Completion'!$EZ$4:$EZ$38,'Status of Curriculum Completion'!$EP$4:$EP$38,"Geo MEA",'Status of Curriculum Completion'!$ET$4:$ET$38,"Complete")</f>
        <v>0</v>
      </c>
      <c r="AI16" s="62">
        <f>SUMIFS('Status of Curriculum Completion'!$DZ$4:$DZ$38,'Status of Curriculum Completion'!$DP$4:$DP$38,"Geo MEA",'Status of Curriculum Completion'!$DT$4:$DT$38,"In Progress")+SUMIFS('Status of Curriculum Completion'!$EM$4:$EM$38,'Status of Curriculum Completion'!$EC$4:$EC$38,"Geo MEA",'Status of Curriculum Completion'!$EG$4:$EG$38,"In Progress")+SUMIFS('Status of Curriculum Completion'!$EZ$4:$EZ$38,'Status of Curriculum Completion'!$EP$4:$EP$38,"Geo MEA",'Status of Curriculum Completion'!$ET$4:$ET$38,"In Progress")</f>
        <v>0</v>
      </c>
      <c r="AJ16" s="62">
        <f>SUMIFS('Status of Curriculum Completion'!$DZ$4:$DZ$38,'Status of Curriculum Completion'!$DP$4:$DP$38,"Geo MEA",'Status of Curriculum Completion'!$DT$4:$DT$38,"Planned")+SUMIFS('Status of Curriculum Completion'!$EM$4:$EM$38,'Status of Curriculum Completion'!$EC$4:$EC$38,"Geo MEA",'Status of Curriculum Completion'!$EG$4:$EG$38,"Planned")+SUMIFS('Status of Curriculum Completion'!$EZ$4:$EZ$38,'Status of Curriculum Completion'!$EP$4:$EP$38,"Geo MEA",'Status of Curriculum Completion'!$ET$4:$ET$38,"Planned")</f>
        <v>0</v>
      </c>
      <c r="AK16" s="62">
        <f>SUMIFS('Status of Curriculum Completion'!$DZ$4:$DZ$38,'Status of Curriculum Completion'!$DP$4:$DP$38,"Geo MEA",'Status of Curriculum Completion'!$DT$4:$DT$38,"Tentative")+SUMIFS('Status of Curriculum Completion'!$EM$4:$EM$38,'Status of Curriculum Completion'!$EC$4:$EC$38,"Geo MEA",'Status of Curriculum Completion'!$EG$4:$EG$38,"Tentative")+SUMIFS('Status of Curriculum Completion'!$EZ$4:$EZ$38,'Status of Curriculum Completion'!$EP$4:$EP$38,"Geo MEA",'Status of Curriculum Completion'!$ET$4:$ET$38,"Tentative")</f>
        <v>0</v>
      </c>
      <c r="AL16" s="62">
        <f>SUMIFS('Status of Curriculum Completion'!$DZ$4:$DZ$38,'Status of Curriculum Completion'!$DP$4:$DP$38,"Geo MEA",'Status of Curriculum Completion'!$DU$4:$DU$38,"Complete")+SUMIFS('Status of Curriculum Completion'!$EM$4:$EM$38,'Status of Curriculum Completion'!$EC$4:$EC$38,"Geo MEA",'Status of Curriculum Completion'!$EH$4:$EH$38,"Complete")+SUMIFS('Status of Curriculum Completion'!$EZ$4:$EZ$38,'Status of Curriculum Completion'!$EP$4:$EP$38,"Geo MEA",'Status of Curriculum Completion'!$EU$4:$EU$38,"Complete")</f>
        <v>0</v>
      </c>
      <c r="AM16" s="62">
        <f>SUMIFS('Status of Curriculum Completion'!$DZ$4:$DZ$38,'Status of Curriculum Completion'!$DP$4:$DP$38,"Geo MEA",'Status of Curriculum Completion'!$DU$4:$DU$38,"In Progress")+SUMIFS('Status of Curriculum Completion'!$EM$4:$EM$38,'Status of Curriculum Completion'!$EC$4:$EC$38,"Geo MEA",'Status of Curriculum Completion'!$EH$4:$EH$38,"In Progress")+SUMIFS('Status of Curriculum Completion'!$EZ$4:$EZ$38,'Status of Curriculum Completion'!$EP$4:$EP$38,"Geo MEA",'Status of Curriculum Completion'!$EU$4:$EU$38,"In Progress")</f>
        <v>0</v>
      </c>
      <c r="AN16" s="62">
        <f>SUMIFS('Status of Curriculum Completion'!$DZ$4:$DZ$38,'Status of Curriculum Completion'!$DP$4:$DP$38,"Geo MEA",'Status of Curriculum Completion'!$DU$4:$DU$38,"Planned")+SUMIFS('Status of Curriculum Completion'!$EM$4:$EM$38,'Status of Curriculum Completion'!$EC$4:$EC$38,"Geo MEA",'Status of Curriculum Completion'!$EH$4:$EH$38,"Planned")+SUMIFS('Status of Curriculum Completion'!$EZ$4:$EZ$38,'Status of Curriculum Completion'!$EP$4:$EP$38,"Geo MEA",'Status of Curriculum Completion'!$EU$4:$EU$38,"Planned")</f>
        <v>0</v>
      </c>
      <c r="AO16" s="62">
        <f>SUMIFS('Status of Curriculum Completion'!$DZ$4:$DZ$38,'Status of Curriculum Completion'!$DP$4:$DP$38,"Geo MEA",'Status of Curriculum Completion'!$DU$4:$DU$38,"Tentative")+SUMIFS('Status of Curriculum Completion'!$EM$4:$EM$38,'Status of Curriculum Completion'!$EC$4:$EC$38,"Geo MEA",'Status of Curriculum Completion'!$EH$4:$EH$38,"Tentative")+SUMIFS('Status of Curriculum Completion'!$EZ$4:$EZ$38,'Status of Curriculum Completion'!$EP$4:$EP$38,"Geo MEA",'Status of Curriculum Completion'!$EU$4:$EU$38,"Tentative")</f>
        <v>0</v>
      </c>
      <c r="AP16" s="62">
        <f>SUMIFS('Status of Curriculum Completion'!$DZ$4:$DZ$38,'Status of Curriculum Completion'!$DP$4:$DP$38,"Geo MEA",'Status of Curriculum Completion'!$DV$4:$DV$38,"Complete")+SUMIFS('Status of Curriculum Completion'!$EM$4:$EM$38,'Status of Curriculum Completion'!$EC$4:$EC$38,"Geo MEA",'Status of Curriculum Completion'!$EI$4:$EI$38,"Complete")+SUMIFS('Status of Curriculum Completion'!$EZ$4:$EZ$38,'Status of Curriculum Completion'!$EP$4:$EP$38,"Geo MEA",'Status of Curriculum Completion'!$EV$4:$EV$38,"Complete")</f>
        <v>0</v>
      </c>
      <c r="AQ16" s="62">
        <f>SUMIFS('Status of Curriculum Completion'!$DZ$4:$DZ$38,'Status of Curriculum Completion'!$DP$4:$DP$38,"Geo MEA",'Status of Curriculum Completion'!$DV$4:$DV$38,"In Progress")+SUMIFS('Status of Curriculum Completion'!$EM$4:$EM$38,'Status of Curriculum Completion'!$EC$4:$EC$38,"Geo MEA",'Status of Curriculum Completion'!$EI$4:$EI$38,"In Progress")+SUMIFS('Status of Curriculum Completion'!$EZ$4:$EZ$38,'Status of Curriculum Completion'!$EP$4:$EP$38,"Geo MEA",'Status of Curriculum Completion'!$EV$4:$EV$38,"In Progress")</f>
        <v>0</v>
      </c>
      <c r="AR16" s="62">
        <f>SUMIFS('Status of Curriculum Completion'!$DZ$4:$DZ$38,'Status of Curriculum Completion'!$DP$4:$DP$38,"Geo MEA",'Status of Curriculum Completion'!$DV$4:$DV$38,"Planned")+SUMIFS('Status of Curriculum Completion'!$EM$4:$EM$38,'Status of Curriculum Completion'!$EC$4:$EC$38,"Geo MEA",'Status of Curriculum Completion'!$EI$4:$EI$38,"Planned")+SUMIFS('Status of Curriculum Completion'!$EZ$4:$EZ$38,'Status of Curriculum Completion'!$EP$4:$EP$38,"Geo MEA",'Status of Curriculum Completion'!$EV$4:$EV$38,"Planned")</f>
        <v>0</v>
      </c>
      <c r="AS16" s="62">
        <f>SUMIFS('Status of Curriculum Completion'!$DZ$4:$DZ$38,'Status of Curriculum Completion'!$DP$4:$DP$38,"Geo MEA",'Status of Curriculum Completion'!$DV$4:$DV$38,"Tentative")+SUMIFS('Status of Curriculum Completion'!$EM$4:$EM$38,'Status of Curriculum Completion'!$EC$4:$EC$38,"Geo MEA",'Status of Curriculum Completion'!$EI$4:$EI$38,"Tentative")+SUMIFS('Status of Curriculum Completion'!$EZ$4:$EZ$38,'Status of Curriculum Completion'!$EP$4:$EP$38,"Geo MEA",'Status of Curriculum Completion'!$EV$4:$EV$38,"Tentative")</f>
        <v>0</v>
      </c>
    </row>
    <row r="17" spans="1:45" ht="29.5" thickBot="1">
      <c r="A17" s="63" t="s">
        <v>1173</v>
      </c>
      <c r="B17" s="59">
        <f>SUMIFS('Status of Curriculum Completion'!M$4:M$38,'Status of Curriculum Completion'!C$4:C$38,"Geo NA Canada",'Status of Curriculum Completion'!G$4:G$38,"Complete")+SUMIFS('Status of Curriculum Completion'!Z$4:Z$38,'Status of Curriculum Completion'!P$4:P$38,"Geo NA Canada",'Status of Curriculum Completion'!T$4:T$38,"Complete")+SUMIFS('Status of Curriculum Completion'!AM$4:AM$38,'Status of Curriculum Completion'!AC$4:AC$38,"Geo NA Canada",'Status of Curriculum Completion'!AG$4:AG$38,"Complete")</f>
        <v>0</v>
      </c>
      <c r="C17" s="59">
        <f>SUMIFS('Status of Curriculum Completion'!$M$4:$M$38,'Status of Curriculum Completion'!$C$4:$C$38,"Geo NA Canada",'Status of Curriculum Completion'!$G$4:$G$38,"In progress")+SUMIFS('Status of Curriculum Completion'!$Z$4:$Z$38,'Status of Curriculum Completion'!$P$4:$P$38,"Geo NA Canada",'Status of Curriculum Completion'!$T$4:$T$38,"In progress")+SUMIFS('Status of Curriculum Completion'!$AM$4:$AM$38,'Status of Curriculum Completion'!$AC$4:$AC$38,"Geo NA Canada",'Status of Curriculum Completion'!$AG$4:$AG$38,"In progress")</f>
        <v>47</v>
      </c>
      <c r="D17" s="59">
        <f>SUMIFS('Status of Curriculum Completion'!$M$4:$M$38,'Status of Curriculum Completion'!$C$4:$C$38,"Geo NA Canada",'Status of Curriculum Completion'!$G$4:$G$38,"Planned")+SUMIFS('Status of Curriculum Completion'!$Z$4:$Z$38,'Status of Curriculum Completion'!$P$4:$P$38,"Geo NA Canada",'Status of Curriculum Completion'!$T$4:$T$38,"Planned")+SUMIFS('Status of Curriculum Completion'!$AM$4:$AM$38,'Status of Curriculum Completion'!$AC$4:$AC$38,"Geo NA Canada",'Status of Curriculum Completion'!$AG$4:$AG$38,"Planned")</f>
        <v>0</v>
      </c>
      <c r="E17" s="59">
        <f>SUMIFS('Status of Curriculum Completion'!$M$4:$M$38,'Status of Curriculum Completion'!$C$4:$C$38,"Geo NA Canada",'Status of Curriculum Completion'!$H$4:$H$38,"Complete")+SUMIFS('Status of Curriculum Completion'!$Z$4:$Z$38,'Status of Curriculum Completion'!$P$4:$P$38,"Geo NA Canada",'Status of Curriculum Completion'!$U$4:$U$38,"Complete")+SUMIFS('Status of Curriculum Completion'!$AM$4:$AM$38,'Status of Curriculum Completion'!$AC$4:$AC$38,"Geo NA Canada",'Status of Curriculum Completion'!$AH$4:$AH$38,"Complete")</f>
        <v>0</v>
      </c>
      <c r="F17" s="59">
        <f>SUMIFS('Status of Curriculum Completion'!$M$4:$M$38,'Status of Curriculum Completion'!$C$4:$C$38,"Geo NA Canada",'Status of Curriculum Completion'!$H$4:$H$38,"In Progress")+SUMIFS('Status of Curriculum Completion'!$Z$4:$Z$38,'Status of Curriculum Completion'!$P$4:$P$38,"Geo NA Canada",'Status of Curriculum Completion'!$U$4:$U$38,"In Progress")+SUMIFS('Status of Curriculum Completion'!$AM$4:$AM$38,'Status of Curriculum Completion'!$AC$4:$AC$38,"Geo NA Canada",'Status of Curriculum Completion'!$AH$4:$AH$38,"In Progress")</f>
        <v>0</v>
      </c>
      <c r="G17" s="59">
        <f>SUMIFS('Status of Curriculum Completion'!$M$4:$M$38,'Status of Curriculum Completion'!$C$4:$C$38,"Geo NA Canada",'Status of Curriculum Completion'!$H$4:$H$38,"Planned")+SUMIFS('Status of Curriculum Completion'!$Z$4:$Z$38,'Status of Curriculum Completion'!$P$4:$P$38,"Geo NA Canada",'Status of Curriculum Completion'!$U$4:$U$38,"Planned")+SUMIFS('Status of Curriculum Completion'!$AM$4:$AM$38,'Status of Curriculum Completion'!$AC$4:$AC$38,"Geo NA Canada",'Status of Curriculum Completion'!$AH$4:$AH$38,"Planned")</f>
        <v>0</v>
      </c>
      <c r="H17" s="59">
        <f>SUMIFS('Status of Curriculum Completion'!$M$4:$M$38,'Status of Curriculum Completion'!$C$4:$C$38,"Geo NA Canada",'Status of Curriculum Completion'!$I$4:$I$38,"Complete")+SUMIFS('Status of Curriculum Completion'!$Z$4:$Z$38,'Status of Curriculum Completion'!$P$4:$P$38,"Geo NA Canada",'Status of Curriculum Completion'!$V$4:$V$38,"Complete")+SUMIFS('Status of Curriculum Completion'!$AM$4:$AM$38,'Status of Curriculum Completion'!$AC$4:$AC$38,"Geo NA Canada",'Status of Curriculum Completion'!$AI$4:$AI$38,"Complete")</f>
        <v>0</v>
      </c>
      <c r="I17" s="59">
        <f>SUMIFS('Status of Curriculum Completion'!$M$4:$M$38,'Status of Curriculum Completion'!$C$4:$C$38,"Geo NA Canada",'Status of Curriculum Completion'!$I$5:$I$39,"In Progress")+SUMIFS('Status of Curriculum Completion'!$Z$4:$Z$38,'Status of Curriculum Completion'!$P$4:$P$38,"Geo NA Canada",'Status of Curriculum Completion'!$V$5:$V$39,"In Progress")+SUMIFS('Status of Curriculum Completion'!$AM$4:$AM$38,'Status of Curriculum Completion'!$AC$4:$AC$38,"Geo NA Canada",'Status of Curriculum Completion'!$AI$4:$AI$38,"In Progress")</f>
        <v>0</v>
      </c>
      <c r="J17" s="59">
        <f>SUMIFS('Status of Curriculum Completion'!$M$4:$M$38,'Status of Curriculum Completion'!$C$4:$C$38,"Geo NA Canada",'Status of Curriculum Completion'!$I$5:$I$39,"Planned")+SUMIFS('Status of Curriculum Completion'!$Z$4:$Z$38,'Status of Curriculum Completion'!$P$4:$P$38,"Geo NA Canada",'Status of Curriculum Completion'!$V$5:$V$39,"Planned")+SUMIFS('Status of Curriculum Completion'!$AM$4:$AM$38,'Status of Curriculum Completion'!$AC$4:$AC$38,"Geo NA Canada",'Status of Curriculum Completion'!$AI$4:$AI$38,"Planned")</f>
        <v>0</v>
      </c>
      <c r="K17" s="60">
        <f>SUMIFS('Status of Curriculum Completion'!$AZ$4:$AZ$38,'Status of Curriculum Completion'!$AP$4:$AP$38,"Geo NA Canada",'Status of Curriculum Completion'!$AT$4:$AT$38,"Complete")+SUMIFS('Status of Curriculum Completion'!$BM$4:$BM$38,'Status of Curriculum Completion'!$BC$4:$BC$38,"Geo NA Canada",'Status of Curriculum Completion'!$BG$4:$BG$38,"Complete")+SUMIFS('Status of Curriculum Completion'!$BZ$4:$BZ$38,'Status of Curriculum Completion'!$BP$4:$BP$38,"Geo NA Canada",'Status of Curriculum Completion'!$BT$4:$BT$38,"Complete")</f>
        <v>0</v>
      </c>
      <c r="L17" s="60">
        <f>SUMIFS('Status of Curriculum Completion'!$AZ$4:$AZ$38,'Status of Curriculum Completion'!$AP$4:$AP$38,"Geo NA Canada",'Status of Curriculum Completion'!$AT$4:$AT$38,"In Progress")+SUMIFS('Status of Curriculum Completion'!$BM$4:$BM$38,'Status of Curriculum Completion'!$BC$4:$BC$38,"Geo NA Canada",'Status of Curriculum Completion'!$BG$4:$BG$38,"In Progress")+SUMIFS('Status of Curriculum Completion'!$BZ$4:$BZ$38,'Status of Curriculum Completion'!$BP$4:$BP$38,"Geo NA Canada",'Status of Curriculum Completion'!$BT$4:$BT$38,"In Progress")</f>
        <v>24</v>
      </c>
      <c r="M17" s="60">
        <f>SUMIFS('Status of Curriculum Completion'!$AZ$4:$AZ$38,'Status of Curriculum Completion'!$AP$4:$AP$38,"Geo NA Canada",'Status of Curriculum Completion'!$AT$4:$AT$38,"Planned")+SUMIFS('Status of Curriculum Completion'!$BM$4:$BM$38,'Status of Curriculum Completion'!$BC$4:$BC$38,"Geo NA Canada",'Status of Curriculum Completion'!$BG$4:$BG$38,"Planned")+SUMIFS('Status of Curriculum Completion'!$BZ$4:$BZ$38,'Status of Curriculum Completion'!$BP$4:$BP$38,"Geo NA Canada",'Status of Curriculum Completion'!$BT$4:$BT$38,"Planned")</f>
        <v>0</v>
      </c>
      <c r="N17" s="60">
        <f>SUMIFS('Status of Curriculum Completion'!$AZ$4:$AZ$38,'Status of Curriculum Completion'!$AP$4:$AP$38,"Geo NA Canada",'Status of Curriculum Completion'!$AU$4:$AU$38,"Complete")+SUMIFS('Status of Curriculum Completion'!$BM$4:$BM$38,'Status of Curriculum Completion'!$BC$4:$BC$38,"Geo NA Canada",'Status of Curriculum Completion'!$BH$4:$BH$38,"Complete")+SUMIFS('Status of Curriculum Completion'!$BZ$4:$BZ$38,'Status of Curriculum Completion'!$BP$4:$BP$38,"Geo NA Canada",'Status of Curriculum Completion'!$BU$4:$BU$38,"Complete")</f>
        <v>0</v>
      </c>
      <c r="O17" s="60">
        <f>SUMIFS('Status of Curriculum Completion'!$AZ$4:$AZ$38,'Status of Curriculum Completion'!$AP$4:$AP$38,"Geo NA Canada",'Status of Curriculum Completion'!$AU$4:$AU$38,"In Progress")+SUMIFS('Status of Curriculum Completion'!$BM$4:$BM$38,'Status of Curriculum Completion'!$BC$4:$BC$38,"Geo NA Canada",'Status of Curriculum Completion'!$BH$4:$BH$38,"In Progress")+SUMIFS('Status of Curriculum Completion'!$BZ$4:$BZ$38,'Status of Curriculum Completion'!$BP$4:$BP$38,"Geo NA Canada",'Status of Curriculum Completion'!$BU$4:$BU$38,"In Progress")</f>
        <v>0</v>
      </c>
      <c r="P17" s="60">
        <f>SUMIFS('Status of Curriculum Completion'!$AZ$4:$AZ$38,'Status of Curriculum Completion'!$AP$4:$AP$38,"Geo NA Canada",'Status of Curriculum Completion'!$AU$4:$AU$38,"Planned")+SUMIFS('Status of Curriculum Completion'!$BM$4:$BM$38,'Status of Curriculum Completion'!$BC$4:$BC$38,"Geo NA Canada",'Status of Curriculum Completion'!$BH$4:$BH$38,"Planned")+SUMIFS('Status of Curriculum Completion'!$BZ$4:$BZ$38,'Status of Curriculum Completion'!$BP$4:$BP$38,"Geo NA Canada",'Status of Curriculum Completion'!$BU$4:$BU$38,"Planned")</f>
        <v>0</v>
      </c>
      <c r="Q17" s="60">
        <f>SUMIFS('Status of Curriculum Completion'!$AZ$4:$AZ$38,'Status of Curriculum Completion'!$AP$4:$AP$38,"Geo NA Canada",'Status of Curriculum Completion'!$AV$4:$AV$38,"Complete")+SUMIFS('Status of Curriculum Completion'!$BM$4:$BM$38,'Status of Curriculum Completion'!$BC$4:$BC$38,"Geo NA Canada",'Status of Curriculum Completion'!$BI$4:$BI$38,"Complete")+SUMIFS('Status of Curriculum Completion'!$BZ$4:$BZ$38,'Status of Curriculum Completion'!$BP$4:$BP$38,"Geo NA Canada",'Status of Curriculum Completion'!$BV$4:$BV$38,"Complete")</f>
        <v>0</v>
      </c>
      <c r="R17" s="60">
        <f>SUMIFS('Status of Curriculum Completion'!$AZ$4:$AZ$38,'Status of Curriculum Completion'!$AP$4:$AP$38,"Geo NA Canada",'Status of Curriculum Completion'!$AV$4:$AV$38,"In Progress")+SUMIFS('Status of Curriculum Completion'!$BM$4:$BM$38,'Status of Curriculum Completion'!$BC$4:$BC$38,"Geo NA Canada",'Status of Curriculum Completion'!$BI$4:$BI$38,"In Progress")+SUMIFS('Status of Curriculum Completion'!$BZ$4:$BZ$38,'Status of Curriculum Completion'!$BP$4:$BP$38,"Geo NA Canada",'Status of Curriculum Completion'!$BV$4:$BV$38,"In Progress")</f>
        <v>0</v>
      </c>
      <c r="S17" s="60">
        <f>SUMIFS('Status of Curriculum Completion'!$AZ$4:$AZ$38,'Status of Curriculum Completion'!$AP$4:$AP$38,"Geo NA Canada",'Status of Curriculum Completion'!$AV$4:$AV$38,"Planned")+SUMIFS('Status of Curriculum Completion'!$BM$4:$BM$38,'Status of Curriculum Completion'!$BC$4:$BC$38,"Geo NA Canada",'Status of Curriculum Completion'!$BI$4:$BI$38,"Planned")+SUMIFS('Status of Curriculum Completion'!$BZ$4:$BZ$38,'Status of Curriculum Completion'!$BP$4:$BP$38,"Geo NA Canada",'Status of Curriculum Completion'!$BV$4:$BV$38,"Planned")</f>
        <v>0</v>
      </c>
      <c r="U17" s="63" t="s">
        <v>1173</v>
      </c>
      <c r="V17" s="61">
        <f>SUMIFS('Status of Curriculum Completion'!$CM$4:$CM$38,'Status of Curriculum Completion'!$CC$4:$CC$38,"Geo NA Canada",'Status of Curriculum Completion'!$CG$4:$CG$38,"Complete")+SUMIFS('Status of Curriculum Completion'!$CZ$4:$CZ$38,'Status of Curriculum Completion'!$CP$4:$CP$38,"Geo NA Canada",'Status of Curriculum Completion'!$CT$4:$CT$38,"Complete")+SUMIFS('Status of Curriculum Completion'!$DM$4:$DM$38,'Status of Curriculum Completion'!$DC$4:$DC$38,"Geo NA Canada",'Status of Curriculum Completion'!$DG$4:$DG$38,"Complete")</f>
        <v>0</v>
      </c>
      <c r="W17" s="61">
        <f>SUMIFS('Status of Curriculum Completion'!$CM$4:$CM$38,'Status of Curriculum Completion'!$CC$4:$CC$38,"Geo NA Canada",'Status of Curriculum Completion'!$CG$4:$CG$38,"In Progress")+SUMIFS('Status of Curriculum Completion'!$CZ$4:$CZ$38,'Status of Curriculum Completion'!$CP$4:$CP$38,"Geo NA Canada",'Status of Curriculum Completion'!$CT$4:$CT$38,"In Progress")+SUMIFS('Status of Curriculum Completion'!$DM$4:$DM$38,'Status of Curriculum Completion'!$DC$4:$DC$38,"Geo NA Canada",'Status of Curriculum Completion'!$DG$4:$DG$38,"In Progress")</f>
        <v>0</v>
      </c>
      <c r="X17" s="61">
        <f>SUMIFS('Status of Curriculum Completion'!$CM$4:$CM$38,'Status of Curriculum Completion'!$CC$4:$CC$38,"Geo NA Canada",'Status of Curriculum Completion'!$CG$4:$CG$38,"Planned")+SUMIFS('Status of Curriculum Completion'!$CZ$4:$CZ$38,'Status of Curriculum Completion'!$CP$4:$CP$38,"Geo NA Canada",'Status of Curriculum Completion'!$CT$4:$CT$38,"Planned")+SUMIFS('Status of Curriculum Completion'!$DM$4:$DM$38,'Status of Curriculum Completion'!$DC$4:$DC$38,"Geo NA Canada",'Status of Curriculum Completion'!$DG$4:$DG$38,"Planned")</f>
        <v>0</v>
      </c>
      <c r="Y17" s="61">
        <f>SUMIFS('Status of Curriculum Completion'!$CM$4:$CM$38,'Status of Curriculum Completion'!$CC$4:$CC$38,"Geo NA Canada",'Status of Curriculum Completion'!$CG$4:$CG$38,"Tentative")+SUMIFS('Status of Curriculum Completion'!$CZ$4:$CZ$38,'Status of Curriculum Completion'!$CP$4:$CP$38,"Geo NA Canada",'Status of Curriculum Completion'!$CT$4:$CT$38,"Tentative")+SUMIFS('Status of Curriculum Completion'!$DM$4:$DM$38,'Status of Curriculum Completion'!$DC$4:$DC$38,"Geo NA Canada",'Status of Curriculum Completion'!$DG$4:$DG$38,"Tentative")</f>
        <v>0</v>
      </c>
      <c r="Z17" s="61">
        <f>SUMIFS('Status of Curriculum Completion'!$CM$4:$CM$38,'Status of Curriculum Completion'!$CC$4:$CC$38,"Geo NA Canada",'Status of Curriculum Completion'!$CH$4:$CH$38,"Complete")+SUMIFS('Status of Curriculum Completion'!$CZ$4:$CZ$38,'Status of Curriculum Completion'!$CP$4:$CP$38,"Geo NA Canada",'Status of Curriculum Completion'!$CU$4:$CU$38,"Complete")+SUMIFS('Status of Curriculum Completion'!$DM$4:$DM$38,'Status of Curriculum Completion'!$DC$4:$DC$38,"Geo NA Canada",'Status of Curriculum Completion'!$DH$4:$DH$38,"Complete")</f>
        <v>0</v>
      </c>
      <c r="AA17" s="61">
        <f>SUMIFS('Status of Curriculum Completion'!$CM$4:$CM$38,'Status of Curriculum Completion'!$CC$4:$CC$38,"Geo NA Canada",'Status of Curriculum Completion'!$CH$4:$CH$38,"In Progress")+SUMIFS('Status of Curriculum Completion'!$CZ$4:$CZ$38,'Status of Curriculum Completion'!$CP$4:$CP$38,"Geo NA Canada",'Status of Curriculum Completion'!$CU$4:$CU$38,"In Progress")+SUMIFS('Status of Curriculum Completion'!$DM$4:$DM$38,'Status of Curriculum Completion'!$DC$4:$DC$38,"Geo NA Canada",'Status of Curriculum Completion'!$DH$4:$DH$38,"In Progress")</f>
        <v>0</v>
      </c>
      <c r="AB17" s="61">
        <f>SUMIFS('Status of Curriculum Completion'!$CM$4:$CM$38,'Status of Curriculum Completion'!$CC$4:$CC$38,"Geo NA Canada",'Status of Curriculum Completion'!$CH$4:$CH$38,"Planned")+SUMIFS('Status of Curriculum Completion'!$CZ$4:$CZ$38,'Status of Curriculum Completion'!$CP$4:$CP$38,"Geo NA Canada",'Status of Curriculum Completion'!$CU$4:$CU$38,"Planned")+SUMIFS('Status of Curriculum Completion'!$DM$4:$DM$38,'Status of Curriculum Completion'!$DC$4:$DC$38,"Geo NA Canada",'Status of Curriculum Completion'!$DH$4:$DH$38,"Planned")</f>
        <v>0</v>
      </c>
      <c r="AC17" s="61">
        <f>SUMIFS('Status of Curriculum Completion'!$CM$4:$CM$38,'Status of Curriculum Completion'!$CC$4:$CC$38,"Geo NA Canada",'Status of Curriculum Completion'!$CH$4:$CH$38,"Tentative")+SUMIFS('Status of Curriculum Completion'!$CZ$4:$CZ$38,'Status of Curriculum Completion'!$CP$4:$CP$38,"Geo NA Canada",'Status of Curriculum Completion'!$CU$4:$CU$38,"Tentative")+SUMIFS('Status of Curriculum Completion'!$DM$4:$DM$38,'Status of Curriculum Completion'!$DC$4:$DC$38,"Geo NA Canada",'Status of Curriculum Completion'!$DH$4:$DH$38,"Tentative")</f>
        <v>0</v>
      </c>
      <c r="AD17" s="61">
        <f>SUMIFS('Status of Curriculum Completion'!$CM$4:$CM$38,'Status of Curriculum Completion'!$CC$4:$CC$38,"Geo NA Canada",'Status of Curriculum Completion'!$CI$4:$CI$38,"Complete")+SUMIFS('Status of Curriculum Completion'!$CZ$4:$CZ$38,'Status of Curriculum Completion'!$CP$4:$CP$38,"Geo NA Canada",'Status of Curriculum Completion'!$CV$4:$CV$38,"Complete")+SUMIFS('Status of Curriculum Completion'!$DM$4:$DM$38,'Status of Curriculum Completion'!$DC$4:$DC$38,"Geo NA Canada",'Status of Curriculum Completion'!$DI$4:$DI$38,"Complete")</f>
        <v>0</v>
      </c>
      <c r="AE17" s="61">
        <f>SUMIFS('Status of Curriculum Completion'!$CM$4:$CM$38,'Status of Curriculum Completion'!$CC$4:$CC$38,"Geo NA Canada",'Status of Curriculum Completion'!$CI$4:$CI$38,"In Progress")+SUMIFS('Status of Curriculum Completion'!$CZ$4:$CZ$38,'Status of Curriculum Completion'!$CP$4:$CP$38,"Geo NA Canada",'Status of Curriculum Completion'!$CV$4:$CV$38,"In Progress")+SUMIFS('Status of Curriculum Completion'!$DM$4:$DM$38,'Status of Curriculum Completion'!$DC$4:$DC$38,"Geo NA Canada",'Status of Curriculum Completion'!$DI$4:$DI$38,"In Progress")</f>
        <v>0</v>
      </c>
      <c r="AF17" s="61">
        <f>SUMIFS('Status of Curriculum Completion'!$CM$4:$CM$38,'Status of Curriculum Completion'!$CC$4:$CC$38,"Geo NA Canada",'Status of Curriculum Completion'!$CI$4:$CI$38,"Planned")+SUMIFS('Status of Curriculum Completion'!$CZ$4:$CZ$38,'Status of Curriculum Completion'!$CP$4:$CP$38,"Geo NA Canada",'Status of Curriculum Completion'!$CV$4:$CV$38,"Planned")+SUMIFS('Status of Curriculum Completion'!$DM$4:$DM$38,'Status of Curriculum Completion'!$DC$4:$DC$38,"Geo NA Canada",'Status of Curriculum Completion'!$DI$4:$DI$38,"Planned")</f>
        <v>0</v>
      </c>
      <c r="AG17" s="61">
        <f>SUMIFS('Status of Curriculum Completion'!$CM$4:$CM$38,'Status of Curriculum Completion'!$CC$4:$CC$38,"Geo NA Canada",'Status of Curriculum Completion'!$CI$4:$CI$38,"Tentative")+SUMIFS('Status of Curriculum Completion'!$CZ$4:$CZ$38,'Status of Curriculum Completion'!$CP$4:$CP$38,"Geo NA Canada",'Status of Curriculum Completion'!$CV$4:$CV$38,"Tentative")+SUMIFS('Status of Curriculum Completion'!$DM$4:$DM$38,'Status of Curriculum Completion'!$DC$4:$DC$38,"Geo NA Canada",'Status of Curriculum Completion'!$DI$4:$DI$38,"Tentative")</f>
        <v>0</v>
      </c>
      <c r="AH17" s="62">
        <f>SUMIFS('Status of Curriculum Completion'!$DZ$4:$DZ$38,'Status of Curriculum Completion'!$DP$4:$DP$38,"Geo NA Canada",'Status of Curriculum Completion'!$DT$4:$DT$38,"Complete")+SUMIFS('Status of Curriculum Completion'!$EM$4:$EM$38,'Status of Curriculum Completion'!$EC$4:$EC$38,"Geo NA Canada",'Status of Curriculum Completion'!$EG$4:$EG$38,"Complete")+SUMIFS('Status of Curriculum Completion'!$EZ$4:$EZ$38,'Status of Curriculum Completion'!$EP$4:$EP$38,"Geo NA Canada",'Status of Curriculum Completion'!$ET$4:$ET$38,"Complete")</f>
        <v>0</v>
      </c>
      <c r="AI17" s="62">
        <f>SUMIFS('Status of Curriculum Completion'!$DZ$4:$DZ$38,'Status of Curriculum Completion'!$DP$4:$DP$38,"Geo NA Canada",'Status of Curriculum Completion'!$DT$4:$DT$38,"In Progress")+SUMIFS('Status of Curriculum Completion'!$EM$4:$EM$38,'Status of Curriculum Completion'!$EC$4:$EC$38,"Geo NA Canada",'Status of Curriculum Completion'!$EG$4:$EG$38,"In Progress")+SUMIFS('Status of Curriculum Completion'!$EZ$4:$EZ$38,'Status of Curriculum Completion'!$EP$4:$EP$38,"Geo NA Canada",'Status of Curriculum Completion'!$ET$4:$ET$38,"In Progress")</f>
        <v>25</v>
      </c>
      <c r="AJ17" s="62">
        <f>SUMIFS('Status of Curriculum Completion'!$DZ$4:$DZ$38,'Status of Curriculum Completion'!$DP$4:$DP$38,"Geo NA Canada",'Status of Curriculum Completion'!$DT$4:$DT$38,"Planned")+SUMIFS('Status of Curriculum Completion'!$EM$4:$EM$38,'Status of Curriculum Completion'!$EC$4:$EC$38,"Geo NA Canada",'Status of Curriculum Completion'!$EG$4:$EG$38,"Planned")+SUMIFS('Status of Curriculum Completion'!$EZ$4:$EZ$38,'Status of Curriculum Completion'!$EP$4:$EP$38,"Geo NA Canada",'Status of Curriculum Completion'!$ET$4:$ET$38,"Planned")</f>
        <v>0</v>
      </c>
      <c r="AK17" s="62">
        <f>SUMIFS('Status of Curriculum Completion'!$DZ$4:$DZ$38,'Status of Curriculum Completion'!$DP$4:$DP$38,"Geo NA Canada",'Status of Curriculum Completion'!$DT$4:$DT$38,"Tentative")+SUMIFS('Status of Curriculum Completion'!$EM$4:$EM$38,'Status of Curriculum Completion'!$EC$4:$EC$38,"Geo NA Canada",'Status of Curriculum Completion'!$EG$4:$EG$38,"Tentative")+SUMIFS('Status of Curriculum Completion'!$EZ$4:$EZ$38,'Status of Curriculum Completion'!$EP$4:$EP$38,"Geo NA Canada",'Status of Curriculum Completion'!$ET$4:$ET$38,"Tentative")</f>
        <v>0</v>
      </c>
      <c r="AL17" s="62">
        <f>SUMIFS('Status of Curriculum Completion'!$DZ$4:$DZ$38,'Status of Curriculum Completion'!$DP$4:$DP$38,"Geo NA Canada",'Status of Curriculum Completion'!$DU$4:$DU$38,"Complete")+SUMIFS('Status of Curriculum Completion'!$EM$4:$EM$38,'Status of Curriculum Completion'!$EC$4:$EC$38,"Geo NA Canada",'Status of Curriculum Completion'!$EH$4:$EH$38,"Complete")+SUMIFS('Status of Curriculum Completion'!$EZ$4:$EZ$38,'Status of Curriculum Completion'!$EP$4:$EP$38,"Geo NA Canada",'Status of Curriculum Completion'!$EU$4:$EU$38,"Complete")</f>
        <v>0</v>
      </c>
      <c r="AM17" s="62">
        <f>SUMIFS('Status of Curriculum Completion'!$DZ$4:$DZ$38,'Status of Curriculum Completion'!$DP$4:$DP$38,"Geo NA Canada",'Status of Curriculum Completion'!$DU$4:$DU$38,"In Progress")+SUMIFS('Status of Curriculum Completion'!$EM$4:$EM$38,'Status of Curriculum Completion'!$EC$4:$EC$38,"Geo NA Canada",'Status of Curriculum Completion'!$EH$4:$EH$38,"In Progress")+SUMIFS('Status of Curriculum Completion'!$EZ$4:$EZ$38,'Status of Curriculum Completion'!$EP$4:$EP$38,"Geo NA Canada",'Status of Curriculum Completion'!$EU$4:$EU$38,"In Progress")</f>
        <v>0</v>
      </c>
      <c r="AN17" s="62">
        <f>SUMIFS('Status of Curriculum Completion'!$DZ$4:$DZ$38,'Status of Curriculum Completion'!$DP$4:$DP$38,"Geo NA Canada",'Status of Curriculum Completion'!$DU$4:$DU$38,"Planned")+SUMIFS('Status of Curriculum Completion'!$EM$4:$EM$38,'Status of Curriculum Completion'!$EC$4:$EC$38,"Geo NA Canada",'Status of Curriculum Completion'!$EH$4:$EH$38,"Planned")+SUMIFS('Status of Curriculum Completion'!$EZ$4:$EZ$38,'Status of Curriculum Completion'!$EP$4:$EP$38,"Geo NA Canada",'Status of Curriculum Completion'!$EU$4:$EU$38,"Planned")</f>
        <v>0</v>
      </c>
      <c r="AO17" s="62">
        <f>SUMIFS('Status of Curriculum Completion'!$DZ$4:$DZ$38,'Status of Curriculum Completion'!$DP$4:$DP$38,"Geo NA Canada",'Status of Curriculum Completion'!$DU$4:$DU$38,"Tentative")+SUMIFS('Status of Curriculum Completion'!$EM$4:$EM$38,'Status of Curriculum Completion'!$EC$4:$EC$38,"Geo NA Canada",'Status of Curriculum Completion'!$EH$4:$EH$38,"Tentative")+SUMIFS('Status of Curriculum Completion'!$EZ$4:$EZ$38,'Status of Curriculum Completion'!$EP$4:$EP$38,"Geo NA Canada",'Status of Curriculum Completion'!$EU$4:$EU$38,"Tentative")</f>
        <v>0</v>
      </c>
      <c r="AP17" s="62">
        <f>SUMIFS('Status of Curriculum Completion'!$DZ$4:$DZ$38,'Status of Curriculum Completion'!$DP$4:$DP$38,"Geo NA Canada",'Status of Curriculum Completion'!$DV$4:$DV$38,"Complete")+SUMIFS('Status of Curriculum Completion'!$EM$4:$EM$38,'Status of Curriculum Completion'!$EC$4:$EC$38,"Geo NA Canada",'Status of Curriculum Completion'!$EI$4:$EI$38,"Complete")+SUMIFS('Status of Curriculum Completion'!$EZ$4:$EZ$38,'Status of Curriculum Completion'!$EP$4:$EP$38,"Geo NA Canada",'Status of Curriculum Completion'!$EV$4:$EV$38,"Complete")</f>
        <v>0</v>
      </c>
      <c r="AQ17" s="62">
        <f>SUMIFS('Status of Curriculum Completion'!$DZ$4:$DZ$38,'Status of Curriculum Completion'!$DP$4:$DP$38,"Geo NA Canada",'Status of Curriculum Completion'!$DV$4:$DV$38,"In Progress")+SUMIFS('Status of Curriculum Completion'!$EM$4:$EM$38,'Status of Curriculum Completion'!$EC$4:$EC$38,"Geo NA Canada",'Status of Curriculum Completion'!$EI$4:$EI$38,"In Progress")+SUMIFS('Status of Curriculum Completion'!$EZ$4:$EZ$38,'Status of Curriculum Completion'!$EP$4:$EP$38,"Geo NA Canada",'Status of Curriculum Completion'!$EV$4:$EV$38,"In Progress")</f>
        <v>0</v>
      </c>
      <c r="AR17" s="62">
        <f>SUMIFS('Status of Curriculum Completion'!$DZ$4:$DZ$38,'Status of Curriculum Completion'!$DP$4:$DP$38,"Geo NA Canada",'Status of Curriculum Completion'!$DV$4:$DV$38,"Planned")+SUMIFS('Status of Curriculum Completion'!$EM$4:$EM$38,'Status of Curriculum Completion'!$EC$4:$EC$38,"Geo NA Canada",'Status of Curriculum Completion'!$EI$4:$EI$38,"Planned")+SUMIFS('Status of Curriculum Completion'!$EZ$4:$EZ$38,'Status of Curriculum Completion'!$EP$4:$EP$38,"Geo NA Canada",'Status of Curriculum Completion'!$EV$4:$EV$38,"Planned")</f>
        <v>0</v>
      </c>
      <c r="AS17" s="62">
        <f>SUMIFS('Status of Curriculum Completion'!$DZ$4:$DZ$38,'Status of Curriculum Completion'!$DP$4:$DP$38,"Geo NA Canada",'Status of Curriculum Completion'!$DV$4:$DV$38,"Tentative")+SUMIFS('Status of Curriculum Completion'!$EM$4:$EM$38,'Status of Curriculum Completion'!$EC$4:$EC$38,"Geo NA Canada",'Status of Curriculum Completion'!$EI$4:$EI$38,"Tentative")+SUMIFS('Status of Curriculum Completion'!$EZ$4:$EZ$38,'Status of Curriculum Completion'!$EP$4:$EP$38,"Geo NA Canada",'Status of Curriculum Completion'!$EV$4:$EV$38,"Tentative")</f>
        <v>0</v>
      </c>
    </row>
    <row r="18" spans="1:45" ht="29.5" thickBot="1">
      <c r="A18" s="63" t="s">
        <v>1174</v>
      </c>
      <c r="B18" s="59">
        <f>SUMIFS('Status of Curriculum Completion'!M$4:M$38,'Status of Curriculum Completion'!C$4:C$38,"Geo NA US",'Status of Curriculum Completion'!G$4:G$38,"Complete")+SUMIFS('Status of Curriculum Completion'!Z$4:Z$38,'Status of Curriculum Completion'!P$4:P$38,"Geo NA US",'Status of Curriculum Completion'!T$4:T$38,"Complete")+SUMIFS('Status of Curriculum Completion'!AM$4:AM$38,'Status of Curriculum Completion'!AC$4:AC$38,"Geo NA US",'Status of Curriculum Completion'!AG$4:AG$38,"Complete")</f>
        <v>0</v>
      </c>
      <c r="C18" s="59">
        <f>SUMIFS('Status of Curriculum Completion'!$M$4:$M$38,'Status of Curriculum Completion'!$C$4:$C$38,"Geo NA US",'Status of Curriculum Completion'!$G$4:$G$38,"In progress")+SUMIFS('Status of Curriculum Completion'!$Z$4:$Z$38,'Status of Curriculum Completion'!$P$4:$P$38,"Geo NA US",'Status of Curriculum Completion'!$T$4:$T$38,"In progress")+SUMIFS('Status of Curriculum Completion'!$AM$4:$AM$38,'Status of Curriculum Completion'!$AC$4:$AC$38,"Geo NA US",'Status of Curriculum Completion'!$AG$4:$AG$38,"In progress")</f>
        <v>0</v>
      </c>
      <c r="D18" s="59">
        <f>SUMIFS('Status of Curriculum Completion'!$M$4:$M$38,'Status of Curriculum Completion'!$C$4:$C$38,"Geo NA US",'Status of Curriculum Completion'!$G$4:$G$38,"Planned")+SUMIFS('Status of Curriculum Completion'!$Z$4:$Z$38,'Status of Curriculum Completion'!$P$4:$P$38,"Geo NA US",'Status of Curriculum Completion'!$T$4:$T$38,"Planned")+SUMIFS('Status of Curriculum Completion'!$AM$4:$AM$38,'Status of Curriculum Completion'!$AC$4:$AC$38,"Geo NA US",'Status of Curriculum Completion'!$AG$4:$AG$38,"Planned")</f>
        <v>0</v>
      </c>
      <c r="E18" s="59">
        <f>SUMIFS('Status of Curriculum Completion'!$M$4:$M$38,'Status of Curriculum Completion'!$C$4:$C$38,"Geo NA US",'Status of Curriculum Completion'!$H$4:$H$38,"Complete")+SUMIFS('Status of Curriculum Completion'!$Z$4:$Z$38,'Status of Curriculum Completion'!$P$4:$P$38,"Geo NA US",'Status of Curriculum Completion'!$U$4:$U$38,"Complete")+SUMIFS('Status of Curriculum Completion'!$AM$4:$AM$38,'Status of Curriculum Completion'!$AC$4:$AC$38,"Geo NA US",'Status of Curriculum Completion'!$AH$4:$AH$38,"Complete")</f>
        <v>0</v>
      </c>
      <c r="F18" s="59">
        <f>SUMIFS('Status of Curriculum Completion'!$M$4:$M$38,'Status of Curriculum Completion'!$C$4:$C$38,"Geo NA US",'Status of Curriculum Completion'!$H$4:$H$38,"In Progress")+SUMIFS('Status of Curriculum Completion'!$Z$4:$Z$38,'Status of Curriculum Completion'!$P$4:$P$38,"Geo NA US",'Status of Curriculum Completion'!$U$4:$U$38,"In Progress")+SUMIFS('Status of Curriculum Completion'!$AM$4:$AM$38,'Status of Curriculum Completion'!$AC$4:$AC$38,"Geo NA US",'Status of Curriculum Completion'!$AH$4:$AH$38,"In Progress")</f>
        <v>0</v>
      </c>
      <c r="G18" s="59">
        <f>SUMIFS('Status of Curriculum Completion'!$M$4:$M$38,'Status of Curriculum Completion'!$C$4:$C$38,"Geo NA US",'Status of Curriculum Completion'!$H$4:$H$38,"Planned")+SUMIFS('Status of Curriculum Completion'!$Z$4:$Z$38,'Status of Curriculum Completion'!$P$4:$P$38,"Geo NA US",'Status of Curriculum Completion'!$U$4:$U$38,"Planned")+SUMIFS('Status of Curriculum Completion'!$AM$4:$AM$38,'Status of Curriculum Completion'!$AC$4:$AC$38,"Geo NA US",'Status of Curriculum Completion'!$AH$4:$AH$38,"Planned")</f>
        <v>0</v>
      </c>
      <c r="H18" s="59">
        <f>SUMIFS('Status of Curriculum Completion'!$M$4:$M$38,'Status of Curriculum Completion'!$C$4:$C$38,"Geo NA US",'Status of Curriculum Completion'!$I$4:$I$38,"Complete")+SUMIFS('Status of Curriculum Completion'!$Z$4:$Z$38,'Status of Curriculum Completion'!$P$4:$P$38,"Geo NA US",'Status of Curriculum Completion'!$V$4:$V$38,"Complete")+SUMIFS('Status of Curriculum Completion'!$AM$4:$AM$38,'Status of Curriculum Completion'!$AC$4:$AC$38,"Geo NA US",'Status of Curriculum Completion'!$AI$4:$AI$38,"Complete")</f>
        <v>0</v>
      </c>
      <c r="I18" s="59">
        <f>SUMIFS('Status of Curriculum Completion'!$M$4:$M$38,'Status of Curriculum Completion'!$C$4:$C$38,"Geo NA US",'Status of Curriculum Completion'!$I$4:$I$38,"In Progress")+SUMIFS('Status of Curriculum Completion'!$Z$4:$Z$38,'Status of Curriculum Completion'!$P$4:$P$38,"Geo NA US",'Status of Curriculum Completion'!$V$4:$V$38,"In Progress")+SUMIFS('Status of Curriculum Completion'!$AM$4:$AM$38,'Status of Curriculum Completion'!$AC$4:$AC$38,"Geo NA US",'Status of Curriculum Completion'!$AI$4:$AI$38,"In Progress")</f>
        <v>0</v>
      </c>
      <c r="J18" s="59">
        <f>SUMIFS('Status of Curriculum Completion'!$M$4:$M$38,'Status of Curriculum Completion'!$C$4:$C$38,"Geo NA US",'Status of Curriculum Completion'!$I$4:$I$38,"Planned")+SUMIFS('Status of Curriculum Completion'!$Z$4:$Z$38,'Status of Curriculum Completion'!$P$4:$P$38,"Geo NA US",'Status of Curriculum Completion'!$V$4:$V$38,"Planned")+SUMIFS('Status of Curriculum Completion'!$AM$4:$AM$38,'Status of Curriculum Completion'!$AC$4:$AC$38,"Geo NA US",'Status of Curriculum Completion'!$AI$4:$AI$38,"Planned")</f>
        <v>0</v>
      </c>
      <c r="K18" s="60">
        <f>SUMIFS('Status of Curriculum Completion'!$AZ$4:$AZ$38,'Status of Curriculum Completion'!$AP$4:$AP$38,"Geo NA US",'Status of Curriculum Completion'!$AT$4:$AT$38,"Complete")+SUMIFS('Status of Curriculum Completion'!$BM$4:$BM$38,'Status of Curriculum Completion'!$BC$4:$BC$38,"Geo NA US",'Status of Curriculum Completion'!$BG$4:$BG$38,"Complete")+SUMIFS('Status of Curriculum Completion'!$BZ$4:$BZ$38,'Status of Curriculum Completion'!$BP$4:$BP$38,"Geo NA US",'Status of Curriculum Completion'!$BT$4:$BT$38,"Complete")</f>
        <v>0</v>
      </c>
      <c r="L18" s="60">
        <f>SUMIFS('Status of Curriculum Completion'!$AZ$4:$AZ$38,'Status of Curriculum Completion'!$AP$4:$AP$38,"Geo NA US",'Status of Curriculum Completion'!$AT$4:$AT$38,"In Progress")+SUMIFS('Status of Curriculum Completion'!$BM$4:$BM$38,'Status of Curriculum Completion'!$BC$4:$BC$38,"Geo NA US",'Status of Curriculum Completion'!$BG$4:$BG$38,"In Progress")+SUMIFS('Status of Curriculum Completion'!$BZ$4:$BZ$38,'Status of Curriculum Completion'!$BP$4:$BP$38,"Geo NA US",'Status of Curriculum Completion'!$BT$4:$BT$38,"In Progress")</f>
        <v>0</v>
      </c>
      <c r="M18" s="60">
        <f>SUMIFS('Status of Curriculum Completion'!$AZ$4:$AZ$38,'Status of Curriculum Completion'!$AP$4:$AP$38,"Geo NA US",'Status of Curriculum Completion'!$AT$4:$AT$38,"Planned")+SUMIFS('Status of Curriculum Completion'!$BM$4:$BM$38,'Status of Curriculum Completion'!$BC$4:$BC$38,"Geo NA US",'Status of Curriculum Completion'!$BG$4:$BG$38,"Planned")+SUMIFS('Status of Curriculum Completion'!$BZ$4:$BZ$38,'Status of Curriculum Completion'!$BP$4:$BP$38,"Geo NA US",'Status of Curriculum Completion'!$BT$4:$BT$38,"Planned")</f>
        <v>0</v>
      </c>
      <c r="N18" s="60">
        <f>SUMIFS('Status of Curriculum Completion'!$AZ$4:$AZ$38,'Status of Curriculum Completion'!$AP$4:$AP$38,"Geo NA US",'Status of Curriculum Completion'!$AU$4:$AU$38,"Complete")+SUMIFS('Status of Curriculum Completion'!$BM$4:$BM$38,'Status of Curriculum Completion'!$BC$4:$BC$38,"Geo NA US",'Status of Curriculum Completion'!$BH$4:$BH$38,"Complete")+SUMIFS('Status of Curriculum Completion'!$BZ$4:$BZ$38,'Status of Curriculum Completion'!$BP$4:$BP$38,"Geo NA US",'Status of Curriculum Completion'!$BU$4:$BU$38,"Complete")</f>
        <v>0</v>
      </c>
      <c r="O18" s="60">
        <f>SUMIFS('Status of Curriculum Completion'!$AZ$4:$AZ$38,'Status of Curriculum Completion'!$AP$4:$AP$38,"Geo NA US",'Status of Curriculum Completion'!$AU$4:$AU$38,"In Progress")+SUMIFS('Status of Curriculum Completion'!$BM$4:$BM$38,'Status of Curriculum Completion'!$BC$4:$BC$38,"Geo NA US",'Status of Curriculum Completion'!$BH$4:$BH$38,"In Progress")+SUMIFS('Status of Curriculum Completion'!$BZ$4:$BZ$38,'Status of Curriculum Completion'!$BP$4:$BP$38,"Geo NA US",'Status of Curriculum Completion'!$BU$4:$BU$38,"In Progress")</f>
        <v>0</v>
      </c>
      <c r="P18" s="60">
        <f>SUMIFS('Status of Curriculum Completion'!$AZ$4:$AZ$38,'Status of Curriculum Completion'!$AP$4:$AP$38,"Geo NA US",'Status of Curriculum Completion'!$AU$4:$AU$38,"Planned")+SUMIFS('Status of Curriculum Completion'!$BM$4:$BM$38,'Status of Curriculum Completion'!$BC$4:$BC$38,"Geo NA US",'Status of Curriculum Completion'!$BH$4:$BH$38,"Planned")+SUMIFS('Status of Curriculum Completion'!$BZ$4:$BZ$38,'Status of Curriculum Completion'!$BP$4:$BP$38,"Geo NA US",'Status of Curriculum Completion'!$BU$4:$BU$38,"Planned")</f>
        <v>0</v>
      </c>
      <c r="Q18" s="60">
        <f>SUMIFS('Status of Curriculum Completion'!$AZ$4:$AZ$38,'Status of Curriculum Completion'!$AP$4:$AP$38,"Geo NA US",'Status of Curriculum Completion'!$AV$4:$AV$38,"Complete")+SUMIFS('Status of Curriculum Completion'!$BM$4:$BM$38,'Status of Curriculum Completion'!$BC$4:$BC$38,"Geo NA US",'Status of Curriculum Completion'!$BI$4:$BI$38,"Complete")+SUMIFS('Status of Curriculum Completion'!$BZ$4:$BZ$38,'Status of Curriculum Completion'!$BP$4:$BP$38,"Geo NA US",'Status of Curriculum Completion'!$BV$4:$BV$38,"Complete")</f>
        <v>0</v>
      </c>
      <c r="R18" s="60">
        <f>SUMIFS('Status of Curriculum Completion'!$AZ$4:$AZ$38,'Status of Curriculum Completion'!$AP$4:$AP$38,"Geo NA US",'Status of Curriculum Completion'!$AV$4:$AV$38,"In Progress")+SUMIFS('Status of Curriculum Completion'!$BM$4:$BM$38,'Status of Curriculum Completion'!$BC$4:$BC$38,"Geo NA US",'Status of Curriculum Completion'!$BI$4:$BI$38,"In Progress")+SUMIFS('Status of Curriculum Completion'!$BZ$4:$BZ$38,'Status of Curriculum Completion'!$BP$4:$BP$38,"Geo NA US",'Status of Curriculum Completion'!$BV$4:$BV$38,"In Progress")</f>
        <v>0</v>
      </c>
      <c r="S18" s="60">
        <f>SUMIFS('Status of Curriculum Completion'!$AZ$4:$AZ$38,'Status of Curriculum Completion'!$AP$4:$AP$38,"Geo NA US",'Status of Curriculum Completion'!$AV$4:$AV$38,"Planned")+SUMIFS('Status of Curriculum Completion'!$BM$4:$BM$38,'Status of Curriculum Completion'!$BC$4:$BC$38,"Geo NA US",'Status of Curriculum Completion'!$BI$4:$BI$38,"Planned")+SUMIFS('Status of Curriculum Completion'!$BZ$4:$BZ$38,'Status of Curriculum Completion'!$BP$4:$BP$38,"Geo NA US",'Status of Curriculum Completion'!$BV$4:$BV$38,"Planned")</f>
        <v>0</v>
      </c>
      <c r="U18" s="63" t="s">
        <v>1174</v>
      </c>
      <c r="V18" s="61">
        <f>SUMIFS('Status of Curriculum Completion'!$CM$4:$CM$38,'Status of Curriculum Completion'!$CC$4:$CC$38,"Geo NA US",'Status of Curriculum Completion'!$CG$4:$CG$38,"Complete")+SUMIFS('Status of Curriculum Completion'!$CZ$4:$CZ$38,'Status of Curriculum Completion'!$CP$4:$CP$38,"Geo NA US",'Status of Curriculum Completion'!$CT$4:$CT$38,"Complete")+SUMIFS('Status of Curriculum Completion'!$DM$4:$DM$38,'Status of Curriculum Completion'!$DC$4:$DC$38,"Geo NA US",'Status of Curriculum Completion'!$DG$4:$DG$38,"Complete")</f>
        <v>0</v>
      </c>
      <c r="W18" s="61">
        <f>SUMIFS('Status of Curriculum Completion'!$CM$4:$CM$38,'Status of Curriculum Completion'!$CC$4:$CC$38,"Geo NA US",'Status of Curriculum Completion'!$CG$4:$CG$38,"In Progress")+SUMIFS('Status of Curriculum Completion'!$CZ$4:$CZ$38,'Status of Curriculum Completion'!$CP$4:$CP$38,"Geo NA US",'Status of Curriculum Completion'!$CT$4:$CT$38,"In Progress")+SUMIFS('Status of Curriculum Completion'!$DM$4:$DM$38,'Status of Curriculum Completion'!$DC$4:$DC$38,"Geo NA US",'Status of Curriculum Completion'!$DG$4:$DG$38,"In Progress")</f>
        <v>37</v>
      </c>
      <c r="X18" s="61">
        <f>SUMIFS('Status of Curriculum Completion'!$CM$4:$CM$38,'Status of Curriculum Completion'!$CC$4:$CC$38,"Geo NA US",'Status of Curriculum Completion'!$CG$4:$CG$38,"Planned")+SUMIFS('Status of Curriculum Completion'!$CZ$4:$CZ$38,'Status of Curriculum Completion'!$CP$4:$CP$38,"Geo NA US",'Status of Curriculum Completion'!$CT$4:$CT$38,"Planned")+SUMIFS('Status of Curriculum Completion'!$DM$4:$DM$38,'Status of Curriculum Completion'!$DC$4:$DC$38,"Geo NA US",'Status of Curriculum Completion'!$DG$4:$DG$38,"Planned")</f>
        <v>0</v>
      </c>
      <c r="Y18" s="61">
        <f>SUMIFS('Status of Curriculum Completion'!$CM$4:$CM$38,'Status of Curriculum Completion'!$CC$4:$CC$38,"Geo NA US",'Status of Curriculum Completion'!$CG$4:$CG$38,"Tentative")+SUMIFS('Status of Curriculum Completion'!$CZ$4:$CZ$38,'Status of Curriculum Completion'!$CP$4:$CP$38,"Geo NA US",'Status of Curriculum Completion'!$CT$4:$CT$38,"Tentative")+SUMIFS('Status of Curriculum Completion'!$DM$4:$DM$38,'Status of Curriculum Completion'!$DC$4:$DC$38,"Geo NA US",'Status of Curriculum Completion'!$DG$4:$DG$38,"Tentative")</f>
        <v>0</v>
      </c>
      <c r="Z18" s="61">
        <f>SUMIFS('Status of Curriculum Completion'!$CM$4:$CM$38,'Status of Curriculum Completion'!$CC$4:$CC$38,"Geo NA US",'Status of Curriculum Completion'!$CH$4:$CH$38,"Complete")+SUMIFS('Status of Curriculum Completion'!$CZ$4:$CZ$38,'Status of Curriculum Completion'!$CP$4:$CP$38,"Geo NA US",'Status of Curriculum Completion'!$CU$4:$CU$38,"Complete")+SUMIFS('Status of Curriculum Completion'!$DM$4:$DM$38,'Status of Curriculum Completion'!$DC$4:$DC$38,"Geo NA US",'Status of Curriculum Completion'!$DH$4:$DH$38,"Complete")</f>
        <v>0</v>
      </c>
      <c r="AA18" s="61">
        <f>SUMIFS('Status of Curriculum Completion'!$CM$4:$CM$38,'Status of Curriculum Completion'!$CC$4:$CC$38,"Geo NA US",'Status of Curriculum Completion'!$CH$4:$CH$38,"In Progress")+SUMIFS('Status of Curriculum Completion'!$CZ$4:$CZ$38,'Status of Curriculum Completion'!$CP$4:$CP$38,"Geo NA US",'Status of Curriculum Completion'!$CU$4:$CU$38,"In Progress")+SUMIFS('Status of Curriculum Completion'!$DM$4:$DM$38,'Status of Curriculum Completion'!$DC$4:$DC$38,"Geo NA US",'Status of Curriculum Completion'!$DH$4:$DH$38,"In Progress")</f>
        <v>0</v>
      </c>
      <c r="AB18" s="61">
        <f>SUMIFS('Status of Curriculum Completion'!$CM$4:$CM$38,'Status of Curriculum Completion'!$CC$4:$CC$38,"Geo NA US",'Status of Curriculum Completion'!$CH$4:$CH$38,"Planned")+SUMIFS('Status of Curriculum Completion'!$CZ$4:$CZ$38,'Status of Curriculum Completion'!$CP$4:$CP$38,"Geo NA US",'Status of Curriculum Completion'!$CU$4:$CU$38,"Planned")+SUMIFS('Status of Curriculum Completion'!$DM$4:$DM$38,'Status of Curriculum Completion'!$DC$4:$DC$38,"Geo NA US",'Status of Curriculum Completion'!$DH$4:$DH$38,"Planned")</f>
        <v>0</v>
      </c>
      <c r="AC18" s="61">
        <f>SUMIFS('Status of Curriculum Completion'!$CM$4:$CM$38,'Status of Curriculum Completion'!$CC$4:$CC$38,"Geo NA US",'Status of Curriculum Completion'!$CH$4:$CH$38,"Tentative")+SUMIFS('Status of Curriculum Completion'!$CZ$4:$CZ$38,'Status of Curriculum Completion'!$CP$4:$CP$38,"Geo NA US",'Status of Curriculum Completion'!$CU$4:$CU$38,"Tentative")+SUMIFS('Status of Curriculum Completion'!$DM$4:$DM$38,'Status of Curriculum Completion'!$DC$4:$DC$38,"Geo NA US",'Status of Curriculum Completion'!$DH$4:$DH$38,"Tentative")</f>
        <v>0</v>
      </c>
      <c r="AD18" s="61">
        <f>SUMIFS('Status of Curriculum Completion'!$CM$4:$CM$38,'Status of Curriculum Completion'!$CC$4:$CC$38,"Geo NA US",'Status of Curriculum Completion'!$CI$4:$CI$38,"Complete")+SUMIFS('Status of Curriculum Completion'!$CZ$4:$CZ$38,'Status of Curriculum Completion'!$CP$4:$CP$38,"Geo NA US",'Status of Curriculum Completion'!$CV$4:$CV$38,"Complete")+SUMIFS('Status of Curriculum Completion'!$DM$4:$DM$38,'Status of Curriculum Completion'!$DC$4:$DC$38,"Geo NA US",'Status of Curriculum Completion'!$DI$4:$DI$38,"Complete")</f>
        <v>0</v>
      </c>
      <c r="AE18" s="61">
        <f>SUMIFS('Status of Curriculum Completion'!$CM$4:$CM$38,'Status of Curriculum Completion'!$CC$4:$CC$38,"Geo NA US",'Status of Curriculum Completion'!$CI$4:$CI$38,"In Progress")+SUMIFS('Status of Curriculum Completion'!$CZ$4:$CZ$38,'Status of Curriculum Completion'!$CP$4:$CP$38,"Geo NA US",'Status of Curriculum Completion'!$CV$4:$CV$38,"In Progress")+SUMIFS('Status of Curriculum Completion'!$DM$4:$DM$38,'Status of Curriculum Completion'!$DC$4:$DC$38,"Geo NA US",'Status of Curriculum Completion'!$DI$4:$DI$38,"In Progress")</f>
        <v>0</v>
      </c>
      <c r="AF18" s="61">
        <f>SUMIFS('Status of Curriculum Completion'!$CM$4:$CM$38,'Status of Curriculum Completion'!$CC$4:$CC$38,"Geo NA US",'Status of Curriculum Completion'!$CI$4:$CI$38,"Planned")+SUMIFS('Status of Curriculum Completion'!$CZ$4:$CZ$38,'Status of Curriculum Completion'!$CP$4:$CP$38,"Geo NA US",'Status of Curriculum Completion'!$CV$4:$CV$38,"Planned")+SUMIFS('Status of Curriculum Completion'!$DM$4:$DM$38,'Status of Curriculum Completion'!$DC$4:$DC$38,"Geo NA US",'Status of Curriculum Completion'!$DI$4:$DI$38,"Planned")</f>
        <v>0</v>
      </c>
      <c r="AG18" s="61">
        <f>SUMIFS('Status of Curriculum Completion'!$CM$4:$CM$38,'Status of Curriculum Completion'!$CC$4:$CC$38,"Geo NA US",'Status of Curriculum Completion'!$CI$4:$CI$38,"Tentative")+SUMIFS('Status of Curriculum Completion'!$CZ$4:$CZ$38,'Status of Curriculum Completion'!$CP$4:$CP$38,"Geo NA US",'Status of Curriculum Completion'!$CV$4:$CV$38,"Tentative")+SUMIFS('Status of Curriculum Completion'!$DM$4:$DM$38,'Status of Curriculum Completion'!$DC$4:$DC$38,"Geo NA US",'Status of Curriculum Completion'!$DI$4:$DI$38,"Tentative")</f>
        <v>0</v>
      </c>
      <c r="AH18" s="62">
        <f>SUMIFS('Status of Curriculum Completion'!$DZ$4:$DZ$38,'Status of Curriculum Completion'!$DP$4:$DP$38,"Geo NA US",'Status of Curriculum Completion'!$DT$4:$DT$38,"Complete")+SUMIFS('Status of Curriculum Completion'!$EM$4:$EM$38,'Status of Curriculum Completion'!$EC$4:$EC$38,"Geo NA US",'Status of Curriculum Completion'!$EG$4:$EG$38,"Complete")+SUMIFS('Status of Curriculum Completion'!$EZ$4:$EZ$38,'Status of Curriculum Completion'!$EP$4:$EP$38,"Geo NA US",'Status of Curriculum Completion'!$ET$4:$ET$38,"Complete")</f>
        <v>0</v>
      </c>
      <c r="AI18" s="62">
        <f>SUMIFS('Status of Curriculum Completion'!$DZ$4:$DZ$38,'Status of Curriculum Completion'!$DP$4:$DP$38,"Geo NA US",'Status of Curriculum Completion'!$DT$4:$DT$38,"In Progress")+SUMIFS('Status of Curriculum Completion'!$EM$4:$EM$38,'Status of Curriculum Completion'!$EC$4:$EC$38,"Geo NA US",'Status of Curriculum Completion'!$EG$4:$EG$38,"In Progress")+SUMIFS('Status of Curriculum Completion'!$EZ$4:$EZ$38,'Status of Curriculum Completion'!$EP$4:$EP$38,"Geo NA US",'Status of Curriculum Completion'!$ET$4:$ET$38,"In Progress")</f>
        <v>49</v>
      </c>
      <c r="AJ18" s="62">
        <f>SUMIFS('Status of Curriculum Completion'!$DZ$4:$DZ$38,'Status of Curriculum Completion'!$DP$4:$DP$38,"Geo NA US",'Status of Curriculum Completion'!$DT$4:$DT$38,"Planned")+SUMIFS('Status of Curriculum Completion'!$EM$4:$EM$38,'Status of Curriculum Completion'!$EC$4:$EC$38,"Geo NA US",'Status of Curriculum Completion'!$EG$4:$EG$38,"Planned")+SUMIFS('Status of Curriculum Completion'!$EZ$4:$EZ$38,'Status of Curriculum Completion'!$EP$4:$EP$38,"Geo NA US",'Status of Curriculum Completion'!$ET$4:$ET$38,"Planned")</f>
        <v>0</v>
      </c>
      <c r="AK18" s="62">
        <f>SUMIFS('Status of Curriculum Completion'!$DZ$4:$DZ$38,'Status of Curriculum Completion'!$DP$4:$DP$38,"Geo NA US",'Status of Curriculum Completion'!$DT$4:$DT$38,"Tentative")+SUMIFS('Status of Curriculum Completion'!$EM$4:$EM$38,'Status of Curriculum Completion'!$EC$4:$EC$38,"Geo NA US",'Status of Curriculum Completion'!$EG$4:$EG$38,"Tentative")+SUMIFS('Status of Curriculum Completion'!$EZ$4:$EZ$38,'Status of Curriculum Completion'!$EP$4:$EP$38,"Geo NA US",'Status of Curriculum Completion'!$ET$4:$ET$38,"Tentative")</f>
        <v>0</v>
      </c>
      <c r="AL18" s="62">
        <f>SUMIFS('Status of Curriculum Completion'!$DZ$4:$DZ$38,'Status of Curriculum Completion'!$DP$4:$DP$38,"Geo NA US",'Status of Curriculum Completion'!$DU$4:$DU$38,"Complete")+SUMIFS('Status of Curriculum Completion'!$EM$4:$EM$38,'Status of Curriculum Completion'!$EC$4:$EC$38,"Geo NA US",'Status of Curriculum Completion'!$EH$4:$EH$38,"Complete")+SUMIFS('Status of Curriculum Completion'!$EZ$4:$EZ$38,'Status of Curriculum Completion'!$EP$4:$EP$38,"Geo NA US",'Status of Curriculum Completion'!$EU$4:$EU$38,"Complete")</f>
        <v>0</v>
      </c>
      <c r="AM18" s="62">
        <f>SUMIFS('Status of Curriculum Completion'!$DZ$4:$DZ$38,'Status of Curriculum Completion'!$DP$4:$DP$38,"Geo NA US",'Status of Curriculum Completion'!$DU$4:$DU$38,"In Progress")+SUMIFS('Status of Curriculum Completion'!$EM$4:$EM$38,'Status of Curriculum Completion'!$EC$4:$EC$38,"Geo NA US",'Status of Curriculum Completion'!$EH$4:$EH$38,"In Progress")+SUMIFS('Status of Curriculum Completion'!$EZ$4:$EZ$38,'Status of Curriculum Completion'!$EP$4:$EP$38,"Geo NA US",'Status of Curriculum Completion'!$EU$4:$EU$38,"In Progress")</f>
        <v>0</v>
      </c>
      <c r="AN18" s="62">
        <f>SUMIFS('Status of Curriculum Completion'!$DZ$4:$DZ$38,'Status of Curriculum Completion'!$DP$4:$DP$38,"Geo NA US",'Status of Curriculum Completion'!$DU$4:$DU$38,"Planned")+SUMIFS('Status of Curriculum Completion'!$EM$4:$EM$38,'Status of Curriculum Completion'!$EC$4:$EC$38,"Geo NA US",'Status of Curriculum Completion'!$EH$4:$EH$38,"Planned")+SUMIFS('Status of Curriculum Completion'!$EZ$4:$EZ$38,'Status of Curriculum Completion'!$EP$4:$EP$38,"Geo NA US",'Status of Curriculum Completion'!$EU$4:$EU$38,"Planned")</f>
        <v>0</v>
      </c>
      <c r="AO18" s="62">
        <f>SUMIFS('Status of Curriculum Completion'!$DZ$4:$DZ$38,'Status of Curriculum Completion'!$DP$4:$DP$38,"Geo NA US",'Status of Curriculum Completion'!$DU$4:$DU$38,"Tentative")+SUMIFS('Status of Curriculum Completion'!$EM$4:$EM$38,'Status of Curriculum Completion'!$EC$4:$EC$38,"Geo NA US",'Status of Curriculum Completion'!$EH$4:$EH$38,"Tentative")+SUMIFS('Status of Curriculum Completion'!$EZ$4:$EZ$38,'Status of Curriculum Completion'!$EP$4:$EP$38,"Geo NA US",'Status of Curriculum Completion'!$EU$4:$EU$38,"Tentative")</f>
        <v>0</v>
      </c>
      <c r="AP18" s="62">
        <f>SUMIFS('Status of Curriculum Completion'!$DZ$4:$DZ$38,'Status of Curriculum Completion'!$DP$4:$DP$38,"Geo NA US",'Status of Curriculum Completion'!$DV$4:$DV$38,"Complete")+SUMIFS('Status of Curriculum Completion'!$EM$4:$EM$38,'Status of Curriculum Completion'!$EC$4:$EC$38,"Geo NA US",'Status of Curriculum Completion'!$EI$4:$EI$38,"Complete")+SUMIFS('Status of Curriculum Completion'!$EZ$4:$EZ$38,'Status of Curriculum Completion'!$EP$4:$EP$38,"Geo NA US",'Status of Curriculum Completion'!$EV$4:$EV$38,"Complete")</f>
        <v>0</v>
      </c>
      <c r="AQ18" s="62">
        <f>SUMIFS('Status of Curriculum Completion'!$DZ$4:$DZ$38,'Status of Curriculum Completion'!$DP$4:$DP$38,"Geo NA US",'Status of Curriculum Completion'!$DV$4:$DV$38,"In Progress")+SUMIFS('Status of Curriculum Completion'!$EM$4:$EM$38,'Status of Curriculum Completion'!$EC$4:$EC$38,"Geo NA US",'Status of Curriculum Completion'!$EI$4:$EI$38,"In Progress")+SUMIFS('Status of Curriculum Completion'!$EZ$4:$EZ$38,'Status of Curriculum Completion'!$EP$4:$EP$38,"Geo NA US",'Status of Curriculum Completion'!$EV$4:$EV$38,"In Progress")</f>
        <v>0</v>
      </c>
      <c r="AR18" s="62">
        <f>SUMIFS('Status of Curriculum Completion'!$DZ$4:$DZ$38,'Status of Curriculum Completion'!$DP$4:$DP$38,"Geo NA US",'Status of Curriculum Completion'!$DV$4:$DV$38,"Planned")+SUMIFS('Status of Curriculum Completion'!$EM$4:$EM$38,'Status of Curriculum Completion'!$EC$4:$EC$38,"Geo NA US",'Status of Curriculum Completion'!$EI$4:$EI$38,"Planned")+SUMIFS('Status of Curriculum Completion'!$EZ$4:$EZ$38,'Status of Curriculum Completion'!$EP$4:$EP$38,"Geo NA US",'Status of Curriculum Completion'!$EV$4:$EV$38,"Planned")</f>
        <v>0</v>
      </c>
      <c r="AS18" s="62">
        <f>SUMIFS('Status of Curriculum Completion'!$DZ$4:$DZ$38,'Status of Curriculum Completion'!$DP$4:$DP$38,"Geo NA US",'Status of Curriculum Completion'!$DV$4:$DV$38,"Tentative")+SUMIFS('Status of Curriculum Completion'!$EM$4:$EM$38,'Status of Curriculum Completion'!$EC$4:$EC$38,"Geo NA US",'Status of Curriculum Completion'!$EI$4:$EI$38,"Tentative")+SUMIFS('Status of Curriculum Completion'!$EZ$4:$EZ$38,'Status of Curriculum Completion'!$EP$4:$EP$38,"Geo NA US",'Status of Curriculum Completion'!$EV$4:$EV$38,"Tentative")</f>
        <v>0</v>
      </c>
    </row>
    <row r="19" spans="1:45" ht="44" thickBot="1">
      <c r="A19" s="63" t="s">
        <v>1175</v>
      </c>
      <c r="B19" s="59">
        <f>SUMIFS('Status of Curriculum Completion'!M$4:M$38,'Status of Curriculum Completion'!C$4:C$38,"Geo WE",'Status of Curriculum Completion'!G$4:G$38,"Complete")+SUMIFS('Status of Curriculum Completion'!Z$4:Z$38,'Status of Curriculum Completion'!P$4:P$38,"Geo WE",'Status of Curriculum Completion'!T$4:T$38,"Complete")+SUMIFS('Status of Curriculum Completion'!AM$4:AM$38,'Status of Curriculum Completion'!AC$4:AC$38,"Geo WE",'Status of Curriculum Completion'!AG$4:AG$38,"Complete")</f>
        <v>0</v>
      </c>
      <c r="C19" s="59">
        <f>SUMIFS('Status of Curriculum Completion'!$M$4:$M$38,'Status of Curriculum Completion'!$C$4:$C$38,"Geo WE",'Status of Curriculum Completion'!$G$4:$G$38,"In progress")+SUMIFS('Status of Curriculum Completion'!$Z$4:$Z$38,'Status of Curriculum Completion'!$P$4:$P$38,"Geo WE",'Status of Curriculum Completion'!$T$4:$T$38,"In progress")+SUMIFS('Status of Curriculum Completion'!$AM$4:$AM$38,'Status of Curriculum Completion'!$AC$4:$AC$38,"Geo WE",'Status of Curriculum Completion'!$AG$4:$AG$38,"In progress")</f>
        <v>0</v>
      </c>
      <c r="D19"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E19" s="59">
        <f>SUMIFS('Status of Curriculum Completion'!$M$4:$M$38,'Status of Curriculum Completion'!$C$4:$C$38,"Geo WE",'Status of Curriculum Completion'!$H$4:$H$38,"Complete")+SUMIFS('Status of Curriculum Completion'!$Z$4:$Z$38,'Status of Curriculum Completion'!$P$4:$P$38,"Geo WE",'Status of Curriculum Completion'!$U$4:$U$38,"Complete")+SUMIFS('Status of Curriculum Completion'!$AM$4:$AM$38,'Status of Curriculum Completion'!$AC$4:$AC$38,"Geo WE",'Status of Curriculum Completion'!$AH$4:$AH$38,"Complete")</f>
        <v>0</v>
      </c>
      <c r="F19" s="59">
        <f>SUMIFS('Status of Curriculum Completion'!$M$4:$M$38,'Status of Curriculum Completion'!$C$4:$C$38,"Geo WE",'Status of Curriculum Completion'!$H$4:$H$38,"In Progress")+SUMIFS('Status of Curriculum Completion'!$Z$4:$Z$38,'Status of Curriculum Completion'!$P$4:$P$38,"Geo WE",'Status of Curriculum Completion'!$U$4:$U$38,"In Progress")+SUMIFS('Status of Curriculum Completion'!$AM$4:$AM$38,'Status of Curriculum Completion'!$AC$4:$AC$38,"Geo WE",'Status of Curriculum Completion'!$AH$4:$AH$38,"In Progress")</f>
        <v>0</v>
      </c>
      <c r="G19" s="59">
        <f>SUMIFS('Status of Curriculum Completion'!$M$4:$M$38,'Status of Curriculum Completion'!$C$4:$C$38,"Geo WE",'Status of Curriculum Completion'!$H$4:$H$38,"Planned")+SUMIFS('Status of Curriculum Completion'!$Z$4:$Z$38,'Status of Curriculum Completion'!$P$4:$P$38,"Geo WE",'Status of Curriculum Completion'!$U$4:$U$38,"Planned")+SUMIFS('Status of Curriculum Completion'!$AM$4:$AM$38,'Status of Curriculum Completion'!$AC$4:$AC$38,"Geo WE",'Status of Curriculum Completion'!$AH$4:$AH$38,"Planned")</f>
        <v>0</v>
      </c>
      <c r="H19" s="59">
        <f>SUMIFS('Status of Curriculum Completion'!$M$4:$M$38,'Status of Curriculum Completion'!$C$4:$C$38,"Geo WE",'Status of Curriculum Completion'!$I$4:$I$38,"Complete")+SUMIFS('Status of Curriculum Completion'!$Z$4:$Z$38,'Status of Curriculum Completion'!$P$4:$P$38,"Geo WE",'Status of Curriculum Completion'!$V$4:$V$38,"Complete")+SUMIFS('Status of Curriculum Completion'!$AM$4:$AM$38,'Status of Curriculum Completion'!$AC$4:$AC$38,"Geo WE",'Status of Curriculum Completion'!$AI$4:$AI$38,"Complete")</f>
        <v>0</v>
      </c>
      <c r="I19" s="59">
        <f>SUMIFS('Status of Curriculum Completion'!$M$4:$M$38,'Status of Curriculum Completion'!$C$4:$C$38,"Geo WE",'Status of Curriculum Completion'!$I$4:$I$38,"In Progress")+SUMIFS('Status of Curriculum Completion'!$Z$4:$Z$38,'Status of Curriculum Completion'!$P$4:$P$38,"Geo WE",'Status of Curriculum Completion'!$V$4:$V$38,"In Progress")+SUMIFS('Status of Curriculum Completion'!$AM$4:$AM$38,'Status of Curriculum Completion'!$AC$4:$AC$38,"Geo WE",'Status of Curriculum Completion'!$AI$4:$AI$38,"In Progress")</f>
        <v>0</v>
      </c>
      <c r="J19" s="59">
        <f>SUMIFS('Status of Curriculum Completion'!$M$4:$M$38,'Status of Curriculum Completion'!$C$4:$C$38,"Geo WE",'Status of Curriculum Completion'!$I$4:$I$38,"Planned")+SUMIFS('Status of Curriculum Completion'!$Z$4:$Z$38,'Status of Curriculum Completion'!$P$4:$P$38,"Geo WE",'Status of Curriculum Completion'!$V$4:$V$38,"Planned")+SUMIFS('Status of Curriculum Completion'!$AM$4:$AM$38,'Status of Curriculum Completion'!$AC$4:$AC$38,"Geo WE",'Status of Curriculum Completion'!$AI$4:$AI$38,"Planned")</f>
        <v>0</v>
      </c>
      <c r="K19" s="60">
        <f>SUMIFS('Status of Curriculum Completion'!$AZ$4:$AZ$38,'Status of Curriculum Completion'!$AP$4:$AP$38,"Geo WE",'Status of Curriculum Completion'!$AT$4:$AT$38,"Complete")+SUMIFS('Status of Curriculum Completion'!$BM$4:$BM$38,'Status of Curriculum Completion'!$BC$4:$BC$38,"Geo WE",'Status of Curriculum Completion'!$BG$4:$BG$38,"Complete")+SUMIFS('Status of Curriculum Completion'!$BZ$4:$BZ$38,'Status of Curriculum Completion'!$BP$4:$BP$38,"Geo WE",'Status of Curriculum Completion'!$BT$4:$BT$38,"Complete")</f>
        <v>0</v>
      </c>
      <c r="L19" s="60">
        <f>SUMIFS('Status of Curriculum Completion'!$AZ$4:$AZ$38,'Status of Curriculum Completion'!$AP$4:$AP$38,"Geo WE",'Status of Curriculum Completion'!$AT$4:$AT$38,"In Progress")+SUMIFS('Status of Curriculum Completion'!$BM$4:$BM$38,'Status of Curriculum Completion'!$BC$4:$BC$38,"Geo WE",'Status of Curriculum Completion'!$BG$4:$BG$38,"In Progress")+SUMIFS('Status of Curriculum Completion'!$BZ$4:$BZ$38,'Status of Curriculum Completion'!$BP$4:$BP$38,"Geo WE",'Status of Curriculum Completion'!$BT$4:$BT$38,"In Progress")</f>
        <v>0</v>
      </c>
      <c r="M19" s="60">
        <f>SUMIFS('Status of Curriculum Completion'!$AZ$4:$AZ$38,'Status of Curriculum Completion'!$AP$4:$AP$38,"Geo WE",'Status of Curriculum Completion'!$AT$4:$AT$38,"Planned")+SUMIFS('Status of Curriculum Completion'!$BM$4:$BM$38,'Status of Curriculum Completion'!$BC$4:$BC$38,"Geo WE",'Status of Curriculum Completion'!$BG$4:$BG$38,"Planned")+SUMIFS('Status of Curriculum Completion'!$BZ$4:$BZ$38,'Status of Curriculum Completion'!$BP$4:$BP$38,"Geo WE",'Status of Curriculum Completion'!$BT$4:$BT$38,"Planned")</f>
        <v>0</v>
      </c>
      <c r="N19" s="60">
        <f>SUMIFS('Status of Curriculum Completion'!$AZ$4:$AZ$38,'Status of Curriculum Completion'!$AP$4:$AP$38,"Geo WE",'Status of Curriculum Completion'!$AU$4:$AU$38,"Complete")+SUMIFS('Status of Curriculum Completion'!$BM$4:$BM$38,'Status of Curriculum Completion'!$BC$4:$BC$38,"Geo WE",'Status of Curriculum Completion'!$BH$4:$BH$38,"Complete")+SUMIFS('Status of Curriculum Completion'!$BZ$4:$BZ$38,'Status of Curriculum Completion'!$BP$4:$BP$38,"Geo WE",'Status of Curriculum Completion'!$BU$4:$BU$38,"Complete")</f>
        <v>0</v>
      </c>
      <c r="O19" s="60">
        <f>SUMIFS('Status of Curriculum Completion'!$AZ$4:$AZ$38,'Status of Curriculum Completion'!$AP$4:$AP$38,"Geo WE",'Status of Curriculum Completion'!$AU$4:$AU$38,"In Progress")+SUMIFS('Status of Curriculum Completion'!$BM$4:$BM$38,'Status of Curriculum Completion'!$BC$4:$BC$38,"Geo WE",'Status of Curriculum Completion'!$BH$4:$BH$38,"In Progress")+SUMIFS('Status of Curriculum Completion'!$BZ$4:$BZ$38,'Status of Curriculum Completion'!$BP$4:$BP$38,"Geo WE",'Status of Curriculum Completion'!$BU$4:$BU$38,"In Progress")</f>
        <v>0</v>
      </c>
      <c r="P19" s="60">
        <f>SUMIFS('Status of Curriculum Completion'!$AZ$4:$AZ$38,'Status of Curriculum Completion'!$AP$4:$AP$38,"Geo WE",'Status of Curriculum Completion'!$AU$4:$AU$38,"Planned")+SUMIFS('Status of Curriculum Completion'!$BM$4:$BM$38,'Status of Curriculum Completion'!$BC$4:$BC$38,"Geo WE",'Status of Curriculum Completion'!$BH$4:$BH$38,"Planned")+SUMIFS('Status of Curriculum Completion'!$BZ$4:$BZ$38,'Status of Curriculum Completion'!$BP$4:$BP$38,"Geo WE",'Status of Curriculum Completion'!$BU$4:$BU$38,"Planned")</f>
        <v>0</v>
      </c>
      <c r="Q19" s="60">
        <f>SUMIFS('Status of Curriculum Completion'!$AZ$4:$AZ$38,'Status of Curriculum Completion'!$AP$4:$AP$38,"Geo WE",'Status of Curriculum Completion'!$AV$4:$AV$38,"Complete")+SUMIFS('Status of Curriculum Completion'!$BM$4:$BM$38,'Status of Curriculum Completion'!$BC$4:$BC$38,"Geo WE",'Status of Curriculum Completion'!$BI$4:$BI$38,"Complete")+SUMIFS('Status of Curriculum Completion'!$BZ$4:$BZ$38,'Status of Curriculum Completion'!$BP$4:$BP$38,"Geo WE",'Status of Curriculum Completion'!$BV$4:$BV$38,"Complete")</f>
        <v>0</v>
      </c>
      <c r="R19" s="60">
        <f>SUMIFS('Status of Curriculum Completion'!$AZ$4:$AZ$38,'Status of Curriculum Completion'!$AP$4:$AP$38,"Geo WE",'Status of Curriculum Completion'!$AV$4:$AV$38,"In Progress")+SUMIFS('Status of Curriculum Completion'!$BM$4:$BM$38,'Status of Curriculum Completion'!$BC$4:$BC$38,"Geo WE",'Status of Curriculum Completion'!$BI$4:$BI$38,"In Progress")+SUMIFS('Status of Curriculum Completion'!$BZ$4:$BZ$38,'Status of Curriculum Completion'!$BP$4:$BP$38,"Geo WE",'Status of Curriculum Completion'!$BV$4:$BV$38,"In Progress")</f>
        <v>0</v>
      </c>
      <c r="S19" s="60">
        <f>SUMIFS('Status of Curriculum Completion'!$AZ$4:$AZ$38,'Status of Curriculum Completion'!$AP$4:$AP$38,"Geo WE",'Status of Curriculum Completion'!$AV$4:$AV$38,"Planned")+SUMIFS('Status of Curriculum Completion'!$BM$4:$BM$38,'Status of Curriculum Completion'!$BC$4:$BC$38,"Geo WE",'Status of Curriculum Completion'!$BI$4:$BI$38,"Planned")+SUMIFS('Status of Curriculum Completion'!$BZ$4:$BZ$38,'Status of Curriculum Completion'!$BP$4:$BP$38,"Geo WE",'Status of Curriculum Completion'!$BV$4:$BV$38,"Planned")</f>
        <v>0</v>
      </c>
      <c r="U19" s="63" t="s">
        <v>1175</v>
      </c>
      <c r="V19" s="61">
        <f>SUMIFS('Status of Curriculum Completion'!$CM$4:$CM$38,'Status of Curriculum Completion'!$CC$4:$CC$38,"Geo WE",'Status of Curriculum Completion'!$CG$4:$CG$38,"Complete")+SUMIFS('Status of Curriculum Completion'!$CZ$4:$CZ$38,'Status of Curriculum Completion'!$CP$4:$CP$38,"Geo WE",'Status of Curriculum Completion'!$CT$4:$CT$38,"Complete")+SUMIFS('Status of Curriculum Completion'!$DM$4:$DM$38,'Status of Curriculum Completion'!$DC$4:$DC$38,"Geo WE",'Status of Curriculum Completion'!$DG$4:$DG$38,"Complete")</f>
        <v>0</v>
      </c>
      <c r="W19" s="61">
        <f>SUMIFS('Status of Curriculum Completion'!$CM$4:$CM$38,'Status of Curriculum Completion'!$CC$4:$CC$38,"Geo WE",'Status of Curriculum Completion'!$CG$4:$CG$38,"In Progress")+SUMIFS('Status of Curriculum Completion'!$CZ$4:$CZ$38,'Status of Curriculum Completion'!$CP$4:$CP$38,"Geo WE",'Status of Curriculum Completion'!$CT$4:$CT$38,"In Progress")+SUMIFS('Status of Curriculum Completion'!$DM$4:$DM$38,'Status of Curriculum Completion'!$DC$4:$DC$38,"Geo WE",'Status of Curriculum Completion'!$DG$4:$DG$38,"In Progress")</f>
        <v>0</v>
      </c>
      <c r="X19" s="61">
        <f>SUMIFS('Status of Curriculum Completion'!$CM$4:$CM$38,'Status of Curriculum Completion'!$CC$4:$CC$38,"Geo WE",'Status of Curriculum Completion'!$CG$4:$CG$38,"Planned")+SUMIFS('Status of Curriculum Completion'!$CZ$4:$CZ$38,'Status of Curriculum Completion'!$CP$4:$CP$38,"Geo WE",'Status of Curriculum Completion'!$CT$4:$CT$38,"Planned")+SUMIFS('Status of Curriculum Completion'!$DM$4:$DM$38,'Status of Curriculum Completion'!$DC$4:$DC$38,"Geo WE",'Status of Curriculum Completion'!$DG$4:$DG$38,"Planned")</f>
        <v>0</v>
      </c>
      <c r="Y19" s="61">
        <f>SUMIFS('Status of Curriculum Completion'!$CM$4:$CM$38,'Status of Curriculum Completion'!$CC$4:$CC$38,"Geo WE",'Status of Curriculum Completion'!$CG$4:$CG$38,"Tentative")+SUMIFS('Status of Curriculum Completion'!$CZ$4:$CZ$38,'Status of Curriculum Completion'!$CP$4:$CP$38,"Geo WE",'Status of Curriculum Completion'!$CT$4:$CT$38,"Tentative")+SUMIFS('Status of Curriculum Completion'!$DM$4:$DM$38,'Status of Curriculum Completion'!$DC$4:$DC$38,"Geo WE",'Status of Curriculum Completion'!$DG$4:$DG$38,"Tentative")</f>
        <v>0</v>
      </c>
      <c r="Z19" s="61">
        <f>SUMIFS('Status of Curriculum Completion'!$CM$4:$CM$38,'Status of Curriculum Completion'!$CC$4:$CC$38,"Geo WE",'Status of Curriculum Completion'!$CH$4:$CH$38,"Complete")+SUMIFS('Status of Curriculum Completion'!$CZ$4:$CZ$38,'Status of Curriculum Completion'!$CP$4:$CP$38,"Geo WE",'Status of Curriculum Completion'!$CU$4:$CU$38,"Complete")+SUMIFS('Status of Curriculum Completion'!$DM$4:$DM$38,'Status of Curriculum Completion'!$DC$4:$DC$38,"Geo WE",'Status of Curriculum Completion'!$DH$4:$DH$38,"Complete")</f>
        <v>0</v>
      </c>
      <c r="AA19" s="61">
        <f>SUMIFS('Status of Curriculum Completion'!$CM$4:$CM$38,'Status of Curriculum Completion'!$CC$4:$CC$38,"Geo WE",'Status of Curriculum Completion'!$CH$4:$CH$38,"In Progress")+SUMIFS('Status of Curriculum Completion'!$CZ$4:$CZ$38,'Status of Curriculum Completion'!$CP$4:$CP$38,"Geo WE",'Status of Curriculum Completion'!$CU$4:$CU$38,"In Progress")+SUMIFS('Status of Curriculum Completion'!$DM$4:$DM$38,'Status of Curriculum Completion'!$DC$4:$DC$38,"Geo WE",'Status of Curriculum Completion'!$DH$4:$DH$38,"In Progress")</f>
        <v>0</v>
      </c>
      <c r="AB19" s="61">
        <f>SUMIFS('Status of Curriculum Completion'!$CM$4:$CM$38,'Status of Curriculum Completion'!$CC$4:$CC$38,"Geo WE",'Status of Curriculum Completion'!$CH$4:$CH$38,"Planned")+SUMIFS('Status of Curriculum Completion'!$CZ$4:$CZ$38,'Status of Curriculum Completion'!$CP$4:$CP$38,"Geo WE",'Status of Curriculum Completion'!$CU$4:$CU$38,"Planned")+SUMIFS('Status of Curriculum Completion'!$DM$4:$DM$38,'Status of Curriculum Completion'!$DC$4:$DC$38,"Geo WE",'Status of Curriculum Completion'!$DH$4:$DH$38,"Planned")</f>
        <v>0</v>
      </c>
      <c r="AC19" s="61">
        <f>SUMIFS('Status of Curriculum Completion'!$CM$4:$CM$38,'Status of Curriculum Completion'!$CC$4:$CC$38,"Geo WE",'Status of Curriculum Completion'!$CH$4:$CH$38,"Tentative")+SUMIFS('Status of Curriculum Completion'!$CZ$4:$CZ$38,'Status of Curriculum Completion'!$CP$4:$CP$38,"Geo WE",'Status of Curriculum Completion'!$CU$4:$CU$38,"Tentative")+SUMIFS('Status of Curriculum Completion'!$DM$4:$DM$38,'Status of Curriculum Completion'!$DC$4:$DC$38,"Geo WE",'Status of Curriculum Completion'!$DH$4:$DH$38,"Tentative")</f>
        <v>0</v>
      </c>
      <c r="AD19" s="61">
        <f>SUMIFS('Status of Curriculum Completion'!$CM$4:$CM$38,'Status of Curriculum Completion'!$CC$4:$CC$38,"Geo WE",'Status of Curriculum Completion'!$CI$4:$CI$38,"Complete")+SUMIFS('Status of Curriculum Completion'!$CZ$4:$CZ$38,'Status of Curriculum Completion'!$CP$4:$CP$38,"Geo WE",'Status of Curriculum Completion'!$CV$4:$CV$38,"Complete")+SUMIFS('Status of Curriculum Completion'!$DM$4:$DM$38,'Status of Curriculum Completion'!$DC$4:$DC$38,"Geo WE",'Status of Curriculum Completion'!$DI$4:$DI$38,"Complete")</f>
        <v>0</v>
      </c>
      <c r="AE19" s="61">
        <f>SUMIFS('Status of Curriculum Completion'!$CM$4:$CM$38,'Status of Curriculum Completion'!$CC$4:$CC$38,"Geo WE",'Status of Curriculum Completion'!$CI$4:$CI$38,"In Progress")+SUMIFS('Status of Curriculum Completion'!$CZ$4:$CZ$38,'Status of Curriculum Completion'!$CP$4:$CP$38,"Geo WE",'Status of Curriculum Completion'!$CV$4:$CV$38,"In Progress")+SUMIFS('Status of Curriculum Completion'!$DM$4:$DM$38,'Status of Curriculum Completion'!$DC$4:$DC$38,"Geo WE",'Status of Curriculum Completion'!$DI$4:$DI$38,"In Progress")</f>
        <v>0</v>
      </c>
      <c r="AF19" s="61">
        <f>SUMIFS('Status of Curriculum Completion'!$CM$4:$CM$38,'Status of Curriculum Completion'!$CC$4:$CC$38,"Geo WE",'Status of Curriculum Completion'!$CI$4:$CI$38,"Planned")+SUMIFS('Status of Curriculum Completion'!$CZ$4:$CZ$38,'Status of Curriculum Completion'!$CP$4:$CP$38,"Geo WE",'Status of Curriculum Completion'!$CV$4:$CV$38,"Planned")+SUMIFS('Status of Curriculum Completion'!$DM$4:$DM$38,'Status of Curriculum Completion'!$DC$4:$DC$38,"Geo WE",'Status of Curriculum Completion'!$DI$4:$DI$38,"Planned")</f>
        <v>0</v>
      </c>
      <c r="AG19" s="61">
        <f>SUMIFS('Status of Curriculum Completion'!$CM$4:$CM$38,'Status of Curriculum Completion'!$CC$4:$CC$38,"Geo WE",'Status of Curriculum Completion'!$CI$4:$CI$38,"Tentative")+SUMIFS('Status of Curriculum Completion'!$CZ$4:$CZ$38,'Status of Curriculum Completion'!$CP$4:$CP$38,"Geo WE",'Status of Curriculum Completion'!$CV$4:$CV$38,"Tentative")+SUMIFS('Status of Curriculum Completion'!$DM$4:$DM$38,'Status of Curriculum Completion'!$DC$4:$DC$38,"Geo WE",'Status of Curriculum Completion'!$DI$4:$DI$38,"Tentative")</f>
        <v>0</v>
      </c>
      <c r="AH19" s="62">
        <f>SUMIFS('Status of Curriculum Completion'!$DZ$4:$DZ$38,'Status of Curriculum Completion'!$DP$4:$DP$38,"Geo WE",'Status of Curriculum Completion'!$DT$4:$DT$38,"Complete")+SUMIFS('Status of Curriculum Completion'!$EM$4:$EM$38,'Status of Curriculum Completion'!$EC$4:$EC$38,"Geo WE",'Status of Curriculum Completion'!$EG$4:$EG$38,"Complete")+SUMIFS('Status of Curriculum Completion'!$EZ$4:$EZ$38,'Status of Curriculum Completion'!$EP$4:$EP$38,"Geo WE",'Status of Curriculum Completion'!$ET$4:$ET$38,"Complete")</f>
        <v>0</v>
      </c>
      <c r="AI19" s="62">
        <f>SUMIFS('Status of Curriculum Completion'!$DZ$4:$DZ$38,'Status of Curriculum Completion'!$DP$4:$DP$38,"Geo WE",'Status of Curriculum Completion'!$DT$4:$DT$38,"In Progress")+SUMIFS('Status of Curriculum Completion'!$EM$4:$EM$38,'Status of Curriculum Completion'!$EC$4:$EC$38,"Geo WE",'Status of Curriculum Completion'!$EG$4:$EG$38,"In Progress")+SUMIFS('Status of Curriculum Completion'!$EZ$4:$EZ$38,'Status of Curriculum Completion'!$EP$4:$EP$38,"Geo WE",'Status of Curriculum Completion'!$ET$4:$ET$38,"In Progress")</f>
        <v>0</v>
      </c>
      <c r="AJ19" s="62">
        <f>SUMIFS('Status of Curriculum Completion'!$DZ$4:$DZ$38,'Status of Curriculum Completion'!$DP$4:$DP$38,"Geo WE",'Status of Curriculum Completion'!$DT$4:$DT$38,"Planned")+SUMIFS('Status of Curriculum Completion'!$EM$4:$EM$38,'Status of Curriculum Completion'!$EC$4:$EC$38,"Geo WE",'Status of Curriculum Completion'!$EG$4:$EG$38,"Planned")+SUMIFS('Status of Curriculum Completion'!$EZ$4:$EZ$38,'Status of Curriculum Completion'!$EP$4:$EP$38,"Geo WE",'Status of Curriculum Completion'!$ET$4:$ET$38,"Planned")</f>
        <v>0</v>
      </c>
      <c r="AK19" s="62">
        <f>SUMIFS('Status of Curriculum Completion'!$DZ$4:$DZ$38,'Status of Curriculum Completion'!$DP$4:$DP$38,"Geo WE",'Status of Curriculum Completion'!$DT$4:$DT$38,"Tentative")+SUMIFS('Status of Curriculum Completion'!$EM$4:$EM$38,'Status of Curriculum Completion'!$EC$4:$EC$38,"Geo WE",'Status of Curriculum Completion'!$EG$4:$EG$38,"Tentative")+SUMIFS('Status of Curriculum Completion'!$EZ$4:$EZ$38,'Status of Curriculum Completion'!$EP$4:$EP$38,"Geo WE",'Status of Curriculum Completion'!$ET$4:$ET$38,"Tentative")</f>
        <v>0</v>
      </c>
      <c r="AL19" s="62">
        <f>SUMIFS('Status of Curriculum Completion'!$DZ$4:$DZ$38,'Status of Curriculum Completion'!$DP$4:$DP$38,"Geo WE",'Status of Curriculum Completion'!$DU$4:$DU$38,"Complete")+SUMIFS('Status of Curriculum Completion'!$EM$4:$EM$38,'Status of Curriculum Completion'!$EC$4:$EC$38,"Geo WE",'Status of Curriculum Completion'!$EH$4:$EH$38,"Complete")+SUMIFS('Status of Curriculum Completion'!$EZ$4:$EZ$38,'Status of Curriculum Completion'!$EP$4:$EP$38,"Geo WE",'Status of Curriculum Completion'!$EU$4:$EU$38,"Complete")</f>
        <v>0</v>
      </c>
      <c r="AM19" s="62">
        <f>SUMIFS('Status of Curriculum Completion'!$DZ$4:$DZ$38,'Status of Curriculum Completion'!$DP$4:$DP$38,"Geo WE",'Status of Curriculum Completion'!$DU$4:$DU$38,"In Progress")+SUMIFS('Status of Curriculum Completion'!$EM$4:$EM$38,'Status of Curriculum Completion'!$EC$4:$EC$38,"Geo WE",'Status of Curriculum Completion'!$EH$4:$EH$38,"In Progress")+SUMIFS('Status of Curriculum Completion'!$EZ$4:$EZ$38,'Status of Curriculum Completion'!$EP$4:$EP$38,"Geo WE",'Status of Curriculum Completion'!$EU$4:$EU$38,"In Progress")</f>
        <v>0</v>
      </c>
      <c r="AN19" s="62">
        <f>SUMIFS('Status of Curriculum Completion'!$DZ$4:$DZ$38,'Status of Curriculum Completion'!$DP$4:$DP$38,"Geo WE",'Status of Curriculum Completion'!$DU$4:$DU$38,"Planned")+SUMIFS('Status of Curriculum Completion'!$EM$4:$EM$38,'Status of Curriculum Completion'!$EC$4:$EC$38,"Geo WE",'Status of Curriculum Completion'!$EH$4:$EH$38,"Planned")+SUMIFS('Status of Curriculum Completion'!$EZ$4:$EZ$38,'Status of Curriculum Completion'!$EP$4:$EP$38,"Geo WE",'Status of Curriculum Completion'!$EU$4:$EU$38,"Planned")</f>
        <v>0</v>
      </c>
      <c r="AO19" s="62">
        <f>SUMIFS('Status of Curriculum Completion'!$DZ$4:$DZ$38,'Status of Curriculum Completion'!$DP$4:$DP$38,"Geo WE",'Status of Curriculum Completion'!$DU$4:$DU$38,"Tentative")+SUMIFS('Status of Curriculum Completion'!$EM$4:$EM$38,'Status of Curriculum Completion'!$EC$4:$EC$38,"Geo WE",'Status of Curriculum Completion'!$EH$4:$EH$38,"Tentative")+SUMIFS('Status of Curriculum Completion'!$EZ$4:$EZ$38,'Status of Curriculum Completion'!$EP$4:$EP$38,"Geo WE",'Status of Curriculum Completion'!$EU$4:$EU$38,"Tentative")</f>
        <v>0</v>
      </c>
      <c r="AP19" s="62">
        <f>SUMIFS('Status of Curriculum Completion'!$DZ$4:$DZ$38,'Status of Curriculum Completion'!$DP$4:$DP$38,"Geo WE",'Status of Curriculum Completion'!$DV$4:$DV$38,"Complete")+SUMIFS('Status of Curriculum Completion'!$EM$4:$EM$38,'Status of Curriculum Completion'!$EC$4:$EC$38,"Geo WE",'Status of Curriculum Completion'!$EI$4:$EI$38,"Complete")+SUMIFS('Status of Curriculum Completion'!$EZ$4:$EZ$38,'Status of Curriculum Completion'!$EP$4:$EP$38,"Geo WE",'Status of Curriculum Completion'!$EV$4:$EV$38,"Complete")</f>
        <v>0</v>
      </c>
      <c r="AQ19" s="62">
        <f>SUMIFS('Status of Curriculum Completion'!$DZ$4:$DZ$38,'Status of Curriculum Completion'!$DP$4:$DP$38,"Geo WE",'Status of Curriculum Completion'!$DV$4:$DV$38,"In Progress")+SUMIFS('Status of Curriculum Completion'!$EM$4:$EM$38,'Status of Curriculum Completion'!$EC$4:$EC$38,"Geo WE",'Status of Curriculum Completion'!$EI$4:$EI$38,"In Progress")+SUMIFS('Status of Curriculum Completion'!$EZ$4:$EZ$38,'Status of Curriculum Completion'!$EP$4:$EP$38,"Geo WE",'Status of Curriculum Completion'!$EV$4:$EV$38,"In Progress")</f>
        <v>0</v>
      </c>
      <c r="AR19" s="62">
        <f>SUMIFS('Status of Curriculum Completion'!$DZ$4:$DZ$38,'Status of Curriculum Completion'!$DP$4:$DP$38,"Geo WE",'Status of Curriculum Completion'!$DV$4:$DV$38,"Planned")+SUMIFS('Status of Curriculum Completion'!$EM$4:$EM$38,'Status of Curriculum Completion'!$EC$4:$EC$38,"Geo WE",'Status of Curriculum Completion'!$EI$4:$EI$38,"Planned")+SUMIFS('Status of Curriculum Completion'!$EZ$4:$EZ$38,'Status of Curriculum Completion'!$EP$4:$EP$38,"Geo WE",'Status of Curriculum Completion'!$EV$4:$EV$38,"Planned")</f>
        <v>0</v>
      </c>
      <c r="AS19" s="62">
        <f>SUMIFS('Status of Curriculum Completion'!$DZ$4:$DZ$38,'Status of Curriculum Completion'!$DP$4:$DP$38,"Geo WE",'Status of Curriculum Completion'!$DV$4:$DV$38,"Tentative")+SUMIFS('Status of Curriculum Completion'!$EM$4:$EM$38,'Status of Curriculum Completion'!$EC$4:$EC$38,"Geo WE",'Status of Curriculum Completion'!$EI$4:$EI$38,"Tentative")+SUMIFS('Status of Curriculum Completion'!$EZ$4:$EZ$38,'Status of Curriculum Completion'!$EP$4:$EP$38,"Geo WE",'Status of Curriculum Completion'!$EV$4:$EV$38,"Tentative")</f>
        <v>0</v>
      </c>
    </row>
  </sheetData>
  <mergeCells count="20">
    <mergeCell ref="U1:AS1"/>
    <mergeCell ref="AH3:AK3"/>
    <mergeCell ref="AL3:AO3"/>
    <mergeCell ref="AP3:AS3"/>
    <mergeCell ref="V2:AG2"/>
    <mergeCell ref="U2:U4"/>
    <mergeCell ref="AH2:AS2"/>
    <mergeCell ref="V3:Y3"/>
    <mergeCell ref="Z3:AC3"/>
    <mergeCell ref="AD3:AG3"/>
    <mergeCell ref="A1:S1"/>
    <mergeCell ref="H3:J3"/>
    <mergeCell ref="A2:A4"/>
    <mergeCell ref="B2:J2"/>
    <mergeCell ref="K2:S2"/>
    <mergeCell ref="B3:D3"/>
    <mergeCell ref="E3:G3"/>
    <mergeCell ref="K3:M3"/>
    <mergeCell ref="N3:P3"/>
    <mergeCell ref="Q3:S3"/>
  </mergeCells>
  <phoneticPr fontId="2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IA118"/>
  <sheetViews>
    <sheetView zoomScale="70" zoomScaleNormal="70" workbookViewId="0">
      <pane xSplit="1" ySplit="3" topLeftCell="B4" activePane="bottomRight" state="frozen"/>
      <selection pane="topRight" activeCell="B1" sqref="B1"/>
      <selection pane="bottomLeft" activeCell="A3" sqref="A3"/>
      <selection pane="bottomRight" activeCell="H75" sqref="H75"/>
    </sheetView>
  </sheetViews>
  <sheetFormatPr defaultColWidth="8.453125" defaultRowHeight="14.5"/>
  <cols>
    <col min="1" max="1" width="34.453125" style="27" customWidth="1"/>
    <col min="2" max="2" width="22.453125" style="27" customWidth="1"/>
    <col min="3" max="3" width="22.453125" style="26" customWidth="1"/>
    <col min="4" max="4" width="12.453125" style="26" customWidth="1"/>
    <col min="5" max="6" width="9.453125" style="26" customWidth="1"/>
    <col min="7" max="7" width="10.453125" style="26" bestFit="1" customWidth="1"/>
    <col min="8" max="8" width="12.453125" style="26" bestFit="1" customWidth="1"/>
    <col min="9" max="10" width="10.453125" style="26" customWidth="1"/>
    <col min="11" max="12" width="8.453125" style="26" customWidth="1"/>
    <col min="13" max="13" width="9.453125" style="26" customWidth="1"/>
    <col min="14" max="15" width="8.453125" style="26" customWidth="1"/>
    <col min="16" max="16" width="10" style="26" customWidth="1"/>
    <col min="17" max="17" width="10.453125" style="26" customWidth="1"/>
    <col min="18" max="18" width="8.453125" style="26" customWidth="1"/>
    <col min="19" max="19" width="10" style="26" customWidth="1"/>
    <col min="20" max="20" width="9.453125" style="26" customWidth="1"/>
    <col min="21" max="22" width="12.453125" style="26" bestFit="1" customWidth="1"/>
    <col min="23" max="23" width="9.453125" style="26" bestFit="1" customWidth="1"/>
    <col min="24" max="24" width="8.453125" style="26" customWidth="1"/>
    <col min="25" max="25" width="9.453125" style="26" customWidth="1"/>
    <col min="26" max="27" width="8.453125" style="26" customWidth="1"/>
    <col min="28" max="28" width="9.453125" style="26" customWidth="1"/>
    <col min="29" max="29" width="10" style="26" customWidth="1"/>
    <col min="30" max="30" width="12.453125" style="26" customWidth="1"/>
    <col min="31" max="31" width="8" style="26" customWidth="1"/>
    <col min="32" max="32" width="9.453125" style="26" customWidth="1"/>
    <col min="33" max="33" width="8.453125" style="26" customWidth="1"/>
    <col min="34" max="34" width="9.453125" style="26" customWidth="1"/>
    <col min="35" max="36" width="8.453125" style="26" customWidth="1"/>
    <col min="37" max="39" width="9.453125" style="26" customWidth="1"/>
    <col min="40" max="40" width="18.453125" style="26" customWidth="1"/>
    <col min="41" max="42" width="9.453125" style="26" customWidth="1"/>
    <col min="43" max="44" width="8.453125" style="26" customWidth="1"/>
    <col min="45" max="45" width="9.453125" style="26" customWidth="1"/>
    <col min="46" max="46" width="10.453125" style="26" customWidth="1"/>
    <col min="47" max="47" width="12.453125" style="26" bestFit="1" customWidth="1"/>
    <col min="48" max="48" width="10.453125" style="26" bestFit="1" customWidth="1"/>
    <col min="49" max="49" width="8.453125" style="26" customWidth="1"/>
    <col min="50" max="50" width="9.453125" style="26" customWidth="1"/>
    <col min="51" max="51" width="8.453125" style="26" customWidth="1"/>
    <col min="52" max="53" width="10.453125" style="26" customWidth="1"/>
    <col min="54" max="59" width="8.453125" style="26" customWidth="1"/>
    <col min="60" max="60" width="12.453125" style="26" bestFit="1" customWidth="1"/>
    <col min="61" max="61" width="10.453125" style="26" bestFit="1" customWidth="1"/>
    <col min="62" max="72" width="8.453125" style="26" customWidth="1"/>
    <col min="73" max="73" width="12.453125" style="26" bestFit="1" customWidth="1"/>
    <col min="74" max="74" width="10.453125" style="26" bestFit="1" customWidth="1"/>
    <col min="75" max="158" width="8.453125" style="26" customWidth="1"/>
    <col min="159" max="163" width="8.453125" style="44" customWidth="1"/>
    <col min="164" max="168" width="8.453125" style="46" customWidth="1"/>
    <col min="169" max="173" width="8.453125" style="44" customWidth="1"/>
    <col min="174" max="178" width="8.453125" style="46" customWidth="1"/>
    <col min="179" max="179" width="8.453125" style="26" customWidth="1"/>
    <col min="180" max="183" width="8.453125" style="33" customWidth="1"/>
    <col min="184" max="184" width="8.453125" style="26" customWidth="1"/>
    <col min="185" max="185" width="8.453125" style="40"/>
    <col min="186" max="16384" width="8.453125" style="26"/>
  </cols>
  <sheetData>
    <row r="1" spans="2:185">
      <c r="D1" s="646" t="s">
        <v>536</v>
      </c>
      <c r="E1" s="646"/>
      <c r="F1" s="646"/>
      <c r="G1" s="646"/>
      <c r="H1" s="646"/>
      <c r="I1" s="646"/>
      <c r="J1" s="646"/>
      <c r="K1" s="646"/>
      <c r="L1" s="646"/>
      <c r="M1" s="646"/>
      <c r="N1" s="646"/>
      <c r="Q1" s="646" t="s">
        <v>543</v>
      </c>
      <c r="R1" s="646"/>
      <c r="S1" s="646"/>
      <c r="T1" s="646"/>
      <c r="U1" s="646"/>
      <c r="V1" s="646"/>
      <c r="W1" s="646"/>
      <c r="X1" s="646"/>
      <c r="Y1" s="646"/>
      <c r="Z1" s="646"/>
      <c r="AA1" s="646"/>
      <c r="AD1" s="647" t="s">
        <v>547</v>
      </c>
      <c r="AE1" s="648"/>
      <c r="AF1" s="648"/>
      <c r="AG1" s="648"/>
      <c r="AH1" s="648"/>
      <c r="AI1" s="648"/>
      <c r="AJ1" s="648"/>
      <c r="AK1" s="648"/>
      <c r="AL1" s="648"/>
      <c r="AM1" s="648"/>
      <c r="AN1" s="649"/>
      <c r="AQ1" s="646" t="s">
        <v>551</v>
      </c>
      <c r="AR1" s="646"/>
      <c r="AS1" s="646"/>
      <c r="AT1" s="646"/>
      <c r="AU1" s="646"/>
      <c r="AV1" s="646"/>
      <c r="AW1" s="646"/>
      <c r="AX1" s="646"/>
      <c r="AY1" s="646"/>
      <c r="AZ1" s="646"/>
      <c r="BA1" s="646"/>
      <c r="BD1" s="646" t="s">
        <v>555</v>
      </c>
      <c r="BE1" s="646"/>
      <c r="BF1" s="646"/>
      <c r="BG1" s="646"/>
      <c r="BH1" s="646"/>
      <c r="BI1" s="646"/>
      <c r="BJ1" s="646"/>
      <c r="BK1" s="646"/>
      <c r="BL1" s="646"/>
      <c r="BM1" s="646"/>
      <c r="BN1" s="646"/>
      <c r="BQ1" s="646" t="s">
        <v>559</v>
      </c>
      <c r="BR1" s="646"/>
      <c r="BS1" s="646"/>
      <c r="BT1" s="646"/>
      <c r="BU1" s="646"/>
      <c r="BV1" s="646"/>
      <c r="BW1" s="646"/>
      <c r="BX1" s="646"/>
      <c r="BY1" s="646"/>
      <c r="BZ1" s="646"/>
      <c r="CA1" s="646"/>
      <c r="CD1" s="646" t="s">
        <v>564</v>
      </c>
      <c r="CE1" s="646"/>
      <c r="CF1" s="646"/>
      <c r="CG1" s="646"/>
      <c r="CH1" s="646"/>
      <c r="CI1" s="646"/>
      <c r="CJ1" s="646"/>
      <c r="CK1" s="646"/>
      <c r="CL1" s="646"/>
      <c r="CM1" s="646"/>
      <c r="CN1" s="646"/>
      <c r="CQ1" s="646" t="s">
        <v>566</v>
      </c>
      <c r="CR1" s="646"/>
      <c r="CS1" s="646"/>
      <c r="CT1" s="646"/>
      <c r="CU1" s="646"/>
      <c r="CV1" s="646"/>
      <c r="CW1" s="646"/>
      <c r="CX1" s="646"/>
      <c r="CY1" s="646"/>
      <c r="CZ1" s="646"/>
      <c r="DA1" s="646"/>
      <c r="DD1" s="646" t="s">
        <v>571</v>
      </c>
      <c r="DE1" s="646"/>
      <c r="DF1" s="646"/>
      <c r="DG1" s="646"/>
      <c r="DH1" s="646"/>
      <c r="DI1" s="646"/>
      <c r="DJ1" s="646"/>
      <c r="DK1" s="646"/>
      <c r="DL1" s="646"/>
      <c r="DM1" s="646"/>
      <c r="DN1" s="646"/>
      <c r="DQ1" s="646" t="s">
        <v>574</v>
      </c>
      <c r="DR1" s="646"/>
      <c r="DS1" s="646"/>
      <c r="DT1" s="646"/>
      <c r="DU1" s="646"/>
      <c r="DV1" s="646"/>
      <c r="DW1" s="646"/>
      <c r="DX1" s="646"/>
      <c r="DY1" s="646"/>
      <c r="DZ1" s="646"/>
      <c r="EA1" s="646"/>
      <c r="ED1" s="646" t="s">
        <v>576</v>
      </c>
      <c r="EE1" s="646"/>
      <c r="EF1" s="646"/>
      <c r="EG1" s="646"/>
      <c r="EH1" s="646"/>
      <c r="EI1" s="646"/>
      <c r="EJ1" s="646"/>
      <c r="EK1" s="646"/>
      <c r="EL1" s="646"/>
      <c r="EM1" s="646"/>
      <c r="EN1" s="646"/>
      <c r="EQ1" s="646" t="s">
        <v>578</v>
      </c>
      <c r="ER1" s="646"/>
      <c r="ES1" s="646"/>
      <c r="ET1" s="646"/>
      <c r="EU1" s="646"/>
      <c r="EV1" s="646"/>
      <c r="EW1" s="646"/>
      <c r="EX1" s="646"/>
      <c r="EY1" s="646"/>
      <c r="EZ1" s="646"/>
      <c r="FA1" s="646"/>
      <c r="FC1" s="654" t="s">
        <v>1176</v>
      </c>
      <c r="FD1" s="654"/>
      <c r="FE1" s="654"/>
      <c r="FF1" s="654"/>
      <c r="FG1" s="654"/>
      <c r="FH1" s="654"/>
      <c r="FI1" s="654"/>
      <c r="FJ1" s="654"/>
      <c r="FK1" s="654"/>
      <c r="FL1" s="654"/>
      <c r="FM1" s="654"/>
      <c r="FN1" s="654"/>
      <c r="FO1" s="654"/>
      <c r="FP1" s="654"/>
      <c r="FQ1" s="654"/>
      <c r="FR1" s="654"/>
      <c r="FS1" s="654"/>
      <c r="FT1" s="654"/>
      <c r="FU1" s="654"/>
      <c r="FV1" s="654"/>
      <c r="FX1" s="653" t="s">
        <v>1177</v>
      </c>
      <c r="FY1" s="653"/>
      <c r="FZ1" s="653"/>
      <c r="GA1" s="653"/>
    </row>
    <row r="2" spans="2:185">
      <c r="D2" s="646"/>
      <c r="E2" s="646"/>
      <c r="F2" s="646"/>
      <c r="G2" s="646"/>
      <c r="H2" s="646"/>
      <c r="I2" s="646"/>
      <c r="J2" s="646"/>
      <c r="K2" s="646"/>
      <c r="L2" s="646"/>
      <c r="M2" s="646"/>
      <c r="N2" s="646"/>
      <c r="Q2" s="646"/>
      <c r="R2" s="646"/>
      <c r="S2" s="646"/>
      <c r="T2" s="646"/>
      <c r="U2" s="646"/>
      <c r="V2" s="646"/>
      <c r="W2" s="646"/>
      <c r="X2" s="646"/>
      <c r="Y2" s="646"/>
      <c r="Z2" s="646"/>
      <c r="AA2" s="646"/>
      <c r="AD2" s="650"/>
      <c r="AE2" s="651"/>
      <c r="AF2" s="651"/>
      <c r="AG2" s="651"/>
      <c r="AH2" s="651"/>
      <c r="AI2" s="651"/>
      <c r="AJ2" s="651"/>
      <c r="AK2" s="651"/>
      <c r="AL2" s="651"/>
      <c r="AM2" s="651"/>
      <c r="AN2" s="652"/>
      <c r="AQ2" s="646"/>
      <c r="AR2" s="646"/>
      <c r="AS2" s="646"/>
      <c r="AT2" s="646"/>
      <c r="AU2" s="646"/>
      <c r="AV2" s="646"/>
      <c r="AW2" s="646"/>
      <c r="AX2" s="646"/>
      <c r="AY2" s="646"/>
      <c r="AZ2" s="646"/>
      <c r="BA2" s="646"/>
      <c r="BD2" s="646"/>
      <c r="BE2" s="646"/>
      <c r="BF2" s="646"/>
      <c r="BG2" s="646"/>
      <c r="BH2" s="646"/>
      <c r="BI2" s="646"/>
      <c r="BJ2" s="646"/>
      <c r="BK2" s="646"/>
      <c r="BL2" s="646"/>
      <c r="BM2" s="646"/>
      <c r="BN2" s="646"/>
      <c r="BQ2" s="646"/>
      <c r="BR2" s="646"/>
      <c r="BS2" s="646"/>
      <c r="BT2" s="646"/>
      <c r="BU2" s="646"/>
      <c r="BV2" s="646"/>
      <c r="BW2" s="646"/>
      <c r="BX2" s="646"/>
      <c r="BY2" s="646"/>
      <c r="BZ2" s="646"/>
      <c r="CA2" s="646"/>
      <c r="CD2" s="646"/>
      <c r="CE2" s="646"/>
      <c r="CF2" s="646"/>
      <c r="CG2" s="646"/>
      <c r="CH2" s="646"/>
      <c r="CI2" s="646"/>
      <c r="CJ2" s="646"/>
      <c r="CK2" s="646"/>
      <c r="CL2" s="646"/>
      <c r="CM2" s="646"/>
      <c r="CN2" s="646"/>
      <c r="CQ2" s="646"/>
      <c r="CR2" s="646"/>
      <c r="CS2" s="646"/>
      <c r="CT2" s="646"/>
      <c r="CU2" s="646"/>
      <c r="CV2" s="646"/>
      <c r="CW2" s="646"/>
      <c r="CX2" s="646"/>
      <c r="CY2" s="646"/>
      <c r="CZ2" s="646"/>
      <c r="DA2" s="646"/>
      <c r="DD2" s="646"/>
      <c r="DE2" s="646"/>
      <c r="DF2" s="646"/>
      <c r="DG2" s="646"/>
      <c r="DH2" s="646"/>
      <c r="DI2" s="646"/>
      <c r="DJ2" s="646"/>
      <c r="DK2" s="646"/>
      <c r="DL2" s="646"/>
      <c r="DM2" s="646"/>
      <c r="DN2" s="646"/>
      <c r="DQ2" s="646"/>
      <c r="DR2" s="646"/>
      <c r="DS2" s="646"/>
      <c r="DT2" s="646"/>
      <c r="DU2" s="646"/>
      <c r="DV2" s="646"/>
      <c r="DW2" s="646"/>
      <c r="DX2" s="646"/>
      <c r="DY2" s="646"/>
      <c r="DZ2" s="646"/>
      <c r="EA2" s="646"/>
      <c r="ED2" s="646"/>
      <c r="EE2" s="646"/>
      <c r="EF2" s="646"/>
      <c r="EG2" s="646"/>
      <c r="EH2" s="646"/>
      <c r="EI2" s="646"/>
      <c r="EJ2" s="646"/>
      <c r="EK2" s="646"/>
      <c r="EL2" s="646"/>
      <c r="EM2" s="646"/>
      <c r="EN2" s="646"/>
      <c r="EQ2" s="646"/>
      <c r="ER2" s="646"/>
      <c r="ES2" s="646"/>
      <c r="ET2" s="646"/>
      <c r="EU2" s="646"/>
      <c r="EV2" s="646"/>
      <c r="EW2" s="646"/>
      <c r="EX2" s="646"/>
      <c r="EY2" s="646"/>
      <c r="EZ2" s="646"/>
      <c r="FA2" s="646"/>
      <c r="FC2" s="655" t="s">
        <v>47</v>
      </c>
      <c r="FD2" s="655"/>
      <c r="FE2" s="655"/>
      <c r="FF2" s="655"/>
      <c r="FG2" s="655"/>
      <c r="FH2" s="656" t="s">
        <v>78</v>
      </c>
      <c r="FI2" s="656"/>
      <c r="FJ2" s="656"/>
      <c r="FK2" s="656"/>
      <c r="FL2" s="656"/>
      <c r="FM2" s="654" t="s">
        <v>99</v>
      </c>
      <c r="FN2" s="654"/>
      <c r="FO2" s="654"/>
      <c r="FP2" s="654"/>
      <c r="FQ2" s="654"/>
      <c r="FR2" s="656" t="s">
        <v>121</v>
      </c>
      <c r="FS2" s="656"/>
      <c r="FT2" s="656"/>
      <c r="FU2" s="656"/>
      <c r="FV2" s="656"/>
      <c r="FX2" s="529"/>
      <c r="FY2" s="529"/>
      <c r="FZ2" s="529"/>
      <c r="GA2" s="529"/>
    </row>
    <row r="3" spans="2:185" ht="58">
      <c r="B3" s="27" t="s">
        <v>1178</v>
      </c>
      <c r="D3" s="53" t="s">
        <v>1179</v>
      </c>
      <c r="E3" s="53" t="s">
        <v>1180</v>
      </c>
      <c r="F3" s="53" t="s">
        <v>1181</v>
      </c>
      <c r="G3" s="53" t="s">
        <v>1182</v>
      </c>
      <c r="H3" s="53" t="s">
        <v>1183</v>
      </c>
      <c r="I3" s="53" t="s">
        <v>1184</v>
      </c>
      <c r="J3" s="53" t="s">
        <v>1185</v>
      </c>
      <c r="K3" s="53" t="s">
        <v>1186</v>
      </c>
      <c r="L3" s="53" t="s">
        <v>1187</v>
      </c>
      <c r="M3" s="53" t="s">
        <v>1188</v>
      </c>
      <c r="N3" s="53" t="s">
        <v>40</v>
      </c>
      <c r="O3" s="27" t="s">
        <v>1178</v>
      </c>
      <c r="P3" s="27"/>
      <c r="Q3" s="53" t="s">
        <v>1179</v>
      </c>
      <c r="R3" s="53" t="s">
        <v>1180</v>
      </c>
      <c r="S3" s="53" t="s">
        <v>1181</v>
      </c>
      <c r="T3" s="53" t="s">
        <v>1182</v>
      </c>
      <c r="U3" s="53" t="s">
        <v>1183</v>
      </c>
      <c r="V3" s="53" t="s">
        <v>1184</v>
      </c>
      <c r="W3" s="53" t="s">
        <v>1185</v>
      </c>
      <c r="X3" s="53" t="s">
        <v>1186</v>
      </c>
      <c r="Y3" s="53" t="s">
        <v>1187</v>
      </c>
      <c r="Z3" s="53" t="s">
        <v>1188</v>
      </c>
      <c r="AA3" s="53" t="s">
        <v>40</v>
      </c>
      <c r="AB3" s="27" t="s">
        <v>1178</v>
      </c>
      <c r="AC3" s="27"/>
      <c r="AD3" s="53" t="s">
        <v>1179</v>
      </c>
      <c r="AE3" s="53" t="s">
        <v>1180</v>
      </c>
      <c r="AF3" s="53" t="s">
        <v>1181</v>
      </c>
      <c r="AG3" s="53" t="s">
        <v>1182</v>
      </c>
      <c r="AH3" s="53" t="s">
        <v>1183</v>
      </c>
      <c r="AI3" s="53" t="s">
        <v>1184</v>
      </c>
      <c r="AJ3" s="53" t="s">
        <v>1185</v>
      </c>
      <c r="AK3" s="53" t="s">
        <v>1186</v>
      </c>
      <c r="AL3" s="53" t="s">
        <v>1187</v>
      </c>
      <c r="AM3" s="53" t="s">
        <v>1188</v>
      </c>
      <c r="AN3" s="53" t="s">
        <v>40</v>
      </c>
      <c r="AO3" s="27" t="s">
        <v>1178</v>
      </c>
      <c r="AP3" s="27"/>
      <c r="AQ3" s="53" t="s">
        <v>1179</v>
      </c>
      <c r="AR3" s="53" t="s">
        <v>1180</v>
      </c>
      <c r="AS3" s="53" t="s">
        <v>1181</v>
      </c>
      <c r="AT3" s="53" t="s">
        <v>1182</v>
      </c>
      <c r="AU3" s="53" t="s">
        <v>1183</v>
      </c>
      <c r="AV3" s="53" t="s">
        <v>1184</v>
      </c>
      <c r="AW3" s="53" t="s">
        <v>1185</v>
      </c>
      <c r="AX3" s="53" t="s">
        <v>1186</v>
      </c>
      <c r="AY3" s="53" t="s">
        <v>1187</v>
      </c>
      <c r="AZ3" s="53" t="s">
        <v>1188</v>
      </c>
      <c r="BA3" s="53" t="s">
        <v>40</v>
      </c>
      <c r="BB3" s="27" t="s">
        <v>1178</v>
      </c>
      <c r="BC3" s="27"/>
      <c r="BD3" s="53" t="s">
        <v>1179</v>
      </c>
      <c r="BE3" s="53" t="s">
        <v>1180</v>
      </c>
      <c r="BF3" s="53" t="s">
        <v>1181</v>
      </c>
      <c r="BG3" s="53" t="s">
        <v>1182</v>
      </c>
      <c r="BH3" s="53" t="s">
        <v>1183</v>
      </c>
      <c r="BI3" s="53" t="s">
        <v>1184</v>
      </c>
      <c r="BJ3" s="53" t="s">
        <v>1185</v>
      </c>
      <c r="BK3" s="53" t="s">
        <v>1186</v>
      </c>
      <c r="BL3" s="53" t="s">
        <v>1187</v>
      </c>
      <c r="BM3" s="53" t="s">
        <v>1188</v>
      </c>
      <c r="BN3" s="53" t="s">
        <v>40</v>
      </c>
      <c r="BO3" s="27" t="s">
        <v>1178</v>
      </c>
      <c r="BP3" s="27"/>
      <c r="BQ3" s="53" t="s">
        <v>1179</v>
      </c>
      <c r="BR3" s="53" t="s">
        <v>1180</v>
      </c>
      <c r="BS3" s="53" t="s">
        <v>1181</v>
      </c>
      <c r="BT3" s="53" t="s">
        <v>1182</v>
      </c>
      <c r="BU3" s="53" t="s">
        <v>1183</v>
      </c>
      <c r="BV3" s="53" t="s">
        <v>1184</v>
      </c>
      <c r="BW3" s="53" t="s">
        <v>1185</v>
      </c>
      <c r="BX3" s="53" t="s">
        <v>1186</v>
      </c>
      <c r="BY3" s="53" t="s">
        <v>1187</v>
      </c>
      <c r="BZ3" s="53" t="s">
        <v>1188</v>
      </c>
      <c r="CA3" s="53" t="s">
        <v>40</v>
      </c>
      <c r="CB3" s="27" t="s">
        <v>1178</v>
      </c>
      <c r="CC3" s="27"/>
      <c r="CD3" s="53" t="s">
        <v>1179</v>
      </c>
      <c r="CE3" s="53" t="s">
        <v>1180</v>
      </c>
      <c r="CF3" s="53" t="s">
        <v>1181</v>
      </c>
      <c r="CG3" s="53" t="s">
        <v>1182</v>
      </c>
      <c r="CH3" s="53" t="s">
        <v>1183</v>
      </c>
      <c r="CI3" s="53" t="s">
        <v>1184</v>
      </c>
      <c r="CJ3" s="53" t="s">
        <v>1185</v>
      </c>
      <c r="CK3" s="53" t="s">
        <v>1186</v>
      </c>
      <c r="CL3" s="53" t="s">
        <v>1187</v>
      </c>
      <c r="CM3" s="53" t="s">
        <v>1188</v>
      </c>
      <c r="CN3" s="53" t="s">
        <v>40</v>
      </c>
      <c r="CO3" s="27" t="s">
        <v>1178</v>
      </c>
      <c r="CP3" s="27"/>
      <c r="CQ3" s="53" t="s">
        <v>1179</v>
      </c>
      <c r="CR3" s="53" t="s">
        <v>1180</v>
      </c>
      <c r="CS3" s="53" t="s">
        <v>1181</v>
      </c>
      <c r="CT3" s="53" t="s">
        <v>1182</v>
      </c>
      <c r="CU3" s="53" t="s">
        <v>1183</v>
      </c>
      <c r="CV3" s="53" t="s">
        <v>1184</v>
      </c>
      <c r="CW3" s="53" t="s">
        <v>1185</v>
      </c>
      <c r="CX3" s="53" t="s">
        <v>1186</v>
      </c>
      <c r="CY3" s="53" t="s">
        <v>1187</v>
      </c>
      <c r="CZ3" s="53" t="s">
        <v>1188</v>
      </c>
      <c r="DA3" s="53" t="s">
        <v>40</v>
      </c>
      <c r="DB3" s="27" t="s">
        <v>1178</v>
      </c>
      <c r="DC3" s="27"/>
      <c r="DD3" s="53" t="s">
        <v>1179</v>
      </c>
      <c r="DE3" s="53" t="s">
        <v>1180</v>
      </c>
      <c r="DF3" s="53" t="s">
        <v>1181</v>
      </c>
      <c r="DG3" s="53" t="s">
        <v>1182</v>
      </c>
      <c r="DH3" s="53" t="s">
        <v>1183</v>
      </c>
      <c r="DI3" s="53" t="s">
        <v>1184</v>
      </c>
      <c r="DJ3" s="53" t="s">
        <v>1185</v>
      </c>
      <c r="DK3" s="53" t="s">
        <v>1186</v>
      </c>
      <c r="DL3" s="53" t="s">
        <v>1187</v>
      </c>
      <c r="DM3" s="53" t="s">
        <v>1188</v>
      </c>
      <c r="DN3" s="53" t="s">
        <v>40</v>
      </c>
      <c r="DO3" s="27" t="s">
        <v>1178</v>
      </c>
      <c r="DP3" s="27"/>
      <c r="DQ3" s="53" t="s">
        <v>1179</v>
      </c>
      <c r="DR3" s="53" t="s">
        <v>1180</v>
      </c>
      <c r="DS3" s="53" t="s">
        <v>1181</v>
      </c>
      <c r="DT3" s="53" t="s">
        <v>1182</v>
      </c>
      <c r="DU3" s="53" t="s">
        <v>1183</v>
      </c>
      <c r="DV3" s="53" t="s">
        <v>1184</v>
      </c>
      <c r="DW3" s="53" t="s">
        <v>1185</v>
      </c>
      <c r="DX3" s="53" t="s">
        <v>1186</v>
      </c>
      <c r="DY3" s="53" t="s">
        <v>1187</v>
      </c>
      <c r="DZ3" s="53" t="s">
        <v>1188</v>
      </c>
      <c r="EA3" s="53" t="s">
        <v>40</v>
      </c>
      <c r="EB3" s="27" t="s">
        <v>1178</v>
      </c>
      <c r="EC3" s="27"/>
      <c r="ED3" s="53" t="s">
        <v>1179</v>
      </c>
      <c r="EE3" s="53" t="s">
        <v>1180</v>
      </c>
      <c r="EF3" s="53" t="s">
        <v>1181</v>
      </c>
      <c r="EG3" s="53" t="s">
        <v>1182</v>
      </c>
      <c r="EH3" s="53" t="s">
        <v>1183</v>
      </c>
      <c r="EI3" s="53" t="s">
        <v>1184</v>
      </c>
      <c r="EJ3" s="53" t="s">
        <v>1185</v>
      </c>
      <c r="EK3" s="53" t="s">
        <v>1186</v>
      </c>
      <c r="EL3" s="53" t="s">
        <v>1187</v>
      </c>
      <c r="EM3" s="53" t="s">
        <v>1188</v>
      </c>
      <c r="EN3" s="53" t="s">
        <v>40</v>
      </c>
      <c r="EO3" s="26" t="s">
        <v>1178</v>
      </c>
      <c r="EP3" s="27"/>
      <c r="EQ3" s="53" t="s">
        <v>1179</v>
      </c>
      <c r="ER3" s="53" t="s">
        <v>1180</v>
      </c>
      <c r="ES3" s="53" t="s">
        <v>1181</v>
      </c>
      <c r="ET3" s="53" t="s">
        <v>1182</v>
      </c>
      <c r="EU3" s="53" t="s">
        <v>1183</v>
      </c>
      <c r="EV3" s="53" t="s">
        <v>1184</v>
      </c>
      <c r="EW3" s="53" t="s">
        <v>1185</v>
      </c>
      <c r="EX3" s="53" t="s">
        <v>1186</v>
      </c>
      <c r="EY3" s="53" t="s">
        <v>1187</v>
      </c>
      <c r="EZ3" s="53" t="s">
        <v>1188</v>
      </c>
      <c r="FA3" s="53" t="s">
        <v>40</v>
      </c>
      <c r="FC3" s="530" t="s">
        <v>1160</v>
      </c>
      <c r="FD3" s="530" t="s">
        <v>1189</v>
      </c>
      <c r="FE3" s="530" t="s">
        <v>1161</v>
      </c>
      <c r="FF3" s="530" t="s">
        <v>1190</v>
      </c>
      <c r="FG3" s="530" t="s">
        <v>1191</v>
      </c>
      <c r="FH3" s="22" t="s">
        <v>1160</v>
      </c>
      <c r="FI3" s="22" t="s">
        <v>1189</v>
      </c>
      <c r="FJ3" s="22" t="s">
        <v>1161</v>
      </c>
      <c r="FK3" s="22" t="s">
        <v>1190</v>
      </c>
      <c r="FL3" s="22" t="s">
        <v>1191</v>
      </c>
      <c r="FM3" s="530" t="s">
        <v>1160</v>
      </c>
      <c r="FN3" s="530" t="s">
        <v>1189</v>
      </c>
      <c r="FO3" s="530" t="s">
        <v>1161</v>
      </c>
      <c r="FP3" s="530" t="s">
        <v>1190</v>
      </c>
      <c r="FQ3" s="530" t="s">
        <v>1191</v>
      </c>
      <c r="FR3" s="22" t="s">
        <v>1160</v>
      </c>
      <c r="FS3" s="22" t="s">
        <v>1189</v>
      </c>
      <c r="FT3" s="22" t="s">
        <v>1161</v>
      </c>
      <c r="FU3" s="22" t="s">
        <v>1190</v>
      </c>
      <c r="FV3" s="22" t="s">
        <v>1191</v>
      </c>
      <c r="FX3" s="33" t="s">
        <v>47</v>
      </c>
      <c r="FY3" s="33" t="s">
        <v>78</v>
      </c>
      <c r="FZ3" s="33" t="s">
        <v>99</v>
      </c>
      <c r="GA3" s="33" t="s">
        <v>121</v>
      </c>
      <c r="GC3" s="40" t="s">
        <v>267</v>
      </c>
    </row>
    <row r="4" spans="2:185">
      <c r="D4" s="642" t="s">
        <v>1192</v>
      </c>
      <c r="E4" s="643"/>
      <c r="F4" s="643"/>
      <c r="G4" s="643"/>
      <c r="H4" s="643"/>
      <c r="I4" s="643"/>
      <c r="J4" s="643"/>
      <c r="K4" s="643"/>
      <c r="L4" s="643"/>
      <c r="M4" s="643"/>
      <c r="N4" s="644"/>
      <c r="O4" s="65"/>
      <c r="P4" s="65"/>
      <c r="Q4" s="642" t="s">
        <v>1192</v>
      </c>
      <c r="R4" s="643"/>
      <c r="S4" s="643"/>
      <c r="T4" s="643"/>
      <c r="U4" s="643"/>
      <c r="V4" s="643"/>
      <c r="W4" s="643"/>
      <c r="X4" s="643"/>
      <c r="Y4" s="643"/>
      <c r="Z4" s="643"/>
      <c r="AA4" s="644"/>
      <c r="AB4" s="65"/>
      <c r="AC4" s="65"/>
      <c r="AD4" s="642" t="s">
        <v>1192</v>
      </c>
      <c r="AE4" s="643"/>
      <c r="AF4" s="643"/>
      <c r="AG4" s="643"/>
      <c r="AH4" s="643"/>
      <c r="AI4" s="643"/>
      <c r="AJ4" s="643"/>
      <c r="AK4" s="643"/>
      <c r="AL4" s="643"/>
      <c r="AM4" s="643"/>
      <c r="AN4" s="644"/>
      <c r="AO4" s="65"/>
      <c r="AP4" s="65"/>
      <c r="AQ4" s="642" t="s">
        <v>1193</v>
      </c>
      <c r="AR4" s="643"/>
      <c r="AS4" s="643"/>
      <c r="AT4" s="643"/>
      <c r="AU4" s="643"/>
      <c r="AV4" s="643"/>
      <c r="AW4" s="643"/>
      <c r="AX4" s="643"/>
      <c r="AY4" s="643"/>
      <c r="AZ4" s="643"/>
      <c r="BA4" s="644"/>
      <c r="BB4" s="65"/>
      <c r="BC4" s="65"/>
      <c r="BD4" s="642" t="s">
        <v>1192</v>
      </c>
      <c r="BE4" s="643"/>
      <c r="BF4" s="643"/>
      <c r="BG4" s="643"/>
      <c r="BH4" s="643"/>
      <c r="BI4" s="643"/>
      <c r="BJ4" s="643"/>
      <c r="BK4" s="643"/>
      <c r="BL4" s="643"/>
      <c r="BM4" s="643"/>
      <c r="BN4" s="644"/>
      <c r="BO4" s="65"/>
      <c r="BP4" s="65"/>
      <c r="BQ4" s="642" t="s">
        <v>1194</v>
      </c>
      <c r="BR4" s="643"/>
      <c r="BS4" s="643"/>
      <c r="BT4" s="643"/>
      <c r="BU4" s="643"/>
      <c r="BV4" s="643"/>
      <c r="BW4" s="643"/>
      <c r="BX4" s="643"/>
      <c r="BY4" s="643"/>
      <c r="BZ4" s="643"/>
      <c r="CA4" s="644"/>
      <c r="CB4" s="65"/>
      <c r="CC4" s="65"/>
      <c r="CD4" s="642" t="s">
        <v>1195</v>
      </c>
      <c r="CE4" s="643"/>
      <c r="CF4" s="643"/>
      <c r="CG4" s="643"/>
      <c r="CH4" s="643"/>
      <c r="CI4" s="643"/>
      <c r="CJ4" s="643"/>
      <c r="CK4" s="643"/>
      <c r="CL4" s="643"/>
      <c r="CM4" s="643"/>
      <c r="CN4" s="644"/>
      <c r="CO4" s="65"/>
      <c r="CP4" s="65"/>
      <c r="CQ4" s="642" t="s">
        <v>1195</v>
      </c>
      <c r="CR4" s="643"/>
      <c r="CS4" s="643"/>
      <c r="CT4" s="643"/>
      <c r="CU4" s="643"/>
      <c r="CV4" s="643"/>
      <c r="CW4" s="643"/>
      <c r="CX4" s="643"/>
      <c r="CY4" s="643"/>
      <c r="CZ4" s="643"/>
      <c r="DA4" s="644"/>
      <c r="DB4" s="65"/>
      <c r="DC4" s="65"/>
      <c r="DD4" s="642" t="s">
        <v>1195</v>
      </c>
      <c r="DE4" s="643"/>
      <c r="DF4" s="643"/>
      <c r="DG4" s="643"/>
      <c r="DH4" s="643"/>
      <c r="DI4" s="643"/>
      <c r="DJ4" s="643"/>
      <c r="DK4" s="643"/>
      <c r="DL4" s="643"/>
      <c r="DM4" s="643"/>
      <c r="DN4" s="644"/>
      <c r="DO4" s="65"/>
      <c r="DP4" s="65"/>
      <c r="DQ4" s="642" t="s">
        <v>1196</v>
      </c>
      <c r="DR4" s="643"/>
      <c r="DS4" s="643"/>
      <c r="DT4" s="643"/>
      <c r="DU4" s="643"/>
      <c r="DV4" s="643"/>
      <c r="DW4" s="643"/>
      <c r="DX4" s="643"/>
      <c r="DY4" s="643"/>
      <c r="DZ4" s="643"/>
      <c r="EA4" s="644"/>
      <c r="EB4" s="65"/>
      <c r="EC4" s="65"/>
      <c r="ED4" s="642" t="s">
        <v>1196</v>
      </c>
      <c r="EE4" s="643"/>
      <c r="EF4" s="643"/>
      <c r="EG4" s="643"/>
      <c r="EH4" s="643"/>
      <c r="EI4" s="643"/>
      <c r="EJ4" s="643"/>
      <c r="EK4" s="643"/>
      <c r="EL4" s="643"/>
      <c r="EM4" s="643"/>
      <c r="EN4" s="644"/>
      <c r="EO4" s="65"/>
      <c r="EP4" s="65"/>
      <c r="EQ4" s="642" t="s">
        <v>1197</v>
      </c>
      <c r="ER4" s="643"/>
      <c r="ES4" s="643"/>
      <c r="ET4" s="643"/>
      <c r="EU4" s="643"/>
      <c r="EV4" s="643"/>
      <c r="EW4" s="643"/>
      <c r="EX4" s="643"/>
      <c r="EY4" s="643"/>
      <c r="EZ4" s="643"/>
      <c r="FA4" s="644"/>
      <c r="FC4" s="48"/>
      <c r="FD4" s="48"/>
      <c r="FE4" s="48"/>
      <c r="FF4" s="48"/>
      <c r="FG4" s="48"/>
      <c r="FH4" s="48"/>
      <c r="FI4" s="48"/>
      <c r="FJ4" s="48"/>
      <c r="FK4" s="48"/>
      <c r="FL4" s="48"/>
      <c r="FM4" s="48"/>
      <c r="FN4" s="48"/>
      <c r="FO4" s="48"/>
      <c r="FP4" s="48"/>
      <c r="FQ4" s="48"/>
      <c r="FR4" s="48"/>
      <c r="FS4" s="48"/>
      <c r="FT4" s="48"/>
      <c r="FU4" s="48"/>
      <c r="FV4" s="48"/>
      <c r="FX4" s="50"/>
      <c r="FY4" s="50"/>
      <c r="FZ4" s="50"/>
      <c r="GA4" s="50"/>
    </row>
    <row r="5" spans="2:185" ht="36">
      <c r="B5" s="27" t="s">
        <v>987</v>
      </c>
      <c r="C5" s="26" t="s">
        <v>276</v>
      </c>
      <c r="D5" s="66" t="s">
        <v>1198</v>
      </c>
      <c r="E5" s="64" t="e">
        <f>'Geo &amp; CIC Deployment Plan'!#REF!</f>
        <v>#REF!</v>
      </c>
      <c r="F5" s="64" t="e">
        <f>'Geo &amp; CIC Deployment Plan'!#REF!</f>
        <v>#REF!</v>
      </c>
      <c r="G5" s="64" t="e">
        <f>'Geo &amp; CIC Deployment Plan'!#REF!</f>
        <v>#REF!</v>
      </c>
      <c r="H5" s="64" t="e">
        <f>'Geo &amp; CIC Deployment Plan'!#REF!</f>
        <v>#REF!</v>
      </c>
      <c r="I5" s="64" t="e">
        <f>'Geo &amp; CIC Deployment Plan'!#REF!</f>
        <v>#REF!</v>
      </c>
      <c r="J5" s="64"/>
      <c r="K5" s="64" t="e">
        <f>'Geo &amp; CIC Deployment Plan'!#REF!</f>
        <v>#REF!</v>
      </c>
      <c r="L5" s="64" t="e">
        <f>'Geo &amp; CIC Deployment Plan'!#REF!</f>
        <v>#REF!</v>
      </c>
      <c r="M5" s="64" t="e">
        <f>'Geo &amp; CIC Deployment Plan'!#REF!</f>
        <v>#REF!</v>
      </c>
      <c r="N5" s="64"/>
      <c r="O5" s="65" t="s">
        <v>987</v>
      </c>
      <c r="P5" s="65" t="s">
        <v>276</v>
      </c>
      <c r="Q5" s="66" t="s">
        <v>1199</v>
      </c>
      <c r="R5" s="64" t="e">
        <f>'Geo &amp; CIC Deployment Plan'!#REF!</f>
        <v>#REF!</v>
      </c>
      <c r="S5" s="64" t="e">
        <f>'Geo &amp; CIC Deployment Plan'!#REF!</f>
        <v>#REF!</v>
      </c>
      <c r="T5" s="64" t="e">
        <f>'Geo &amp; CIC Deployment Plan'!#REF!</f>
        <v>#REF!</v>
      </c>
      <c r="U5" s="64" t="e">
        <f>'Geo &amp; CIC Deployment Plan'!#REF!</f>
        <v>#REF!</v>
      </c>
      <c r="V5" s="64" t="e">
        <f>'Geo &amp; CIC Deployment Plan'!#REF!</f>
        <v>#REF!</v>
      </c>
      <c r="W5" s="64"/>
      <c r="X5" s="64" t="e">
        <f>'Geo &amp; CIC Deployment Plan'!#REF!</f>
        <v>#REF!</v>
      </c>
      <c r="Y5" s="64" t="e">
        <f>'Geo &amp; CIC Deployment Plan'!#REF!</f>
        <v>#REF!</v>
      </c>
      <c r="Z5" s="64" t="e">
        <f>'Geo &amp; CIC Deployment Plan'!#REF!</f>
        <v>#REF!</v>
      </c>
      <c r="AA5" s="64"/>
      <c r="AB5" s="65" t="s">
        <v>987</v>
      </c>
      <c r="AC5" s="65" t="s">
        <v>276</v>
      </c>
      <c r="AD5" s="66" t="s">
        <v>1200</v>
      </c>
      <c r="AE5" s="64" t="e">
        <f>'Geo &amp; CIC Deployment Plan'!#REF!</f>
        <v>#REF!</v>
      </c>
      <c r="AF5" s="64" t="e">
        <f>'Geo &amp; CIC Deployment Plan'!#REF!</f>
        <v>#REF!</v>
      </c>
      <c r="AG5" s="64" t="e">
        <f>'Geo &amp; CIC Deployment Plan'!#REF!</f>
        <v>#REF!</v>
      </c>
      <c r="AH5" s="64" t="e">
        <f>'Geo &amp; CIC Deployment Plan'!#REF!</f>
        <v>#REF!</v>
      </c>
      <c r="AI5" s="64" t="e">
        <f>'Geo &amp; CIC Deployment Plan'!#REF!</f>
        <v>#REF!</v>
      </c>
      <c r="AJ5" s="64"/>
      <c r="AK5" s="64" t="e">
        <f>'Geo &amp; CIC Deployment Plan'!#REF!</f>
        <v>#REF!</v>
      </c>
      <c r="AL5" s="64" t="e">
        <f>'Geo &amp; CIC Deployment Plan'!#REF!</f>
        <v>#REF!</v>
      </c>
      <c r="AM5" s="64" t="e">
        <f>'Geo &amp; CIC Deployment Plan'!#REF!</f>
        <v>#REF!</v>
      </c>
      <c r="AN5" s="64"/>
      <c r="AO5" s="65" t="s">
        <v>987</v>
      </c>
      <c r="AP5" s="65" t="s">
        <v>1011</v>
      </c>
      <c r="AQ5" s="66" t="s">
        <v>1201</v>
      </c>
      <c r="AR5" s="64" t="e">
        <f>'Geo &amp; CIC Deployment Plan'!#REF!</f>
        <v>#REF!</v>
      </c>
      <c r="AS5" s="64" t="e">
        <f>'Geo &amp; CIC Deployment Plan'!#REF!</f>
        <v>#REF!</v>
      </c>
      <c r="AT5" s="64" t="e">
        <f>'Geo &amp; CIC Deployment Plan'!#REF!</f>
        <v>#REF!</v>
      </c>
      <c r="AU5" s="64" t="e">
        <f>'Geo &amp; CIC Deployment Plan'!#REF!</f>
        <v>#REF!</v>
      </c>
      <c r="AV5" s="64" t="e">
        <f>'Geo &amp; CIC Deployment Plan'!#REF!</f>
        <v>#REF!</v>
      </c>
      <c r="AW5" s="64"/>
      <c r="AX5" s="64" t="e">
        <f>'Geo &amp; CIC Deployment Plan'!#REF!</f>
        <v>#REF!</v>
      </c>
      <c r="AY5" s="64" t="e">
        <f>'Geo &amp; CIC Deployment Plan'!#REF!</f>
        <v>#REF!</v>
      </c>
      <c r="AZ5" s="64" t="e">
        <f>'Geo &amp; CIC Deployment Plan'!#REF!</f>
        <v>#REF!</v>
      </c>
      <c r="BA5" s="64">
        <v>89</v>
      </c>
      <c r="BB5" s="65" t="s">
        <v>987</v>
      </c>
      <c r="BC5" s="65" t="s">
        <v>276</v>
      </c>
      <c r="BD5" s="66" t="s">
        <v>1202</v>
      </c>
      <c r="BE5" s="67" t="e">
        <f>'Geo &amp; CIC Deployment Plan'!#REF!</f>
        <v>#REF!</v>
      </c>
      <c r="BF5" s="67" t="e">
        <f>'Geo &amp; CIC Deployment Plan'!#REF!</f>
        <v>#REF!</v>
      </c>
      <c r="BG5" s="67" t="e">
        <f>'Geo &amp; CIC Deployment Plan'!#REF!</f>
        <v>#REF!</v>
      </c>
      <c r="BH5" s="67" t="e">
        <f>'Geo &amp; CIC Deployment Plan'!#REF!</f>
        <v>#REF!</v>
      </c>
      <c r="BI5" s="67" t="e">
        <f>'Geo &amp; CIC Deployment Plan'!#REF!</f>
        <v>#REF!</v>
      </c>
      <c r="BJ5" s="67"/>
      <c r="BK5" s="67" t="e">
        <f>'Geo &amp; CIC Deployment Plan'!#REF!</f>
        <v>#REF!</v>
      </c>
      <c r="BL5" s="67" t="e">
        <f>'Geo &amp; CIC Deployment Plan'!#REF!</f>
        <v>#REF!</v>
      </c>
      <c r="BM5" s="64" t="e">
        <f>'Geo &amp; CIC Deployment Plan'!#REF!</f>
        <v>#REF!</v>
      </c>
      <c r="BN5" s="64">
        <v>60</v>
      </c>
      <c r="BO5" s="65" t="s">
        <v>987</v>
      </c>
      <c r="BP5" s="65" t="s">
        <v>1203</v>
      </c>
      <c r="BQ5" s="66" t="s">
        <v>1204</v>
      </c>
      <c r="BR5" s="67" t="e">
        <f>'Geo &amp; CIC Deployment Plan'!#REF!</f>
        <v>#REF!</v>
      </c>
      <c r="BS5" s="67" t="e">
        <f>'Geo &amp; CIC Deployment Plan'!#REF!</f>
        <v>#REF!</v>
      </c>
      <c r="BT5" s="67" t="e">
        <f>'Geo &amp; CIC Deployment Plan'!#REF!</f>
        <v>#REF!</v>
      </c>
      <c r="BU5" s="67" t="e">
        <f>'Geo &amp; CIC Deployment Plan'!#REF!</f>
        <v>#REF!</v>
      </c>
      <c r="BV5" s="67" t="e">
        <f>'Geo &amp; CIC Deployment Plan'!#REF!</f>
        <v>#REF!</v>
      </c>
      <c r="BW5" s="68">
        <v>0</v>
      </c>
      <c r="BX5" s="67" t="e">
        <f>'Geo &amp; CIC Deployment Plan'!#REF!</f>
        <v>#REF!</v>
      </c>
      <c r="BY5" s="67" t="e">
        <f>'Geo &amp; CIC Deployment Plan'!#REF!</f>
        <v>#REF!</v>
      </c>
      <c r="BZ5" s="64" t="e">
        <f>'Geo &amp; CIC Deployment Plan'!#REF!</f>
        <v>#REF!</v>
      </c>
      <c r="CA5" s="64">
        <v>73</v>
      </c>
      <c r="CB5" s="65" t="s">
        <v>1205</v>
      </c>
      <c r="CC5" s="65" t="s">
        <v>895</v>
      </c>
      <c r="CD5" s="66" t="s">
        <v>1206</v>
      </c>
      <c r="CE5" s="67" t="e">
        <f>'Geo &amp; CIC Deployment Plan'!#REF!</f>
        <v>#REF!</v>
      </c>
      <c r="CF5" s="67" t="e">
        <f>'Geo &amp; CIC Deployment Plan'!#REF!</f>
        <v>#REF!</v>
      </c>
      <c r="CG5" s="67" t="e">
        <f>'Geo &amp; CIC Deployment Plan'!#REF!</f>
        <v>#REF!</v>
      </c>
      <c r="CH5" s="67" t="e">
        <f>'Geo &amp; CIC Deployment Plan'!#REF!</f>
        <v>#REF!</v>
      </c>
      <c r="CI5" s="67" t="e">
        <f>'Geo &amp; CIC Deployment Plan'!#REF!</f>
        <v>#REF!</v>
      </c>
      <c r="CJ5" s="68">
        <v>0</v>
      </c>
      <c r="CK5" s="67" t="e">
        <f>'Geo &amp; CIC Deployment Plan'!#REF!</f>
        <v>#REF!</v>
      </c>
      <c r="CL5" s="67" t="e">
        <f>'Geo &amp; CIC Deployment Plan'!#REF!</f>
        <v>#REF!</v>
      </c>
      <c r="CM5" s="64" t="e">
        <f>'Geo &amp; CIC Deployment Plan'!#REF!</f>
        <v>#REF!</v>
      </c>
      <c r="CN5" s="64"/>
      <c r="CO5" s="65" t="s">
        <v>1205</v>
      </c>
      <c r="CP5" s="65" t="s">
        <v>895</v>
      </c>
      <c r="CQ5" s="66" t="s">
        <v>1207</v>
      </c>
      <c r="CR5" s="67" t="e">
        <f>'Geo &amp; CIC Deployment Plan'!#REF!</f>
        <v>#REF!</v>
      </c>
      <c r="CS5" s="67" t="e">
        <f>'Geo &amp; CIC Deployment Plan'!#REF!</f>
        <v>#REF!</v>
      </c>
      <c r="CT5" s="67" t="e">
        <f>'Geo &amp; CIC Deployment Plan'!#REF!</f>
        <v>#REF!</v>
      </c>
      <c r="CU5" s="67" t="e">
        <f>'Geo &amp; CIC Deployment Plan'!#REF!</f>
        <v>#REF!</v>
      </c>
      <c r="CV5" s="67" t="e">
        <f>'Geo &amp; CIC Deployment Plan'!#REF!</f>
        <v>#REF!</v>
      </c>
      <c r="CW5" s="67"/>
      <c r="CX5" s="67" t="e">
        <f>'Geo &amp; CIC Deployment Plan'!#REF!</f>
        <v>#REF!</v>
      </c>
      <c r="CY5" s="67" t="e">
        <f>'Geo &amp; CIC Deployment Plan'!#REF!</f>
        <v>#REF!</v>
      </c>
      <c r="CZ5" s="69" t="e">
        <f>'Geo &amp; CIC Deployment Plan'!#REF!</f>
        <v>#REF!</v>
      </c>
      <c r="DA5" s="69"/>
      <c r="DB5" s="65" t="s">
        <v>1205</v>
      </c>
      <c r="DC5" s="65" t="s">
        <v>895</v>
      </c>
      <c r="DD5" s="66" t="s">
        <v>1208</v>
      </c>
      <c r="DE5" s="67" t="e">
        <f>'Geo &amp; CIC Deployment Plan'!#REF!</f>
        <v>#REF!</v>
      </c>
      <c r="DF5" s="67" t="e">
        <f>'Geo &amp; CIC Deployment Plan'!#REF!</f>
        <v>#REF!</v>
      </c>
      <c r="DG5" s="67" t="e">
        <f>'Geo &amp; CIC Deployment Plan'!#REF!</f>
        <v>#REF!</v>
      </c>
      <c r="DH5" s="67" t="e">
        <f>'Geo &amp; CIC Deployment Plan'!#REF!</f>
        <v>#REF!</v>
      </c>
      <c r="DI5" s="67" t="e">
        <f>'Geo &amp; CIC Deployment Plan'!#REF!</f>
        <v>#REF!</v>
      </c>
      <c r="DJ5" s="67"/>
      <c r="DK5" s="67" t="e">
        <f>'Geo &amp; CIC Deployment Plan'!#REF!</f>
        <v>#REF!</v>
      </c>
      <c r="DL5" s="67" t="e">
        <f>'Geo &amp; CIC Deployment Plan'!#REF!</f>
        <v>#REF!</v>
      </c>
      <c r="DM5" s="64" t="e">
        <f>'Geo &amp; CIC Deployment Plan'!#REF!</f>
        <v>#REF!</v>
      </c>
      <c r="DN5" s="64"/>
      <c r="DO5" s="65" t="s">
        <v>987</v>
      </c>
      <c r="DP5" s="65" t="s">
        <v>903</v>
      </c>
      <c r="DQ5" s="66" t="s">
        <v>1209</v>
      </c>
      <c r="DR5" s="67" t="e">
        <f>'Geo &amp; CIC Deployment Plan'!#REF!</f>
        <v>#REF!</v>
      </c>
      <c r="DS5" s="67" t="e">
        <f>'Geo &amp; CIC Deployment Plan'!#REF!</f>
        <v>#REF!</v>
      </c>
      <c r="DT5" s="67" t="e">
        <f>'Geo &amp; CIC Deployment Plan'!#REF!</f>
        <v>#REF!</v>
      </c>
      <c r="DU5" s="67" t="e">
        <f>'Geo &amp; CIC Deployment Plan'!#REF!</f>
        <v>#REF!</v>
      </c>
      <c r="DV5" s="67" t="e">
        <f>'Geo &amp; CIC Deployment Plan'!#REF!</f>
        <v>#REF!</v>
      </c>
      <c r="DW5" s="67"/>
      <c r="DX5" s="67" t="e">
        <f>'Geo &amp; CIC Deployment Plan'!#REF!</f>
        <v>#REF!</v>
      </c>
      <c r="DY5" s="67" t="e">
        <f>'Geo &amp; CIC Deployment Plan'!#REF!</f>
        <v>#REF!</v>
      </c>
      <c r="DZ5" s="64" t="e">
        <f>'Geo &amp; CIC Deployment Plan'!#REF!</f>
        <v>#REF!</v>
      </c>
      <c r="EA5" s="64"/>
      <c r="EB5" s="65" t="s">
        <v>987</v>
      </c>
      <c r="EC5" s="65" t="s">
        <v>903</v>
      </c>
      <c r="ED5" s="66" t="s">
        <v>1210</v>
      </c>
      <c r="EE5" s="67" t="e">
        <f>'Geo &amp; CIC Deployment Plan'!#REF!</f>
        <v>#REF!</v>
      </c>
      <c r="EF5" s="67" t="e">
        <f>'Geo &amp; CIC Deployment Plan'!#REF!</f>
        <v>#REF!</v>
      </c>
      <c r="EG5" s="67" t="e">
        <f>'Geo &amp; CIC Deployment Plan'!#REF!</f>
        <v>#REF!</v>
      </c>
      <c r="EH5" s="67" t="e">
        <f>'Geo &amp; CIC Deployment Plan'!#REF!</f>
        <v>#REF!</v>
      </c>
      <c r="EI5" s="67" t="e">
        <f>'Geo &amp; CIC Deployment Plan'!#REF!</f>
        <v>#REF!</v>
      </c>
      <c r="EJ5" s="67"/>
      <c r="EK5" s="67" t="e">
        <f>'Geo &amp; CIC Deployment Plan'!#REF!</f>
        <v>#REF!</v>
      </c>
      <c r="EL5" s="67" t="e">
        <f>'Geo &amp; CIC Deployment Plan'!#REF!</f>
        <v>#REF!</v>
      </c>
      <c r="EM5" s="64" t="e">
        <f>'Geo &amp; CIC Deployment Plan'!#REF!</f>
        <v>#REF!</v>
      </c>
      <c r="EN5" s="64"/>
      <c r="EO5" s="65" t="s">
        <v>987</v>
      </c>
      <c r="EP5" s="65" t="s">
        <v>782</v>
      </c>
      <c r="EQ5" s="66" t="s">
        <v>1211</v>
      </c>
      <c r="ER5" s="67" t="e">
        <f>'Geo &amp; CIC Deployment Plan'!#REF!</f>
        <v>#REF!</v>
      </c>
      <c r="ES5" s="67" t="e">
        <f>'Geo &amp; CIC Deployment Plan'!#REF!</f>
        <v>#REF!</v>
      </c>
      <c r="ET5" s="67" t="e">
        <f>'Geo &amp; CIC Deployment Plan'!#REF!</f>
        <v>#REF!</v>
      </c>
      <c r="EU5" s="67" t="e">
        <f>'Geo &amp; CIC Deployment Plan'!#REF!</f>
        <v>#REF!</v>
      </c>
      <c r="EV5" s="67" t="e">
        <f>'Geo &amp; CIC Deployment Plan'!#REF!</f>
        <v>#REF!</v>
      </c>
      <c r="EW5" s="67"/>
      <c r="EX5" s="67" t="e">
        <f>'Geo &amp; CIC Deployment Plan'!#REF!</f>
        <v>#REF!</v>
      </c>
      <c r="EY5" s="67" t="e">
        <f>'Geo &amp; CIC Deployment Plan'!#REF!</f>
        <v>#REF!</v>
      </c>
      <c r="EZ5" s="64" t="e">
        <f>'Geo &amp; CIC Deployment Plan'!#REF!</f>
        <v>#REF!</v>
      </c>
      <c r="FA5" s="64"/>
      <c r="FC5" s="48"/>
      <c r="FD5" s="48"/>
      <c r="FE5" s="48"/>
      <c r="FF5" s="48"/>
      <c r="FG5" s="48"/>
      <c r="FH5" s="48"/>
      <c r="FI5" s="48"/>
      <c r="FJ5" s="48"/>
      <c r="FK5" s="48"/>
      <c r="FL5" s="48"/>
      <c r="FM5" s="48"/>
      <c r="FN5" s="48"/>
      <c r="FO5" s="48"/>
      <c r="FP5" s="48"/>
      <c r="FQ5" s="48"/>
      <c r="FR5" s="48"/>
      <c r="FS5" s="48"/>
      <c r="FT5" s="48"/>
      <c r="FU5" s="48"/>
      <c r="FV5" s="48"/>
      <c r="FX5" s="50"/>
      <c r="FY5" s="50"/>
      <c r="FZ5" s="50"/>
      <c r="GA5" s="50"/>
    </row>
    <row r="6" spans="2:185" ht="22.5" customHeight="1">
      <c r="D6" s="642" t="s">
        <v>1212</v>
      </c>
      <c r="E6" s="643"/>
      <c r="F6" s="643"/>
      <c r="G6" s="643"/>
      <c r="H6" s="643"/>
      <c r="I6" s="643"/>
      <c r="J6" s="643"/>
      <c r="K6" s="643"/>
      <c r="L6" s="643"/>
      <c r="M6" s="643"/>
      <c r="N6" s="644"/>
      <c r="O6" s="65"/>
      <c r="P6" s="65"/>
      <c r="Q6" s="642" t="s">
        <v>1213</v>
      </c>
      <c r="R6" s="643"/>
      <c r="S6" s="643"/>
      <c r="T6" s="643"/>
      <c r="U6" s="643"/>
      <c r="V6" s="643"/>
      <c r="W6" s="643"/>
      <c r="X6" s="643"/>
      <c r="Y6" s="643"/>
      <c r="Z6" s="643"/>
      <c r="AA6" s="644"/>
      <c r="AB6" s="65"/>
      <c r="AC6" s="65"/>
      <c r="AD6" s="642" t="s">
        <v>1214</v>
      </c>
      <c r="AE6" s="643"/>
      <c r="AF6" s="643"/>
      <c r="AG6" s="643"/>
      <c r="AH6" s="643"/>
      <c r="AI6" s="643"/>
      <c r="AJ6" s="643"/>
      <c r="AK6" s="643"/>
      <c r="AL6" s="643"/>
      <c r="AM6" s="643"/>
      <c r="AN6" s="644"/>
      <c r="AO6" s="65"/>
      <c r="AP6" s="65"/>
      <c r="AQ6" s="642" t="s">
        <v>1215</v>
      </c>
      <c r="AR6" s="643"/>
      <c r="AS6" s="643"/>
      <c r="AT6" s="643"/>
      <c r="AU6" s="643"/>
      <c r="AV6" s="643"/>
      <c r="AW6" s="643"/>
      <c r="AX6" s="643"/>
      <c r="AY6" s="643"/>
      <c r="AZ6" s="643"/>
      <c r="BA6" s="644"/>
      <c r="BB6" s="65"/>
      <c r="BC6" s="65"/>
      <c r="BD6" s="642" t="s">
        <v>1196</v>
      </c>
      <c r="BE6" s="643"/>
      <c r="BF6" s="643"/>
      <c r="BG6" s="643"/>
      <c r="BH6" s="643"/>
      <c r="BI6" s="643"/>
      <c r="BJ6" s="643"/>
      <c r="BK6" s="643"/>
      <c r="BL6" s="643"/>
      <c r="BM6" s="643"/>
      <c r="BN6" s="644"/>
      <c r="BO6" s="65"/>
      <c r="BP6" s="65"/>
      <c r="BQ6" s="642" t="s">
        <v>1196</v>
      </c>
      <c r="BR6" s="643"/>
      <c r="BS6" s="643"/>
      <c r="BT6" s="643"/>
      <c r="BU6" s="643"/>
      <c r="BV6" s="643"/>
      <c r="BW6" s="643"/>
      <c r="BX6" s="643"/>
      <c r="BY6" s="643"/>
      <c r="BZ6" s="643"/>
      <c r="CA6" s="644"/>
      <c r="CB6" s="65"/>
      <c r="CC6" s="65"/>
      <c r="CD6" s="642" t="s">
        <v>1192</v>
      </c>
      <c r="CE6" s="643"/>
      <c r="CF6" s="643"/>
      <c r="CG6" s="643"/>
      <c r="CH6" s="643"/>
      <c r="CI6" s="643"/>
      <c r="CJ6" s="643"/>
      <c r="CK6" s="643"/>
      <c r="CL6" s="643"/>
      <c r="CM6" s="643"/>
      <c r="CN6" s="644"/>
      <c r="CO6" s="65"/>
      <c r="CP6" s="65"/>
      <c r="CQ6" s="642" t="s">
        <v>1192</v>
      </c>
      <c r="CR6" s="643"/>
      <c r="CS6" s="643"/>
      <c r="CT6" s="643"/>
      <c r="CU6" s="643"/>
      <c r="CV6" s="643"/>
      <c r="CW6" s="643"/>
      <c r="CX6" s="643"/>
      <c r="CY6" s="643"/>
      <c r="CZ6" s="643"/>
      <c r="DA6" s="644"/>
      <c r="DB6" s="65"/>
      <c r="DC6" s="65"/>
      <c r="DD6" s="642" t="s">
        <v>1196</v>
      </c>
      <c r="DE6" s="643"/>
      <c r="DF6" s="643"/>
      <c r="DG6" s="643"/>
      <c r="DH6" s="643"/>
      <c r="DI6" s="643"/>
      <c r="DJ6" s="643"/>
      <c r="DK6" s="643"/>
      <c r="DL6" s="643"/>
      <c r="DM6" s="643"/>
      <c r="DN6" s="644"/>
      <c r="DO6" s="65"/>
      <c r="DP6" s="65"/>
      <c r="DQ6" s="642" t="s">
        <v>1195</v>
      </c>
      <c r="DR6" s="643"/>
      <c r="DS6" s="643"/>
      <c r="DT6" s="643"/>
      <c r="DU6" s="643"/>
      <c r="DV6" s="643"/>
      <c r="DW6" s="643"/>
      <c r="DX6" s="643"/>
      <c r="DY6" s="643"/>
      <c r="DZ6" s="643"/>
      <c r="EA6" s="644"/>
      <c r="EB6" s="65"/>
      <c r="EC6" s="65"/>
      <c r="ED6" s="642" t="s">
        <v>1192</v>
      </c>
      <c r="EE6" s="643"/>
      <c r="EF6" s="643"/>
      <c r="EG6" s="643"/>
      <c r="EH6" s="643"/>
      <c r="EI6" s="643"/>
      <c r="EJ6" s="643"/>
      <c r="EK6" s="643"/>
      <c r="EL6" s="643"/>
      <c r="EM6" s="643"/>
      <c r="EN6" s="644"/>
      <c r="EO6" s="65"/>
      <c r="EP6" s="65"/>
      <c r="EQ6" s="642" t="s">
        <v>1192</v>
      </c>
      <c r="ER6" s="643"/>
      <c r="ES6" s="643"/>
      <c r="ET6" s="643"/>
      <c r="EU6" s="643"/>
      <c r="EV6" s="643"/>
      <c r="EW6" s="643"/>
      <c r="EX6" s="643"/>
      <c r="EY6" s="643"/>
      <c r="EZ6" s="643"/>
      <c r="FA6" s="644"/>
      <c r="FC6" s="48"/>
      <c r="FD6" s="48"/>
      <c r="FE6" s="48"/>
      <c r="FF6" s="48"/>
      <c r="FG6" s="48"/>
      <c r="FH6" s="48"/>
      <c r="FI6" s="48"/>
      <c r="FJ6" s="48"/>
      <c r="FK6" s="48"/>
      <c r="FL6" s="48"/>
      <c r="FM6" s="48"/>
      <c r="FN6" s="48"/>
      <c r="FO6" s="48"/>
      <c r="FP6" s="48"/>
      <c r="FQ6" s="48"/>
      <c r="FR6" s="48"/>
      <c r="FS6" s="48"/>
      <c r="FT6" s="48"/>
      <c r="FU6" s="48"/>
      <c r="FV6" s="48"/>
      <c r="FX6" s="50"/>
      <c r="FY6" s="50"/>
      <c r="FZ6" s="50"/>
      <c r="GA6" s="50"/>
    </row>
    <row r="7" spans="2:185" ht="24">
      <c r="B7" s="27" t="s">
        <v>986</v>
      </c>
      <c r="C7" s="26" t="s">
        <v>895</v>
      </c>
      <c r="D7" s="66" t="s">
        <v>1216</v>
      </c>
      <c r="E7" s="64" t="e">
        <f>'Geo &amp; CIC Deployment Plan'!#REF!</f>
        <v>#REF!</v>
      </c>
      <c r="F7" s="64" t="e">
        <f>'Geo &amp; CIC Deployment Plan'!#REF!</f>
        <v>#REF!</v>
      </c>
      <c r="G7" s="64" t="e">
        <f>'Geo &amp; CIC Deployment Plan'!#REF!</f>
        <v>#REF!</v>
      </c>
      <c r="H7" s="64" t="e">
        <f>'Geo &amp; CIC Deployment Plan'!#REF!</f>
        <v>#REF!</v>
      </c>
      <c r="I7" s="64" t="e">
        <f>'Geo &amp; CIC Deployment Plan'!#REF!</f>
        <v>#REF!</v>
      </c>
      <c r="J7" s="70">
        <v>0</v>
      </c>
      <c r="K7" s="64" t="e">
        <f>'Geo &amp; CIC Deployment Plan'!#REF!</f>
        <v>#REF!</v>
      </c>
      <c r="L7" s="64" t="e">
        <f>'Geo &amp; CIC Deployment Plan'!#REF!</f>
        <v>#REF!</v>
      </c>
      <c r="M7" s="64" t="e">
        <f>'Geo &amp; CIC Deployment Plan'!#REF!</f>
        <v>#REF!</v>
      </c>
      <c r="N7" s="64"/>
      <c r="O7" s="65" t="s">
        <v>987</v>
      </c>
      <c r="P7" s="65" t="s">
        <v>658</v>
      </c>
      <c r="Q7" s="66" t="s">
        <v>1217</v>
      </c>
      <c r="R7" s="64" t="e">
        <f>'Geo &amp; CIC Deployment Plan'!#REF!</f>
        <v>#REF!</v>
      </c>
      <c r="S7" s="64" t="e">
        <f>'Geo &amp; CIC Deployment Plan'!#REF!</f>
        <v>#REF!</v>
      </c>
      <c r="T7" s="64" t="e">
        <f>'Geo &amp; CIC Deployment Plan'!#REF!</f>
        <v>#REF!</v>
      </c>
      <c r="U7" s="64" t="e">
        <f>'Geo &amp; CIC Deployment Plan'!#REF!</f>
        <v>#REF!</v>
      </c>
      <c r="V7" s="64" t="e">
        <f>'Geo &amp; CIC Deployment Plan'!#REF!</f>
        <v>#REF!</v>
      </c>
      <c r="W7" s="64"/>
      <c r="X7" s="64" t="e">
        <f>'Geo &amp; CIC Deployment Plan'!#REF!</f>
        <v>#REF!</v>
      </c>
      <c r="Y7" s="64" t="e">
        <f>'Geo &amp; CIC Deployment Plan'!#REF!</f>
        <v>#REF!</v>
      </c>
      <c r="Z7" s="64" t="e">
        <f>'Geo &amp; CIC Deployment Plan'!#REF!</f>
        <v>#REF!</v>
      </c>
      <c r="AA7" s="64"/>
      <c r="AB7" s="65" t="s">
        <v>1205</v>
      </c>
      <c r="AC7" s="65" t="s">
        <v>928</v>
      </c>
      <c r="AD7" s="66" t="s">
        <v>1218</v>
      </c>
      <c r="AE7" s="64" t="e">
        <f>'Geo &amp; CIC Deployment Plan'!#REF!</f>
        <v>#REF!</v>
      </c>
      <c r="AF7" s="64" t="e">
        <f>'Geo &amp; CIC Deployment Plan'!#REF!</f>
        <v>#REF!</v>
      </c>
      <c r="AG7" s="64" t="e">
        <f>'Geo &amp; CIC Deployment Plan'!#REF!</f>
        <v>#REF!</v>
      </c>
      <c r="AH7" s="64" t="e">
        <f>'Geo &amp; CIC Deployment Plan'!#REF!</f>
        <v>#REF!</v>
      </c>
      <c r="AI7" s="64" t="e">
        <f>'Geo &amp; CIC Deployment Plan'!#REF!</f>
        <v>#REF!</v>
      </c>
      <c r="AJ7" s="64"/>
      <c r="AK7" s="64" t="e">
        <f>'Geo &amp; CIC Deployment Plan'!#REF!</f>
        <v>#REF!</v>
      </c>
      <c r="AL7" s="64" t="e">
        <f>'Geo &amp; CIC Deployment Plan'!#REF!</f>
        <v>#REF!</v>
      </c>
      <c r="AM7" s="64" t="e">
        <f>'Geo &amp; CIC Deployment Plan'!#REF!</f>
        <v>#REF!</v>
      </c>
      <c r="AN7" s="64" t="e">
        <f>'Geo &amp; CIC Deployment Plan'!#REF!</f>
        <v>#REF!</v>
      </c>
      <c r="AO7" s="65" t="s">
        <v>987</v>
      </c>
      <c r="AP7" s="65" t="s">
        <v>658</v>
      </c>
      <c r="AQ7" s="66" t="s">
        <v>1219</v>
      </c>
      <c r="AR7" s="64" t="e">
        <f>'Geo &amp; CIC Deployment Plan'!#REF!</f>
        <v>#REF!</v>
      </c>
      <c r="AS7" s="64" t="e">
        <f>'Geo &amp; CIC Deployment Plan'!#REF!</f>
        <v>#REF!</v>
      </c>
      <c r="AT7" s="64" t="e">
        <f>'Geo &amp; CIC Deployment Plan'!#REF!</f>
        <v>#REF!</v>
      </c>
      <c r="AU7" s="64" t="e">
        <f>'Geo &amp; CIC Deployment Plan'!#REF!</f>
        <v>#REF!</v>
      </c>
      <c r="AV7" s="64" t="e">
        <f>'Geo &amp; CIC Deployment Plan'!#REF!</f>
        <v>#REF!</v>
      </c>
      <c r="AW7" s="70">
        <v>0</v>
      </c>
      <c r="AX7" s="64" t="e">
        <f>'Geo &amp; CIC Deployment Plan'!#REF!</f>
        <v>#REF!</v>
      </c>
      <c r="AY7" s="64" t="e">
        <f>'Geo &amp; CIC Deployment Plan'!#REF!</f>
        <v>#REF!</v>
      </c>
      <c r="AZ7" s="64" t="e">
        <f>'Geo &amp; CIC Deployment Plan'!#REF!</f>
        <v>#REF!</v>
      </c>
      <c r="BA7" s="64">
        <v>100</v>
      </c>
      <c r="BB7" s="65" t="s">
        <v>987</v>
      </c>
      <c r="BC7" s="65" t="s">
        <v>903</v>
      </c>
      <c r="BD7" s="66" t="s">
        <v>1220</v>
      </c>
      <c r="BE7" s="67" t="e">
        <f>'Geo &amp; CIC Deployment Plan'!#REF!</f>
        <v>#REF!</v>
      </c>
      <c r="BF7" s="67" t="e">
        <f>'Geo &amp; CIC Deployment Plan'!#REF!</f>
        <v>#REF!</v>
      </c>
      <c r="BG7" s="67" t="e">
        <f>'Geo &amp; CIC Deployment Plan'!#REF!</f>
        <v>#REF!</v>
      </c>
      <c r="BH7" s="67" t="e">
        <f>'Geo &amp; CIC Deployment Plan'!#REF!</f>
        <v>#REF!</v>
      </c>
      <c r="BI7" s="67" t="e">
        <f>'Geo &amp; CIC Deployment Plan'!#REF!</f>
        <v>#REF!</v>
      </c>
      <c r="BJ7" s="68">
        <v>0</v>
      </c>
      <c r="BK7" s="67" t="e">
        <f>'Geo &amp; CIC Deployment Plan'!#REF!</f>
        <v>#REF!</v>
      </c>
      <c r="BL7" s="67" t="e">
        <f>'Geo &amp; CIC Deployment Plan'!#REF!</f>
        <v>#REF!</v>
      </c>
      <c r="BM7" s="64" t="e">
        <f>'Geo &amp; CIC Deployment Plan'!#REF!</f>
        <v>#REF!</v>
      </c>
      <c r="BN7" s="64">
        <v>71</v>
      </c>
      <c r="BO7" s="65" t="s">
        <v>987</v>
      </c>
      <c r="BP7" s="65" t="s">
        <v>903</v>
      </c>
      <c r="BQ7" s="66" t="s">
        <v>1221</v>
      </c>
      <c r="BR7" s="67" t="e">
        <f>'Geo &amp; CIC Deployment Plan'!#REF!</f>
        <v>#REF!</v>
      </c>
      <c r="BS7" s="67" t="e">
        <f>'Geo &amp; CIC Deployment Plan'!#REF!</f>
        <v>#REF!</v>
      </c>
      <c r="BT7" s="67" t="e">
        <f>'Geo &amp; CIC Deployment Plan'!#REF!</f>
        <v>#REF!</v>
      </c>
      <c r="BU7" s="67" t="e">
        <f>'Geo &amp; CIC Deployment Plan'!#REF!</f>
        <v>#REF!</v>
      </c>
      <c r="BV7" s="67" t="e">
        <f>'Geo &amp; CIC Deployment Plan'!#REF!</f>
        <v>#REF!</v>
      </c>
      <c r="BW7" s="67"/>
      <c r="BX7" s="67" t="e">
        <f>'Geo &amp; CIC Deployment Plan'!#REF!</f>
        <v>#REF!</v>
      </c>
      <c r="BY7" s="67" t="e">
        <f>'Geo &amp; CIC Deployment Plan'!#REF!</f>
        <v>#REF!</v>
      </c>
      <c r="BZ7" s="64" t="e">
        <f>'Geo &amp; CIC Deployment Plan'!#REF!</f>
        <v>#REF!</v>
      </c>
      <c r="CA7" s="64"/>
      <c r="CB7" s="65" t="s">
        <v>987</v>
      </c>
      <c r="CC7" s="65" t="s">
        <v>276</v>
      </c>
      <c r="CD7" s="66" t="s">
        <v>1222</v>
      </c>
      <c r="CE7" s="67" t="e">
        <f>'Geo &amp; CIC Deployment Plan'!#REF!</f>
        <v>#REF!</v>
      </c>
      <c r="CF7" s="67" t="e">
        <f>'Geo &amp; CIC Deployment Plan'!#REF!</f>
        <v>#REF!</v>
      </c>
      <c r="CG7" s="67" t="e">
        <f>'Geo &amp; CIC Deployment Plan'!#REF!</f>
        <v>#REF!</v>
      </c>
      <c r="CH7" s="67" t="e">
        <f>'Geo &amp; CIC Deployment Plan'!#REF!</f>
        <v>#REF!</v>
      </c>
      <c r="CI7" s="67" t="e">
        <f>'Geo &amp; CIC Deployment Plan'!#REF!</f>
        <v>#REF!</v>
      </c>
      <c r="CJ7" s="67"/>
      <c r="CK7" s="67" t="e">
        <f>'Geo &amp; CIC Deployment Plan'!#REF!</f>
        <v>#REF!</v>
      </c>
      <c r="CL7" s="67" t="e">
        <f>'Geo &amp; CIC Deployment Plan'!#REF!</f>
        <v>#REF!</v>
      </c>
      <c r="CM7" s="64" t="e">
        <f>'Geo &amp; CIC Deployment Plan'!#REF!</f>
        <v>#REF!</v>
      </c>
      <c r="CN7" s="64"/>
      <c r="CO7" s="65" t="s">
        <v>987</v>
      </c>
      <c r="CP7" s="65" t="s">
        <v>276</v>
      </c>
      <c r="CQ7" s="66" t="s">
        <v>1223</v>
      </c>
      <c r="CR7" s="67" t="e">
        <f>'Geo &amp; CIC Deployment Plan'!#REF!</f>
        <v>#REF!</v>
      </c>
      <c r="CS7" s="67" t="e">
        <f>'Geo &amp; CIC Deployment Plan'!#REF!</f>
        <v>#REF!</v>
      </c>
      <c r="CT7" s="67" t="e">
        <f>'Geo &amp; CIC Deployment Plan'!#REF!</f>
        <v>#REF!</v>
      </c>
      <c r="CU7" s="67" t="e">
        <f>'Geo &amp; CIC Deployment Plan'!#REF!</f>
        <v>#REF!</v>
      </c>
      <c r="CV7" s="67" t="e">
        <f>'Geo &amp; CIC Deployment Plan'!#REF!</f>
        <v>#REF!</v>
      </c>
      <c r="CW7" s="67"/>
      <c r="CX7" s="67" t="e">
        <f>'Geo &amp; CIC Deployment Plan'!#REF!</f>
        <v>#REF!</v>
      </c>
      <c r="CY7" s="67" t="e">
        <f>'Geo &amp; CIC Deployment Plan'!#REF!</f>
        <v>#REF!</v>
      </c>
      <c r="CZ7" s="64" t="e">
        <f>'Geo &amp; CIC Deployment Plan'!#REF!</f>
        <v>#REF!</v>
      </c>
      <c r="DA7" s="64"/>
      <c r="DB7" s="65" t="s">
        <v>987</v>
      </c>
      <c r="DC7" s="65" t="s">
        <v>903</v>
      </c>
      <c r="DD7" s="66" t="s">
        <v>1224</v>
      </c>
      <c r="DE7" s="67" t="e">
        <f>'Geo &amp; CIC Deployment Plan'!#REF!</f>
        <v>#REF!</v>
      </c>
      <c r="DF7" s="67" t="e">
        <f>'Geo &amp; CIC Deployment Plan'!#REF!</f>
        <v>#REF!</v>
      </c>
      <c r="DG7" s="67" t="e">
        <f>'Geo &amp; CIC Deployment Plan'!#REF!</f>
        <v>#REF!</v>
      </c>
      <c r="DH7" s="67" t="e">
        <f>'Geo &amp; CIC Deployment Plan'!#REF!</f>
        <v>#REF!</v>
      </c>
      <c r="DI7" s="67" t="e">
        <f>'Geo &amp; CIC Deployment Plan'!#REF!</f>
        <v>#REF!</v>
      </c>
      <c r="DJ7" s="67"/>
      <c r="DK7" s="67" t="e">
        <f>'Geo &amp; CIC Deployment Plan'!#REF!</f>
        <v>#REF!</v>
      </c>
      <c r="DL7" s="67" t="e">
        <f>'Geo &amp; CIC Deployment Plan'!#REF!</f>
        <v>#REF!</v>
      </c>
      <c r="DM7" s="64" t="e">
        <f>'Geo &amp; CIC Deployment Plan'!#REF!</f>
        <v>#REF!</v>
      </c>
      <c r="DN7" s="64"/>
      <c r="DO7" s="65" t="s">
        <v>1205</v>
      </c>
      <c r="DP7" s="65" t="s">
        <v>895</v>
      </c>
      <c r="DQ7" s="66" t="s">
        <v>1225</v>
      </c>
      <c r="DR7" s="67" t="e">
        <f>'Geo &amp; CIC Deployment Plan'!#REF!</f>
        <v>#REF!</v>
      </c>
      <c r="DS7" s="67" t="e">
        <f>'Geo &amp; CIC Deployment Plan'!#REF!</f>
        <v>#REF!</v>
      </c>
      <c r="DT7" s="67" t="e">
        <f>'Geo &amp; CIC Deployment Plan'!#REF!</f>
        <v>#REF!</v>
      </c>
      <c r="DU7" s="67" t="e">
        <f>'Geo &amp; CIC Deployment Plan'!#REF!</f>
        <v>#REF!</v>
      </c>
      <c r="DV7" s="67" t="e">
        <f>'Geo &amp; CIC Deployment Plan'!#REF!</f>
        <v>#REF!</v>
      </c>
      <c r="DW7" s="67"/>
      <c r="DX7" s="67" t="e">
        <f>'Geo &amp; CIC Deployment Plan'!#REF!</f>
        <v>#REF!</v>
      </c>
      <c r="DY7" s="67" t="e">
        <f>'Geo &amp; CIC Deployment Plan'!#REF!</f>
        <v>#REF!</v>
      </c>
      <c r="DZ7" s="64" t="e">
        <f>'Geo &amp; CIC Deployment Plan'!#REF!</f>
        <v>#REF!</v>
      </c>
      <c r="EA7" s="64"/>
      <c r="EB7" s="65" t="s">
        <v>987</v>
      </c>
      <c r="EC7" s="65" t="s">
        <v>276</v>
      </c>
      <c r="ED7" s="66" t="s">
        <v>1226</v>
      </c>
      <c r="EE7" s="67" t="e">
        <f>'Geo &amp; CIC Deployment Plan'!#REF!</f>
        <v>#REF!</v>
      </c>
      <c r="EF7" s="67" t="e">
        <f>'Geo &amp; CIC Deployment Plan'!#REF!</f>
        <v>#REF!</v>
      </c>
      <c r="EG7" s="67" t="e">
        <f>'Geo &amp; CIC Deployment Plan'!#REF!</f>
        <v>#REF!</v>
      </c>
      <c r="EH7" s="67" t="e">
        <f>'Geo &amp; CIC Deployment Plan'!#REF!</f>
        <v>#REF!</v>
      </c>
      <c r="EI7" s="67" t="e">
        <f>'Geo &amp; CIC Deployment Plan'!#REF!</f>
        <v>#REF!</v>
      </c>
      <c r="EJ7" s="67"/>
      <c r="EK7" s="67" t="e">
        <f>'Geo &amp; CIC Deployment Plan'!#REF!</f>
        <v>#REF!</v>
      </c>
      <c r="EL7" s="67" t="e">
        <f>'Geo &amp; CIC Deployment Plan'!#REF!</f>
        <v>#REF!</v>
      </c>
      <c r="EM7" s="64" t="e">
        <f>'Geo &amp; CIC Deployment Plan'!#REF!</f>
        <v>#REF!</v>
      </c>
      <c r="EN7" s="64"/>
      <c r="EO7" s="65" t="s">
        <v>987</v>
      </c>
      <c r="EP7" s="65" t="s">
        <v>276</v>
      </c>
      <c r="EQ7" s="66" t="s">
        <v>1227</v>
      </c>
      <c r="ER7" s="67" t="e">
        <f>'Geo &amp; CIC Deployment Plan'!#REF!</f>
        <v>#REF!</v>
      </c>
      <c r="ES7" s="67" t="e">
        <f>'Geo &amp; CIC Deployment Plan'!#REF!</f>
        <v>#REF!</v>
      </c>
      <c r="ET7" s="67" t="e">
        <f>'Geo &amp; CIC Deployment Plan'!#REF!</f>
        <v>#REF!</v>
      </c>
      <c r="EU7" s="67" t="e">
        <f>'Geo &amp; CIC Deployment Plan'!#REF!</f>
        <v>#REF!</v>
      </c>
      <c r="EV7" s="67" t="e">
        <f>'Geo &amp; CIC Deployment Plan'!#REF!</f>
        <v>#REF!</v>
      </c>
      <c r="EW7" s="67"/>
      <c r="EX7" s="67" t="e">
        <f>'Geo &amp; CIC Deployment Plan'!#REF!</f>
        <v>#REF!</v>
      </c>
      <c r="EY7" s="67" t="e">
        <f>'Geo &amp; CIC Deployment Plan'!#REF!</f>
        <v>#REF!</v>
      </c>
      <c r="EZ7" s="64" t="e">
        <f>'Geo &amp; CIC Deployment Plan'!#REF!</f>
        <v>#REF!</v>
      </c>
      <c r="FA7" s="64"/>
      <c r="FC7" s="48"/>
      <c r="FD7" s="48"/>
      <c r="FE7" s="48"/>
      <c r="FF7" s="48"/>
      <c r="FG7" s="48"/>
      <c r="FH7" s="48"/>
      <c r="FI7" s="48"/>
      <c r="FJ7" s="48"/>
      <c r="FK7" s="48"/>
      <c r="FL7" s="48"/>
      <c r="FM7" s="48"/>
      <c r="FN7" s="48"/>
      <c r="FO7" s="48"/>
      <c r="FP7" s="48"/>
      <c r="FQ7" s="48"/>
      <c r="FR7" s="48"/>
      <c r="FS7" s="48"/>
      <c r="FT7" s="48"/>
      <c r="FU7" s="48"/>
      <c r="FV7" s="48"/>
      <c r="FX7" s="50"/>
      <c r="FY7" s="50"/>
      <c r="FZ7" s="50"/>
      <c r="GA7" s="50"/>
    </row>
    <row r="8" spans="2:185" ht="24">
      <c r="D8" s="642" t="s">
        <v>1213</v>
      </c>
      <c r="E8" s="643"/>
      <c r="F8" s="643"/>
      <c r="G8" s="643"/>
      <c r="H8" s="643"/>
      <c r="I8" s="643"/>
      <c r="J8" s="643"/>
      <c r="K8" s="643"/>
      <c r="L8" s="643"/>
      <c r="M8" s="643"/>
      <c r="N8" s="644"/>
      <c r="O8" s="65" t="s">
        <v>987</v>
      </c>
      <c r="P8" s="65" t="s">
        <v>658</v>
      </c>
      <c r="Q8" s="66" t="s">
        <v>1228</v>
      </c>
      <c r="R8" s="64" t="e">
        <f>'Geo &amp; CIC Deployment Plan'!#REF!</f>
        <v>#REF!</v>
      </c>
      <c r="S8" s="64" t="e">
        <f>'Geo &amp; CIC Deployment Plan'!#REF!</f>
        <v>#REF!</v>
      </c>
      <c r="T8" s="64" t="e">
        <f>'Geo &amp; CIC Deployment Plan'!#REF!</f>
        <v>#REF!</v>
      </c>
      <c r="U8" s="64" t="e">
        <f>'Geo &amp; CIC Deployment Plan'!#REF!</f>
        <v>#REF!</v>
      </c>
      <c r="V8" s="64" t="e">
        <f>'Geo &amp; CIC Deployment Plan'!#REF!</f>
        <v>#REF!</v>
      </c>
      <c r="W8" s="64"/>
      <c r="X8" s="64" t="e">
        <f>'Geo &amp; CIC Deployment Plan'!#REF!</f>
        <v>#REF!</v>
      </c>
      <c r="Y8" s="64" t="e">
        <f>'Geo &amp; CIC Deployment Plan'!#REF!</f>
        <v>#REF!</v>
      </c>
      <c r="Z8" s="64" t="e">
        <f>'Geo &amp; CIC Deployment Plan'!#REF!</f>
        <v>#REF!</v>
      </c>
      <c r="AA8" s="64"/>
      <c r="AB8" s="65"/>
      <c r="AC8" s="65"/>
      <c r="AD8" s="642" t="s">
        <v>1229</v>
      </c>
      <c r="AE8" s="643"/>
      <c r="AF8" s="643"/>
      <c r="AG8" s="643"/>
      <c r="AH8" s="643"/>
      <c r="AI8" s="643"/>
      <c r="AJ8" s="643"/>
      <c r="AK8" s="643"/>
      <c r="AL8" s="643"/>
      <c r="AM8" s="643"/>
      <c r="AN8" s="644"/>
      <c r="AO8" s="65"/>
      <c r="AP8" s="65"/>
      <c r="AQ8" s="642" t="s">
        <v>1230</v>
      </c>
      <c r="AR8" s="643"/>
      <c r="AS8" s="643"/>
      <c r="AT8" s="643"/>
      <c r="AU8" s="643"/>
      <c r="AV8" s="643"/>
      <c r="AW8" s="643"/>
      <c r="AX8" s="643"/>
      <c r="AY8" s="643"/>
      <c r="AZ8" s="643"/>
      <c r="BA8" s="644"/>
      <c r="BB8" s="65" t="s">
        <v>987</v>
      </c>
      <c r="BC8" s="65" t="s">
        <v>903</v>
      </c>
      <c r="BD8" s="66" t="s">
        <v>1231</v>
      </c>
      <c r="BE8" s="67" t="e">
        <f>'Geo &amp; CIC Deployment Plan'!#REF!</f>
        <v>#REF!</v>
      </c>
      <c r="BF8" s="67" t="e">
        <f>'Geo &amp; CIC Deployment Plan'!#REF!</f>
        <v>#REF!</v>
      </c>
      <c r="BG8" s="67" t="e">
        <f>'Geo &amp; CIC Deployment Plan'!#REF!</f>
        <v>#REF!</v>
      </c>
      <c r="BH8" s="67" t="e">
        <f>'Geo &amp; CIC Deployment Plan'!#REF!</f>
        <v>#REF!</v>
      </c>
      <c r="BI8" s="67" t="e">
        <f>'Geo &amp; CIC Deployment Plan'!#REF!</f>
        <v>#REF!</v>
      </c>
      <c r="BJ8" s="68">
        <v>0</v>
      </c>
      <c r="BK8" s="67" t="e">
        <f>'Geo &amp; CIC Deployment Plan'!#REF!</f>
        <v>#REF!</v>
      </c>
      <c r="BL8" s="67" t="e">
        <f>'Geo &amp; CIC Deployment Plan'!#REF!</f>
        <v>#REF!</v>
      </c>
      <c r="BM8" s="64" t="e">
        <f>'Geo &amp; CIC Deployment Plan'!#REF!</f>
        <v>#REF!</v>
      </c>
      <c r="BN8" s="64">
        <v>86</v>
      </c>
      <c r="BO8" s="65" t="s">
        <v>987</v>
      </c>
      <c r="BP8" s="65" t="s">
        <v>903</v>
      </c>
      <c r="BQ8" s="66" t="s">
        <v>1232</v>
      </c>
      <c r="BR8" s="67" t="e">
        <f>'Geo &amp; CIC Deployment Plan'!#REF!</f>
        <v>#REF!</v>
      </c>
      <c r="BS8" s="67" t="e">
        <f>'Geo &amp; CIC Deployment Plan'!#REF!</f>
        <v>#REF!</v>
      </c>
      <c r="BT8" s="67" t="e">
        <f>'Geo &amp; CIC Deployment Plan'!#REF!</f>
        <v>#REF!</v>
      </c>
      <c r="BU8" s="67" t="e">
        <f>'Geo &amp; CIC Deployment Plan'!#REF!</f>
        <v>#REF!</v>
      </c>
      <c r="BV8" s="67" t="e">
        <f>'Geo &amp; CIC Deployment Plan'!#REF!</f>
        <v>#REF!</v>
      </c>
      <c r="BW8" s="67"/>
      <c r="BX8" s="67" t="e">
        <f>'Geo &amp; CIC Deployment Plan'!#REF!</f>
        <v>#REF!</v>
      </c>
      <c r="BY8" s="67" t="e">
        <f>'Geo &amp; CIC Deployment Plan'!#REF!</f>
        <v>#REF!</v>
      </c>
      <c r="BZ8" s="64" t="e">
        <f>'Geo &amp; CIC Deployment Plan'!#REF!</f>
        <v>#REF!</v>
      </c>
      <c r="CA8" s="64"/>
      <c r="CB8" s="65" t="s">
        <v>987</v>
      </c>
      <c r="CC8" s="65" t="s">
        <v>903</v>
      </c>
      <c r="CD8" s="66" t="s">
        <v>1233</v>
      </c>
      <c r="CE8" s="67" t="e">
        <f>'Geo &amp; CIC Deployment Plan'!#REF!</f>
        <v>#REF!</v>
      </c>
      <c r="CF8" s="67" t="e">
        <f>'Geo &amp; CIC Deployment Plan'!#REF!</f>
        <v>#REF!</v>
      </c>
      <c r="CG8" s="67" t="e">
        <f>'Geo &amp; CIC Deployment Plan'!#REF!</f>
        <v>#REF!</v>
      </c>
      <c r="CH8" s="67" t="e">
        <f>'Geo &amp; CIC Deployment Plan'!#REF!</f>
        <v>#REF!</v>
      </c>
      <c r="CI8" s="67" t="e">
        <f>'Geo &amp; CIC Deployment Plan'!#REF!</f>
        <v>#REF!</v>
      </c>
      <c r="CJ8" s="67"/>
      <c r="CK8" s="67" t="e">
        <f>'Geo &amp; CIC Deployment Plan'!#REF!</f>
        <v>#REF!</v>
      </c>
      <c r="CL8" s="67" t="e">
        <f>'Geo &amp; CIC Deployment Plan'!#REF!</f>
        <v>#REF!</v>
      </c>
      <c r="CM8" s="64" t="e">
        <f>'Geo &amp; CIC Deployment Plan'!#REF!</f>
        <v>#REF!</v>
      </c>
      <c r="CN8" s="64"/>
      <c r="CO8" s="65"/>
      <c r="CP8" s="65"/>
      <c r="CQ8" s="642" t="s">
        <v>1234</v>
      </c>
      <c r="CR8" s="643"/>
      <c r="CS8" s="643"/>
      <c r="CT8" s="643"/>
      <c r="CU8" s="643"/>
      <c r="CV8" s="643"/>
      <c r="CW8" s="643"/>
      <c r="CX8" s="643"/>
      <c r="CY8" s="643"/>
      <c r="CZ8" s="643"/>
      <c r="DA8" s="644"/>
      <c r="DB8" s="65"/>
      <c r="DC8" s="65"/>
      <c r="DD8" s="642" t="s">
        <v>1197</v>
      </c>
      <c r="DE8" s="643"/>
      <c r="DF8" s="643"/>
      <c r="DG8" s="643"/>
      <c r="DH8" s="643"/>
      <c r="DI8" s="643"/>
      <c r="DJ8" s="643"/>
      <c r="DK8" s="643"/>
      <c r="DL8" s="643"/>
      <c r="DM8" s="643"/>
      <c r="DN8" s="644"/>
      <c r="DO8" s="65"/>
      <c r="DP8" s="65"/>
      <c r="DQ8" s="642" t="s">
        <v>1235</v>
      </c>
      <c r="DR8" s="643"/>
      <c r="DS8" s="643"/>
      <c r="DT8" s="643"/>
      <c r="DU8" s="643"/>
      <c r="DV8" s="643"/>
      <c r="DW8" s="643"/>
      <c r="DX8" s="643"/>
      <c r="DY8" s="643"/>
      <c r="DZ8" s="643"/>
      <c r="EA8" s="644"/>
      <c r="EB8" s="65"/>
      <c r="EC8" s="65"/>
      <c r="ED8" s="642" t="s">
        <v>1197</v>
      </c>
      <c r="EE8" s="643"/>
      <c r="EF8" s="643"/>
      <c r="EG8" s="643"/>
      <c r="EH8" s="643"/>
      <c r="EI8" s="643"/>
      <c r="EJ8" s="643"/>
      <c r="EK8" s="643"/>
      <c r="EL8" s="643"/>
      <c r="EM8" s="643"/>
      <c r="EN8" s="644"/>
      <c r="EO8" s="65"/>
      <c r="EP8" s="65"/>
      <c r="EQ8" s="642" t="s">
        <v>1196</v>
      </c>
      <c r="ER8" s="643"/>
      <c r="ES8" s="643"/>
      <c r="ET8" s="643"/>
      <c r="EU8" s="643"/>
      <c r="EV8" s="643"/>
      <c r="EW8" s="643"/>
      <c r="EX8" s="643"/>
      <c r="EY8" s="643"/>
      <c r="EZ8" s="643"/>
      <c r="FA8" s="644"/>
      <c r="FC8" s="48"/>
      <c r="FD8" s="48"/>
      <c r="FE8" s="48"/>
      <c r="FF8" s="48"/>
      <c r="FG8" s="48"/>
      <c r="FH8" s="48"/>
      <c r="FI8" s="48"/>
      <c r="FJ8" s="48"/>
      <c r="FK8" s="48"/>
      <c r="FL8" s="48"/>
      <c r="FM8" s="48"/>
      <c r="FN8" s="48"/>
      <c r="FO8" s="48"/>
      <c r="FP8" s="48"/>
      <c r="FQ8" s="48"/>
      <c r="FR8" s="48"/>
      <c r="FS8" s="48"/>
      <c r="FT8" s="48"/>
      <c r="FU8" s="48"/>
      <c r="FV8" s="48"/>
      <c r="FX8" s="50"/>
      <c r="FY8" s="50"/>
      <c r="FZ8" s="50"/>
      <c r="GA8" s="50"/>
    </row>
    <row r="9" spans="2:185" ht="36">
      <c r="B9" s="27" t="s">
        <v>987</v>
      </c>
      <c r="C9" s="26" t="s">
        <v>658</v>
      </c>
      <c r="D9" s="66" t="s">
        <v>1236</v>
      </c>
      <c r="E9" s="64" t="e">
        <f>'Geo &amp; CIC Deployment Plan'!#REF!</f>
        <v>#REF!</v>
      </c>
      <c r="F9" s="64" t="e">
        <f>'Geo &amp; CIC Deployment Plan'!#REF!</f>
        <v>#REF!</v>
      </c>
      <c r="G9" s="64" t="e">
        <f>'Geo &amp; CIC Deployment Plan'!#REF!</f>
        <v>#REF!</v>
      </c>
      <c r="H9" s="64" t="e">
        <f>'Geo &amp; CIC Deployment Plan'!#REF!</f>
        <v>#REF!</v>
      </c>
      <c r="I9" s="64" t="e">
        <f>'Geo &amp; CIC Deployment Plan'!#REF!</f>
        <v>#REF!</v>
      </c>
      <c r="J9" s="64"/>
      <c r="K9" s="64" t="e">
        <f>'Geo &amp; CIC Deployment Plan'!#REF!</f>
        <v>#REF!</v>
      </c>
      <c r="L9" s="64" t="e">
        <f>'Geo &amp; CIC Deployment Plan'!#REF!</f>
        <v>#REF!</v>
      </c>
      <c r="M9" s="64" t="e">
        <f>'Geo &amp; CIC Deployment Plan'!#REF!</f>
        <v>#REF!</v>
      </c>
      <c r="N9" s="64"/>
      <c r="O9" s="65"/>
      <c r="P9" s="65"/>
      <c r="Q9" s="642" t="s">
        <v>1237</v>
      </c>
      <c r="R9" s="643"/>
      <c r="S9" s="643"/>
      <c r="T9" s="643"/>
      <c r="U9" s="643"/>
      <c r="V9" s="643"/>
      <c r="W9" s="643"/>
      <c r="X9" s="643"/>
      <c r="Y9" s="643"/>
      <c r="Z9" s="643"/>
      <c r="AA9" s="644"/>
      <c r="AB9" s="65" t="s">
        <v>1205</v>
      </c>
      <c r="AC9" s="65" t="s">
        <v>929</v>
      </c>
      <c r="AD9" s="66" t="s">
        <v>1238</v>
      </c>
      <c r="AE9" s="64" t="str">
        <f>'Geo &amp; CIC Deployment Plan'!AG397</f>
        <v>New GBS Associates Induction</v>
      </c>
      <c r="AF9" s="64" t="str">
        <f>'Geo &amp; CIC Deployment Plan'!AH397</f>
        <v>Virtual</v>
      </c>
      <c r="AG9" s="64">
        <f>'Geo &amp; CIC Deployment Plan'!Z397</f>
        <v>0</v>
      </c>
      <c r="AH9" s="64">
        <f>'Geo &amp; CIC Deployment Plan'!AB397</f>
        <v>0</v>
      </c>
      <c r="AI9" s="64">
        <f>'Geo &amp; CIC Deployment Plan'!AD397</f>
        <v>0</v>
      </c>
      <c r="AJ9" s="71">
        <v>0.26700000000000002</v>
      </c>
      <c r="AK9" s="64">
        <f>'Geo &amp; CIC Deployment Plan'!AE397</f>
        <v>0</v>
      </c>
      <c r="AL9" s="64">
        <f>'Geo &amp; CIC Deployment Plan'!AF397</f>
        <v>0</v>
      </c>
      <c r="AM9" s="64">
        <f>'Geo &amp; CIC Deployment Plan'!U397</f>
        <v>2</v>
      </c>
      <c r="AN9" s="64">
        <f>'Geo &amp; CIC Deployment Plan'!AK397</f>
        <v>0</v>
      </c>
      <c r="AO9" s="65" t="s">
        <v>1205</v>
      </c>
      <c r="AP9" s="65" t="s">
        <v>899</v>
      </c>
      <c r="AQ9" s="66" t="s">
        <v>1239</v>
      </c>
      <c r="AR9" s="64" t="e">
        <f>'Geo &amp; CIC Deployment Plan'!#REF!</f>
        <v>#REF!</v>
      </c>
      <c r="AS9" s="64" t="e">
        <f>'Geo &amp; CIC Deployment Plan'!#REF!</f>
        <v>#REF!</v>
      </c>
      <c r="AT9" s="64" t="e">
        <f>'Geo &amp; CIC Deployment Plan'!#REF!</f>
        <v>#REF!</v>
      </c>
      <c r="AU9" s="64" t="e">
        <f>'Geo &amp; CIC Deployment Plan'!#REF!</f>
        <v>#REF!</v>
      </c>
      <c r="AV9" s="64" t="e">
        <f>'Geo &amp; CIC Deployment Plan'!#REF!</f>
        <v>#REF!</v>
      </c>
      <c r="AW9" s="64"/>
      <c r="AX9" s="64" t="e">
        <f>'Geo &amp; CIC Deployment Plan'!#REF!</f>
        <v>#REF!</v>
      </c>
      <c r="AY9" s="64" t="e">
        <f>'Geo &amp; CIC Deployment Plan'!#REF!</f>
        <v>#REF!</v>
      </c>
      <c r="AZ9" s="64" t="e">
        <f>'Geo &amp; CIC Deployment Plan'!#REF!</f>
        <v>#REF!</v>
      </c>
      <c r="BA9" s="64">
        <v>44</v>
      </c>
      <c r="BB9" s="65"/>
      <c r="BC9" s="65"/>
      <c r="BD9" s="642" t="s">
        <v>1240</v>
      </c>
      <c r="BE9" s="643"/>
      <c r="BF9" s="643"/>
      <c r="BG9" s="643"/>
      <c r="BH9" s="643"/>
      <c r="BI9" s="643"/>
      <c r="BJ9" s="643"/>
      <c r="BK9" s="643"/>
      <c r="BL9" s="643"/>
      <c r="BM9" s="643"/>
      <c r="BN9" s="644"/>
      <c r="BO9" s="65"/>
      <c r="BP9" s="65"/>
      <c r="BQ9" s="65"/>
      <c r="BR9" s="65"/>
      <c r="BS9" s="65"/>
      <c r="BT9" s="65"/>
      <c r="BU9" s="65"/>
      <c r="BV9" s="65"/>
      <c r="BW9" s="65"/>
      <c r="BX9" s="65"/>
      <c r="BY9" s="65"/>
      <c r="BZ9" s="65"/>
      <c r="CA9" s="65"/>
      <c r="CB9" s="65"/>
      <c r="CC9" s="65"/>
      <c r="CD9" s="642" t="s">
        <v>1047</v>
      </c>
      <c r="CE9" s="643"/>
      <c r="CF9" s="643"/>
      <c r="CG9" s="643"/>
      <c r="CH9" s="643"/>
      <c r="CI9" s="643"/>
      <c r="CJ9" s="643"/>
      <c r="CK9" s="643"/>
      <c r="CL9" s="643"/>
      <c r="CM9" s="643"/>
      <c r="CN9" s="644"/>
      <c r="CO9" s="65" t="s">
        <v>987</v>
      </c>
      <c r="CP9" s="65" t="s">
        <v>1241</v>
      </c>
      <c r="CQ9" s="66" t="s">
        <v>1242</v>
      </c>
      <c r="CR9" s="67" t="e">
        <f>'Geo &amp; CIC Deployment Plan'!#REF!</f>
        <v>#REF!</v>
      </c>
      <c r="CS9" s="67" t="e">
        <f>'Geo &amp; CIC Deployment Plan'!#REF!</f>
        <v>#REF!</v>
      </c>
      <c r="CT9" s="67" t="e">
        <f>'Geo &amp; CIC Deployment Plan'!#REF!</f>
        <v>#REF!</v>
      </c>
      <c r="CU9" s="67" t="e">
        <f>'Geo &amp; CIC Deployment Plan'!#REF!</f>
        <v>#REF!</v>
      </c>
      <c r="CV9" s="67" t="e">
        <f>'Geo &amp; CIC Deployment Plan'!#REF!</f>
        <v>#REF!</v>
      </c>
      <c r="CW9" s="67"/>
      <c r="CX9" s="67" t="e">
        <f>'Geo &amp; CIC Deployment Plan'!#REF!</f>
        <v>#REF!</v>
      </c>
      <c r="CY9" s="67" t="e">
        <f>'Geo &amp; CIC Deployment Plan'!#REF!</f>
        <v>#REF!</v>
      </c>
      <c r="CZ9" s="64" t="e">
        <f>'Geo &amp; CIC Deployment Plan'!#REF!</f>
        <v>#REF!</v>
      </c>
      <c r="DA9" s="64"/>
      <c r="DB9" s="65" t="s">
        <v>987</v>
      </c>
      <c r="DC9" s="65" t="s">
        <v>782</v>
      </c>
      <c r="DD9" s="66" t="s">
        <v>1243</v>
      </c>
      <c r="DE9" s="67" t="e">
        <f>'Geo &amp; CIC Deployment Plan'!#REF!</f>
        <v>#REF!</v>
      </c>
      <c r="DF9" s="67" t="e">
        <f>'Geo &amp; CIC Deployment Plan'!#REF!</f>
        <v>#REF!</v>
      </c>
      <c r="DG9" s="67" t="e">
        <f>'Geo &amp; CIC Deployment Plan'!#REF!</f>
        <v>#REF!</v>
      </c>
      <c r="DH9" s="67" t="e">
        <f>'Geo &amp; CIC Deployment Plan'!#REF!</f>
        <v>#REF!</v>
      </c>
      <c r="DI9" s="67" t="e">
        <f>'Geo &amp; CIC Deployment Plan'!#REF!</f>
        <v>#REF!</v>
      </c>
      <c r="DJ9" s="67"/>
      <c r="DK9" s="67" t="e">
        <f>'Geo &amp; CIC Deployment Plan'!#REF!</f>
        <v>#REF!</v>
      </c>
      <c r="DL9" s="67" t="e">
        <f>'Geo &amp; CIC Deployment Plan'!#REF!</f>
        <v>#REF!</v>
      </c>
      <c r="DM9" s="64" t="e">
        <f>'Geo &amp; CIC Deployment Plan'!#REF!</f>
        <v>#REF!</v>
      </c>
      <c r="DN9" s="64"/>
      <c r="DO9" s="65" t="s">
        <v>1205</v>
      </c>
      <c r="DP9" s="65" t="s">
        <v>899</v>
      </c>
      <c r="DQ9" s="66" t="s">
        <v>1244</v>
      </c>
      <c r="DR9" s="67" t="e">
        <f>'Geo &amp; CIC Deployment Plan'!#REF!</f>
        <v>#REF!</v>
      </c>
      <c r="DS9" s="67" t="e">
        <f>'Geo &amp; CIC Deployment Plan'!#REF!</f>
        <v>#REF!</v>
      </c>
      <c r="DT9" s="67" t="e">
        <f>'Geo &amp; CIC Deployment Plan'!#REF!</f>
        <v>#REF!</v>
      </c>
      <c r="DU9" s="67" t="e">
        <f>'Geo &amp; CIC Deployment Plan'!#REF!</f>
        <v>#REF!</v>
      </c>
      <c r="DV9" s="67" t="e">
        <f>'Geo &amp; CIC Deployment Plan'!#REF!</f>
        <v>#REF!</v>
      </c>
      <c r="DW9" s="67"/>
      <c r="DX9" s="67" t="e">
        <f>'Geo &amp; CIC Deployment Plan'!#REF!</f>
        <v>#REF!</v>
      </c>
      <c r="DY9" s="67" t="e">
        <f>'Geo &amp; CIC Deployment Plan'!#REF!</f>
        <v>#REF!</v>
      </c>
      <c r="DZ9" s="64" t="e">
        <f>'Geo &amp; CIC Deployment Plan'!#REF!</f>
        <v>#REF!</v>
      </c>
      <c r="EA9" s="64"/>
      <c r="EB9" s="65" t="s">
        <v>987</v>
      </c>
      <c r="EC9" s="65" t="s">
        <v>782</v>
      </c>
      <c r="ED9" s="66" t="s">
        <v>1245</v>
      </c>
      <c r="EE9" s="67" t="e">
        <f>'Geo &amp; CIC Deployment Plan'!#REF!</f>
        <v>#REF!</v>
      </c>
      <c r="EF9" s="67" t="e">
        <f>'Geo &amp; CIC Deployment Plan'!#REF!</f>
        <v>#REF!</v>
      </c>
      <c r="EG9" s="67" t="e">
        <f>'Geo &amp; CIC Deployment Plan'!#REF!</f>
        <v>#REF!</v>
      </c>
      <c r="EH9" s="67" t="e">
        <f>'Geo &amp; CIC Deployment Plan'!#REF!</f>
        <v>#REF!</v>
      </c>
      <c r="EI9" s="67" t="e">
        <f>'Geo &amp; CIC Deployment Plan'!#REF!</f>
        <v>#REF!</v>
      </c>
      <c r="EJ9" s="67"/>
      <c r="EK9" s="67" t="e">
        <f>'Geo &amp; CIC Deployment Plan'!#REF!</f>
        <v>#REF!</v>
      </c>
      <c r="EL9" s="67" t="e">
        <f>'Geo &amp; CIC Deployment Plan'!#REF!</f>
        <v>#REF!</v>
      </c>
      <c r="EM9" s="64" t="e">
        <f>'Geo &amp; CIC Deployment Plan'!#REF!</f>
        <v>#REF!</v>
      </c>
      <c r="EN9" s="64"/>
      <c r="EO9" s="65" t="s">
        <v>987</v>
      </c>
      <c r="EP9" s="65" t="s">
        <v>903</v>
      </c>
      <c r="EQ9" s="66" t="s">
        <v>1246</v>
      </c>
      <c r="ER9" s="67" t="e">
        <f>'Geo &amp; CIC Deployment Plan'!#REF!</f>
        <v>#REF!</v>
      </c>
      <c r="ES9" s="67" t="e">
        <f>'Geo &amp; CIC Deployment Plan'!#REF!</f>
        <v>#REF!</v>
      </c>
      <c r="ET9" s="67" t="e">
        <f>'Geo &amp; CIC Deployment Plan'!#REF!</f>
        <v>#REF!</v>
      </c>
      <c r="EU9" s="67" t="e">
        <f>'Geo &amp; CIC Deployment Plan'!#REF!</f>
        <v>#REF!</v>
      </c>
      <c r="EV9" s="67" t="e">
        <f>'Geo &amp; CIC Deployment Plan'!#REF!</f>
        <v>#REF!</v>
      </c>
      <c r="EW9" s="67"/>
      <c r="EX9" s="67" t="e">
        <f>'Geo &amp; CIC Deployment Plan'!#REF!</f>
        <v>#REF!</v>
      </c>
      <c r="EY9" s="67" t="e">
        <f>'Geo &amp; CIC Deployment Plan'!#REF!</f>
        <v>#REF!</v>
      </c>
      <c r="EZ9" s="64" t="e">
        <f>'Geo &amp; CIC Deployment Plan'!#REF!</f>
        <v>#REF!</v>
      </c>
      <c r="FA9" s="64"/>
      <c r="FC9" s="48"/>
      <c r="FD9" s="48"/>
      <c r="FE9" s="48"/>
      <c r="FF9" s="48"/>
      <c r="FG9" s="48"/>
      <c r="FH9" s="48"/>
      <c r="FI9" s="48"/>
      <c r="FJ9" s="48"/>
      <c r="FK9" s="48"/>
      <c r="FL9" s="48"/>
      <c r="FM9" s="48"/>
      <c r="FN9" s="48"/>
      <c r="FO9" s="48"/>
      <c r="FP9" s="48"/>
      <c r="FQ9" s="48"/>
      <c r="FR9" s="48"/>
      <c r="FS9" s="48"/>
      <c r="FT9" s="48"/>
      <c r="FU9" s="48"/>
      <c r="FV9" s="48"/>
      <c r="FX9" s="50"/>
      <c r="FY9" s="50"/>
      <c r="FZ9" s="50"/>
      <c r="GA9" s="50"/>
    </row>
    <row r="10" spans="2:185" ht="36">
      <c r="B10" s="27" t="s">
        <v>987</v>
      </c>
      <c r="C10" s="26" t="s">
        <v>658</v>
      </c>
      <c r="D10" s="66" t="s">
        <v>1247</v>
      </c>
      <c r="E10" s="64" t="e">
        <f>'Geo &amp; CIC Deployment Plan'!#REF!</f>
        <v>#REF!</v>
      </c>
      <c r="F10" s="64" t="e">
        <f>'Geo &amp; CIC Deployment Plan'!#REF!</f>
        <v>#REF!</v>
      </c>
      <c r="G10" s="64" t="e">
        <f>'Geo &amp; CIC Deployment Plan'!#REF!</f>
        <v>#REF!</v>
      </c>
      <c r="H10" s="64" t="e">
        <f>'Geo &amp; CIC Deployment Plan'!#REF!</f>
        <v>#REF!</v>
      </c>
      <c r="I10" s="64" t="e">
        <f>'Geo &amp; CIC Deployment Plan'!#REF!</f>
        <v>#REF!</v>
      </c>
      <c r="J10" s="64"/>
      <c r="K10" s="64" t="e">
        <f>'Geo &amp; CIC Deployment Plan'!#REF!</f>
        <v>#REF!</v>
      </c>
      <c r="L10" s="64" t="e">
        <f>'Geo &amp; CIC Deployment Plan'!#REF!</f>
        <v>#REF!</v>
      </c>
      <c r="M10" s="64" t="e">
        <f>'Geo &amp; CIC Deployment Plan'!#REF!</f>
        <v>#REF!</v>
      </c>
      <c r="N10" s="64"/>
      <c r="O10" s="65" t="s">
        <v>1205</v>
      </c>
      <c r="P10" s="65" t="s">
        <v>929</v>
      </c>
      <c r="Q10" s="66" t="s">
        <v>1248</v>
      </c>
      <c r="R10" s="64" t="str">
        <f>'Geo &amp; CIC Deployment Plan'!AG396</f>
        <v>New GBS Associates Induction</v>
      </c>
      <c r="S10" s="64" t="str">
        <f>'Geo &amp; CIC Deployment Plan'!AH396</f>
        <v>Virtual</v>
      </c>
      <c r="T10" s="64" t="str">
        <f>'Geo &amp; CIC Deployment Plan'!Z396</f>
        <v>In Progress</v>
      </c>
      <c r="U10" s="64">
        <f>'Geo &amp; CIC Deployment Plan'!AB396</f>
        <v>0</v>
      </c>
      <c r="V10" s="64">
        <f>'Geo &amp; CIC Deployment Plan'!AD396</f>
        <v>0</v>
      </c>
      <c r="W10" s="71">
        <v>0.16700000000000001</v>
      </c>
      <c r="X10" s="64">
        <f>'Geo &amp; CIC Deployment Plan'!AE396</f>
        <v>0</v>
      </c>
      <c r="Y10" s="64">
        <f>'Geo &amp; CIC Deployment Plan'!AF396</f>
        <v>0</v>
      </c>
      <c r="Z10" s="64">
        <f>'Geo &amp; CIC Deployment Plan'!U396</f>
        <v>47</v>
      </c>
      <c r="AA10" s="64">
        <v>21</v>
      </c>
      <c r="AB10" s="65"/>
      <c r="AC10" s="65"/>
      <c r="AD10" s="642" t="s">
        <v>1193</v>
      </c>
      <c r="AE10" s="643"/>
      <c r="AF10" s="643"/>
      <c r="AG10" s="643"/>
      <c r="AH10" s="643"/>
      <c r="AI10" s="643"/>
      <c r="AJ10" s="643"/>
      <c r="AK10" s="643"/>
      <c r="AL10" s="643"/>
      <c r="AM10" s="643"/>
      <c r="AN10" s="644"/>
      <c r="AO10" s="65" t="s">
        <v>1205</v>
      </c>
      <c r="AP10" s="65" t="s">
        <v>899</v>
      </c>
      <c r="AQ10" s="66" t="s">
        <v>1239</v>
      </c>
      <c r="AR10" s="64" t="e">
        <f>'Geo &amp; CIC Deployment Plan'!#REF!</f>
        <v>#REF!</v>
      </c>
      <c r="AS10" s="64" t="e">
        <f>'Geo &amp; CIC Deployment Plan'!#REF!</f>
        <v>#REF!</v>
      </c>
      <c r="AT10" s="64" t="e">
        <f>'Geo &amp; CIC Deployment Plan'!#REF!</f>
        <v>#REF!</v>
      </c>
      <c r="AU10" s="64" t="e">
        <f>'Geo &amp; CIC Deployment Plan'!#REF!</f>
        <v>#REF!</v>
      </c>
      <c r="AV10" s="64" t="e">
        <f>'Geo &amp; CIC Deployment Plan'!#REF!</f>
        <v>#REF!</v>
      </c>
      <c r="AW10" s="64"/>
      <c r="AX10" s="64" t="e">
        <f>'Geo &amp; CIC Deployment Plan'!#REF!</f>
        <v>#REF!</v>
      </c>
      <c r="AY10" s="64" t="e">
        <f>'Geo &amp; CIC Deployment Plan'!#REF!</f>
        <v>#REF!</v>
      </c>
      <c r="AZ10" s="64" t="e">
        <f>'Geo &amp; CIC Deployment Plan'!#REF!</f>
        <v>#REF!</v>
      </c>
      <c r="BA10" s="64">
        <v>78</v>
      </c>
      <c r="BB10" s="65" t="s">
        <v>987</v>
      </c>
      <c r="BC10" s="65" t="s">
        <v>1048</v>
      </c>
      <c r="BD10" s="66" t="s">
        <v>1249</v>
      </c>
      <c r="BE10" s="67" t="e">
        <f>'Geo &amp; CIC Deployment Plan'!#REF!</f>
        <v>#REF!</v>
      </c>
      <c r="BF10" s="67" t="e">
        <f>'Geo &amp; CIC Deployment Plan'!#REF!</f>
        <v>#REF!</v>
      </c>
      <c r="BG10" s="67" t="e">
        <f>'Geo &amp; CIC Deployment Plan'!#REF!</f>
        <v>#REF!</v>
      </c>
      <c r="BH10" s="67" t="e">
        <f>'Geo &amp; CIC Deployment Plan'!#REF!</f>
        <v>#REF!</v>
      </c>
      <c r="BI10" s="67" t="e">
        <f>'Geo &amp; CIC Deployment Plan'!#REF!</f>
        <v>#REF!</v>
      </c>
      <c r="BJ10" s="67"/>
      <c r="BK10" s="67" t="e">
        <f>'Geo &amp; CIC Deployment Plan'!#REF!</f>
        <v>#REF!</v>
      </c>
      <c r="BL10" s="67" t="e">
        <f>'Geo &amp; CIC Deployment Plan'!#REF!</f>
        <v>#REF!</v>
      </c>
      <c r="BM10" s="64" t="e">
        <f>'Geo &amp; CIC Deployment Plan'!#REF!</f>
        <v>#REF!</v>
      </c>
      <c r="BN10" s="64"/>
      <c r="BO10" s="65"/>
      <c r="BP10" s="65"/>
      <c r="BQ10" s="65"/>
      <c r="BR10" s="65"/>
      <c r="BS10" s="65"/>
      <c r="BT10" s="65"/>
      <c r="BU10" s="65"/>
      <c r="BV10" s="65"/>
      <c r="BW10" s="65"/>
      <c r="BX10" s="65"/>
      <c r="BY10" s="65"/>
      <c r="BZ10" s="65"/>
      <c r="CA10" s="65"/>
      <c r="CB10" s="65" t="s">
        <v>1205</v>
      </c>
      <c r="CC10" s="65" t="s">
        <v>1047</v>
      </c>
      <c r="CD10" s="66" t="s">
        <v>1250</v>
      </c>
      <c r="CE10" s="67" t="e">
        <f>'Geo &amp; CIC Deployment Plan'!#REF!</f>
        <v>#REF!</v>
      </c>
      <c r="CF10" s="67" t="e">
        <f>'Geo &amp; CIC Deployment Plan'!#REF!</f>
        <v>#REF!</v>
      </c>
      <c r="CG10" s="67" t="e">
        <f>'Geo &amp; CIC Deployment Plan'!#REF!</f>
        <v>#REF!</v>
      </c>
      <c r="CH10" s="67" t="e">
        <f>'Geo &amp; CIC Deployment Plan'!#REF!</f>
        <v>#REF!</v>
      </c>
      <c r="CI10" s="67" t="e">
        <f>'Geo &amp; CIC Deployment Plan'!#REF!</f>
        <v>#REF!</v>
      </c>
      <c r="CJ10" s="67"/>
      <c r="CK10" s="67" t="e">
        <f>'Geo &amp; CIC Deployment Plan'!#REF!</f>
        <v>#REF!</v>
      </c>
      <c r="CL10" s="67" t="e">
        <f>'Geo &amp; CIC Deployment Plan'!#REF!</f>
        <v>#REF!</v>
      </c>
      <c r="CM10" s="64" t="e">
        <f>'Geo &amp; CIC Deployment Plan'!#REF!</f>
        <v>#REF!</v>
      </c>
      <c r="CN10" s="64" t="e">
        <f>'Geo &amp; CIC Deployment Plan'!#REF!</f>
        <v>#REF!</v>
      </c>
      <c r="CO10" s="65"/>
      <c r="CP10" s="65"/>
      <c r="CQ10" s="642" t="s">
        <v>1193</v>
      </c>
      <c r="CR10" s="643"/>
      <c r="CS10" s="643"/>
      <c r="CT10" s="643"/>
      <c r="CU10" s="643"/>
      <c r="CV10" s="643"/>
      <c r="CW10" s="643"/>
      <c r="CX10" s="643"/>
      <c r="CY10" s="643"/>
      <c r="CZ10" s="643"/>
      <c r="DA10" s="644"/>
      <c r="DB10" s="65" t="s">
        <v>987</v>
      </c>
      <c r="DC10" s="65" t="s">
        <v>782</v>
      </c>
      <c r="DD10" s="66" t="s">
        <v>1251</v>
      </c>
      <c r="DE10" s="67" t="e">
        <f>'Geo &amp; CIC Deployment Plan'!#REF!</f>
        <v>#REF!</v>
      </c>
      <c r="DF10" s="67" t="e">
        <f>'Geo &amp; CIC Deployment Plan'!#REF!</f>
        <v>#REF!</v>
      </c>
      <c r="DG10" s="67" t="e">
        <f>'Geo &amp; CIC Deployment Plan'!#REF!</f>
        <v>#REF!</v>
      </c>
      <c r="DH10" s="67" t="e">
        <f>'Geo &amp; CIC Deployment Plan'!#REF!</f>
        <v>#REF!</v>
      </c>
      <c r="DI10" s="67" t="e">
        <f>'Geo &amp; CIC Deployment Plan'!#REF!</f>
        <v>#REF!</v>
      </c>
      <c r="DJ10" s="67"/>
      <c r="DK10" s="67" t="e">
        <f>'Geo &amp; CIC Deployment Plan'!#REF!</f>
        <v>#REF!</v>
      </c>
      <c r="DL10" s="67" t="e">
        <f>'Geo &amp; CIC Deployment Plan'!#REF!</f>
        <v>#REF!</v>
      </c>
      <c r="DM10" s="64" t="e">
        <f>'Geo &amp; CIC Deployment Plan'!#REF!</f>
        <v>#REF!</v>
      </c>
      <c r="DN10" s="64"/>
      <c r="DO10" s="65"/>
      <c r="DP10" s="65"/>
      <c r="DQ10" s="642" t="s">
        <v>1192</v>
      </c>
      <c r="DR10" s="643"/>
      <c r="DS10" s="643"/>
      <c r="DT10" s="643"/>
      <c r="DU10" s="643"/>
      <c r="DV10" s="643"/>
      <c r="DW10" s="643"/>
      <c r="DX10" s="643"/>
      <c r="DY10" s="643"/>
      <c r="DZ10" s="643"/>
      <c r="EA10" s="644"/>
      <c r="EB10" s="65"/>
      <c r="EC10" s="65"/>
      <c r="ED10" s="642" t="s">
        <v>1193</v>
      </c>
      <c r="EE10" s="643"/>
      <c r="EF10" s="643"/>
      <c r="EG10" s="643"/>
      <c r="EH10" s="643"/>
      <c r="EI10" s="643"/>
      <c r="EJ10" s="643"/>
      <c r="EK10" s="643"/>
      <c r="EL10" s="643"/>
      <c r="EM10" s="643"/>
      <c r="EN10" s="644"/>
      <c r="EO10" s="65" t="s">
        <v>987</v>
      </c>
      <c r="EP10" s="65" t="s">
        <v>903</v>
      </c>
      <c r="EQ10" s="66" t="s">
        <v>1252</v>
      </c>
      <c r="ER10" s="67" t="e">
        <f>'Geo &amp; CIC Deployment Plan'!#REF!</f>
        <v>#REF!</v>
      </c>
      <c r="ES10" s="67" t="e">
        <f>'Geo &amp; CIC Deployment Plan'!#REF!</f>
        <v>#REF!</v>
      </c>
      <c r="ET10" s="67" t="e">
        <f>'Geo &amp; CIC Deployment Plan'!#REF!</f>
        <v>#REF!</v>
      </c>
      <c r="EU10" s="67" t="e">
        <f>'Geo &amp; CIC Deployment Plan'!#REF!</f>
        <v>#REF!</v>
      </c>
      <c r="EV10" s="67" t="e">
        <f>'Geo &amp; CIC Deployment Plan'!#REF!</f>
        <v>#REF!</v>
      </c>
      <c r="EW10" s="67"/>
      <c r="EX10" s="67" t="e">
        <f>'Geo &amp; CIC Deployment Plan'!#REF!</f>
        <v>#REF!</v>
      </c>
      <c r="EY10" s="67" t="e">
        <f>'Geo &amp; CIC Deployment Plan'!#REF!</f>
        <v>#REF!</v>
      </c>
      <c r="EZ10" s="64" t="e">
        <f>'Geo &amp; CIC Deployment Plan'!#REF!</f>
        <v>#REF!</v>
      </c>
      <c r="FA10" s="64"/>
      <c r="FC10" s="48"/>
      <c r="FD10" s="48"/>
      <c r="FE10" s="48"/>
      <c r="FF10" s="48"/>
      <c r="FG10" s="48"/>
      <c r="FH10" s="48"/>
      <c r="FI10" s="48"/>
      <c r="FJ10" s="48"/>
      <c r="FK10" s="48"/>
      <c r="FL10" s="48"/>
      <c r="FM10" s="48"/>
      <c r="FN10" s="48"/>
      <c r="FO10" s="48"/>
      <c r="FP10" s="48"/>
      <c r="FQ10" s="48"/>
      <c r="FR10" s="48"/>
      <c r="FS10" s="48"/>
      <c r="FT10" s="48"/>
      <c r="FU10" s="48"/>
      <c r="FV10" s="48"/>
      <c r="FX10" s="50"/>
      <c r="FY10" s="50"/>
      <c r="FZ10" s="50"/>
      <c r="GA10" s="50"/>
    </row>
    <row r="11" spans="2:185" ht="48">
      <c r="D11" s="642" t="s">
        <v>1253</v>
      </c>
      <c r="E11" s="643"/>
      <c r="F11" s="643"/>
      <c r="G11" s="643"/>
      <c r="H11" s="643"/>
      <c r="I11" s="643"/>
      <c r="J11" s="643"/>
      <c r="K11" s="643"/>
      <c r="L11" s="643"/>
      <c r="M11" s="643"/>
      <c r="N11" s="644"/>
      <c r="O11" s="65"/>
      <c r="P11" s="65"/>
      <c r="Q11" s="642" t="s">
        <v>1195</v>
      </c>
      <c r="R11" s="643"/>
      <c r="S11" s="643"/>
      <c r="T11" s="643"/>
      <c r="U11" s="643"/>
      <c r="V11" s="643"/>
      <c r="W11" s="643"/>
      <c r="X11" s="643"/>
      <c r="Y11" s="643"/>
      <c r="Z11" s="643"/>
      <c r="AA11" s="644"/>
      <c r="AB11" s="65" t="s">
        <v>987</v>
      </c>
      <c r="AC11" s="65" t="s">
        <v>1011</v>
      </c>
      <c r="AD11" s="66" t="s">
        <v>1254</v>
      </c>
      <c r="AE11" s="64" t="e">
        <f>'Geo &amp; CIC Deployment Plan'!#REF!</f>
        <v>#REF!</v>
      </c>
      <c r="AF11" s="64" t="e">
        <f>'Geo &amp; CIC Deployment Plan'!#REF!</f>
        <v>#REF!</v>
      </c>
      <c r="AG11" s="64" t="e">
        <f>'Geo &amp; CIC Deployment Plan'!#REF!</f>
        <v>#REF!</v>
      </c>
      <c r="AH11" s="64" t="e">
        <f>'Geo &amp; CIC Deployment Plan'!#REF!</f>
        <v>#REF!</v>
      </c>
      <c r="AI11" s="64" t="e">
        <f>'Geo &amp; CIC Deployment Plan'!#REF!</f>
        <v>#REF!</v>
      </c>
      <c r="AJ11" s="64"/>
      <c r="AK11" s="64" t="e">
        <f>'Geo &amp; CIC Deployment Plan'!#REF!</f>
        <v>#REF!</v>
      </c>
      <c r="AL11" s="64" t="e">
        <f>'Geo &amp; CIC Deployment Plan'!#REF!</f>
        <v>#REF!</v>
      </c>
      <c r="AM11" s="64" t="e">
        <f>'Geo &amp; CIC Deployment Plan'!#REF!</f>
        <v>#REF!</v>
      </c>
      <c r="AN11" s="64"/>
      <c r="AO11" s="65" t="s">
        <v>1205</v>
      </c>
      <c r="AP11" s="65" t="s">
        <v>899</v>
      </c>
      <c r="AQ11" s="66" t="s">
        <v>1255</v>
      </c>
      <c r="AR11" s="64" t="e">
        <f>'Geo &amp; CIC Deployment Plan'!#REF!</f>
        <v>#REF!</v>
      </c>
      <c r="AS11" s="64" t="e">
        <f>'Geo &amp; CIC Deployment Plan'!#REF!</f>
        <v>#REF!</v>
      </c>
      <c r="AT11" s="64" t="e">
        <f>'Geo &amp; CIC Deployment Plan'!#REF!</f>
        <v>#REF!</v>
      </c>
      <c r="AU11" s="64" t="e">
        <f>'Geo &amp; CIC Deployment Plan'!#REF!</f>
        <v>#REF!</v>
      </c>
      <c r="AV11" s="64" t="e">
        <f>'Geo &amp; CIC Deployment Plan'!#REF!</f>
        <v>#REF!</v>
      </c>
      <c r="AW11" s="64"/>
      <c r="AX11" s="64" t="e">
        <f>'Geo &amp; CIC Deployment Plan'!#REF!</f>
        <v>#REF!</v>
      </c>
      <c r="AY11" s="64" t="e">
        <f>'Geo &amp; CIC Deployment Plan'!#REF!</f>
        <v>#REF!</v>
      </c>
      <c r="AZ11" s="64" t="e">
        <f>'Geo &amp; CIC Deployment Plan'!#REF!</f>
        <v>#REF!</v>
      </c>
      <c r="BA11" s="64">
        <v>57</v>
      </c>
      <c r="BB11" s="65"/>
      <c r="BC11" s="65"/>
      <c r="BD11" s="642" t="s">
        <v>1196</v>
      </c>
      <c r="BE11" s="643"/>
      <c r="BF11" s="643"/>
      <c r="BG11" s="643"/>
      <c r="BH11" s="643"/>
      <c r="BI11" s="643"/>
      <c r="BJ11" s="643"/>
      <c r="BK11" s="643"/>
      <c r="BL11" s="643"/>
      <c r="BM11" s="643"/>
      <c r="BN11" s="644"/>
      <c r="BO11" s="65"/>
      <c r="BP11" s="65"/>
      <c r="BQ11" s="65"/>
      <c r="BR11" s="65"/>
      <c r="BS11" s="65"/>
      <c r="BT11" s="65"/>
      <c r="BU11" s="65"/>
      <c r="BV11" s="65"/>
      <c r="BW11" s="65"/>
      <c r="BX11" s="65"/>
      <c r="BY11" s="65"/>
      <c r="BZ11" s="65"/>
      <c r="CA11" s="65"/>
      <c r="CB11" s="65"/>
      <c r="CC11" s="65"/>
      <c r="CD11" s="642" t="s">
        <v>1196</v>
      </c>
      <c r="CE11" s="643"/>
      <c r="CF11" s="643"/>
      <c r="CG11" s="643"/>
      <c r="CH11" s="643"/>
      <c r="CI11" s="643"/>
      <c r="CJ11" s="643"/>
      <c r="CK11" s="643"/>
      <c r="CL11" s="643"/>
      <c r="CM11" s="643"/>
      <c r="CN11" s="644"/>
      <c r="CO11" s="65" t="s">
        <v>987</v>
      </c>
      <c r="CP11" s="65" t="s">
        <v>1011</v>
      </c>
      <c r="CQ11" s="66" t="s">
        <v>1256</v>
      </c>
      <c r="CR11" s="67" t="e">
        <f>'Geo &amp; CIC Deployment Plan'!#REF!</f>
        <v>#REF!</v>
      </c>
      <c r="CS11" s="67" t="e">
        <f>'Geo &amp; CIC Deployment Plan'!#REF!</f>
        <v>#REF!</v>
      </c>
      <c r="CT11" s="67" t="e">
        <f>'Geo &amp; CIC Deployment Plan'!#REF!</f>
        <v>#REF!</v>
      </c>
      <c r="CU11" s="67" t="e">
        <f>'Geo &amp; CIC Deployment Plan'!#REF!</f>
        <v>#REF!</v>
      </c>
      <c r="CV11" s="67" t="e">
        <f>'Geo &amp; CIC Deployment Plan'!#REF!</f>
        <v>#REF!</v>
      </c>
      <c r="CW11" s="67"/>
      <c r="CX11" s="67" t="e">
        <f>'Geo &amp; CIC Deployment Plan'!#REF!</f>
        <v>#REF!</v>
      </c>
      <c r="CY11" s="67" t="e">
        <f>'Geo &amp; CIC Deployment Plan'!#REF!</f>
        <v>#REF!</v>
      </c>
      <c r="CZ11" s="64" t="e">
        <f>'Geo &amp; CIC Deployment Plan'!#REF!</f>
        <v>#REF!</v>
      </c>
      <c r="DA11" s="64"/>
      <c r="DB11" s="65" t="s">
        <v>987</v>
      </c>
      <c r="DC11" s="65" t="s">
        <v>782</v>
      </c>
      <c r="DD11" s="66" t="s">
        <v>1257</v>
      </c>
      <c r="DE11" s="67" t="e">
        <f>'Geo &amp; CIC Deployment Plan'!#REF!</f>
        <v>#REF!</v>
      </c>
      <c r="DF11" s="67" t="e">
        <f>'Geo &amp; CIC Deployment Plan'!#REF!</f>
        <v>#REF!</v>
      </c>
      <c r="DG11" s="67" t="e">
        <f>'Geo &amp; CIC Deployment Plan'!#REF!</f>
        <v>#REF!</v>
      </c>
      <c r="DH11" s="67" t="e">
        <f>'Geo &amp; CIC Deployment Plan'!#REF!</f>
        <v>#REF!</v>
      </c>
      <c r="DI11" s="67" t="e">
        <f>'Geo &amp; CIC Deployment Plan'!#REF!</f>
        <v>#REF!</v>
      </c>
      <c r="DJ11" s="67"/>
      <c r="DK11" s="67" t="e">
        <f>'Geo &amp; CIC Deployment Plan'!#REF!</f>
        <v>#REF!</v>
      </c>
      <c r="DL11" s="67" t="e">
        <f>'Geo &amp; CIC Deployment Plan'!#REF!</f>
        <v>#REF!</v>
      </c>
      <c r="DM11" s="64" t="e">
        <f>'Geo &amp; CIC Deployment Plan'!#REF!</f>
        <v>#REF!</v>
      </c>
      <c r="DN11" s="64"/>
      <c r="DO11" s="65" t="s">
        <v>987</v>
      </c>
      <c r="DP11" s="65" t="s">
        <v>276</v>
      </c>
      <c r="DQ11" s="66" t="s">
        <v>1258</v>
      </c>
      <c r="DR11" s="67" t="e">
        <f>'Geo &amp; CIC Deployment Plan'!#REF!</f>
        <v>#REF!</v>
      </c>
      <c r="DS11" s="67" t="e">
        <f>'Geo &amp; CIC Deployment Plan'!#REF!</f>
        <v>#REF!</v>
      </c>
      <c r="DT11" s="67" t="e">
        <f>'Geo &amp; CIC Deployment Plan'!#REF!</f>
        <v>#REF!</v>
      </c>
      <c r="DU11" s="67" t="e">
        <f>'Geo &amp; CIC Deployment Plan'!#REF!</f>
        <v>#REF!</v>
      </c>
      <c r="DV11" s="67" t="e">
        <f>'Geo &amp; CIC Deployment Plan'!#REF!</f>
        <v>#REF!</v>
      </c>
      <c r="DW11" s="67"/>
      <c r="DX11" s="67" t="e">
        <f>'Geo &amp; CIC Deployment Plan'!#REF!</f>
        <v>#REF!</v>
      </c>
      <c r="DY11" s="67" t="e">
        <f>'Geo &amp; CIC Deployment Plan'!#REF!</f>
        <v>#REF!</v>
      </c>
      <c r="DZ11" s="64" t="e">
        <f>'Geo &amp; CIC Deployment Plan'!#REF!</f>
        <v>#REF!</v>
      </c>
      <c r="EA11" s="64"/>
      <c r="EB11" s="65" t="s">
        <v>987</v>
      </c>
      <c r="EC11" s="65" t="s">
        <v>1011</v>
      </c>
      <c r="ED11" s="66" t="s">
        <v>1259</v>
      </c>
      <c r="EE11" s="67" t="e">
        <f>'Geo &amp; CIC Deployment Plan'!#REF!</f>
        <v>#REF!</v>
      </c>
      <c r="EF11" s="67" t="e">
        <f>'Geo &amp; CIC Deployment Plan'!#REF!</f>
        <v>#REF!</v>
      </c>
      <c r="EG11" s="67" t="e">
        <f>'Geo &amp; CIC Deployment Plan'!#REF!</f>
        <v>#REF!</v>
      </c>
      <c r="EH11" s="67" t="e">
        <f>'Geo &amp; CIC Deployment Plan'!#REF!</f>
        <v>#REF!</v>
      </c>
      <c r="EI11" s="67" t="e">
        <f>'Geo &amp; CIC Deployment Plan'!#REF!</f>
        <v>#REF!</v>
      </c>
      <c r="EJ11" s="67"/>
      <c r="EK11" s="67" t="e">
        <f>'Geo &amp; CIC Deployment Plan'!#REF!</f>
        <v>#REF!</v>
      </c>
      <c r="EL11" s="67" t="e">
        <f>'Geo &amp; CIC Deployment Plan'!#REF!</f>
        <v>#REF!</v>
      </c>
      <c r="EM11" s="64" t="e">
        <f>'Geo &amp; CIC Deployment Plan'!#REF!</f>
        <v>#REF!</v>
      </c>
      <c r="EN11" s="64"/>
      <c r="EO11" s="65"/>
      <c r="EP11" s="65"/>
      <c r="EQ11" s="72"/>
      <c r="ER11" s="65"/>
      <c r="ES11" s="65"/>
      <c r="ET11" s="65"/>
      <c r="EU11" s="65"/>
      <c r="EV11" s="65"/>
      <c r="EW11" s="65"/>
      <c r="EX11" s="65"/>
      <c r="EY11" s="65"/>
      <c r="EZ11" s="65"/>
      <c r="FA11" s="65"/>
      <c r="FC11" s="48"/>
      <c r="FD11" s="48"/>
      <c r="FE11" s="48"/>
      <c r="FF11" s="48"/>
      <c r="FG11" s="48"/>
      <c r="FH11" s="48"/>
      <c r="FI11" s="48"/>
      <c r="FJ11" s="48"/>
      <c r="FK11" s="48"/>
      <c r="FL11" s="48"/>
      <c r="FM11" s="48"/>
      <c r="FN11" s="48"/>
      <c r="FO11" s="48"/>
      <c r="FP11" s="48"/>
      <c r="FQ11" s="48"/>
      <c r="FR11" s="48"/>
      <c r="FS11" s="48"/>
      <c r="FT11" s="48"/>
      <c r="FU11" s="48"/>
      <c r="FV11" s="48"/>
      <c r="FX11" s="50"/>
      <c r="FY11" s="50"/>
      <c r="FZ11" s="50"/>
      <c r="GA11" s="50"/>
    </row>
    <row r="12" spans="2:185" ht="24">
      <c r="B12" s="27" t="s">
        <v>987</v>
      </c>
      <c r="C12" s="26" t="s">
        <v>1011</v>
      </c>
      <c r="D12" s="66" t="s">
        <v>1260</v>
      </c>
      <c r="E12" s="64" t="e">
        <f>'Geo &amp; CIC Deployment Plan'!#REF!</f>
        <v>#REF!</v>
      </c>
      <c r="F12" s="64" t="e">
        <f>'Geo &amp; CIC Deployment Plan'!#REF!</f>
        <v>#REF!</v>
      </c>
      <c r="G12" s="64" t="e">
        <f>'Geo &amp; CIC Deployment Plan'!#REF!</f>
        <v>#REF!</v>
      </c>
      <c r="H12" s="64" t="e">
        <f>'Geo &amp; CIC Deployment Plan'!#REF!</f>
        <v>#REF!</v>
      </c>
      <c r="I12" s="64" t="e">
        <f>'Geo &amp; CIC Deployment Plan'!#REF!</f>
        <v>#REF!</v>
      </c>
      <c r="J12" s="64"/>
      <c r="K12" s="64" t="e">
        <f>'Geo &amp; CIC Deployment Plan'!#REF!</f>
        <v>#REF!</v>
      </c>
      <c r="L12" s="64" t="e">
        <f>'Geo &amp; CIC Deployment Plan'!#REF!</f>
        <v>#REF!</v>
      </c>
      <c r="M12" s="64" t="e">
        <f>'Geo &amp; CIC Deployment Plan'!#REF!</f>
        <v>#REF!</v>
      </c>
      <c r="N12" s="64"/>
      <c r="O12" s="65" t="s">
        <v>1205</v>
      </c>
      <c r="P12" s="65" t="s">
        <v>895</v>
      </c>
      <c r="Q12" s="66" t="s">
        <v>1261</v>
      </c>
      <c r="R12" s="64" t="e">
        <f>'Geo &amp; CIC Deployment Plan'!#REF!</f>
        <v>#REF!</v>
      </c>
      <c r="S12" s="64" t="e">
        <f>'Geo &amp; CIC Deployment Plan'!#REF!</f>
        <v>#REF!</v>
      </c>
      <c r="T12" s="64" t="e">
        <f>'Geo &amp; CIC Deployment Plan'!#REF!</f>
        <v>#REF!</v>
      </c>
      <c r="U12" s="64" t="e">
        <f>'Geo &amp; CIC Deployment Plan'!#REF!</f>
        <v>#REF!</v>
      </c>
      <c r="V12" s="64" t="e">
        <f>'Geo &amp; CIC Deployment Plan'!#REF!</f>
        <v>#REF!</v>
      </c>
      <c r="W12" s="71">
        <v>0.36399999999999999</v>
      </c>
      <c r="X12" s="64" t="e">
        <f>'Geo &amp; CIC Deployment Plan'!#REF!</f>
        <v>#REF!</v>
      </c>
      <c r="Y12" s="64" t="e">
        <f>'Geo &amp; CIC Deployment Plan'!#REF!</f>
        <v>#REF!</v>
      </c>
      <c r="Z12" s="64" t="e">
        <f>'Geo &amp; CIC Deployment Plan'!#REF!</f>
        <v>#REF!</v>
      </c>
      <c r="AA12" s="64">
        <v>0</v>
      </c>
      <c r="AB12" s="65"/>
      <c r="AC12" s="65"/>
      <c r="AD12" s="73"/>
      <c r="AE12" s="65"/>
      <c r="AF12" s="65"/>
      <c r="AG12" s="65"/>
      <c r="AH12" s="65"/>
      <c r="AI12" s="65"/>
      <c r="AJ12" s="65"/>
      <c r="AK12" s="65"/>
      <c r="AL12" s="65"/>
      <c r="AM12" s="65"/>
      <c r="AN12" s="65"/>
      <c r="AO12" s="65" t="s">
        <v>1205</v>
      </c>
      <c r="AP12" s="65" t="s">
        <v>899</v>
      </c>
      <c r="AQ12" s="66" t="s">
        <v>1255</v>
      </c>
      <c r="AR12" s="64" t="e">
        <f>'Geo &amp; CIC Deployment Plan'!#REF!</f>
        <v>#REF!</v>
      </c>
      <c r="AS12" s="64" t="e">
        <f>'Geo &amp; CIC Deployment Plan'!#REF!</f>
        <v>#REF!</v>
      </c>
      <c r="AT12" s="64" t="e">
        <f>'Geo &amp; CIC Deployment Plan'!#REF!</f>
        <v>#REF!</v>
      </c>
      <c r="AU12" s="64" t="e">
        <f>'Geo &amp; CIC Deployment Plan'!#REF!</f>
        <v>#REF!</v>
      </c>
      <c r="AV12" s="64" t="e">
        <f>'Geo &amp; CIC Deployment Plan'!#REF!</f>
        <v>#REF!</v>
      </c>
      <c r="AW12" s="64"/>
      <c r="AX12" s="64" t="e">
        <f>'Geo &amp; CIC Deployment Plan'!#REF!</f>
        <v>#REF!</v>
      </c>
      <c r="AY12" s="64" t="e">
        <f>'Geo &amp; CIC Deployment Plan'!#REF!</f>
        <v>#REF!</v>
      </c>
      <c r="AZ12" s="64" t="e">
        <f>'Geo &amp; CIC Deployment Plan'!#REF!</f>
        <v>#REF!</v>
      </c>
      <c r="BA12" s="64">
        <v>43</v>
      </c>
      <c r="BB12" s="65" t="s">
        <v>987</v>
      </c>
      <c r="BC12" s="65" t="s">
        <v>903</v>
      </c>
      <c r="BD12" s="66" t="s">
        <v>1262</v>
      </c>
      <c r="BE12" s="67" t="e">
        <f>'Geo &amp; CIC Deployment Plan'!#REF!</f>
        <v>#REF!</v>
      </c>
      <c r="BF12" s="67" t="e">
        <f>'Geo &amp; CIC Deployment Plan'!#REF!</f>
        <v>#REF!</v>
      </c>
      <c r="BG12" s="67" t="e">
        <f>'Geo &amp; CIC Deployment Plan'!#REF!</f>
        <v>#REF!</v>
      </c>
      <c r="BH12" s="67" t="e">
        <f>'Geo &amp; CIC Deployment Plan'!#REF!</f>
        <v>#REF!</v>
      </c>
      <c r="BI12" s="67" t="e">
        <f>'Geo &amp; CIC Deployment Plan'!#REF!</f>
        <v>#REF!</v>
      </c>
      <c r="BJ12" s="68">
        <v>0</v>
      </c>
      <c r="BK12" s="67" t="e">
        <f>'Geo &amp; CIC Deployment Plan'!#REF!</f>
        <v>#REF!</v>
      </c>
      <c r="BL12" s="67" t="e">
        <f>'Geo &amp; CIC Deployment Plan'!#REF!</f>
        <v>#REF!</v>
      </c>
      <c r="BM12" s="64" t="e">
        <f>'Geo &amp; CIC Deployment Plan'!#REF!</f>
        <v>#REF!</v>
      </c>
      <c r="BN12" s="64">
        <v>75</v>
      </c>
      <c r="BO12" s="65"/>
      <c r="BP12" s="65"/>
      <c r="BQ12" s="65"/>
      <c r="BR12" s="65"/>
      <c r="BS12" s="65"/>
      <c r="BT12" s="65"/>
      <c r="BU12" s="65"/>
      <c r="BV12" s="65"/>
      <c r="BW12" s="65"/>
      <c r="BX12" s="65"/>
      <c r="BY12" s="65"/>
      <c r="BZ12" s="65"/>
      <c r="CA12" s="65"/>
      <c r="CB12" s="65" t="s">
        <v>987</v>
      </c>
      <c r="CC12" s="65" t="s">
        <v>903</v>
      </c>
      <c r="CD12" s="66" t="s">
        <v>1263</v>
      </c>
      <c r="CE12" s="67" t="e">
        <f>'Geo &amp; CIC Deployment Plan'!#REF!</f>
        <v>#REF!</v>
      </c>
      <c r="CF12" s="67" t="e">
        <f>'Geo &amp; CIC Deployment Plan'!#REF!</f>
        <v>#REF!</v>
      </c>
      <c r="CG12" s="67" t="e">
        <f>'Geo &amp; CIC Deployment Plan'!#REF!</f>
        <v>#REF!</v>
      </c>
      <c r="CH12" s="67" t="e">
        <f>'Geo &amp; CIC Deployment Plan'!#REF!</f>
        <v>#REF!</v>
      </c>
      <c r="CI12" s="67" t="e">
        <f>'Geo &amp; CIC Deployment Plan'!#REF!</f>
        <v>#REF!</v>
      </c>
      <c r="CJ12" s="67"/>
      <c r="CK12" s="67" t="e">
        <f>'Geo &amp; CIC Deployment Plan'!#REF!</f>
        <v>#REF!</v>
      </c>
      <c r="CL12" s="67" t="e">
        <f>'Geo &amp; CIC Deployment Plan'!#REF!</f>
        <v>#REF!</v>
      </c>
      <c r="CM12" s="64" t="e">
        <f>'Geo &amp; CIC Deployment Plan'!#REF!</f>
        <v>#REF!</v>
      </c>
      <c r="CN12" s="64"/>
      <c r="CO12" s="65"/>
      <c r="CP12" s="65"/>
      <c r="CQ12" s="642" t="s">
        <v>1196</v>
      </c>
      <c r="CR12" s="643"/>
      <c r="CS12" s="643"/>
      <c r="CT12" s="643"/>
      <c r="CU12" s="643"/>
      <c r="CV12" s="643"/>
      <c r="CW12" s="643"/>
      <c r="CX12" s="643"/>
      <c r="CY12" s="643"/>
      <c r="CZ12" s="643"/>
      <c r="DA12" s="644"/>
      <c r="DB12" s="65"/>
      <c r="DC12" s="65"/>
      <c r="DD12" s="642" t="s">
        <v>1194</v>
      </c>
      <c r="DE12" s="643"/>
      <c r="DF12" s="643"/>
      <c r="DG12" s="643"/>
      <c r="DH12" s="643"/>
      <c r="DI12" s="643"/>
      <c r="DJ12" s="643"/>
      <c r="DK12" s="643"/>
      <c r="DL12" s="643"/>
      <c r="DM12" s="643"/>
      <c r="DN12" s="644"/>
      <c r="DO12" s="65"/>
      <c r="DP12" s="65"/>
      <c r="DQ12" s="642" t="s">
        <v>1193</v>
      </c>
      <c r="DR12" s="643"/>
      <c r="DS12" s="643"/>
      <c r="DT12" s="643"/>
      <c r="DU12" s="643"/>
      <c r="DV12" s="643"/>
      <c r="DW12" s="643"/>
      <c r="DX12" s="643"/>
      <c r="DY12" s="643"/>
      <c r="DZ12" s="643"/>
      <c r="EA12" s="644"/>
      <c r="EB12" s="65"/>
      <c r="EC12" s="65"/>
      <c r="ED12" s="642" t="s">
        <v>1214</v>
      </c>
      <c r="EE12" s="643"/>
      <c r="EF12" s="643"/>
      <c r="EG12" s="643"/>
      <c r="EH12" s="643"/>
      <c r="EI12" s="643"/>
      <c r="EJ12" s="643"/>
      <c r="EK12" s="643"/>
      <c r="EL12" s="643"/>
      <c r="EM12" s="643"/>
      <c r="EN12" s="644"/>
      <c r="EO12" s="65"/>
      <c r="EP12" s="65"/>
      <c r="EQ12" s="73"/>
      <c r="ER12" s="74"/>
      <c r="ES12" s="74"/>
      <c r="ET12" s="74"/>
      <c r="EU12" s="74"/>
      <c r="EV12" s="74"/>
      <c r="EW12" s="74"/>
      <c r="EX12" s="74"/>
      <c r="EY12" s="74"/>
      <c r="EZ12" s="65"/>
      <c r="FA12" s="65"/>
      <c r="FC12" s="48"/>
      <c r="FD12" s="48"/>
      <c r="FE12" s="48"/>
      <c r="FF12" s="48"/>
      <c r="FG12" s="48"/>
      <c r="FH12" s="48"/>
      <c r="FI12" s="48"/>
      <c r="FJ12" s="48"/>
      <c r="FK12" s="48"/>
      <c r="FL12" s="48"/>
      <c r="FM12" s="48"/>
      <c r="FN12" s="48"/>
      <c r="FO12" s="48"/>
      <c r="FP12" s="48"/>
      <c r="FQ12" s="48"/>
      <c r="FR12" s="48"/>
      <c r="FS12" s="48"/>
      <c r="FT12" s="48"/>
      <c r="FU12" s="48"/>
      <c r="FV12" s="48"/>
      <c r="FX12" s="50"/>
      <c r="FY12" s="50"/>
      <c r="FZ12" s="50"/>
      <c r="GA12" s="50"/>
    </row>
    <row r="13" spans="2:185" ht="24" customHeight="1">
      <c r="B13" s="27" t="s">
        <v>987</v>
      </c>
      <c r="C13" s="26" t="s">
        <v>1011</v>
      </c>
      <c r="D13" s="66" t="s">
        <v>1264</v>
      </c>
      <c r="E13" s="64" t="e">
        <f>'Geo &amp; CIC Deployment Plan'!#REF!</f>
        <v>#REF!</v>
      </c>
      <c r="F13" s="64" t="e">
        <f>'Geo &amp; CIC Deployment Plan'!#REF!</f>
        <v>#REF!</v>
      </c>
      <c r="G13" s="64" t="e">
        <f>'Geo &amp; CIC Deployment Plan'!#REF!</f>
        <v>#REF!</v>
      </c>
      <c r="H13" s="64" t="e">
        <f>'Geo &amp; CIC Deployment Plan'!#REF!</f>
        <v>#REF!</v>
      </c>
      <c r="I13" s="64" t="e">
        <f>'Geo &amp; CIC Deployment Plan'!#REF!</f>
        <v>#REF!</v>
      </c>
      <c r="J13" s="64"/>
      <c r="K13" s="64" t="e">
        <f>'Geo &amp; CIC Deployment Plan'!#REF!</f>
        <v>#REF!</v>
      </c>
      <c r="L13" s="64" t="e">
        <f>'Geo &amp; CIC Deployment Plan'!#REF!</f>
        <v>#REF!</v>
      </c>
      <c r="M13" s="64" t="e">
        <f>'Geo &amp; CIC Deployment Plan'!#REF!</f>
        <v>#REF!</v>
      </c>
      <c r="N13" s="64"/>
      <c r="O13" s="65"/>
      <c r="P13" s="65"/>
      <c r="Q13" s="642" t="s">
        <v>1213</v>
      </c>
      <c r="R13" s="643"/>
      <c r="S13" s="643"/>
      <c r="T13" s="643"/>
      <c r="U13" s="643"/>
      <c r="V13" s="643"/>
      <c r="W13" s="643"/>
      <c r="X13" s="643"/>
      <c r="Y13" s="643"/>
      <c r="Z13" s="643"/>
      <c r="AA13" s="644"/>
      <c r="AB13" s="65"/>
      <c r="AC13" s="65"/>
      <c r="AD13" s="73"/>
      <c r="AE13" s="65"/>
      <c r="AF13" s="65"/>
      <c r="AG13" s="65"/>
      <c r="AH13" s="65"/>
      <c r="AI13" s="65"/>
      <c r="AJ13" s="65"/>
      <c r="AK13" s="65"/>
      <c r="AL13" s="65"/>
      <c r="AM13" s="65"/>
      <c r="AN13" s="65"/>
      <c r="AO13" s="65" t="s">
        <v>1205</v>
      </c>
      <c r="AP13" s="65" t="s">
        <v>899</v>
      </c>
      <c r="AQ13" s="66" t="s">
        <v>1265</v>
      </c>
      <c r="AR13" s="64" t="e">
        <f>'Geo &amp; CIC Deployment Plan'!#REF!</f>
        <v>#REF!</v>
      </c>
      <c r="AS13" s="64" t="e">
        <f>'Geo &amp; CIC Deployment Plan'!#REF!</f>
        <v>#REF!</v>
      </c>
      <c r="AT13" s="64" t="e">
        <f>'Geo &amp; CIC Deployment Plan'!#REF!</f>
        <v>#REF!</v>
      </c>
      <c r="AU13" s="64" t="e">
        <f>'Geo &amp; CIC Deployment Plan'!#REF!</f>
        <v>#REF!</v>
      </c>
      <c r="AV13" s="64" t="e">
        <f>'Geo &amp; CIC Deployment Plan'!#REF!</f>
        <v>#REF!</v>
      </c>
      <c r="AW13" s="64"/>
      <c r="AX13" s="64" t="e">
        <f>'Geo &amp; CIC Deployment Plan'!#REF!</f>
        <v>#REF!</v>
      </c>
      <c r="AY13" s="64" t="e">
        <f>'Geo &amp; CIC Deployment Plan'!#REF!</f>
        <v>#REF!</v>
      </c>
      <c r="AZ13" s="64" t="e">
        <f>'Geo &amp; CIC Deployment Plan'!#REF!</f>
        <v>#REF!</v>
      </c>
      <c r="BA13" s="64">
        <v>63</v>
      </c>
      <c r="BB13" s="65"/>
      <c r="BC13" s="65"/>
      <c r="BD13" s="642" t="s">
        <v>1266</v>
      </c>
      <c r="BE13" s="643"/>
      <c r="BF13" s="643"/>
      <c r="BG13" s="643"/>
      <c r="BH13" s="643"/>
      <c r="BI13" s="643"/>
      <c r="BJ13" s="643"/>
      <c r="BK13" s="643"/>
      <c r="BL13" s="643"/>
      <c r="BM13" s="643"/>
      <c r="BN13" s="644"/>
      <c r="BO13" s="65"/>
      <c r="BP13" s="65"/>
      <c r="BQ13" s="65"/>
      <c r="BR13" s="65"/>
      <c r="BS13" s="65"/>
      <c r="BT13" s="65"/>
      <c r="BU13" s="65"/>
      <c r="BV13" s="65"/>
      <c r="BW13" s="65"/>
      <c r="BX13" s="65"/>
      <c r="BY13" s="65"/>
      <c r="BZ13" s="65"/>
      <c r="CA13" s="65"/>
      <c r="CB13" s="65"/>
      <c r="CC13" s="65"/>
      <c r="CD13" s="526" t="s">
        <v>1214</v>
      </c>
      <c r="CE13" s="527"/>
      <c r="CF13" s="527"/>
      <c r="CG13" s="527"/>
      <c r="CH13" s="527"/>
      <c r="CI13" s="527"/>
      <c r="CJ13" s="527"/>
      <c r="CK13" s="527"/>
      <c r="CL13" s="527"/>
      <c r="CM13" s="527"/>
      <c r="CN13" s="528"/>
      <c r="CO13" s="65" t="s">
        <v>987</v>
      </c>
      <c r="CP13" s="65" t="s">
        <v>903</v>
      </c>
      <c r="CQ13" s="66" t="s">
        <v>1267</v>
      </c>
      <c r="CR13" s="67" t="e">
        <f>'Geo &amp; CIC Deployment Plan'!#REF!</f>
        <v>#REF!</v>
      </c>
      <c r="CS13" s="67" t="e">
        <f>'Geo &amp; CIC Deployment Plan'!#REF!</f>
        <v>#REF!</v>
      </c>
      <c r="CT13" s="67" t="e">
        <f>'Geo &amp; CIC Deployment Plan'!#REF!</f>
        <v>#REF!</v>
      </c>
      <c r="CU13" s="67" t="e">
        <f>'Geo &amp; CIC Deployment Plan'!#REF!</f>
        <v>#REF!</v>
      </c>
      <c r="CV13" s="67" t="e">
        <f>'Geo &amp; CIC Deployment Plan'!#REF!</f>
        <v>#REF!</v>
      </c>
      <c r="CW13" s="67"/>
      <c r="CX13" s="67" t="e">
        <f>'Geo &amp; CIC Deployment Plan'!#REF!</f>
        <v>#REF!</v>
      </c>
      <c r="CY13" s="67" t="e">
        <f>'Geo &amp; CIC Deployment Plan'!#REF!</f>
        <v>#REF!</v>
      </c>
      <c r="CZ13" s="64" t="e">
        <f>'Geo &amp; CIC Deployment Plan'!#REF!</f>
        <v>#REF!</v>
      </c>
      <c r="DA13" s="64"/>
      <c r="DB13" s="65" t="s">
        <v>987</v>
      </c>
      <c r="DC13" s="65" t="s">
        <v>1203</v>
      </c>
      <c r="DD13" s="66" t="s">
        <v>1268</v>
      </c>
      <c r="DE13" s="67" t="e">
        <f>'Geo &amp; CIC Deployment Plan'!#REF!</f>
        <v>#REF!</v>
      </c>
      <c r="DF13" s="67" t="e">
        <f>'Geo &amp; CIC Deployment Plan'!#REF!</f>
        <v>#REF!</v>
      </c>
      <c r="DG13" s="67" t="e">
        <f>'Geo &amp; CIC Deployment Plan'!#REF!</f>
        <v>#REF!</v>
      </c>
      <c r="DH13" s="67" t="e">
        <f>'Geo &amp; CIC Deployment Plan'!#REF!</f>
        <v>#REF!</v>
      </c>
      <c r="DI13" s="67" t="e">
        <f>'Geo &amp; CIC Deployment Plan'!#REF!</f>
        <v>#REF!</v>
      </c>
      <c r="DJ13" s="67"/>
      <c r="DK13" s="67" t="e">
        <f>'Geo &amp; CIC Deployment Plan'!#REF!</f>
        <v>#REF!</v>
      </c>
      <c r="DL13" s="67" t="e">
        <f>'Geo &amp; CIC Deployment Plan'!#REF!</f>
        <v>#REF!</v>
      </c>
      <c r="DM13" s="64" t="e">
        <f>'Geo &amp; CIC Deployment Plan'!#REF!</f>
        <v>#REF!</v>
      </c>
      <c r="DN13" s="64"/>
      <c r="DO13" s="65" t="s">
        <v>987</v>
      </c>
      <c r="DP13" s="65" t="s">
        <v>1011</v>
      </c>
      <c r="DQ13" s="66" t="s">
        <v>1269</v>
      </c>
      <c r="DR13" s="67" t="e">
        <f>'Geo &amp; CIC Deployment Plan'!#REF!</f>
        <v>#REF!</v>
      </c>
      <c r="DS13" s="67" t="e">
        <f>'Geo &amp; CIC Deployment Plan'!#REF!</f>
        <v>#REF!</v>
      </c>
      <c r="DT13" s="67" t="e">
        <f>'Geo &amp; CIC Deployment Plan'!#REF!</f>
        <v>#REF!</v>
      </c>
      <c r="DU13" s="67" t="e">
        <f>'Geo &amp; CIC Deployment Plan'!#REF!</f>
        <v>#REF!</v>
      </c>
      <c r="DV13" s="67" t="e">
        <f>'Geo &amp; CIC Deployment Plan'!#REF!</f>
        <v>#REF!</v>
      </c>
      <c r="DW13" s="67"/>
      <c r="DX13" s="67" t="e">
        <f>'Geo &amp; CIC Deployment Plan'!#REF!</f>
        <v>#REF!</v>
      </c>
      <c r="DY13" s="67" t="e">
        <f>'Geo &amp; CIC Deployment Plan'!#REF!</f>
        <v>#REF!</v>
      </c>
      <c r="DZ13" s="64" t="e">
        <f>'Geo &amp; CIC Deployment Plan'!#REF!</f>
        <v>#REF!</v>
      </c>
      <c r="EA13" s="64"/>
      <c r="EB13" s="65" t="s">
        <v>1205</v>
      </c>
      <c r="EC13" s="65" t="s">
        <v>928</v>
      </c>
      <c r="ED13" s="66" t="s">
        <v>1270</v>
      </c>
      <c r="EE13" s="67" t="str">
        <f>'Geo &amp; CIC Deployment Plan'!AG$375</f>
        <v>New GBS Associates Induction</v>
      </c>
      <c r="EF13" s="67" t="str">
        <f>'Geo &amp; CIC Deployment Plan'!AH$375</f>
        <v>Virtual</v>
      </c>
      <c r="EG13" s="67" t="str">
        <f>'Geo &amp; CIC Deployment Plan'!Z$375</f>
        <v>In Progress</v>
      </c>
      <c r="EH13" s="67">
        <f>'Geo &amp; CIC Deployment Plan'!AB$375</f>
        <v>0</v>
      </c>
      <c r="EI13" s="67">
        <f>'Geo &amp; CIC Deployment Plan'!AD$375</f>
        <v>0</v>
      </c>
      <c r="EJ13" s="67"/>
      <c r="EK13" s="67">
        <f>'Geo &amp; CIC Deployment Plan'!AE$375</f>
        <v>0</v>
      </c>
      <c r="EL13" s="67">
        <f>'Geo &amp; CIC Deployment Plan'!AF$375</f>
        <v>0</v>
      </c>
      <c r="EM13" s="64">
        <f>'Geo &amp; CIC Deployment Plan'!U375</f>
        <v>20</v>
      </c>
      <c r="EN13" s="64"/>
      <c r="EO13" s="65"/>
      <c r="EP13" s="65"/>
      <c r="EQ13" s="65"/>
      <c r="ER13" s="65"/>
      <c r="ES13" s="65"/>
      <c r="ET13" s="65"/>
      <c r="EU13" s="65"/>
      <c r="EV13" s="65"/>
      <c r="EW13" s="65"/>
      <c r="EX13" s="65"/>
      <c r="EY13" s="65"/>
      <c r="EZ13" s="65"/>
      <c r="FA13" s="65"/>
      <c r="FC13" s="48"/>
      <c r="FD13" s="48"/>
      <c r="FE13" s="48"/>
      <c r="FF13" s="48"/>
      <c r="FG13" s="48"/>
      <c r="FH13" s="48"/>
      <c r="FI13" s="48"/>
      <c r="FJ13" s="48"/>
      <c r="FK13" s="48"/>
      <c r="FL13" s="48"/>
      <c r="FM13" s="48"/>
      <c r="FN13" s="48"/>
      <c r="FO13" s="48"/>
      <c r="FP13" s="48"/>
      <c r="FQ13" s="48"/>
      <c r="FR13" s="48"/>
      <c r="FS13" s="48"/>
      <c r="FT13" s="48"/>
      <c r="FU13" s="48"/>
      <c r="FV13" s="48"/>
      <c r="FX13" s="50"/>
      <c r="FY13" s="50"/>
      <c r="FZ13" s="50"/>
      <c r="GA13" s="50"/>
    </row>
    <row r="14" spans="2:185" ht="36">
      <c r="B14" s="27" t="s">
        <v>987</v>
      </c>
      <c r="C14" s="26" t="s">
        <v>1011</v>
      </c>
      <c r="D14" s="66" t="s">
        <v>1271</v>
      </c>
      <c r="E14" s="64" t="e">
        <f>'Geo &amp; CIC Deployment Plan'!#REF!</f>
        <v>#REF!</v>
      </c>
      <c r="F14" s="64" t="e">
        <f>'Geo &amp; CIC Deployment Plan'!#REF!</f>
        <v>#REF!</v>
      </c>
      <c r="G14" s="64" t="e">
        <f>'Geo &amp; CIC Deployment Plan'!#REF!</f>
        <v>#REF!</v>
      </c>
      <c r="H14" s="64" t="e">
        <f>'Geo &amp; CIC Deployment Plan'!#REF!</f>
        <v>#REF!</v>
      </c>
      <c r="I14" s="64" t="e">
        <f>'Geo &amp; CIC Deployment Plan'!#REF!</f>
        <v>#REF!</v>
      </c>
      <c r="J14" s="64"/>
      <c r="K14" s="64" t="e">
        <f>'Geo &amp; CIC Deployment Plan'!#REF!</f>
        <v>#REF!</v>
      </c>
      <c r="L14" s="64" t="e">
        <f>'Geo &amp; CIC Deployment Plan'!#REF!</f>
        <v>#REF!</v>
      </c>
      <c r="M14" s="64" t="e">
        <f>'Geo &amp; CIC Deployment Plan'!#REF!</f>
        <v>#REF!</v>
      </c>
      <c r="N14" s="64"/>
      <c r="O14" s="65" t="s">
        <v>987</v>
      </c>
      <c r="P14" s="65" t="s">
        <v>658</v>
      </c>
      <c r="Q14" s="66" t="s">
        <v>1272</v>
      </c>
      <c r="R14" s="64" t="e">
        <f>'Geo &amp; CIC Deployment Plan'!#REF!</f>
        <v>#REF!</v>
      </c>
      <c r="S14" s="64" t="e">
        <f>'Geo &amp; CIC Deployment Plan'!#REF!</f>
        <v>#REF!</v>
      </c>
      <c r="T14" s="64" t="e">
        <f>'Geo &amp; CIC Deployment Plan'!#REF!</f>
        <v>#REF!</v>
      </c>
      <c r="U14" s="64" t="e">
        <f>'Geo &amp; CIC Deployment Plan'!#REF!</f>
        <v>#REF!</v>
      </c>
      <c r="V14" s="64" t="e">
        <f>'Geo &amp; CIC Deployment Plan'!#REF!</f>
        <v>#REF!</v>
      </c>
      <c r="W14" s="64"/>
      <c r="X14" s="64" t="e">
        <f>'Geo &amp; CIC Deployment Plan'!#REF!</f>
        <v>#REF!</v>
      </c>
      <c r="Y14" s="64" t="e">
        <f>'Geo &amp; CIC Deployment Plan'!#REF!</f>
        <v>#REF!</v>
      </c>
      <c r="Z14" s="64" t="e">
        <f>'Geo &amp; CIC Deployment Plan'!#REF!</f>
        <v>#REF!</v>
      </c>
      <c r="AA14" s="64"/>
      <c r="AB14" s="65"/>
      <c r="AC14" s="65"/>
      <c r="AD14" s="73"/>
      <c r="AE14" s="65"/>
      <c r="AF14" s="65"/>
      <c r="AG14" s="65"/>
      <c r="AH14" s="65"/>
      <c r="AI14" s="65"/>
      <c r="AJ14" s="65"/>
      <c r="AK14" s="65"/>
      <c r="AL14" s="65"/>
      <c r="AM14" s="65"/>
      <c r="AN14" s="65"/>
      <c r="AO14" s="65"/>
      <c r="AP14" s="65"/>
      <c r="AQ14" s="642" t="s">
        <v>1214</v>
      </c>
      <c r="AR14" s="643"/>
      <c r="AS14" s="643"/>
      <c r="AT14" s="643"/>
      <c r="AU14" s="643"/>
      <c r="AV14" s="643"/>
      <c r="AW14" s="643"/>
      <c r="AX14" s="643"/>
      <c r="AY14" s="643"/>
      <c r="AZ14" s="643"/>
      <c r="BA14" s="644"/>
      <c r="BB14" s="65" t="s">
        <v>1205</v>
      </c>
      <c r="BC14" s="65" t="s">
        <v>209</v>
      </c>
      <c r="BD14" s="66" t="s">
        <v>1273</v>
      </c>
      <c r="BE14" s="67" t="e">
        <f>'Geo &amp; CIC Deployment Plan'!#REF!</f>
        <v>#REF!</v>
      </c>
      <c r="BF14" s="67" t="e">
        <f>'Geo &amp; CIC Deployment Plan'!#REF!</f>
        <v>#REF!</v>
      </c>
      <c r="BG14" s="67" t="e">
        <f>'Geo &amp; CIC Deployment Plan'!#REF!</f>
        <v>#REF!</v>
      </c>
      <c r="BH14" s="67" t="e">
        <f>'Geo &amp; CIC Deployment Plan'!#REF!</f>
        <v>#REF!</v>
      </c>
      <c r="BI14" s="67" t="e">
        <f>'Geo &amp; CIC Deployment Plan'!#REF!</f>
        <v>#REF!</v>
      </c>
      <c r="BJ14" s="67"/>
      <c r="BK14" s="67" t="e">
        <f>'Geo &amp; CIC Deployment Plan'!#REF!</f>
        <v>#REF!</v>
      </c>
      <c r="BL14" s="67" t="e">
        <f>'Geo &amp; CIC Deployment Plan'!#REF!</f>
        <v>#REF!</v>
      </c>
      <c r="BM14" s="64" t="e">
        <f>'Geo &amp; CIC Deployment Plan'!#REF!</f>
        <v>#REF!</v>
      </c>
      <c r="BN14" s="64"/>
      <c r="BO14" s="65"/>
      <c r="BP14" s="65"/>
      <c r="BQ14" s="65"/>
      <c r="BR14" s="65"/>
      <c r="BS14" s="65"/>
      <c r="BT14" s="65"/>
      <c r="BU14" s="65"/>
      <c r="BV14" s="65"/>
      <c r="BW14" s="65"/>
      <c r="BX14" s="65"/>
      <c r="BY14" s="65"/>
      <c r="BZ14" s="65"/>
      <c r="CA14" s="65"/>
      <c r="CB14" s="65" t="s">
        <v>1205</v>
      </c>
      <c r="CC14" s="65" t="s">
        <v>928</v>
      </c>
      <c r="CD14" s="66" t="s">
        <v>1274</v>
      </c>
      <c r="CE14" s="67" t="e">
        <f>'Geo &amp; CIC Deployment Plan'!#REF!</f>
        <v>#REF!</v>
      </c>
      <c r="CF14" s="67" t="e">
        <f>'Geo &amp; CIC Deployment Plan'!#REF!</f>
        <v>#REF!</v>
      </c>
      <c r="CG14" s="67" t="e">
        <f>'Geo &amp; CIC Deployment Plan'!#REF!</f>
        <v>#REF!</v>
      </c>
      <c r="CH14" s="67" t="e">
        <f>'Geo &amp; CIC Deployment Plan'!#REF!</f>
        <v>#REF!</v>
      </c>
      <c r="CI14" s="67" t="e">
        <f>'Geo &amp; CIC Deployment Plan'!#REF!</f>
        <v>#REF!</v>
      </c>
      <c r="CJ14" s="67"/>
      <c r="CK14" s="67" t="e">
        <f>'Geo &amp; CIC Deployment Plan'!#REF!</f>
        <v>#REF!</v>
      </c>
      <c r="CL14" s="67" t="e">
        <f>'Geo &amp; CIC Deployment Plan'!#REF!</f>
        <v>#REF!</v>
      </c>
      <c r="CM14" s="64" t="e">
        <f>'Geo &amp; CIC Deployment Plan'!#REF!</f>
        <v>#REF!</v>
      </c>
      <c r="CN14" s="64"/>
      <c r="CO14" s="65"/>
      <c r="CP14" s="65"/>
      <c r="CQ14" s="642" t="s">
        <v>1266</v>
      </c>
      <c r="CR14" s="643"/>
      <c r="CS14" s="643"/>
      <c r="CT14" s="643"/>
      <c r="CU14" s="643"/>
      <c r="CV14" s="643"/>
      <c r="CW14" s="643"/>
      <c r="CX14" s="643"/>
      <c r="CY14" s="643"/>
      <c r="CZ14" s="643"/>
      <c r="DA14" s="644"/>
      <c r="DB14" s="65"/>
      <c r="DC14" s="65"/>
      <c r="DD14" s="642" t="s">
        <v>1275</v>
      </c>
      <c r="DE14" s="643"/>
      <c r="DF14" s="643"/>
      <c r="DG14" s="643"/>
      <c r="DH14" s="643"/>
      <c r="DI14" s="643"/>
      <c r="DJ14" s="643"/>
      <c r="DK14" s="643"/>
      <c r="DL14" s="643"/>
      <c r="DM14" s="643"/>
      <c r="DN14" s="644"/>
      <c r="DO14" s="65" t="s">
        <v>987</v>
      </c>
      <c r="DP14" s="65" t="s">
        <v>1011</v>
      </c>
      <c r="DQ14" s="66" t="s">
        <v>1269</v>
      </c>
      <c r="DR14" s="67" t="e">
        <f>'Geo &amp; CIC Deployment Plan'!#REF!</f>
        <v>#REF!</v>
      </c>
      <c r="DS14" s="67" t="e">
        <f>'Geo &amp; CIC Deployment Plan'!#REF!</f>
        <v>#REF!</v>
      </c>
      <c r="DT14" s="67" t="e">
        <f>'Geo &amp; CIC Deployment Plan'!#REF!</f>
        <v>#REF!</v>
      </c>
      <c r="DU14" s="67" t="e">
        <f>'Geo &amp; CIC Deployment Plan'!#REF!</f>
        <v>#REF!</v>
      </c>
      <c r="DV14" s="67" t="e">
        <f>'Geo &amp; CIC Deployment Plan'!#REF!</f>
        <v>#REF!</v>
      </c>
      <c r="DW14" s="67"/>
      <c r="DX14" s="67" t="e">
        <f>'Geo &amp; CIC Deployment Plan'!#REF!</f>
        <v>#REF!</v>
      </c>
      <c r="DY14" s="67" t="e">
        <f>'Geo &amp; CIC Deployment Plan'!#REF!</f>
        <v>#REF!</v>
      </c>
      <c r="DZ14" s="64" t="e">
        <f>'Geo &amp; CIC Deployment Plan'!#REF!</f>
        <v>#REF!</v>
      </c>
      <c r="EA14" s="64"/>
      <c r="EB14" s="65"/>
      <c r="EC14" s="65"/>
      <c r="ED14" s="642" t="s">
        <v>1275</v>
      </c>
      <c r="EE14" s="643"/>
      <c r="EF14" s="643"/>
      <c r="EG14" s="643"/>
      <c r="EH14" s="643"/>
      <c r="EI14" s="643"/>
      <c r="EJ14" s="643"/>
      <c r="EK14" s="643"/>
      <c r="EL14" s="643"/>
      <c r="EM14" s="643"/>
      <c r="EN14" s="644"/>
      <c r="EO14" s="65"/>
      <c r="EP14" s="65"/>
      <c r="EQ14" s="65"/>
      <c r="ER14" s="65"/>
      <c r="ES14" s="65"/>
      <c r="ET14" s="65"/>
      <c r="EU14" s="65"/>
      <c r="EV14" s="65"/>
      <c r="EW14" s="65"/>
      <c r="EX14" s="65"/>
      <c r="EY14" s="65"/>
      <c r="EZ14" s="65"/>
      <c r="FA14" s="65"/>
      <c r="FC14" s="48"/>
      <c r="FD14" s="48"/>
      <c r="FE14" s="48"/>
      <c r="FF14" s="48"/>
      <c r="FG14" s="48"/>
      <c r="FH14" s="48"/>
      <c r="FI14" s="48"/>
      <c r="FJ14" s="48"/>
      <c r="FK14" s="48"/>
      <c r="FL14" s="48"/>
      <c r="FM14" s="48"/>
      <c r="FN14" s="48"/>
      <c r="FO14" s="48"/>
      <c r="FP14" s="48"/>
      <c r="FQ14" s="48"/>
      <c r="FR14" s="48"/>
      <c r="FS14" s="48"/>
      <c r="FT14" s="48"/>
      <c r="FU14" s="48"/>
      <c r="FV14" s="48"/>
      <c r="FX14" s="50"/>
      <c r="FY14" s="50"/>
      <c r="FZ14" s="50"/>
      <c r="GA14" s="50"/>
    </row>
    <row r="15" spans="2:185" ht="36">
      <c r="D15" s="642" t="s">
        <v>1213</v>
      </c>
      <c r="E15" s="643"/>
      <c r="F15" s="643"/>
      <c r="G15" s="643"/>
      <c r="H15" s="643"/>
      <c r="I15" s="643"/>
      <c r="J15" s="643"/>
      <c r="K15" s="643"/>
      <c r="L15" s="643"/>
      <c r="M15" s="643"/>
      <c r="N15" s="644"/>
      <c r="O15" s="65"/>
      <c r="P15" s="65"/>
      <c r="Q15" s="642" t="s">
        <v>1275</v>
      </c>
      <c r="R15" s="643"/>
      <c r="S15" s="643"/>
      <c r="T15" s="643"/>
      <c r="U15" s="643"/>
      <c r="V15" s="643"/>
      <c r="W15" s="643"/>
      <c r="X15" s="643"/>
      <c r="Y15" s="643"/>
      <c r="Z15" s="643"/>
      <c r="AA15" s="644"/>
      <c r="AB15" s="65"/>
      <c r="AC15" s="65"/>
      <c r="AD15" s="72"/>
      <c r="AE15" s="65"/>
      <c r="AF15" s="65"/>
      <c r="AG15" s="65"/>
      <c r="AH15" s="65"/>
      <c r="AI15" s="65"/>
      <c r="AJ15" s="65"/>
      <c r="AK15" s="65"/>
      <c r="AL15" s="65"/>
      <c r="AM15" s="65"/>
      <c r="AN15" s="65"/>
      <c r="AO15" s="65" t="s">
        <v>1205</v>
      </c>
      <c r="AP15" s="65" t="s">
        <v>928</v>
      </c>
      <c r="AQ15" s="66" t="s">
        <v>1276</v>
      </c>
      <c r="AR15" s="64" t="e">
        <f>'Geo &amp; CIC Deployment Plan'!#REF!</f>
        <v>#REF!</v>
      </c>
      <c r="AS15" s="64" t="e">
        <f>'Geo &amp; CIC Deployment Plan'!#REF!</f>
        <v>#REF!</v>
      </c>
      <c r="AT15" s="64" t="e">
        <f>'Geo &amp; CIC Deployment Plan'!#REF!</f>
        <v>#REF!</v>
      </c>
      <c r="AU15" s="64" t="e">
        <f>'Geo &amp; CIC Deployment Plan'!#REF!</f>
        <v>#REF!</v>
      </c>
      <c r="AV15" s="64" t="e">
        <f>'Geo &amp; CIC Deployment Plan'!#REF!</f>
        <v>#REF!</v>
      </c>
      <c r="AW15" s="70">
        <v>0</v>
      </c>
      <c r="AX15" s="64" t="e">
        <f>'Geo &amp; CIC Deployment Plan'!#REF!</f>
        <v>#REF!</v>
      </c>
      <c r="AY15" s="64" t="e">
        <f>'Geo &amp; CIC Deployment Plan'!#REF!</f>
        <v>#REF!</v>
      </c>
      <c r="AZ15" s="64" t="e">
        <f>'Geo &amp; CIC Deployment Plan'!#REF!</f>
        <v>#REF!</v>
      </c>
      <c r="BA15" s="64">
        <v>53</v>
      </c>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65"/>
      <c r="CA15" s="65"/>
      <c r="CB15" s="65"/>
      <c r="CC15" s="65"/>
      <c r="CD15" s="526" t="s">
        <v>1229</v>
      </c>
      <c r="CE15" s="527"/>
      <c r="CF15" s="527"/>
      <c r="CG15" s="527"/>
      <c r="CH15" s="527"/>
      <c r="CI15" s="527"/>
      <c r="CJ15" s="527"/>
      <c r="CK15" s="527"/>
      <c r="CL15" s="527"/>
      <c r="CM15" s="527"/>
      <c r="CN15" s="528"/>
      <c r="CO15" s="65" t="s">
        <v>1205</v>
      </c>
      <c r="CP15" s="65" t="s">
        <v>209</v>
      </c>
      <c r="CQ15" s="66" t="s">
        <v>1277</v>
      </c>
      <c r="CR15" s="67" t="e">
        <f>'Geo &amp; CIC Deployment Plan'!#REF!</f>
        <v>#REF!</v>
      </c>
      <c r="CS15" s="67" t="e">
        <f>'Geo &amp; CIC Deployment Plan'!#REF!</f>
        <v>#REF!</v>
      </c>
      <c r="CT15" s="67" t="e">
        <f>'Geo &amp; CIC Deployment Plan'!#REF!</f>
        <v>#REF!</v>
      </c>
      <c r="CU15" s="67" t="e">
        <f>'Geo &amp; CIC Deployment Plan'!#REF!</f>
        <v>#REF!</v>
      </c>
      <c r="CV15" s="67" t="e">
        <f>'Geo &amp; CIC Deployment Plan'!#REF!</f>
        <v>#REF!</v>
      </c>
      <c r="CW15" s="67"/>
      <c r="CX15" s="67" t="e">
        <f>'Geo &amp; CIC Deployment Plan'!#REF!</f>
        <v>#REF!</v>
      </c>
      <c r="CY15" s="67" t="e">
        <f>'Geo &amp; CIC Deployment Plan'!#REF!</f>
        <v>#REF!</v>
      </c>
      <c r="CZ15" s="64" t="e">
        <f>'Geo &amp; CIC Deployment Plan'!#REF!</f>
        <v>#REF!</v>
      </c>
      <c r="DA15" s="64"/>
      <c r="DB15" s="65" t="s">
        <v>1205</v>
      </c>
      <c r="DC15" s="65" t="s">
        <v>1278</v>
      </c>
      <c r="DD15" s="66" t="s">
        <v>1279</v>
      </c>
      <c r="DE15" s="67" t="e">
        <f>'Geo &amp; CIC Deployment Plan'!#REF!</f>
        <v>#REF!</v>
      </c>
      <c r="DF15" s="67" t="e">
        <f>'Geo &amp; CIC Deployment Plan'!#REF!</f>
        <v>#REF!</v>
      </c>
      <c r="DG15" s="67" t="e">
        <f>'Geo &amp; CIC Deployment Plan'!#REF!</f>
        <v>#REF!</v>
      </c>
      <c r="DH15" s="67" t="e">
        <f>'Geo &amp; CIC Deployment Plan'!#REF!</f>
        <v>#REF!</v>
      </c>
      <c r="DI15" s="67" t="e">
        <f>'Geo &amp; CIC Deployment Plan'!#REF!</f>
        <v>#REF!</v>
      </c>
      <c r="DJ15" s="67"/>
      <c r="DK15" s="67" t="e">
        <f>'Geo &amp; CIC Deployment Plan'!#REF!</f>
        <v>#REF!</v>
      </c>
      <c r="DL15" s="67" t="e">
        <f>'Geo &amp; CIC Deployment Plan'!#REF!</f>
        <v>#REF!</v>
      </c>
      <c r="DM15" s="64" t="e">
        <f>'Geo &amp; CIC Deployment Plan'!#REF!</f>
        <v>#REF!</v>
      </c>
      <c r="DN15" s="64"/>
      <c r="DO15" s="65"/>
      <c r="DP15" s="65"/>
      <c r="DQ15" s="642" t="s">
        <v>1275</v>
      </c>
      <c r="DR15" s="643"/>
      <c r="DS15" s="643"/>
      <c r="DT15" s="643"/>
      <c r="DU15" s="643"/>
      <c r="DV15" s="643"/>
      <c r="DW15" s="643"/>
      <c r="DX15" s="643"/>
      <c r="DY15" s="643"/>
      <c r="DZ15" s="643"/>
      <c r="EA15" s="644"/>
      <c r="EB15" s="65" t="s">
        <v>1205</v>
      </c>
      <c r="EC15" s="65" t="s">
        <v>1278</v>
      </c>
      <c r="ED15" s="66" t="s">
        <v>1280</v>
      </c>
      <c r="EE15" s="67" t="e">
        <f>'Geo &amp; CIC Deployment Plan'!#REF!</f>
        <v>#REF!</v>
      </c>
      <c r="EF15" s="67" t="e">
        <f>'Geo &amp; CIC Deployment Plan'!#REF!</f>
        <v>#REF!</v>
      </c>
      <c r="EG15" s="67" t="e">
        <f>'Geo &amp; CIC Deployment Plan'!#REF!</f>
        <v>#REF!</v>
      </c>
      <c r="EH15" s="67" t="e">
        <f>'Geo &amp; CIC Deployment Plan'!#REF!</f>
        <v>#REF!</v>
      </c>
      <c r="EI15" s="67" t="e">
        <f>'Geo &amp; CIC Deployment Plan'!#REF!</f>
        <v>#REF!</v>
      </c>
      <c r="EJ15" s="67"/>
      <c r="EK15" s="67" t="e">
        <f>'Geo &amp; CIC Deployment Plan'!#REF!</f>
        <v>#REF!</v>
      </c>
      <c r="EL15" s="67" t="e">
        <f>'Geo &amp; CIC Deployment Plan'!#REF!</f>
        <v>#REF!</v>
      </c>
      <c r="EM15" s="64" t="e">
        <f>'Geo &amp; CIC Deployment Plan'!#REF!</f>
        <v>#REF!</v>
      </c>
      <c r="EN15" s="64"/>
      <c r="EO15" s="65"/>
      <c r="EP15" s="65"/>
      <c r="EQ15" s="65"/>
      <c r="ER15" s="65"/>
      <c r="ES15" s="65"/>
      <c r="ET15" s="65"/>
      <c r="EU15" s="65"/>
      <c r="EV15" s="65"/>
      <c r="EW15" s="65"/>
      <c r="EX15" s="65"/>
      <c r="EY15" s="65"/>
      <c r="EZ15" s="65"/>
      <c r="FA15" s="65"/>
      <c r="FC15" s="48"/>
      <c r="FD15" s="48"/>
      <c r="FE15" s="48"/>
      <c r="FF15" s="48"/>
      <c r="FG15" s="48"/>
      <c r="FH15" s="48"/>
      <c r="FI15" s="48"/>
      <c r="FJ15" s="48"/>
      <c r="FK15" s="48"/>
      <c r="FL15" s="48"/>
      <c r="FM15" s="48"/>
      <c r="FN15" s="48"/>
      <c r="FO15" s="48"/>
      <c r="FP15" s="48"/>
      <c r="FQ15" s="48"/>
      <c r="FR15" s="48"/>
      <c r="FS15" s="48"/>
      <c r="FT15" s="48"/>
      <c r="FU15" s="48"/>
      <c r="FV15" s="48"/>
      <c r="FX15" s="50"/>
      <c r="FY15" s="50"/>
      <c r="FZ15" s="50"/>
      <c r="GA15" s="50"/>
    </row>
    <row r="16" spans="2:185" ht="24">
      <c r="B16" s="27" t="s">
        <v>987</v>
      </c>
      <c r="C16" s="26" t="s">
        <v>658</v>
      </c>
      <c r="D16" s="66" t="s">
        <v>1281</v>
      </c>
      <c r="E16" s="64" t="e">
        <f>'Geo &amp; CIC Deployment Plan'!#REF!</f>
        <v>#REF!</v>
      </c>
      <c r="F16" s="64" t="e">
        <f>'Geo &amp; CIC Deployment Plan'!#REF!</f>
        <v>#REF!</v>
      </c>
      <c r="G16" s="64" t="e">
        <f>'Geo &amp; CIC Deployment Plan'!#REF!</f>
        <v>#REF!</v>
      </c>
      <c r="H16" s="64" t="e">
        <f>'Geo &amp; CIC Deployment Plan'!#REF!</f>
        <v>#REF!</v>
      </c>
      <c r="I16" s="64" t="e">
        <f>'Geo &amp; CIC Deployment Plan'!#REF!</f>
        <v>#REF!</v>
      </c>
      <c r="J16" s="64"/>
      <c r="K16" s="64" t="e">
        <f>'Geo &amp; CIC Deployment Plan'!#REF!</f>
        <v>#REF!</v>
      </c>
      <c r="L16" s="64" t="e">
        <f>'Geo &amp; CIC Deployment Plan'!#REF!</f>
        <v>#REF!</v>
      </c>
      <c r="M16" s="64" t="e">
        <f>'Geo &amp; CIC Deployment Plan'!#REF!</f>
        <v>#REF!</v>
      </c>
      <c r="N16" s="64"/>
      <c r="O16" s="65" t="s">
        <v>1205</v>
      </c>
      <c r="P16" s="65" t="s">
        <v>1278</v>
      </c>
      <c r="Q16" s="66" t="s">
        <v>1282</v>
      </c>
      <c r="R16" s="64" t="e">
        <f>'Geo &amp; CIC Deployment Plan'!#REF!</f>
        <v>#REF!</v>
      </c>
      <c r="S16" s="64" t="e">
        <f>'Geo &amp; CIC Deployment Plan'!#REF!</f>
        <v>#REF!</v>
      </c>
      <c r="T16" s="64" t="e">
        <f>'Geo &amp; CIC Deployment Plan'!#REF!</f>
        <v>#REF!</v>
      </c>
      <c r="U16" s="64" t="e">
        <f>'Geo &amp; CIC Deployment Plan'!#REF!</f>
        <v>#REF!</v>
      </c>
      <c r="V16" s="64" t="e">
        <f>'Geo &amp; CIC Deployment Plan'!#REF!</f>
        <v>#REF!</v>
      </c>
      <c r="W16" s="64"/>
      <c r="X16" s="64" t="e">
        <f>'Geo &amp; CIC Deployment Plan'!#REF!</f>
        <v>#REF!</v>
      </c>
      <c r="Y16" s="64" t="e">
        <f>'Geo &amp; CIC Deployment Plan'!#REF!</f>
        <v>#REF!</v>
      </c>
      <c r="Z16" s="64" t="e">
        <f>'Geo &amp; CIC Deployment Plan'!#REF!</f>
        <v>#REF!</v>
      </c>
      <c r="AA16" s="64"/>
      <c r="AB16" s="65"/>
      <c r="AC16" s="65"/>
      <c r="AD16" s="73"/>
      <c r="AE16" s="65"/>
      <c r="AF16" s="65"/>
      <c r="AG16" s="65"/>
      <c r="AH16" s="65"/>
      <c r="AI16" s="65"/>
      <c r="AJ16" s="65"/>
      <c r="AK16" s="65"/>
      <c r="AL16" s="65"/>
      <c r="AM16" s="65"/>
      <c r="AN16" s="65"/>
      <c r="AO16" s="65" t="s">
        <v>1205</v>
      </c>
      <c r="AP16" s="65" t="s">
        <v>1283</v>
      </c>
      <c r="AQ16" s="66" t="s">
        <v>1284</v>
      </c>
      <c r="AR16" s="64" t="str">
        <f>'Geo &amp; CIC Deployment Plan'!AG398</f>
        <v>New GBS Associates Induction</v>
      </c>
      <c r="AS16" s="64" t="str">
        <f>'Geo &amp; CIC Deployment Plan'!AH398</f>
        <v>Virtual</v>
      </c>
      <c r="AT16" s="64" t="str">
        <f>'Geo &amp; CIC Deployment Plan'!Z398</f>
        <v>In Progress</v>
      </c>
      <c r="AU16" s="64">
        <f>'Geo &amp; CIC Deployment Plan'!AC398</f>
        <v>0</v>
      </c>
      <c r="AV16" s="64">
        <f>'Geo &amp; CIC Deployment Plan'!AD398</f>
        <v>0</v>
      </c>
      <c r="AW16" s="70">
        <v>0.33300000000000002</v>
      </c>
      <c r="AX16" s="64">
        <f>'Geo &amp; CIC Deployment Plan'!AE398</f>
        <v>0</v>
      </c>
      <c r="AY16" s="64">
        <f>'Geo &amp; CIC Deployment Plan'!AF398</f>
        <v>0</v>
      </c>
      <c r="AZ16" s="64">
        <f>'Geo &amp; CIC Deployment Plan'!U398</f>
        <v>24</v>
      </c>
      <c r="BA16" s="64">
        <v>63</v>
      </c>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t="s">
        <v>1205</v>
      </c>
      <c r="CC16" s="65" t="s">
        <v>929</v>
      </c>
      <c r="CD16" s="66" t="s">
        <v>1285</v>
      </c>
      <c r="CE16" s="67" t="str">
        <f>'Geo &amp; CIC Deployment Plan'!AG399</f>
        <v>New GBS Associates Induction</v>
      </c>
      <c r="CF16" s="67" t="str">
        <f>'Geo &amp; CIC Deployment Plan'!AH399</f>
        <v>Virtual</v>
      </c>
      <c r="CG16" s="67">
        <f>'Geo &amp; CIC Deployment Plan'!Z399</f>
        <v>0</v>
      </c>
      <c r="CH16" s="67">
        <f>'Geo &amp; CIC Deployment Plan'!AB399</f>
        <v>0</v>
      </c>
      <c r="CI16" s="67">
        <f>'Geo &amp; CIC Deployment Plan'!AD399</f>
        <v>0</v>
      </c>
      <c r="CJ16" s="67"/>
      <c r="CK16" s="67">
        <f>'Geo &amp; CIC Deployment Plan'!AE399</f>
        <v>0</v>
      </c>
      <c r="CL16" s="67">
        <f>'Geo &amp; CIC Deployment Plan'!AF399</f>
        <v>0</v>
      </c>
      <c r="CM16" s="64">
        <f>'Geo &amp; CIC Deployment Plan'!U399</f>
        <v>2</v>
      </c>
      <c r="CN16" s="64"/>
      <c r="CO16" s="65"/>
      <c r="CP16" s="65"/>
      <c r="CQ16" s="642" t="s">
        <v>1275</v>
      </c>
      <c r="CR16" s="643"/>
      <c r="CS16" s="643"/>
      <c r="CT16" s="643"/>
      <c r="CU16" s="643"/>
      <c r="CV16" s="643"/>
      <c r="CW16" s="643"/>
      <c r="CX16" s="643"/>
      <c r="CY16" s="643"/>
      <c r="CZ16" s="643"/>
      <c r="DA16" s="644"/>
      <c r="DB16" s="65"/>
      <c r="DC16" s="65"/>
      <c r="DD16" s="642" t="s">
        <v>1193</v>
      </c>
      <c r="DE16" s="643"/>
      <c r="DF16" s="643"/>
      <c r="DG16" s="643"/>
      <c r="DH16" s="643"/>
      <c r="DI16" s="643"/>
      <c r="DJ16" s="643"/>
      <c r="DK16" s="643"/>
      <c r="DL16" s="643"/>
      <c r="DM16" s="643"/>
      <c r="DN16" s="644"/>
      <c r="DO16" s="65" t="s">
        <v>1205</v>
      </c>
      <c r="DP16" s="65" t="s">
        <v>1278</v>
      </c>
      <c r="DQ16" s="66" t="s">
        <v>1286</v>
      </c>
      <c r="DR16" s="67" t="e">
        <f>'Geo &amp; CIC Deployment Plan'!#REF!</f>
        <v>#REF!</v>
      </c>
      <c r="DS16" s="67" t="e">
        <f>'Geo &amp; CIC Deployment Plan'!#REF!</f>
        <v>#REF!</v>
      </c>
      <c r="DT16" s="67" t="e">
        <f>'Geo &amp; CIC Deployment Plan'!#REF!</f>
        <v>#REF!</v>
      </c>
      <c r="DU16" s="67" t="e">
        <f>'Geo &amp; CIC Deployment Plan'!#REF!</f>
        <v>#REF!</v>
      </c>
      <c r="DV16" s="67" t="e">
        <f>'Geo &amp; CIC Deployment Plan'!#REF!</f>
        <v>#REF!</v>
      </c>
      <c r="DW16" s="67"/>
      <c r="DX16" s="67" t="e">
        <f>'Geo &amp; CIC Deployment Plan'!#REF!</f>
        <v>#REF!</v>
      </c>
      <c r="DY16" s="67" t="e">
        <f>'Geo &amp; CIC Deployment Plan'!#REF!</f>
        <v>#REF!</v>
      </c>
      <c r="DZ16" s="64" t="e">
        <f>'Geo &amp; CIC Deployment Plan'!#REF!</f>
        <v>#REF!</v>
      </c>
      <c r="EA16" s="64"/>
      <c r="EB16" s="65"/>
      <c r="EC16" s="65"/>
      <c r="ED16" s="526" t="s">
        <v>1196</v>
      </c>
      <c r="EE16" s="527"/>
      <c r="EF16" s="527"/>
      <c r="EG16" s="527"/>
      <c r="EH16" s="527"/>
      <c r="EI16" s="527"/>
      <c r="EJ16" s="527"/>
      <c r="EK16" s="527"/>
      <c r="EL16" s="527"/>
      <c r="EM16" s="527"/>
      <c r="EN16" s="528"/>
      <c r="EO16" s="65"/>
      <c r="EP16" s="65"/>
      <c r="EQ16" s="65"/>
      <c r="ER16" s="65"/>
      <c r="ES16" s="65"/>
      <c r="ET16" s="65"/>
      <c r="EU16" s="65"/>
      <c r="EV16" s="65"/>
      <c r="EW16" s="65"/>
      <c r="EX16" s="65"/>
      <c r="EY16" s="65"/>
      <c r="EZ16" s="65"/>
      <c r="FA16" s="65"/>
      <c r="FC16" s="48"/>
      <c r="FD16" s="48"/>
      <c r="FE16" s="48"/>
      <c r="FF16" s="48"/>
      <c r="FG16" s="48"/>
      <c r="FH16" s="48"/>
      <c r="FI16" s="48"/>
      <c r="FJ16" s="48"/>
      <c r="FK16" s="48"/>
      <c r="FL16" s="48"/>
      <c r="FM16" s="48"/>
      <c r="FN16" s="48"/>
      <c r="FO16" s="48"/>
      <c r="FP16" s="48"/>
      <c r="FQ16" s="48"/>
      <c r="FR16" s="48"/>
      <c r="FS16" s="48"/>
      <c r="FT16" s="48"/>
      <c r="FU16" s="48"/>
      <c r="FV16" s="48"/>
      <c r="FX16" s="50"/>
      <c r="FY16" s="50"/>
      <c r="FZ16" s="50"/>
      <c r="GA16" s="50"/>
    </row>
    <row r="17" spans="4:185" ht="24" customHeight="1">
      <c r="D17" s="65"/>
      <c r="E17" s="65"/>
      <c r="F17" s="65"/>
      <c r="G17" s="65"/>
      <c r="H17" s="65"/>
      <c r="I17" s="65"/>
      <c r="J17" s="65"/>
      <c r="K17" s="65"/>
      <c r="L17" s="65"/>
      <c r="M17" s="65"/>
      <c r="N17" s="65"/>
      <c r="O17" s="65"/>
      <c r="P17" s="65"/>
      <c r="Q17" s="642" t="s">
        <v>1213</v>
      </c>
      <c r="R17" s="643"/>
      <c r="S17" s="643"/>
      <c r="T17" s="643"/>
      <c r="U17" s="643"/>
      <c r="V17" s="643"/>
      <c r="W17" s="643"/>
      <c r="X17" s="643"/>
      <c r="Y17" s="643"/>
      <c r="Z17" s="643"/>
      <c r="AA17" s="644"/>
      <c r="AB17" s="65"/>
      <c r="AC17" s="65"/>
      <c r="AD17" s="65"/>
      <c r="AE17" s="65"/>
      <c r="AF17" s="65"/>
      <c r="AG17" s="65"/>
      <c r="AH17" s="65"/>
      <c r="AI17" s="65"/>
      <c r="AJ17" s="65"/>
      <c r="AK17" s="65"/>
      <c r="AL17" s="65"/>
      <c r="AM17" s="65"/>
      <c r="AN17" s="65"/>
      <c r="AO17" s="65"/>
      <c r="AP17" s="65"/>
      <c r="AQ17" s="642" t="s">
        <v>1287</v>
      </c>
      <c r="AR17" s="643"/>
      <c r="AS17" s="643"/>
      <c r="AT17" s="643"/>
      <c r="AU17" s="643"/>
      <c r="AV17" s="643"/>
      <c r="AW17" s="643"/>
      <c r="AX17" s="643"/>
      <c r="AY17" s="643"/>
      <c r="AZ17" s="643"/>
      <c r="BA17" s="644"/>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526" t="s">
        <v>1213</v>
      </c>
      <c r="CE17" s="527"/>
      <c r="CF17" s="527"/>
      <c r="CG17" s="527"/>
      <c r="CH17" s="527"/>
      <c r="CI17" s="527"/>
      <c r="CJ17" s="527"/>
      <c r="CK17" s="527"/>
      <c r="CL17" s="527"/>
      <c r="CM17" s="527"/>
      <c r="CN17" s="528"/>
      <c r="CO17" s="65" t="s">
        <v>1205</v>
      </c>
      <c r="CP17" s="65" t="s">
        <v>1278</v>
      </c>
      <c r="CQ17" s="66" t="s">
        <v>1288</v>
      </c>
      <c r="CR17" s="67" t="e">
        <f>'Geo &amp; CIC Deployment Plan'!#REF!</f>
        <v>#REF!</v>
      </c>
      <c r="CS17" s="67" t="e">
        <f>'Geo &amp; CIC Deployment Plan'!#REF!</f>
        <v>#REF!</v>
      </c>
      <c r="CT17" s="67" t="e">
        <f>'Geo &amp; CIC Deployment Plan'!#REF!</f>
        <v>#REF!</v>
      </c>
      <c r="CU17" s="67" t="e">
        <f>'Geo &amp; CIC Deployment Plan'!#REF!</f>
        <v>#REF!</v>
      </c>
      <c r="CV17" s="67" t="e">
        <f>'Geo &amp; CIC Deployment Plan'!#REF!</f>
        <v>#REF!</v>
      </c>
      <c r="CW17" s="67"/>
      <c r="CX17" s="67" t="e">
        <f>'Geo &amp; CIC Deployment Plan'!#REF!</f>
        <v>#REF!</v>
      </c>
      <c r="CY17" s="67" t="e">
        <f>'Geo &amp; CIC Deployment Plan'!#REF!</f>
        <v>#REF!</v>
      </c>
      <c r="CZ17" s="64" t="e">
        <f>'Geo &amp; CIC Deployment Plan'!#REF!</f>
        <v>#REF!</v>
      </c>
      <c r="DA17" s="64"/>
      <c r="DB17" s="65" t="s">
        <v>987</v>
      </c>
      <c r="DC17" s="65" t="s">
        <v>1011</v>
      </c>
      <c r="DD17" s="66" t="s">
        <v>1289</v>
      </c>
      <c r="DE17" s="67" t="e">
        <f>'Geo &amp; CIC Deployment Plan'!#REF!</f>
        <v>#REF!</v>
      </c>
      <c r="DF17" s="67" t="e">
        <f>'Geo &amp; CIC Deployment Plan'!#REF!</f>
        <v>#REF!</v>
      </c>
      <c r="DG17" s="67" t="e">
        <f>'Geo &amp; CIC Deployment Plan'!#REF!</f>
        <v>#REF!</v>
      </c>
      <c r="DH17" s="67" t="e">
        <f>'Geo &amp; CIC Deployment Plan'!#REF!</f>
        <v>#REF!</v>
      </c>
      <c r="DI17" s="67" t="e">
        <f>'Geo &amp; CIC Deployment Plan'!#REF!</f>
        <v>#REF!</v>
      </c>
      <c r="DJ17" s="67"/>
      <c r="DK17" s="67" t="e">
        <f>'Geo &amp; CIC Deployment Plan'!#REF!</f>
        <v>#REF!</v>
      </c>
      <c r="DL17" s="67" t="e">
        <f>'Geo &amp; CIC Deployment Plan'!#REF!</f>
        <v>#REF!</v>
      </c>
      <c r="DM17" s="64" t="e">
        <f>'Geo &amp; CIC Deployment Plan'!#REF!</f>
        <v>#REF!</v>
      </c>
      <c r="DN17" s="64"/>
      <c r="DO17" s="65"/>
      <c r="DP17" s="65"/>
      <c r="DQ17" s="642" t="s">
        <v>1196</v>
      </c>
      <c r="DR17" s="643"/>
      <c r="DS17" s="643"/>
      <c r="DT17" s="643"/>
      <c r="DU17" s="643"/>
      <c r="DV17" s="643"/>
      <c r="DW17" s="643"/>
      <c r="DX17" s="643"/>
      <c r="DY17" s="643"/>
      <c r="DZ17" s="643"/>
      <c r="EA17" s="644"/>
      <c r="EB17" s="65" t="s">
        <v>987</v>
      </c>
      <c r="EC17" s="65" t="s">
        <v>903</v>
      </c>
      <c r="ED17" s="66" t="s">
        <v>1290</v>
      </c>
      <c r="EE17" s="67" t="e">
        <f>'Geo &amp; CIC Deployment Plan'!#REF!</f>
        <v>#REF!</v>
      </c>
      <c r="EF17" s="67" t="e">
        <f>'Geo &amp; CIC Deployment Plan'!#REF!</f>
        <v>#REF!</v>
      </c>
      <c r="EG17" s="67" t="e">
        <f>'Geo &amp; CIC Deployment Plan'!#REF!</f>
        <v>#REF!</v>
      </c>
      <c r="EH17" s="67" t="e">
        <f>'Geo &amp; CIC Deployment Plan'!#REF!</f>
        <v>#REF!</v>
      </c>
      <c r="EI17" s="67" t="e">
        <f>'Geo &amp; CIC Deployment Plan'!#REF!</f>
        <v>#REF!</v>
      </c>
      <c r="EJ17" s="67"/>
      <c r="EK17" s="67" t="e">
        <f>'Geo &amp; CIC Deployment Plan'!#REF!</f>
        <v>#REF!</v>
      </c>
      <c r="EL17" s="67" t="e">
        <f>'Geo &amp; CIC Deployment Plan'!#REF!</f>
        <v>#REF!</v>
      </c>
      <c r="EM17" s="64" t="e">
        <f>'Geo &amp; CIC Deployment Plan'!#REF!</f>
        <v>#REF!</v>
      </c>
      <c r="EN17" s="64"/>
      <c r="EO17" s="65"/>
      <c r="EP17" s="65"/>
      <c r="EQ17" s="65"/>
      <c r="ER17" s="65"/>
      <c r="ES17" s="65"/>
      <c r="ET17" s="65"/>
      <c r="EU17" s="65"/>
      <c r="EV17" s="65"/>
      <c r="EW17" s="65"/>
      <c r="EX17" s="65"/>
      <c r="EY17" s="65"/>
      <c r="EZ17" s="65"/>
      <c r="FA17" s="65"/>
      <c r="FC17" s="48"/>
      <c r="FD17" s="48"/>
      <c r="FE17" s="48"/>
      <c r="FF17" s="48"/>
      <c r="FG17" s="48"/>
      <c r="FH17" s="48"/>
      <c r="FI17" s="48"/>
      <c r="FJ17" s="48"/>
      <c r="FK17" s="48"/>
      <c r="FL17" s="48"/>
      <c r="FM17" s="48"/>
      <c r="FN17" s="48"/>
      <c r="FO17" s="48"/>
      <c r="FP17" s="48"/>
      <c r="FQ17" s="48"/>
      <c r="FR17" s="48"/>
      <c r="FS17" s="48"/>
      <c r="FT17" s="48"/>
      <c r="FU17" s="48"/>
      <c r="FV17" s="48"/>
      <c r="FX17" s="50"/>
      <c r="FY17" s="50"/>
      <c r="FZ17" s="50"/>
      <c r="GA17" s="50"/>
    </row>
    <row r="18" spans="4:185" ht="24" customHeight="1">
      <c r="D18" s="65"/>
      <c r="E18" s="65"/>
      <c r="F18" s="65"/>
      <c r="G18" s="65"/>
      <c r="H18" s="65"/>
      <c r="I18" s="65"/>
      <c r="J18" s="65"/>
      <c r="K18" s="65"/>
      <c r="L18" s="65"/>
      <c r="M18" s="65"/>
      <c r="N18" s="65"/>
      <c r="O18" s="65" t="s">
        <v>987</v>
      </c>
      <c r="P18" s="65" t="s">
        <v>658</v>
      </c>
      <c r="Q18" s="66" t="s">
        <v>1291</v>
      </c>
      <c r="R18" s="64" t="e">
        <f>'Geo &amp; CIC Deployment Plan'!#REF!</f>
        <v>#REF!</v>
      </c>
      <c r="S18" s="64" t="e">
        <f>'Geo &amp; CIC Deployment Plan'!#REF!</f>
        <v>#REF!</v>
      </c>
      <c r="T18" s="64" t="e">
        <f>'Geo &amp; CIC Deployment Plan'!#REF!</f>
        <v>#REF!</v>
      </c>
      <c r="U18" s="64" t="e">
        <f>'Geo &amp; CIC Deployment Plan'!#REF!</f>
        <v>#REF!</v>
      </c>
      <c r="V18" s="64" t="e">
        <f>'Geo &amp; CIC Deployment Plan'!#REF!</f>
        <v>#REF!</v>
      </c>
      <c r="W18" s="64"/>
      <c r="X18" s="64" t="e">
        <f>'Geo &amp; CIC Deployment Plan'!#REF!</f>
        <v>#REF!</v>
      </c>
      <c r="Y18" s="64" t="e">
        <f>'Geo &amp; CIC Deployment Plan'!#REF!</f>
        <v>#REF!</v>
      </c>
      <c r="Z18" s="69" t="e">
        <f>'Geo &amp; CIC Deployment Plan'!#REF!</f>
        <v>#REF!</v>
      </c>
      <c r="AA18" s="69"/>
      <c r="AB18" s="65"/>
      <c r="AC18" s="65"/>
      <c r="AD18" s="65"/>
      <c r="AE18" s="65"/>
      <c r="AF18" s="65"/>
      <c r="AG18" s="65"/>
      <c r="AH18" s="65"/>
      <c r="AI18" s="65"/>
      <c r="AJ18" s="65"/>
      <c r="AK18" s="65"/>
      <c r="AL18" s="65"/>
      <c r="AM18" s="65"/>
      <c r="AN18" s="65"/>
      <c r="AO18" s="65" t="s">
        <v>1205</v>
      </c>
      <c r="AP18" s="65" t="s">
        <v>1287</v>
      </c>
      <c r="AQ18" s="66" t="s">
        <v>277</v>
      </c>
      <c r="AR18" s="64" t="e">
        <f>'Geo &amp; CIC Deployment Plan'!#REF!</f>
        <v>#REF!</v>
      </c>
      <c r="AS18" s="64" t="e">
        <f>'Geo &amp; CIC Deployment Plan'!#REF!</f>
        <v>#REF!</v>
      </c>
      <c r="AT18" s="64" t="e">
        <f>'Geo &amp; CIC Deployment Plan'!#REF!</f>
        <v>#REF!</v>
      </c>
      <c r="AU18" s="64" t="e">
        <f>'Geo &amp; CIC Deployment Plan'!#REF!</f>
        <v>#REF!</v>
      </c>
      <c r="AV18" s="64" t="e">
        <f>'Geo &amp; CIC Deployment Plan'!#REF!</f>
        <v>#REF!</v>
      </c>
      <c r="AW18" s="70"/>
      <c r="AX18" s="64" t="e">
        <f>'Geo &amp; CIC Deployment Plan'!#REF!</f>
        <v>#REF!</v>
      </c>
      <c r="AY18" s="64" t="e">
        <f>'Geo &amp; CIC Deployment Plan'!#REF!</f>
        <v>#REF!</v>
      </c>
      <c r="AZ18" s="64" t="e">
        <f>'Geo &amp; CIC Deployment Plan'!#REF!</f>
        <v>#REF!</v>
      </c>
      <c r="BA18" s="64"/>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t="s">
        <v>987</v>
      </c>
      <c r="CC18" s="65" t="s">
        <v>658</v>
      </c>
      <c r="CD18" s="66" t="s">
        <v>1292</v>
      </c>
      <c r="CE18" s="67" t="e">
        <f>'Geo &amp; CIC Deployment Plan'!#REF!</f>
        <v>#REF!</v>
      </c>
      <c r="CF18" s="67" t="e">
        <f>'Geo &amp; CIC Deployment Plan'!#REF!</f>
        <v>#REF!</v>
      </c>
      <c r="CG18" s="67" t="e">
        <f>'Geo &amp; CIC Deployment Plan'!#REF!</f>
        <v>#REF!</v>
      </c>
      <c r="CH18" s="67" t="e">
        <f>'Geo &amp; CIC Deployment Plan'!#REF!</f>
        <v>#REF!</v>
      </c>
      <c r="CI18" s="67" t="e">
        <f>'Geo &amp; CIC Deployment Plan'!#REF!</f>
        <v>#REF!</v>
      </c>
      <c r="CJ18" s="67"/>
      <c r="CK18" s="67" t="e">
        <f>'Geo &amp; CIC Deployment Plan'!#REF!</f>
        <v>#REF!</v>
      </c>
      <c r="CL18" s="67" t="e">
        <f>'Geo &amp; CIC Deployment Plan'!#REF!</f>
        <v>#REF!</v>
      </c>
      <c r="CM18" s="64" t="e">
        <f>'Geo &amp; CIC Deployment Plan'!#REF!</f>
        <v>#REF!</v>
      </c>
      <c r="CN18" s="64"/>
      <c r="CO18" s="65"/>
      <c r="CP18" s="65"/>
      <c r="CQ18" s="642" t="s">
        <v>1293</v>
      </c>
      <c r="CR18" s="643"/>
      <c r="CS18" s="643"/>
      <c r="CT18" s="643"/>
      <c r="CU18" s="643"/>
      <c r="CV18" s="643"/>
      <c r="CW18" s="643"/>
      <c r="CX18" s="643"/>
      <c r="CY18" s="643"/>
      <c r="CZ18" s="643"/>
      <c r="DA18" s="644"/>
      <c r="DB18" s="65" t="s">
        <v>987</v>
      </c>
      <c r="DC18" s="65" t="s">
        <v>1011</v>
      </c>
      <c r="DD18" s="66" t="s">
        <v>1289</v>
      </c>
      <c r="DE18" s="67" t="e">
        <f>'Geo &amp; CIC Deployment Plan'!#REF!</f>
        <v>#REF!</v>
      </c>
      <c r="DF18" s="67" t="e">
        <f>'Geo &amp; CIC Deployment Plan'!#REF!</f>
        <v>#REF!</v>
      </c>
      <c r="DG18" s="67" t="e">
        <f>'Geo &amp; CIC Deployment Plan'!#REF!</f>
        <v>#REF!</v>
      </c>
      <c r="DH18" s="67" t="e">
        <f>'Geo &amp; CIC Deployment Plan'!#REF!</f>
        <v>#REF!</v>
      </c>
      <c r="DI18" s="67" t="e">
        <f>'Geo &amp; CIC Deployment Plan'!#REF!</f>
        <v>#REF!</v>
      </c>
      <c r="DJ18" s="67"/>
      <c r="DK18" s="67" t="e">
        <f>'Geo &amp; CIC Deployment Plan'!#REF!</f>
        <v>#REF!</v>
      </c>
      <c r="DL18" s="67" t="e">
        <f>'Geo &amp; CIC Deployment Plan'!#REF!</f>
        <v>#REF!</v>
      </c>
      <c r="DM18" s="64" t="e">
        <f>'Geo &amp; CIC Deployment Plan'!#REF!</f>
        <v>#REF!</v>
      </c>
      <c r="DN18" s="64"/>
      <c r="DO18" s="65" t="s">
        <v>987</v>
      </c>
      <c r="DP18" s="65" t="s">
        <v>903</v>
      </c>
      <c r="DQ18" s="66" t="s">
        <v>1294</v>
      </c>
      <c r="DR18" s="67" t="e">
        <f>'Geo &amp; CIC Deployment Plan'!#REF!</f>
        <v>#REF!</v>
      </c>
      <c r="DS18" s="67" t="e">
        <f>'Geo &amp; CIC Deployment Plan'!#REF!</f>
        <v>#REF!</v>
      </c>
      <c r="DT18" s="67" t="e">
        <f>'Geo &amp; CIC Deployment Plan'!#REF!</f>
        <v>#REF!</v>
      </c>
      <c r="DU18" s="67" t="e">
        <f>'Geo &amp; CIC Deployment Plan'!#REF!</f>
        <v>#REF!</v>
      </c>
      <c r="DV18" s="67" t="e">
        <f>'Geo &amp; CIC Deployment Plan'!#REF!</f>
        <v>#REF!</v>
      </c>
      <c r="DW18" s="67"/>
      <c r="DX18" s="67" t="e">
        <f>'Geo &amp; CIC Deployment Plan'!#REF!</f>
        <v>#REF!</v>
      </c>
      <c r="DY18" s="67" t="e">
        <f>'Geo &amp; CIC Deployment Plan'!#REF!</f>
        <v>#REF!</v>
      </c>
      <c r="DZ18" s="64" t="e">
        <f>'Geo &amp; CIC Deployment Plan'!#REF!</f>
        <v>#REF!</v>
      </c>
      <c r="EA18" s="64"/>
      <c r="EB18" s="65" t="s">
        <v>987</v>
      </c>
      <c r="EC18" s="65" t="s">
        <v>903</v>
      </c>
      <c r="ED18" s="66" t="s">
        <v>1295</v>
      </c>
      <c r="EE18" s="67" t="e">
        <f>'Geo &amp; CIC Deployment Plan'!#REF!</f>
        <v>#REF!</v>
      </c>
      <c r="EF18" s="67" t="e">
        <f>'Geo &amp; CIC Deployment Plan'!#REF!</f>
        <v>#REF!</v>
      </c>
      <c r="EG18" s="67" t="e">
        <f>'Geo &amp; CIC Deployment Plan'!#REF!</f>
        <v>#REF!</v>
      </c>
      <c r="EH18" s="67" t="e">
        <f>'Geo &amp; CIC Deployment Plan'!#REF!</f>
        <v>#REF!</v>
      </c>
      <c r="EI18" s="67" t="e">
        <f>'Geo &amp; CIC Deployment Plan'!#REF!</f>
        <v>#REF!</v>
      </c>
      <c r="EJ18" s="67"/>
      <c r="EK18" s="67" t="e">
        <f>'Geo &amp; CIC Deployment Plan'!#REF!</f>
        <v>#REF!</v>
      </c>
      <c r="EL18" s="67" t="e">
        <f>'Geo &amp; CIC Deployment Plan'!#REF!</f>
        <v>#REF!</v>
      </c>
      <c r="EM18" s="64" t="e">
        <f>'Geo &amp; CIC Deployment Plan'!#REF!</f>
        <v>#REF!</v>
      </c>
      <c r="EN18" s="64"/>
      <c r="EO18" s="65"/>
      <c r="EP18" s="65"/>
      <c r="EQ18" s="65"/>
      <c r="ER18" s="65"/>
      <c r="ES18" s="65"/>
      <c r="ET18" s="65"/>
      <c r="EU18" s="65"/>
      <c r="EV18" s="65"/>
      <c r="EW18" s="65"/>
      <c r="EX18" s="65"/>
      <c r="EY18" s="65"/>
      <c r="EZ18" s="65"/>
      <c r="FA18" s="65"/>
      <c r="FC18" s="48"/>
      <c r="FD18" s="48"/>
      <c r="FE18" s="48"/>
      <c r="FF18" s="48"/>
      <c r="FG18" s="48"/>
      <c r="FH18" s="48"/>
      <c r="FI18" s="48"/>
      <c r="FJ18" s="48"/>
      <c r="FK18" s="48"/>
      <c r="FL18" s="48"/>
      <c r="FM18" s="48"/>
      <c r="FN18" s="48"/>
      <c r="FO18" s="48"/>
      <c r="FP18" s="48"/>
      <c r="FQ18" s="48"/>
      <c r="FR18" s="48"/>
      <c r="FS18" s="48"/>
      <c r="FT18" s="48"/>
      <c r="FU18" s="48"/>
      <c r="FV18" s="48"/>
      <c r="FX18" s="50"/>
      <c r="FY18" s="50"/>
      <c r="FZ18" s="50"/>
      <c r="GA18" s="50"/>
    </row>
    <row r="19" spans="4:185" ht="36">
      <c r="D19" s="65"/>
      <c r="E19" s="65"/>
      <c r="F19" s="65"/>
      <c r="G19" s="65"/>
      <c r="H19" s="65"/>
      <c r="I19" s="65"/>
      <c r="J19" s="65"/>
      <c r="K19" s="65"/>
      <c r="L19" s="65"/>
      <c r="M19" s="65"/>
      <c r="N19" s="65"/>
      <c r="O19" s="65" t="s">
        <v>987</v>
      </c>
      <c r="P19" s="65" t="s">
        <v>658</v>
      </c>
      <c r="Q19" s="66" t="s">
        <v>1296</v>
      </c>
      <c r="R19" s="64" t="e">
        <f>'Geo &amp; CIC Deployment Plan'!#REF!</f>
        <v>#REF!</v>
      </c>
      <c r="S19" s="64" t="e">
        <f>'Geo &amp; CIC Deployment Plan'!#REF!</f>
        <v>#REF!</v>
      </c>
      <c r="T19" s="64" t="e">
        <f>'Geo &amp; CIC Deployment Plan'!#REF!</f>
        <v>#REF!</v>
      </c>
      <c r="U19" s="64" t="e">
        <f>'Geo &amp; CIC Deployment Plan'!#REF!</f>
        <v>#REF!</v>
      </c>
      <c r="V19" s="64" t="e">
        <f>'Geo &amp; CIC Deployment Plan'!#REF!</f>
        <v>#REF!</v>
      </c>
      <c r="W19" s="64"/>
      <c r="X19" s="64" t="e">
        <f>'Geo &amp; CIC Deployment Plan'!#REF!</f>
        <v>#REF!</v>
      </c>
      <c r="Y19" s="64" t="e">
        <f>'Geo &amp; CIC Deployment Plan'!#REF!</f>
        <v>#REF!</v>
      </c>
      <c r="Z19" s="69" t="e">
        <f>'Geo &amp; CIC Deployment Plan'!#REF!</f>
        <v>#REF!</v>
      </c>
      <c r="AA19" s="69"/>
      <c r="AB19" s="65"/>
      <c r="AC19" s="65"/>
      <c r="AD19" s="65"/>
      <c r="AE19" s="65"/>
      <c r="AF19" s="65"/>
      <c r="AG19" s="65"/>
      <c r="AH19" s="65"/>
      <c r="AI19" s="65"/>
      <c r="AJ19" s="65"/>
      <c r="AK19" s="65"/>
      <c r="AL19" s="65"/>
      <c r="AM19" s="65"/>
      <c r="AN19" s="65"/>
      <c r="AO19" s="65"/>
      <c r="AP19" s="65"/>
      <c r="AQ19" s="73"/>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42" t="s">
        <v>1196</v>
      </c>
      <c r="CE19" s="643"/>
      <c r="CF19" s="643"/>
      <c r="CG19" s="643"/>
      <c r="CH19" s="643"/>
      <c r="CI19" s="643"/>
      <c r="CJ19" s="643"/>
      <c r="CK19" s="643"/>
      <c r="CL19" s="643"/>
      <c r="CM19" s="643"/>
      <c r="CN19" s="644"/>
      <c r="CO19" s="65" t="s">
        <v>1205</v>
      </c>
      <c r="CP19" s="65" t="s">
        <v>807</v>
      </c>
      <c r="CQ19" s="66" t="s">
        <v>1297</v>
      </c>
      <c r="CR19" s="67" t="e">
        <f>'Geo &amp; CIC Deployment Plan'!#REF!</f>
        <v>#REF!</v>
      </c>
      <c r="CS19" s="67" t="e">
        <f>'Geo &amp; CIC Deployment Plan'!#REF!</f>
        <v>#REF!</v>
      </c>
      <c r="CT19" s="67" t="e">
        <f>'Geo &amp; CIC Deployment Plan'!#REF!</f>
        <v>#REF!</v>
      </c>
      <c r="CU19" s="67" t="e">
        <f>'Geo &amp; CIC Deployment Plan'!#REF!</f>
        <v>#REF!</v>
      </c>
      <c r="CV19" s="67" t="e">
        <f>'Geo &amp; CIC Deployment Plan'!#REF!</f>
        <v>#REF!</v>
      </c>
      <c r="CW19" s="67"/>
      <c r="CX19" s="67" t="e">
        <f>'Geo &amp; CIC Deployment Plan'!#REF!</f>
        <v>#REF!</v>
      </c>
      <c r="CY19" s="67" t="e">
        <f>'Geo &amp; CIC Deployment Plan'!#REF!</f>
        <v>#REF!</v>
      </c>
      <c r="CZ19" s="64" t="e">
        <f>'Geo &amp; CIC Deployment Plan'!#REF!</f>
        <v>#REF!</v>
      </c>
      <c r="DA19" s="64"/>
      <c r="DB19" s="65"/>
      <c r="DC19" s="65"/>
      <c r="DD19" s="642" t="s">
        <v>1196</v>
      </c>
      <c r="DE19" s="643"/>
      <c r="DF19" s="643"/>
      <c r="DG19" s="643"/>
      <c r="DH19" s="643"/>
      <c r="DI19" s="643"/>
      <c r="DJ19" s="643"/>
      <c r="DK19" s="643"/>
      <c r="DL19" s="643"/>
      <c r="DM19" s="643"/>
      <c r="DN19" s="644"/>
      <c r="DO19" s="65" t="s">
        <v>987</v>
      </c>
      <c r="DP19" s="65" t="s">
        <v>903</v>
      </c>
      <c r="DQ19" s="66" t="s">
        <v>1298</v>
      </c>
      <c r="DR19" s="67" t="e">
        <f>'Geo &amp; CIC Deployment Plan'!#REF!</f>
        <v>#REF!</v>
      </c>
      <c r="DS19" s="67" t="e">
        <f>'Geo &amp; CIC Deployment Plan'!#REF!</f>
        <v>#REF!</v>
      </c>
      <c r="DT19" s="67" t="e">
        <f>'Geo &amp; CIC Deployment Plan'!#REF!</f>
        <v>#REF!</v>
      </c>
      <c r="DU19" s="67" t="e">
        <f>'Geo &amp; CIC Deployment Plan'!#REF!</f>
        <v>#REF!</v>
      </c>
      <c r="DV19" s="67" t="e">
        <f>'Geo &amp; CIC Deployment Plan'!#REF!</f>
        <v>#REF!</v>
      </c>
      <c r="DW19" s="67"/>
      <c r="DX19" s="67" t="e">
        <f>'Geo &amp; CIC Deployment Plan'!#REF!</f>
        <v>#REF!</v>
      </c>
      <c r="DY19" s="67" t="e">
        <f>'Geo &amp; CIC Deployment Plan'!#REF!</f>
        <v>#REF!</v>
      </c>
      <c r="DZ19" s="64" t="e">
        <f>'Geo &amp; CIC Deployment Plan'!#REF!</f>
        <v>#REF!</v>
      </c>
      <c r="EA19" s="64"/>
      <c r="EO19" s="65"/>
      <c r="EP19" s="65"/>
      <c r="EQ19" s="65"/>
      <c r="ER19" s="65"/>
      <c r="ES19" s="65"/>
      <c r="ET19" s="65"/>
      <c r="EU19" s="65"/>
      <c r="EV19" s="65"/>
      <c r="EW19" s="65"/>
      <c r="EX19" s="65"/>
      <c r="EY19" s="65"/>
      <c r="EZ19" s="65"/>
      <c r="FA19" s="65"/>
      <c r="FC19" s="48"/>
      <c r="FD19" s="48"/>
      <c r="FE19" s="48"/>
      <c r="FF19" s="48"/>
      <c r="FG19" s="48"/>
      <c r="FH19" s="48"/>
      <c r="FI19" s="48"/>
      <c r="FJ19" s="48"/>
      <c r="FK19" s="48"/>
      <c r="FL19" s="48"/>
      <c r="FM19" s="48"/>
      <c r="FN19" s="48"/>
      <c r="FO19" s="48"/>
      <c r="FP19" s="48"/>
      <c r="FQ19" s="48"/>
      <c r="FR19" s="48"/>
      <c r="FS19" s="48"/>
      <c r="FT19" s="48"/>
      <c r="FU19" s="48"/>
      <c r="FV19" s="48"/>
      <c r="FX19" s="50"/>
      <c r="FY19" s="50"/>
      <c r="FZ19" s="50"/>
      <c r="GA19" s="50"/>
    </row>
    <row r="20" spans="4:185" ht="24">
      <c r="D20" s="65"/>
      <c r="E20" s="65"/>
      <c r="F20" s="65"/>
      <c r="G20" s="65"/>
      <c r="H20" s="65"/>
      <c r="I20" s="65"/>
      <c r="J20" s="65"/>
      <c r="K20" s="65"/>
      <c r="L20" s="65"/>
      <c r="M20" s="65"/>
      <c r="N20" s="65"/>
      <c r="O20" s="65"/>
      <c r="P20" s="65"/>
      <c r="Q20" s="642" t="s">
        <v>1194</v>
      </c>
      <c r="R20" s="643"/>
      <c r="S20" s="643"/>
      <c r="T20" s="643"/>
      <c r="U20" s="643"/>
      <c r="V20" s="643"/>
      <c r="W20" s="643"/>
      <c r="X20" s="643"/>
      <c r="Y20" s="643"/>
      <c r="Z20" s="643"/>
      <c r="AA20" s="644"/>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t="s">
        <v>987</v>
      </c>
      <c r="CC20" s="65" t="s">
        <v>903</v>
      </c>
      <c r="CD20" s="66" t="s">
        <v>1299</v>
      </c>
      <c r="CE20" s="67" t="e">
        <f>'Geo &amp; CIC Deployment Plan'!#REF!</f>
        <v>#REF!</v>
      </c>
      <c r="CF20" s="67" t="e">
        <f>'Geo &amp; CIC Deployment Plan'!#REF!</f>
        <v>#REF!</v>
      </c>
      <c r="CG20" s="67" t="e">
        <f>'Geo &amp; CIC Deployment Plan'!#REF!</f>
        <v>#REF!</v>
      </c>
      <c r="CH20" s="67" t="e">
        <f>'Geo &amp; CIC Deployment Plan'!#REF!</f>
        <v>#REF!</v>
      </c>
      <c r="CI20" s="67" t="e">
        <f>'Geo &amp; CIC Deployment Plan'!#REF!</f>
        <v>#REF!</v>
      </c>
      <c r="CJ20" s="67"/>
      <c r="CK20" s="67" t="e">
        <f>'Geo &amp; CIC Deployment Plan'!#REF!</f>
        <v>#REF!</v>
      </c>
      <c r="CL20" s="67" t="e">
        <f>'Geo &amp; CIC Deployment Plan'!#REF!</f>
        <v>#REF!</v>
      </c>
      <c r="CM20" s="64" t="e">
        <f>'Geo &amp; CIC Deployment Plan'!#REF!</f>
        <v>#REF!</v>
      </c>
      <c r="CN20" s="64"/>
      <c r="CO20" s="65"/>
      <c r="CP20" s="65"/>
      <c r="CQ20" s="642" t="s">
        <v>1193</v>
      </c>
      <c r="CR20" s="643"/>
      <c r="CS20" s="643"/>
      <c r="CT20" s="643"/>
      <c r="CU20" s="643"/>
      <c r="CV20" s="643"/>
      <c r="CW20" s="643"/>
      <c r="CX20" s="643"/>
      <c r="CY20" s="643"/>
      <c r="CZ20" s="643"/>
      <c r="DA20" s="644"/>
      <c r="DB20" s="65" t="s">
        <v>987</v>
      </c>
      <c r="DC20" s="65" t="s">
        <v>903</v>
      </c>
      <c r="DD20" s="66" t="s">
        <v>1300</v>
      </c>
      <c r="DE20" s="67" t="e">
        <f>'Geo &amp; CIC Deployment Plan'!#REF!</f>
        <v>#REF!</v>
      </c>
      <c r="DF20" s="67" t="e">
        <f>'Geo &amp; CIC Deployment Plan'!#REF!</f>
        <v>#REF!</v>
      </c>
      <c r="DG20" s="67" t="e">
        <f>'Geo &amp; CIC Deployment Plan'!#REF!</f>
        <v>#REF!</v>
      </c>
      <c r="DH20" s="67" t="e">
        <f>'Geo &amp; CIC Deployment Plan'!#REF!</f>
        <v>#REF!</v>
      </c>
      <c r="DI20" s="67" t="e">
        <f>'Geo &amp; CIC Deployment Plan'!#REF!</f>
        <v>#REF!</v>
      </c>
      <c r="DJ20" s="67"/>
      <c r="DK20" s="67" t="e">
        <f>'Geo &amp; CIC Deployment Plan'!#REF!</f>
        <v>#REF!</v>
      </c>
      <c r="DL20" s="67" t="e">
        <f>'Geo &amp; CIC Deployment Plan'!#REF!</f>
        <v>#REF!</v>
      </c>
      <c r="DM20" s="64" t="e">
        <f>'Geo &amp; CIC Deployment Plan'!#REF!</f>
        <v>#REF!</v>
      </c>
      <c r="DN20" s="64"/>
      <c r="DO20" s="65"/>
      <c r="DP20" s="65"/>
      <c r="DQ20" s="642" t="s">
        <v>1234</v>
      </c>
      <c r="DR20" s="643"/>
      <c r="DS20" s="643"/>
      <c r="DT20" s="643"/>
      <c r="DU20" s="643"/>
      <c r="DV20" s="643"/>
      <c r="DW20" s="643"/>
      <c r="DX20" s="643"/>
      <c r="DY20" s="643"/>
      <c r="DZ20" s="643"/>
      <c r="EA20" s="644"/>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C20" s="48"/>
      <c r="FD20" s="48"/>
      <c r="FE20" s="48"/>
      <c r="FF20" s="48"/>
      <c r="FG20" s="48"/>
      <c r="FH20" s="48"/>
      <c r="FI20" s="48"/>
      <c r="FJ20" s="48"/>
      <c r="FK20" s="48"/>
      <c r="FL20" s="48"/>
      <c r="FM20" s="48"/>
      <c r="FN20" s="48"/>
      <c r="FO20" s="48"/>
      <c r="FP20" s="48"/>
      <c r="FQ20" s="48"/>
      <c r="FR20" s="48"/>
      <c r="FS20" s="48"/>
      <c r="FT20" s="48"/>
      <c r="FU20" s="48"/>
      <c r="FV20" s="48"/>
      <c r="FX20" s="50"/>
      <c r="FY20" s="50"/>
      <c r="FZ20" s="50"/>
      <c r="GA20" s="50"/>
    </row>
    <row r="21" spans="4:185" ht="36">
      <c r="D21" s="65"/>
      <c r="E21" s="65"/>
      <c r="F21" s="65"/>
      <c r="G21" s="65"/>
      <c r="H21" s="65"/>
      <c r="I21" s="65"/>
      <c r="J21" s="65"/>
      <c r="K21" s="65"/>
      <c r="L21" s="65"/>
      <c r="M21" s="65"/>
      <c r="N21" s="65"/>
      <c r="O21" s="65" t="s">
        <v>987</v>
      </c>
      <c r="P21" s="65" t="s">
        <v>1203</v>
      </c>
      <c r="Q21" s="66" t="s">
        <v>1301</v>
      </c>
      <c r="R21" s="64" t="e">
        <f>'Geo &amp; CIC Deployment Plan'!#REF!</f>
        <v>#REF!</v>
      </c>
      <c r="S21" s="64" t="e">
        <f>'Geo &amp; CIC Deployment Plan'!#REF!</f>
        <v>#REF!</v>
      </c>
      <c r="T21" s="64" t="e">
        <f>'Geo &amp; CIC Deployment Plan'!#REF!</f>
        <v>#REF!</v>
      </c>
      <c r="U21" s="64" t="e">
        <f>'Geo &amp; CIC Deployment Plan'!#REF!</f>
        <v>#REF!</v>
      </c>
      <c r="V21" s="64" t="e">
        <f>'Geo &amp; CIC Deployment Plan'!#REF!</f>
        <v>#REF!</v>
      </c>
      <c r="W21" s="64"/>
      <c r="X21" s="64" t="e">
        <f>'Geo &amp; CIC Deployment Plan'!#REF!</f>
        <v>#REF!</v>
      </c>
      <c r="Y21" s="64" t="e">
        <f>'Geo &amp; CIC Deployment Plan'!#REF!</f>
        <v>#REF!</v>
      </c>
      <c r="Z21" s="69" t="e">
        <f>'Geo &amp; CIC Deployment Plan'!#REF!</f>
        <v>#REF!</v>
      </c>
      <c r="AA21" s="69"/>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65"/>
      <c r="BO21" s="65"/>
      <c r="BP21" s="65"/>
      <c r="BQ21" s="65"/>
      <c r="BR21" s="65"/>
      <c r="BS21" s="65"/>
      <c r="BT21" s="65"/>
      <c r="BU21" s="65"/>
      <c r="BV21" s="65"/>
      <c r="BW21" s="65"/>
      <c r="BX21" s="65"/>
      <c r="BY21" s="65"/>
      <c r="BZ21" s="65"/>
      <c r="CA21" s="65"/>
      <c r="CB21" s="65"/>
      <c r="CC21" s="65"/>
      <c r="CD21" s="526" t="s">
        <v>1302</v>
      </c>
      <c r="CE21" s="527"/>
      <c r="CF21" s="527"/>
      <c r="CG21" s="527"/>
      <c r="CH21" s="527"/>
      <c r="CI21" s="527"/>
      <c r="CJ21" s="527"/>
      <c r="CK21" s="527"/>
      <c r="CL21" s="527"/>
      <c r="CM21" s="527"/>
      <c r="CN21" s="528"/>
      <c r="CO21" s="65" t="s">
        <v>987</v>
      </c>
      <c r="CP21" s="65" t="s">
        <v>1011</v>
      </c>
      <c r="CQ21" s="66" t="s">
        <v>1303</v>
      </c>
      <c r="CR21" s="67" t="e">
        <f>'Geo &amp; CIC Deployment Plan'!#REF!</f>
        <v>#REF!</v>
      </c>
      <c r="CS21" s="67" t="e">
        <f>'Geo &amp; CIC Deployment Plan'!#REF!</f>
        <v>#REF!</v>
      </c>
      <c r="CT21" s="67" t="e">
        <f>'Geo &amp; CIC Deployment Plan'!#REF!</f>
        <v>#REF!</v>
      </c>
      <c r="CU21" s="67" t="e">
        <f>'Geo &amp; CIC Deployment Plan'!#REF!</f>
        <v>#REF!</v>
      </c>
      <c r="CV21" s="67" t="e">
        <f>'Geo &amp; CIC Deployment Plan'!#REF!</f>
        <v>#REF!</v>
      </c>
      <c r="CW21" s="67"/>
      <c r="CX21" s="67" t="e">
        <f>'Geo &amp; CIC Deployment Plan'!#REF!</f>
        <v>#REF!</v>
      </c>
      <c r="CY21" s="67" t="e">
        <f>'Geo &amp; CIC Deployment Plan'!#REF!</f>
        <v>#REF!</v>
      </c>
      <c r="CZ21" s="64" t="e">
        <f>'Geo &amp; CIC Deployment Plan'!#REF!</f>
        <v>#REF!</v>
      </c>
      <c r="DA21" s="64"/>
      <c r="DB21" s="65" t="s">
        <v>987</v>
      </c>
      <c r="DC21" s="65" t="s">
        <v>903</v>
      </c>
      <c r="DD21" s="66" t="s">
        <v>1304</v>
      </c>
      <c r="DE21" s="67" t="e">
        <f>'Geo &amp; CIC Deployment Plan'!#REF!</f>
        <v>#REF!</v>
      </c>
      <c r="DF21" s="67" t="e">
        <f>'Geo &amp; CIC Deployment Plan'!#REF!</f>
        <v>#REF!</v>
      </c>
      <c r="DG21" s="67" t="e">
        <f>'Geo &amp; CIC Deployment Plan'!#REF!</f>
        <v>#REF!</v>
      </c>
      <c r="DH21" s="67" t="e">
        <f>'Geo &amp; CIC Deployment Plan'!#REF!</f>
        <v>#REF!</v>
      </c>
      <c r="DI21" s="67" t="e">
        <f>'Geo &amp; CIC Deployment Plan'!#REF!</f>
        <v>#REF!</v>
      </c>
      <c r="DJ21" s="67"/>
      <c r="DK21" s="67" t="e">
        <f>'Geo &amp; CIC Deployment Plan'!#REF!</f>
        <v>#REF!</v>
      </c>
      <c r="DL21" s="67" t="e">
        <f>'Geo &amp; CIC Deployment Plan'!#REF!</f>
        <v>#REF!</v>
      </c>
      <c r="DM21" s="64" t="e">
        <f>'Geo &amp; CIC Deployment Plan'!#REF!</f>
        <v>#REF!</v>
      </c>
      <c r="DN21" s="64"/>
      <c r="DO21" s="65" t="s">
        <v>987</v>
      </c>
      <c r="DP21" s="65" t="s">
        <v>1241</v>
      </c>
      <c r="DQ21" s="66" t="s">
        <v>1305</v>
      </c>
      <c r="DR21" s="67" t="e">
        <f>'Geo &amp; CIC Deployment Plan'!#REF!</f>
        <v>#REF!</v>
      </c>
      <c r="DS21" s="67" t="e">
        <f>'Geo &amp; CIC Deployment Plan'!#REF!</f>
        <v>#REF!</v>
      </c>
      <c r="DT21" s="67" t="e">
        <f>'Geo &amp; CIC Deployment Plan'!#REF!</f>
        <v>#REF!</v>
      </c>
      <c r="DU21" s="67" t="e">
        <f>'Geo &amp; CIC Deployment Plan'!#REF!</f>
        <v>#REF!</v>
      </c>
      <c r="DV21" s="67" t="e">
        <f>'Geo &amp; CIC Deployment Plan'!#REF!</f>
        <v>#REF!</v>
      </c>
      <c r="DW21" s="67"/>
      <c r="DX21" s="67" t="e">
        <f>'Geo &amp; CIC Deployment Plan'!#REF!</f>
        <v>#REF!</v>
      </c>
      <c r="DY21" s="67" t="e">
        <f>'Geo &amp; CIC Deployment Plan'!#REF!</f>
        <v>#REF!</v>
      </c>
      <c r="DZ21" s="64" t="e">
        <f>'Geo &amp; CIC Deployment Plan'!#REF!</f>
        <v>#REF!</v>
      </c>
      <c r="EA21" s="64"/>
      <c r="EB21" s="65"/>
      <c r="EC21" s="65"/>
      <c r="ED21" s="65"/>
      <c r="EE21" s="65"/>
      <c r="EF21" s="65"/>
      <c r="EG21" s="65"/>
      <c r="EH21" s="65"/>
      <c r="EI21" s="65"/>
      <c r="EJ21" s="65"/>
      <c r="EK21" s="65"/>
      <c r="EL21" s="65"/>
      <c r="EM21" s="65"/>
      <c r="EN21" s="65"/>
      <c r="EO21" s="65"/>
      <c r="EP21" s="65"/>
      <c r="EQ21" s="65"/>
      <c r="ER21" s="65"/>
      <c r="ES21" s="65"/>
      <c r="ET21" s="65"/>
      <c r="EU21" s="65"/>
      <c r="EV21" s="65"/>
      <c r="EW21" s="65"/>
      <c r="EX21" s="65"/>
      <c r="EY21" s="65"/>
      <c r="EZ21" s="65"/>
      <c r="FA21" s="65"/>
      <c r="FC21" s="48"/>
      <c r="FD21" s="48"/>
      <c r="FE21" s="48"/>
      <c r="FF21" s="48"/>
      <c r="FG21" s="48"/>
      <c r="FH21" s="48"/>
      <c r="FI21" s="48"/>
      <c r="FJ21" s="48"/>
      <c r="FK21" s="48"/>
      <c r="FL21" s="48"/>
      <c r="FM21" s="48"/>
      <c r="FN21" s="48"/>
      <c r="FO21" s="48"/>
      <c r="FP21" s="48"/>
      <c r="FQ21" s="48"/>
      <c r="FR21" s="48"/>
      <c r="FS21" s="48"/>
      <c r="FT21" s="48"/>
      <c r="FU21" s="48"/>
      <c r="FV21" s="48"/>
      <c r="FX21" s="50"/>
      <c r="FY21" s="50"/>
      <c r="FZ21" s="50"/>
      <c r="GA21" s="50"/>
    </row>
    <row r="22" spans="4:185" ht="24">
      <c r="D22" s="65"/>
      <c r="E22" s="65"/>
      <c r="F22" s="65"/>
      <c r="G22" s="65"/>
      <c r="H22" s="65"/>
      <c r="I22" s="65"/>
      <c r="J22" s="65"/>
      <c r="K22" s="65"/>
      <c r="L22" s="65"/>
      <c r="M22" s="65"/>
      <c r="N22" s="65"/>
      <c r="O22" s="65"/>
      <c r="P22" s="65"/>
      <c r="Q22" s="642" t="s">
        <v>1193</v>
      </c>
      <c r="R22" s="643"/>
      <c r="S22" s="643"/>
      <c r="T22" s="643"/>
      <c r="U22" s="643"/>
      <c r="V22" s="643"/>
      <c r="W22" s="643"/>
      <c r="X22" s="643"/>
      <c r="Y22" s="643"/>
      <c r="Z22" s="643"/>
      <c r="AA22" s="644"/>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65"/>
      <c r="BO22" s="65"/>
      <c r="BP22" s="65"/>
      <c r="BQ22" s="65"/>
      <c r="BR22" s="65"/>
      <c r="BS22" s="65"/>
      <c r="BT22" s="65"/>
      <c r="BU22" s="65"/>
      <c r="BV22" s="65"/>
      <c r="BW22" s="65"/>
      <c r="BX22" s="65"/>
      <c r="BY22" s="65"/>
      <c r="BZ22" s="65"/>
      <c r="CA22" s="65"/>
      <c r="CB22" s="65" t="s">
        <v>987</v>
      </c>
      <c r="CC22" s="65" t="s">
        <v>1048</v>
      </c>
      <c r="CD22" s="66" t="s">
        <v>1306</v>
      </c>
      <c r="CE22" s="67" t="e">
        <f>'Geo &amp; CIC Deployment Plan'!#REF!</f>
        <v>#REF!</v>
      </c>
      <c r="CF22" s="67" t="e">
        <f>'Geo &amp; CIC Deployment Plan'!#REF!</f>
        <v>#REF!</v>
      </c>
      <c r="CG22" s="67" t="e">
        <f>'Geo &amp; CIC Deployment Plan'!#REF!</f>
        <v>#REF!</v>
      </c>
      <c r="CH22" s="67" t="e">
        <f>'Geo &amp; CIC Deployment Plan'!#REF!</f>
        <v>#REF!</v>
      </c>
      <c r="CI22" s="67" t="e">
        <f>'Geo &amp; CIC Deployment Plan'!#REF!</f>
        <v>#REF!</v>
      </c>
      <c r="CJ22" s="67"/>
      <c r="CK22" s="67" t="e">
        <f>'Geo &amp; CIC Deployment Plan'!#REF!</f>
        <v>#REF!</v>
      </c>
      <c r="CL22" s="67" t="e">
        <f>'Geo &amp; CIC Deployment Plan'!#REF!</f>
        <v>#REF!</v>
      </c>
      <c r="CM22" s="64" t="e">
        <f>'Geo &amp; CIC Deployment Plan'!#REF!</f>
        <v>#REF!</v>
      </c>
      <c r="CN22" s="64"/>
      <c r="CO22" s="65" t="s">
        <v>987</v>
      </c>
      <c r="CP22" s="65" t="s">
        <v>1011</v>
      </c>
      <c r="CQ22" s="66" t="s">
        <v>1303</v>
      </c>
      <c r="CR22" s="67" t="e">
        <f>'Geo &amp; CIC Deployment Plan'!#REF!</f>
        <v>#REF!</v>
      </c>
      <c r="CS22" s="67" t="e">
        <f>'Geo &amp; CIC Deployment Plan'!#REF!</f>
        <v>#REF!</v>
      </c>
      <c r="CT22" s="67" t="e">
        <f>'Geo &amp; CIC Deployment Plan'!#REF!</f>
        <v>#REF!</v>
      </c>
      <c r="CU22" s="67" t="e">
        <f>'Geo &amp; CIC Deployment Plan'!#REF!</f>
        <v>#REF!</v>
      </c>
      <c r="CV22" s="67" t="e">
        <f>'Geo &amp; CIC Deployment Plan'!#REF!</f>
        <v>#REF!</v>
      </c>
      <c r="CW22" s="67"/>
      <c r="CX22" s="67" t="e">
        <f>'Geo &amp; CIC Deployment Plan'!#REF!</f>
        <v>#REF!</v>
      </c>
      <c r="CY22" s="67" t="e">
        <f>'Geo &amp; CIC Deployment Plan'!#REF!</f>
        <v>#REF!</v>
      </c>
      <c r="CZ22" s="64" t="e">
        <f>'Geo &amp; CIC Deployment Plan'!#REF!</f>
        <v>#REF!</v>
      </c>
      <c r="DA22" s="64"/>
      <c r="DB22" s="65"/>
      <c r="DC22" s="65"/>
      <c r="DD22" s="642" t="s">
        <v>1214</v>
      </c>
      <c r="DE22" s="643"/>
      <c r="DF22" s="643"/>
      <c r="DG22" s="643"/>
      <c r="DH22" s="643"/>
      <c r="DI22" s="643"/>
      <c r="DJ22" s="643"/>
      <c r="DK22" s="643"/>
      <c r="DL22" s="643"/>
      <c r="DM22" s="643"/>
      <c r="DN22" s="644"/>
      <c r="DO22" s="65"/>
      <c r="DP22" s="65"/>
      <c r="DQ22" s="642" t="s">
        <v>1193</v>
      </c>
      <c r="DR22" s="643"/>
      <c r="DS22" s="643"/>
      <c r="DT22" s="643"/>
      <c r="DU22" s="643"/>
      <c r="DV22" s="643"/>
      <c r="DW22" s="643"/>
      <c r="DX22" s="643"/>
      <c r="DY22" s="643"/>
      <c r="DZ22" s="643"/>
      <c r="EA22" s="644"/>
      <c r="EB22" s="65"/>
      <c r="EC22" s="65"/>
      <c r="ED22" s="65"/>
      <c r="EE22" s="65"/>
      <c r="EF22" s="65"/>
      <c r="EG22" s="65"/>
      <c r="EH22" s="65"/>
      <c r="EI22" s="65"/>
      <c r="EJ22" s="65"/>
      <c r="EK22" s="65"/>
      <c r="EL22" s="65"/>
      <c r="EM22" s="65"/>
      <c r="EN22" s="65"/>
      <c r="EO22" s="65"/>
      <c r="EP22" s="65"/>
      <c r="EQ22" s="65"/>
      <c r="ER22" s="65"/>
      <c r="ES22" s="65"/>
      <c r="ET22" s="65"/>
      <c r="EU22" s="65"/>
      <c r="EV22" s="65"/>
      <c r="EW22" s="65"/>
      <c r="EX22" s="65"/>
      <c r="EY22" s="65"/>
      <c r="EZ22" s="65"/>
      <c r="FA22" s="65"/>
      <c r="FC22" s="48"/>
      <c r="FD22" s="48"/>
      <c r="FE22" s="48"/>
      <c r="FF22" s="48"/>
      <c r="FG22" s="48"/>
      <c r="FH22" s="48"/>
      <c r="FI22" s="48"/>
      <c r="FJ22" s="48"/>
      <c r="FK22" s="48"/>
      <c r="FL22" s="48"/>
      <c r="FM22" s="48"/>
      <c r="FN22" s="48"/>
      <c r="FO22" s="48"/>
      <c r="FP22" s="48"/>
      <c r="FQ22" s="48"/>
      <c r="FR22" s="48"/>
      <c r="FS22" s="48"/>
      <c r="FT22" s="48"/>
      <c r="FU22" s="48"/>
      <c r="FV22" s="48"/>
      <c r="FX22" s="50"/>
      <c r="FY22" s="50"/>
      <c r="FZ22" s="50"/>
      <c r="GA22" s="50"/>
    </row>
    <row r="23" spans="4:185" ht="24">
      <c r="D23" s="65"/>
      <c r="E23" s="65"/>
      <c r="F23" s="65"/>
      <c r="G23" s="65"/>
      <c r="H23" s="65"/>
      <c r="I23" s="65"/>
      <c r="J23" s="65"/>
      <c r="K23" s="65"/>
      <c r="L23" s="65"/>
      <c r="M23" s="65"/>
      <c r="N23" s="65"/>
      <c r="O23" s="65" t="s">
        <v>987</v>
      </c>
      <c r="P23" s="65" t="s">
        <v>1011</v>
      </c>
      <c r="Q23" s="66" t="s">
        <v>1307</v>
      </c>
      <c r="R23" s="64" t="e">
        <f>'Geo &amp; CIC Deployment Plan'!#REF!</f>
        <v>#REF!</v>
      </c>
      <c r="S23" s="64" t="e">
        <f>'Geo &amp; CIC Deployment Plan'!#REF!</f>
        <v>#REF!</v>
      </c>
      <c r="T23" s="64" t="e">
        <f>'Geo &amp; CIC Deployment Plan'!#REF!</f>
        <v>#REF!</v>
      </c>
      <c r="U23" s="64" t="e">
        <f>'Geo &amp; CIC Deployment Plan'!#REF!</f>
        <v>#REF!</v>
      </c>
      <c r="V23" s="64" t="e">
        <f>'Geo &amp; CIC Deployment Plan'!#REF!</f>
        <v>#REF!</v>
      </c>
      <c r="W23" s="64"/>
      <c r="X23" s="64" t="e">
        <f>'Geo &amp; CIC Deployment Plan'!#REF!</f>
        <v>#REF!</v>
      </c>
      <c r="Y23" s="64" t="e">
        <f>'Geo &amp; CIC Deployment Plan'!#REF!</f>
        <v>#REF!</v>
      </c>
      <c r="Z23" s="69" t="e">
        <f>'Geo &amp; CIC Deployment Plan'!#REF!</f>
        <v>#REF!</v>
      </c>
      <c r="AA23" s="69"/>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75"/>
      <c r="CD23" s="526" t="s">
        <v>1213</v>
      </c>
      <c r="CE23" s="527"/>
      <c r="CF23" s="527"/>
      <c r="CG23" s="527"/>
      <c r="CH23" s="527"/>
      <c r="CI23" s="527"/>
      <c r="CJ23" s="527"/>
      <c r="CK23" s="527"/>
      <c r="CL23" s="527"/>
      <c r="CM23" s="527"/>
      <c r="CN23" s="528"/>
      <c r="CO23" s="65"/>
      <c r="CP23" s="65"/>
      <c r="CQ23" s="642" t="s">
        <v>1234</v>
      </c>
      <c r="CR23" s="643"/>
      <c r="CS23" s="643"/>
      <c r="CT23" s="643"/>
      <c r="CU23" s="643"/>
      <c r="CV23" s="643"/>
      <c r="CW23" s="643"/>
      <c r="CX23" s="643"/>
      <c r="CY23" s="643"/>
      <c r="CZ23" s="643"/>
      <c r="DA23" s="644"/>
      <c r="DB23" s="65" t="s">
        <v>1205</v>
      </c>
      <c r="DC23" s="65" t="s">
        <v>928</v>
      </c>
      <c r="DD23" s="66" t="s">
        <v>1308</v>
      </c>
      <c r="DE23" s="67" t="str">
        <f>'Geo &amp; CIC Deployment Plan'!AG373</f>
        <v>New GBS Associates Induction</v>
      </c>
      <c r="DF23" s="67" t="str">
        <f>'Geo &amp; CIC Deployment Plan'!AH373</f>
        <v>Virtual</v>
      </c>
      <c r="DG23" s="67" t="str">
        <f>'Geo &amp; CIC Deployment Plan'!Z373</f>
        <v>In Progress</v>
      </c>
      <c r="DH23" s="67">
        <f>'Geo &amp; CIC Deployment Plan'!AB373</f>
        <v>0</v>
      </c>
      <c r="DI23" s="67">
        <f>'Geo &amp; CIC Deployment Plan'!AD373</f>
        <v>0</v>
      </c>
      <c r="DJ23" s="67"/>
      <c r="DK23" s="67">
        <f>'Geo &amp; CIC Deployment Plan'!AE373</f>
        <v>0</v>
      </c>
      <c r="DL23" s="67">
        <f>'Geo &amp; CIC Deployment Plan'!AF373</f>
        <v>0</v>
      </c>
      <c r="DM23" s="64">
        <f>'Geo &amp; CIC Deployment Plan'!U373</f>
        <v>27</v>
      </c>
      <c r="DN23" s="64"/>
      <c r="DO23" s="65" t="s">
        <v>987</v>
      </c>
      <c r="DP23" s="65" t="s">
        <v>1011</v>
      </c>
      <c r="DQ23" s="66" t="s">
        <v>1309</v>
      </c>
      <c r="DR23" s="67" t="e">
        <f>'Geo &amp; CIC Deployment Plan'!#REF!</f>
        <v>#REF!</v>
      </c>
      <c r="DS23" s="67" t="e">
        <f>'Geo &amp; CIC Deployment Plan'!#REF!</f>
        <v>#REF!</v>
      </c>
      <c r="DT23" s="67" t="e">
        <f>'Geo &amp; CIC Deployment Plan'!#REF!</f>
        <v>#REF!</v>
      </c>
      <c r="DU23" s="67" t="e">
        <f>'Geo &amp; CIC Deployment Plan'!#REF!</f>
        <v>#REF!</v>
      </c>
      <c r="DV23" s="67" t="e">
        <f>'Geo &amp; CIC Deployment Plan'!#REF!</f>
        <v>#REF!</v>
      </c>
      <c r="DW23" s="67"/>
      <c r="DX23" s="67" t="e">
        <f>'Geo &amp; CIC Deployment Plan'!#REF!</f>
        <v>#REF!</v>
      </c>
      <c r="DY23" s="67" t="e">
        <f>'Geo &amp; CIC Deployment Plan'!#REF!</f>
        <v>#REF!</v>
      </c>
      <c r="DZ23" s="64" t="e">
        <f>'Geo &amp; CIC Deployment Plan'!#REF!</f>
        <v>#REF!</v>
      </c>
      <c r="EA23" s="64"/>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C23" s="48"/>
      <c r="FD23" s="48"/>
      <c r="FE23" s="48"/>
      <c r="FF23" s="48"/>
      <c r="FG23" s="48"/>
      <c r="FH23" s="48"/>
      <c r="FI23" s="48"/>
      <c r="FJ23" s="48"/>
      <c r="FK23" s="48"/>
      <c r="FL23" s="48"/>
      <c r="FM23" s="48"/>
      <c r="FN23" s="48"/>
      <c r="FO23" s="48"/>
      <c r="FP23" s="48"/>
      <c r="FQ23" s="48"/>
      <c r="FR23" s="48"/>
      <c r="FS23" s="48"/>
      <c r="FT23" s="48"/>
      <c r="FU23" s="48"/>
      <c r="FV23" s="48"/>
      <c r="FX23" s="50"/>
      <c r="FY23" s="50"/>
      <c r="FZ23" s="50"/>
      <c r="GA23" s="50"/>
    </row>
    <row r="24" spans="4:185" ht="36">
      <c r="D24" s="65"/>
      <c r="E24" s="65"/>
      <c r="F24" s="65"/>
      <c r="G24" s="65"/>
      <c r="H24" s="65"/>
      <c r="I24" s="65"/>
      <c r="J24" s="65"/>
      <c r="K24" s="65"/>
      <c r="L24" s="65"/>
      <c r="M24" s="65"/>
      <c r="N24" s="65"/>
      <c r="O24" s="65" t="s">
        <v>987</v>
      </c>
      <c r="P24" s="65" t="s">
        <v>1011</v>
      </c>
      <c r="Q24" s="66" t="s">
        <v>1310</v>
      </c>
      <c r="R24" s="64" t="e">
        <f>'Geo &amp; CIC Deployment Plan'!#REF!</f>
        <v>#REF!</v>
      </c>
      <c r="S24" s="64" t="e">
        <f>'Geo &amp; CIC Deployment Plan'!#REF!</f>
        <v>#REF!</v>
      </c>
      <c r="T24" s="64" t="e">
        <f>'Geo &amp; CIC Deployment Plan'!#REF!</f>
        <v>#REF!</v>
      </c>
      <c r="U24" s="64" t="e">
        <f>'Geo &amp; CIC Deployment Plan'!#REF!</f>
        <v>#REF!</v>
      </c>
      <c r="V24" s="64" t="e">
        <f>'Geo &amp; CIC Deployment Plan'!#REF!</f>
        <v>#REF!</v>
      </c>
      <c r="W24" s="64"/>
      <c r="X24" s="64" t="e">
        <f>'Geo &amp; CIC Deployment Plan'!#REF!</f>
        <v>#REF!</v>
      </c>
      <c r="Y24" s="64" t="e">
        <f>'Geo &amp; CIC Deployment Plan'!#REF!</f>
        <v>#REF!</v>
      </c>
      <c r="Z24" s="69" t="e">
        <f>'Geo &amp; CIC Deployment Plan'!#REF!</f>
        <v>#REF!</v>
      </c>
      <c r="AA24" s="69"/>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t="s">
        <v>987</v>
      </c>
      <c r="CC24" s="75" t="s">
        <v>658</v>
      </c>
      <c r="CD24" s="66" t="s">
        <v>1311</v>
      </c>
      <c r="CE24" s="67" t="e">
        <f>'Geo &amp; CIC Deployment Plan'!#REF!</f>
        <v>#REF!</v>
      </c>
      <c r="CF24" s="67" t="e">
        <f>'Geo &amp; CIC Deployment Plan'!#REF!</f>
        <v>#REF!</v>
      </c>
      <c r="CG24" s="67" t="e">
        <f>'Geo &amp; CIC Deployment Plan'!#REF!</f>
        <v>#REF!</v>
      </c>
      <c r="CH24" s="67" t="e">
        <f>'Geo &amp; CIC Deployment Plan'!#REF!</f>
        <v>#REF!</v>
      </c>
      <c r="CI24" s="67" t="e">
        <f>'Geo &amp; CIC Deployment Plan'!#REF!</f>
        <v>#REF!</v>
      </c>
      <c r="CJ24" s="67"/>
      <c r="CK24" s="67" t="e">
        <f>'Geo &amp; CIC Deployment Plan'!#REF!</f>
        <v>#REF!</v>
      </c>
      <c r="CL24" s="67" t="e">
        <f>'Geo &amp; CIC Deployment Plan'!#REF!</f>
        <v>#REF!</v>
      </c>
      <c r="CM24" s="64" t="e">
        <f>'Geo &amp; CIC Deployment Plan'!#REF!</f>
        <v>#REF!</v>
      </c>
      <c r="CN24" s="64"/>
      <c r="CO24" s="65" t="s">
        <v>987</v>
      </c>
      <c r="CP24" s="65" t="s">
        <v>1241</v>
      </c>
      <c r="CQ24" s="66" t="s">
        <v>1312</v>
      </c>
      <c r="CR24" s="67" t="e">
        <f>'Geo &amp; CIC Deployment Plan'!#REF!</f>
        <v>#REF!</v>
      </c>
      <c r="CS24" s="67" t="e">
        <f>'Geo &amp; CIC Deployment Plan'!#REF!</f>
        <v>#REF!</v>
      </c>
      <c r="CT24" s="67" t="e">
        <f>'Geo &amp; CIC Deployment Plan'!#REF!</f>
        <v>#REF!</v>
      </c>
      <c r="CU24" s="67" t="e">
        <f>'Geo &amp; CIC Deployment Plan'!#REF!</f>
        <v>#REF!</v>
      </c>
      <c r="CV24" s="67" t="e">
        <f>'Geo &amp; CIC Deployment Plan'!#REF!</f>
        <v>#REF!</v>
      </c>
      <c r="CW24" s="67"/>
      <c r="CX24" s="67" t="e">
        <f>'Geo &amp; CIC Deployment Plan'!#REF!</f>
        <v>#REF!</v>
      </c>
      <c r="CY24" s="67" t="e">
        <f>'Geo &amp; CIC Deployment Plan'!#REF!</f>
        <v>#REF!</v>
      </c>
      <c r="CZ24" s="64" t="e">
        <f>'Geo &amp; CIC Deployment Plan'!#REF!</f>
        <v>#REF!</v>
      </c>
      <c r="DA24" s="64"/>
      <c r="DB24" s="65"/>
      <c r="DC24" s="65"/>
      <c r="DD24" s="642" t="s">
        <v>1275</v>
      </c>
      <c r="DE24" s="643"/>
      <c r="DF24" s="643"/>
      <c r="DG24" s="643"/>
      <c r="DH24" s="643"/>
      <c r="DI24" s="643"/>
      <c r="DJ24" s="643"/>
      <c r="DK24" s="643"/>
      <c r="DL24" s="643"/>
      <c r="DM24" s="643"/>
      <c r="DN24" s="644"/>
      <c r="DO24" s="65"/>
      <c r="DP24" s="65"/>
      <c r="DQ24" s="642" t="s">
        <v>1313</v>
      </c>
      <c r="DR24" s="643"/>
      <c r="DS24" s="643"/>
      <c r="DT24" s="643"/>
      <c r="DU24" s="643"/>
      <c r="DV24" s="643"/>
      <c r="DW24" s="643"/>
      <c r="DX24" s="643"/>
      <c r="DY24" s="643"/>
      <c r="DZ24" s="643"/>
      <c r="EA24" s="644"/>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C24" s="48"/>
      <c r="FD24" s="48"/>
      <c r="FE24" s="48"/>
      <c r="FF24" s="48"/>
      <c r="FG24" s="48"/>
      <c r="FH24" s="48"/>
      <c r="FI24" s="48"/>
      <c r="FJ24" s="48"/>
      <c r="FK24" s="48"/>
      <c r="FL24" s="48"/>
      <c r="FM24" s="48"/>
      <c r="FN24" s="48"/>
      <c r="FO24" s="48"/>
      <c r="FP24" s="48"/>
      <c r="FQ24" s="48"/>
      <c r="FR24" s="48"/>
      <c r="FS24" s="48"/>
      <c r="FT24" s="48"/>
      <c r="FU24" s="48"/>
      <c r="FV24" s="48"/>
      <c r="FX24" s="50"/>
      <c r="FY24" s="50"/>
      <c r="FZ24" s="50"/>
      <c r="GA24" s="50"/>
    </row>
    <row r="25" spans="4:185" ht="24">
      <c r="D25" s="65"/>
      <c r="E25" s="65"/>
      <c r="F25" s="65"/>
      <c r="G25" s="65"/>
      <c r="H25" s="65"/>
      <c r="I25" s="65"/>
      <c r="J25" s="65"/>
      <c r="K25" s="65"/>
      <c r="L25" s="65"/>
      <c r="M25" s="65"/>
      <c r="N25" s="65"/>
      <c r="O25" s="65"/>
      <c r="P25" s="65"/>
      <c r="Q25" s="642" t="s">
        <v>1213</v>
      </c>
      <c r="R25" s="643"/>
      <c r="S25" s="643"/>
      <c r="T25" s="643"/>
      <c r="U25" s="643"/>
      <c r="V25" s="643"/>
      <c r="W25" s="643"/>
      <c r="X25" s="643"/>
      <c r="Y25" s="643"/>
      <c r="Z25" s="643"/>
      <c r="AA25" s="644"/>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65"/>
      <c r="BO25" s="65"/>
      <c r="BP25" s="65"/>
      <c r="BQ25" s="65"/>
      <c r="BR25" s="65"/>
      <c r="BS25" s="65"/>
      <c r="BT25" s="65"/>
      <c r="BU25" s="65"/>
      <c r="BV25" s="65"/>
      <c r="BW25" s="65"/>
      <c r="BX25" s="65"/>
      <c r="BY25" s="65"/>
      <c r="BZ25" s="65"/>
      <c r="CA25" s="65"/>
      <c r="CB25" s="65"/>
      <c r="CC25" s="75"/>
      <c r="CD25" s="73"/>
      <c r="CE25" s="74"/>
      <c r="CF25" s="74"/>
      <c r="CG25" s="74"/>
      <c r="CH25" s="74"/>
      <c r="CI25" s="74"/>
      <c r="CJ25" s="74"/>
      <c r="CK25" s="74"/>
      <c r="CL25" s="74"/>
      <c r="CM25" s="65"/>
      <c r="CN25" s="65"/>
      <c r="CO25" s="65"/>
      <c r="CP25" s="65"/>
      <c r="CQ25" s="642" t="s">
        <v>1196</v>
      </c>
      <c r="CR25" s="643"/>
      <c r="CS25" s="643"/>
      <c r="CT25" s="643"/>
      <c r="CU25" s="643"/>
      <c r="CV25" s="643"/>
      <c r="CW25" s="643"/>
      <c r="CX25" s="643"/>
      <c r="CY25" s="643"/>
      <c r="CZ25" s="643"/>
      <c r="DA25" s="644"/>
      <c r="DB25" s="65" t="s">
        <v>1205</v>
      </c>
      <c r="DC25" s="65" t="s">
        <v>1278</v>
      </c>
      <c r="DD25" s="66" t="s">
        <v>1314</v>
      </c>
      <c r="DE25" s="67" t="e">
        <f>'Geo &amp; CIC Deployment Plan'!#REF!</f>
        <v>#REF!</v>
      </c>
      <c r="DF25" s="67" t="e">
        <f>'Geo &amp; CIC Deployment Plan'!#REF!</f>
        <v>#REF!</v>
      </c>
      <c r="DG25" s="67" t="e">
        <f>'Geo &amp; CIC Deployment Plan'!#REF!</f>
        <v>#REF!</v>
      </c>
      <c r="DH25" s="67" t="e">
        <f>'Geo &amp; CIC Deployment Plan'!#REF!</f>
        <v>#REF!</v>
      </c>
      <c r="DI25" s="67" t="e">
        <f>'Geo &amp; CIC Deployment Plan'!#REF!</f>
        <v>#REF!</v>
      </c>
      <c r="DJ25" s="67"/>
      <c r="DK25" s="67" t="e">
        <f>'Geo &amp; CIC Deployment Plan'!#REF!</f>
        <v>#REF!</v>
      </c>
      <c r="DL25" s="67" t="e">
        <f>'Geo &amp; CIC Deployment Plan'!#REF!</f>
        <v>#REF!</v>
      </c>
      <c r="DM25" s="64" t="e">
        <f>'Geo &amp; CIC Deployment Plan'!#REF!</f>
        <v>#REF!</v>
      </c>
      <c r="DN25" s="64"/>
      <c r="DO25" s="65" t="s">
        <v>987</v>
      </c>
      <c r="DP25" s="65" t="s">
        <v>1048</v>
      </c>
      <c r="DQ25" s="66" t="s">
        <v>1315</v>
      </c>
      <c r="DR25" s="67" t="e">
        <f>'Geo &amp; CIC Deployment Plan'!#REF!</f>
        <v>#REF!</v>
      </c>
      <c r="DS25" s="67" t="e">
        <f>'Geo &amp; CIC Deployment Plan'!#REF!</f>
        <v>#REF!</v>
      </c>
      <c r="DT25" s="67" t="e">
        <f>'Geo &amp; CIC Deployment Plan'!#REF!</f>
        <v>#REF!</v>
      </c>
      <c r="DU25" s="67" t="e">
        <f>'Geo &amp; CIC Deployment Plan'!#REF!</f>
        <v>#REF!</v>
      </c>
      <c r="DV25" s="67" t="e">
        <f>'Geo &amp; CIC Deployment Plan'!#REF!</f>
        <v>#REF!</v>
      </c>
      <c r="DW25" s="67"/>
      <c r="DX25" s="67" t="e">
        <f>'Geo &amp; CIC Deployment Plan'!#REF!</f>
        <v>#REF!</v>
      </c>
      <c r="DY25" s="67" t="e">
        <f>'Geo &amp; CIC Deployment Plan'!#REF!</f>
        <v>#REF!</v>
      </c>
      <c r="DZ25" s="64" t="e">
        <f>'Geo &amp; CIC Deployment Plan'!#REF!</f>
        <v>#REF!</v>
      </c>
      <c r="EA25" s="64"/>
      <c r="EB25" s="65"/>
      <c r="EC25" s="65"/>
      <c r="ED25" s="65"/>
      <c r="EE25" s="65"/>
      <c r="EF25" s="65"/>
      <c r="EG25" s="65"/>
      <c r="EH25" s="65"/>
      <c r="EI25" s="65"/>
      <c r="EJ25" s="65"/>
      <c r="EK25" s="65"/>
      <c r="EL25" s="65"/>
      <c r="EM25" s="65"/>
      <c r="EN25" s="65"/>
      <c r="EO25" s="65"/>
      <c r="EP25" s="65"/>
      <c r="EQ25" s="65"/>
      <c r="ER25" s="65"/>
      <c r="ES25" s="65"/>
      <c r="ET25" s="65"/>
      <c r="EU25" s="65"/>
      <c r="EV25" s="65"/>
      <c r="EW25" s="65"/>
      <c r="EX25" s="65"/>
      <c r="EY25" s="65"/>
      <c r="EZ25" s="65"/>
      <c r="FA25" s="65"/>
      <c r="FC25" s="48"/>
      <c r="FD25" s="48"/>
      <c r="FE25" s="48"/>
      <c r="FF25" s="48"/>
      <c r="FG25" s="48"/>
      <c r="FH25" s="48"/>
      <c r="FI25" s="48"/>
      <c r="FJ25" s="48"/>
      <c r="FK25" s="48"/>
      <c r="FL25" s="48"/>
      <c r="FM25" s="48"/>
      <c r="FN25" s="48"/>
      <c r="FO25" s="48"/>
      <c r="FP25" s="48"/>
      <c r="FQ25" s="48"/>
      <c r="FR25" s="48"/>
      <c r="FS25" s="48"/>
      <c r="FT25" s="48"/>
      <c r="FU25" s="48"/>
      <c r="FV25" s="48"/>
      <c r="FX25" s="50"/>
      <c r="FY25" s="50"/>
      <c r="FZ25" s="50"/>
      <c r="GA25" s="50"/>
    </row>
    <row r="26" spans="4:185" ht="24">
      <c r="D26" s="65"/>
      <c r="E26" s="65"/>
      <c r="F26" s="65"/>
      <c r="G26" s="65"/>
      <c r="H26" s="65"/>
      <c r="I26" s="65"/>
      <c r="J26" s="65"/>
      <c r="K26" s="65"/>
      <c r="L26" s="65"/>
      <c r="M26" s="65"/>
      <c r="N26" s="65"/>
      <c r="O26" s="65" t="s">
        <v>987</v>
      </c>
      <c r="P26" s="65" t="s">
        <v>658</v>
      </c>
      <c r="Q26" s="66" t="s">
        <v>1316</v>
      </c>
      <c r="R26" s="64" t="e">
        <f>'Geo &amp; CIC Deployment Plan'!#REF!</f>
        <v>#REF!</v>
      </c>
      <c r="S26" s="64" t="e">
        <f>'Geo &amp; CIC Deployment Plan'!#REF!</f>
        <v>#REF!</v>
      </c>
      <c r="T26" s="64" t="e">
        <f>'Geo &amp; CIC Deployment Plan'!#REF!</f>
        <v>#REF!</v>
      </c>
      <c r="U26" s="64" t="e">
        <f>'Geo &amp; CIC Deployment Plan'!#REF!</f>
        <v>#REF!</v>
      </c>
      <c r="V26" s="64" t="e">
        <f>'Geo &amp; CIC Deployment Plan'!#REF!</f>
        <v>#REF!</v>
      </c>
      <c r="W26" s="64"/>
      <c r="X26" s="64" t="e">
        <f>'Geo &amp; CIC Deployment Plan'!#REF!</f>
        <v>#REF!</v>
      </c>
      <c r="Y26" s="64" t="e">
        <f>'Geo &amp; CIC Deployment Plan'!#REF!</f>
        <v>#REF!</v>
      </c>
      <c r="Z26" s="69" t="e">
        <f>'Geo &amp; CIC Deployment Plan'!#REF!</f>
        <v>#REF!</v>
      </c>
      <c r="AA26" s="69"/>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c r="BO26" s="65"/>
      <c r="BP26" s="65"/>
      <c r="BQ26" s="65"/>
      <c r="BR26" s="65"/>
      <c r="BS26" s="65"/>
      <c r="BT26" s="65"/>
      <c r="BU26" s="65"/>
      <c r="BV26" s="65"/>
      <c r="BW26" s="65"/>
      <c r="BX26" s="65"/>
      <c r="BY26" s="65"/>
      <c r="BZ26" s="65"/>
      <c r="CA26" s="65"/>
      <c r="CB26" s="65"/>
      <c r="CC26" s="75"/>
      <c r="CD26" s="73"/>
      <c r="CE26" s="74"/>
      <c r="CF26" s="74"/>
      <c r="CG26" s="74"/>
      <c r="CH26" s="74"/>
      <c r="CI26" s="74"/>
      <c r="CJ26" s="74"/>
      <c r="CK26" s="74"/>
      <c r="CL26" s="74"/>
      <c r="CM26" s="65"/>
      <c r="CN26" s="65"/>
      <c r="CO26" s="65" t="s">
        <v>987</v>
      </c>
      <c r="CP26" s="65" t="s">
        <v>903</v>
      </c>
      <c r="CQ26" s="66" t="s">
        <v>1317</v>
      </c>
      <c r="CR26" s="67" t="e">
        <f>'Geo &amp; CIC Deployment Plan'!#REF!</f>
        <v>#REF!</v>
      </c>
      <c r="CS26" s="67" t="e">
        <f>'Geo &amp; CIC Deployment Plan'!#REF!</f>
        <v>#REF!</v>
      </c>
      <c r="CT26" s="67" t="e">
        <f>'Geo &amp; CIC Deployment Plan'!#REF!</f>
        <v>#REF!</v>
      </c>
      <c r="CU26" s="67" t="e">
        <f>'Geo &amp; CIC Deployment Plan'!#REF!</f>
        <v>#REF!</v>
      </c>
      <c r="CV26" s="67" t="e">
        <f>'Geo &amp; CIC Deployment Plan'!#REF!</f>
        <v>#REF!</v>
      </c>
      <c r="CW26" s="67"/>
      <c r="CX26" s="67" t="e">
        <f>'Geo &amp; CIC Deployment Plan'!#REF!</f>
        <v>#REF!</v>
      </c>
      <c r="CY26" s="67" t="e">
        <f>'Geo &amp; CIC Deployment Plan'!#REF!</f>
        <v>#REF!</v>
      </c>
      <c r="CZ26" s="64" t="e">
        <f>'Geo &amp; CIC Deployment Plan'!#REF!</f>
        <v>#REF!</v>
      </c>
      <c r="DA26" s="64"/>
      <c r="DB26" s="65"/>
      <c r="DC26" s="65"/>
      <c r="DD26" s="642" t="s">
        <v>1213</v>
      </c>
      <c r="DE26" s="643"/>
      <c r="DF26" s="643"/>
      <c r="DG26" s="643"/>
      <c r="DH26" s="643"/>
      <c r="DI26" s="643"/>
      <c r="DJ26" s="643"/>
      <c r="DK26" s="643"/>
      <c r="DL26" s="643"/>
      <c r="DM26" s="643"/>
      <c r="DN26" s="644"/>
      <c r="DO26" s="65"/>
      <c r="DP26" s="65"/>
      <c r="DQ26" s="642" t="s">
        <v>1214</v>
      </c>
      <c r="DR26" s="643"/>
      <c r="DS26" s="643"/>
      <c r="DT26" s="643"/>
      <c r="DU26" s="643"/>
      <c r="DV26" s="643"/>
      <c r="DW26" s="643"/>
      <c r="DX26" s="643"/>
      <c r="DY26" s="643"/>
      <c r="DZ26" s="643"/>
      <c r="EA26" s="644"/>
      <c r="EB26" s="65"/>
      <c r="EC26" s="65"/>
      <c r="ED26" s="65"/>
      <c r="EE26" s="65"/>
      <c r="EF26" s="65"/>
      <c r="EG26" s="65"/>
      <c r="EH26" s="65"/>
      <c r="EI26" s="65"/>
      <c r="EJ26" s="65"/>
      <c r="EK26" s="65"/>
      <c r="EL26" s="65"/>
      <c r="EM26" s="65"/>
      <c r="EN26" s="65"/>
      <c r="EO26" s="65"/>
      <c r="EP26" s="65"/>
      <c r="EQ26" s="65"/>
      <c r="ER26" s="65"/>
      <c r="ES26" s="65"/>
      <c r="ET26" s="65"/>
      <c r="EU26" s="65"/>
      <c r="EV26" s="65"/>
      <c r="EW26" s="65"/>
      <c r="EX26" s="65"/>
      <c r="EY26" s="65"/>
      <c r="EZ26" s="65"/>
      <c r="FA26" s="65"/>
      <c r="FC26" s="48"/>
      <c r="FD26" s="48"/>
      <c r="FE26" s="48"/>
      <c r="FF26" s="48"/>
      <c r="FG26" s="48"/>
      <c r="FH26" s="48"/>
      <c r="FI26" s="48"/>
      <c r="FJ26" s="48"/>
      <c r="FK26" s="48"/>
      <c r="FL26" s="48"/>
      <c r="FM26" s="48"/>
      <c r="FN26" s="48"/>
      <c r="FO26" s="48"/>
      <c r="FP26" s="48"/>
      <c r="FQ26" s="48"/>
      <c r="FR26" s="48"/>
      <c r="FS26" s="48"/>
      <c r="FT26" s="48"/>
      <c r="FU26" s="48"/>
      <c r="FV26" s="48"/>
      <c r="FX26" s="50"/>
      <c r="FY26" s="50"/>
      <c r="FZ26" s="50"/>
      <c r="GA26" s="50"/>
    </row>
    <row r="27" spans="4:185" ht="36">
      <c r="D27" s="65"/>
      <c r="E27" s="65"/>
      <c r="F27" s="65"/>
      <c r="G27" s="65"/>
      <c r="H27" s="65"/>
      <c r="I27" s="65"/>
      <c r="J27" s="65"/>
      <c r="K27" s="65"/>
      <c r="L27" s="65"/>
      <c r="M27" s="65"/>
      <c r="N27" s="65"/>
      <c r="O27" s="65"/>
      <c r="P27" s="65"/>
      <c r="Q27" s="642" t="s">
        <v>1193</v>
      </c>
      <c r="R27" s="643"/>
      <c r="S27" s="643"/>
      <c r="T27" s="643"/>
      <c r="U27" s="643"/>
      <c r="V27" s="643"/>
      <c r="W27" s="643"/>
      <c r="X27" s="643"/>
      <c r="Y27" s="643"/>
      <c r="Z27" s="643"/>
      <c r="AA27" s="644"/>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65"/>
      <c r="BO27" s="65"/>
      <c r="BP27" s="65"/>
      <c r="BQ27" s="65"/>
      <c r="BR27" s="65"/>
      <c r="BS27" s="65"/>
      <c r="BT27" s="65"/>
      <c r="BU27" s="65"/>
      <c r="BV27" s="65"/>
      <c r="BW27" s="65"/>
      <c r="BX27" s="65"/>
      <c r="BY27" s="65"/>
      <c r="BZ27" s="65"/>
      <c r="CA27" s="65"/>
      <c r="CB27" s="65"/>
      <c r="CC27" s="75"/>
      <c r="CD27" s="73"/>
      <c r="CE27" s="74"/>
      <c r="CF27" s="74"/>
      <c r="CG27" s="74"/>
      <c r="CH27" s="74"/>
      <c r="CI27" s="74"/>
      <c r="CJ27" s="74"/>
      <c r="CK27" s="74"/>
      <c r="CL27" s="74"/>
      <c r="CM27" s="65"/>
      <c r="CN27" s="65"/>
      <c r="CO27" s="65" t="s">
        <v>987</v>
      </c>
      <c r="CP27" s="65" t="s">
        <v>903</v>
      </c>
      <c r="CQ27" s="66" t="s">
        <v>1318</v>
      </c>
      <c r="CR27" s="67" t="e">
        <f>'Geo &amp; CIC Deployment Plan'!#REF!</f>
        <v>#REF!</v>
      </c>
      <c r="CS27" s="67" t="e">
        <f>'Geo &amp; CIC Deployment Plan'!#REF!</f>
        <v>#REF!</v>
      </c>
      <c r="CT27" s="67" t="e">
        <f>'Geo &amp; CIC Deployment Plan'!#REF!</f>
        <v>#REF!</v>
      </c>
      <c r="CU27" s="67" t="e">
        <f>'Geo &amp; CIC Deployment Plan'!#REF!</f>
        <v>#REF!</v>
      </c>
      <c r="CV27" s="67" t="e">
        <f>'Geo &amp; CIC Deployment Plan'!#REF!</f>
        <v>#REF!</v>
      </c>
      <c r="CW27" s="67"/>
      <c r="CX27" s="67" t="e">
        <f>'Geo &amp; CIC Deployment Plan'!#REF!</f>
        <v>#REF!</v>
      </c>
      <c r="CY27" s="67" t="e">
        <f>'Geo &amp; CIC Deployment Plan'!#REF!</f>
        <v>#REF!</v>
      </c>
      <c r="CZ27" s="64" t="e">
        <f>'Geo &amp; CIC Deployment Plan'!#REF!</f>
        <v>#REF!</v>
      </c>
      <c r="DA27" s="64"/>
      <c r="DB27" s="65" t="s">
        <v>987</v>
      </c>
      <c r="DC27" s="65" t="s">
        <v>658</v>
      </c>
      <c r="DD27" s="66" t="s">
        <v>1319</v>
      </c>
      <c r="DE27" s="67" t="e">
        <f>'Geo &amp; CIC Deployment Plan'!#REF!</f>
        <v>#REF!</v>
      </c>
      <c r="DF27" s="67" t="e">
        <f>'Geo &amp; CIC Deployment Plan'!#REF!</f>
        <v>#REF!</v>
      </c>
      <c r="DG27" s="67" t="e">
        <f>'Geo &amp; CIC Deployment Plan'!#REF!</f>
        <v>#REF!</v>
      </c>
      <c r="DH27" s="67" t="e">
        <f>'Geo &amp; CIC Deployment Plan'!#REF!</f>
        <v>#REF!</v>
      </c>
      <c r="DI27" s="67" t="e">
        <f>'Geo &amp; CIC Deployment Plan'!#REF!</f>
        <v>#REF!</v>
      </c>
      <c r="DJ27" s="67"/>
      <c r="DK27" s="67" t="e">
        <f>'Geo &amp; CIC Deployment Plan'!#REF!</f>
        <v>#REF!</v>
      </c>
      <c r="DL27" s="67" t="e">
        <f>'Geo &amp; CIC Deployment Plan'!#REF!</f>
        <v>#REF!</v>
      </c>
      <c r="DM27" s="64" t="e">
        <f>'Geo &amp; CIC Deployment Plan'!#REF!</f>
        <v>#REF!</v>
      </c>
      <c r="DN27" s="64"/>
      <c r="DO27" s="65" t="s">
        <v>1205</v>
      </c>
      <c r="DP27" s="65" t="s">
        <v>928</v>
      </c>
      <c r="DQ27" s="66" t="s">
        <v>1320</v>
      </c>
      <c r="DR27" s="67" t="str">
        <f>'Geo &amp; CIC Deployment Plan'!AG$374</f>
        <v>New GBS Associates Induction</v>
      </c>
      <c r="DS27" s="67" t="str">
        <f>'Geo &amp; CIC Deployment Plan'!AH$374</f>
        <v>Virtual</v>
      </c>
      <c r="DT27" s="67" t="str">
        <f>'Geo &amp; CIC Deployment Plan'!Z$374</f>
        <v>In Progress</v>
      </c>
      <c r="DU27" s="67">
        <f>'Geo &amp; CIC Deployment Plan'!AB$374</f>
        <v>0</v>
      </c>
      <c r="DV27" s="67">
        <f>'Geo &amp; CIC Deployment Plan'!AD$374</f>
        <v>0</v>
      </c>
      <c r="DW27" s="67"/>
      <c r="DX27" s="67">
        <f>'Geo &amp; CIC Deployment Plan'!AE$374</f>
        <v>0</v>
      </c>
      <c r="DY27" s="67">
        <f>'Geo &amp; CIC Deployment Plan'!AF$374</f>
        <v>0</v>
      </c>
      <c r="DZ27" s="64">
        <f>'Geo &amp; CIC Deployment Plan'!U374</f>
        <v>29</v>
      </c>
      <c r="EA27" s="64"/>
      <c r="EB27" s="65"/>
      <c r="EC27" s="65"/>
      <c r="ED27" s="65"/>
      <c r="EE27" s="65"/>
      <c r="EF27" s="65"/>
      <c r="EG27" s="65"/>
      <c r="EH27" s="65"/>
      <c r="EI27" s="65"/>
      <c r="EJ27" s="65"/>
      <c r="EK27" s="65"/>
      <c r="EL27" s="65"/>
      <c r="EM27" s="65"/>
      <c r="EN27" s="65"/>
      <c r="EO27" s="65"/>
      <c r="EP27" s="65"/>
      <c r="EQ27" s="65"/>
      <c r="ER27" s="65"/>
      <c r="ES27" s="65"/>
      <c r="ET27" s="65"/>
      <c r="EU27" s="65"/>
      <c r="EV27" s="65"/>
      <c r="EW27" s="65"/>
      <c r="EX27" s="65"/>
      <c r="EY27" s="65"/>
      <c r="EZ27" s="65"/>
      <c r="FA27" s="65"/>
      <c r="FC27" s="48"/>
      <c r="FD27" s="48"/>
      <c r="FE27" s="48"/>
      <c r="FF27" s="48"/>
      <c r="FG27" s="48"/>
      <c r="FH27" s="48"/>
      <c r="FI27" s="48"/>
      <c r="FJ27" s="48"/>
      <c r="FK27" s="48"/>
      <c r="FL27" s="48"/>
      <c r="FM27" s="48"/>
      <c r="FN27" s="48"/>
      <c r="FO27" s="48"/>
      <c r="FP27" s="48"/>
      <c r="FQ27" s="48"/>
      <c r="FR27" s="48"/>
      <c r="FS27" s="48"/>
      <c r="FT27" s="48"/>
      <c r="FU27" s="48"/>
      <c r="FV27" s="48"/>
      <c r="FX27" s="50"/>
      <c r="FY27" s="50"/>
      <c r="FZ27" s="50"/>
      <c r="GA27" s="50"/>
    </row>
    <row r="28" spans="4:185" ht="36" customHeight="1">
      <c r="D28" s="65"/>
      <c r="E28" s="65"/>
      <c r="F28" s="65"/>
      <c r="G28" s="65"/>
      <c r="H28" s="65"/>
      <c r="I28" s="65"/>
      <c r="J28" s="65"/>
      <c r="K28" s="65"/>
      <c r="L28" s="65"/>
      <c r="M28" s="65"/>
      <c r="N28" s="65"/>
      <c r="O28" s="65" t="s">
        <v>987</v>
      </c>
      <c r="P28" s="65" t="s">
        <v>1011</v>
      </c>
      <c r="Q28" s="66" t="s">
        <v>1321</v>
      </c>
      <c r="R28" s="64" t="e">
        <f>'Geo &amp; CIC Deployment Plan'!#REF!</f>
        <v>#REF!</v>
      </c>
      <c r="S28" s="64" t="e">
        <f>'Geo &amp; CIC Deployment Plan'!#REF!</f>
        <v>#REF!</v>
      </c>
      <c r="T28" s="64" t="e">
        <f>'Geo &amp; CIC Deployment Plan'!#REF!</f>
        <v>#REF!</v>
      </c>
      <c r="U28" s="64" t="e">
        <f>'Geo &amp; CIC Deployment Plan'!#REF!</f>
        <v>#REF!</v>
      </c>
      <c r="V28" s="64" t="e">
        <f>'Geo &amp; CIC Deployment Plan'!#REF!</f>
        <v>#REF!</v>
      </c>
      <c r="W28" s="64"/>
      <c r="X28" s="64" t="e">
        <f>'Geo &amp; CIC Deployment Plan'!#REF!</f>
        <v>#REF!</v>
      </c>
      <c r="Y28" s="64" t="e">
        <f>'Geo &amp; CIC Deployment Plan'!#REF!</f>
        <v>#REF!</v>
      </c>
      <c r="Z28" s="69" t="e">
        <f>'Geo &amp; CIC Deployment Plan'!#REF!</f>
        <v>#REF!</v>
      </c>
      <c r="AA28" s="69"/>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65"/>
      <c r="BO28" s="65"/>
      <c r="BP28" s="65"/>
      <c r="BQ28" s="65"/>
      <c r="BR28" s="65"/>
      <c r="BS28" s="65"/>
      <c r="BT28" s="65"/>
      <c r="BU28" s="65"/>
      <c r="BV28" s="65"/>
      <c r="BW28" s="65"/>
      <c r="BX28" s="65"/>
      <c r="BY28" s="65"/>
      <c r="BZ28" s="65"/>
      <c r="CA28" s="65"/>
      <c r="CB28" s="65"/>
      <c r="CC28" s="75"/>
      <c r="CD28" s="72"/>
      <c r="CE28" s="65"/>
      <c r="CF28" s="65"/>
      <c r="CG28" s="65"/>
      <c r="CH28" s="65"/>
      <c r="CI28" s="65"/>
      <c r="CJ28" s="65"/>
      <c r="CK28" s="65"/>
      <c r="CL28" s="65"/>
      <c r="CM28" s="65"/>
      <c r="CN28" s="65"/>
      <c r="CO28" s="65"/>
      <c r="CP28" s="65"/>
      <c r="CQ28" s="642" t="s">
        <v>1214</v>
      </c>
      <c r="CR28" s="643"/>
      <c r="CS28" s="643"/>
      <c r="CT28" s="643"/>
      <c r="CU28" s="643"/>
      <c r="CV28" s="643"/>
      <c r="CW28" s="643"/>
      <c r="CX28" s="643"/>
      <c r="CY28" s="643"/>
      <c r="CZ28" s="643"/>
      <c r="DA28" s="644"/>
      <c r="DB28" s="65"/>
      <c r="DC28" s="65"/>
      <c r="DD28" s="642" t="s">
        <v>1193</v>
      </c>
      <c r="DE28" s="643"/>
      <c r="DF28" s="643"/>
      <c r="DG28" s="643"/>
      <c r="DH28" s="643"/>
      <c r="DI28" s="643"/>
      <c r="DJ28" s="643"/>
      <c r="DK28" s="643"/>
      <c r="DL28" s="643"/>
      <c r="DM28" s="643"/>
      <c r="DN28" s="644"/>
      <c r="DO28" s="65"/>
      <c r="DP28" s="65"/>
      <c r="DQ28" s="642" t="s">
        <v>1229</v>
      </c>
      <c r="DR28" s="643"/>
      <c r="DS28" s="643"/>
      <c r="DT28" s="643"/>
      <c r="DU28" s="643"/>
      <c r="DV28" s="643"/>
      <c r="DW28" s="643"/>
      <c r="DX28" s="643"/>
      <c r="DY28" s="643"/>
      <c r="DZ28" s="643"/>
      <c r="EA28" s="644"/>
      <c r="EB28" s="65"/>
      <c r="EC28" s="65"/>
      <c r="ED28" s="65"/>
      <c r="EE28" s="65"/>
      <c r="EF28" s="65"/>
      <c r="EG28" s="65"/>
      <c r="EH28" s="65"/>
      <c r="EI28" s="65"/>
      <c r="EJ28" s="65"/>
      <c r="EK28" s="65"/>
      <c r="EL28" s="65"/>
      <c r="EM28" s="65"/>
      <c r="EN28" s="65"/>
      <c r="EO28" s="65"/>
      <c r="EP28" s="65"/>
      <c r="EQ28" s="65"/>
      <c r="ER28" s="65"/>
      <c r="ES28" s="65"/>
      <c r="ET28" s="65"/>
      <c r="EU28" s="65"/>
      <c r="EV28" s="65"/>
      <c r="EW28" s="65"/>
      <c r="EX28" s="65"/>
      <c r="EY28" s="65"/>
      <c r="EZ28" s="65"/>
      <c r="FA28" s="65"/>
      <c r="FC28" s="48"/>
      <c r="FD28" s="48"/>
      <c r="FE28" s="48"/>
      <c r="FF28" s="48"/>
      <c r="FG28" s="48"/>
      <c r="FH28" s="48"/>
      <c r="FI28" s="48"/>
      <c r="FJ28" s="48"/>
      <c r="FK28" s="48"/>
      <c r="FL28" s="48"/>
      <c r="FM28" s="48"/>
      <c r="FN28" s="48"/>
      <c r="FO28" s="48"/>
      <c r="FP28" s="48"/>
      <c r="FQ28" s="48"/>
      <c r="FR28" s="48"/>
      <c r="FS28" s="48"/>
      <c r="FT28" s="48"/>
      <c r="FU28" s="48"/>
      <c r="FV28" s="48"/>
      <c r="FX28" s="50"/>
      <c r="FY28" s="50"/>
      <c r="FZ28" s="50"/>
      <c r="GA28" s="50"/>
    </row>
    <row r="29" spans="4:185" s="35" customFormat="1" ht="24">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65"/>
      <c r="AR29" s="65"/>
      <c r="AS29" s="65"/>
      <c r="AT29" s="65"/>
      <c r="AU29" s="65"/>
      <c r="AV29" s="65"/>
      <c r="AW29" s="65"/>
      <c r="AX29" s="65"/>
      <c r="AY29" s="65"/>
      <c r="AZ29" s="65"/>
      <c r="BA29" s="65"/>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65"/>
      <c r="CC29" s="75"/>
      <c r="CD29" s="73"/>
      <c r="CE29" s="74"/>
      <c r="CF29" s="74"/>
      <c r="CG29" s="74"/>
      <c r="CH29" s="74"/>
      <c r="CI29" s="74"/>
      <c r="CJ29" s="74"/>
      <c r="CK29" s="74"/>
      <c r="CL29" s="74"/>
      <c r="CM29" s="65"/>
      <c r="CN29" s="65"/>
      <c r="CO29" s="65" t="s">
        <v>1205</v>
      </c>
      <c r="CP29" s="65" t="s">
        <v>928</v>
      </c>
      <c r="CQ29" s="77" t="s">
        <v>1322</v>
      </c>
      <c r="CR29" s="67" t="e">
        <f>'Geo &amp; CIC Deployment Plan'!#REF!</f>
        <v>#REF!</v>
      </c>
      <c r="CS29" s="67" t="e">
        <f>'Geo &amp; CIC Deployment Plan'!#REF!</f>
        <v>#REF!</v>
      </c>
      <c r="CT29" s="67" t="e">
        <f>'Geo &amp; CIC Deployment Plan'!#REF!</f>
        <v>#REF!</v>
      </c>
      <c r="CU29" s="67" t="e">
        <f>'Geo &amp; CIC Deployment Plan'!#REF!</f>
        <v>#REF!</v>
      </c>
      <c r="CV29" s="67" t="e">
        <f>'Geo &amp; CIC Deployment Plan'!#REF!</f>
        <v>#REF!</v>
      </c>
      <c r="CW29" s="67"/>
      <c r="CX29" s="67" t="e">
        <f>'Geo &amp; CIC Deployment Plan'!#REF!</f>
        <v>#REF!</v>
      </c>
      <c r="CY29" s="67" t="e">
        <f>'Geo &amp; CIC Deployment Plan'!#REF!</f>
        <v>#REF!</v>
      </c>
      <c r="CZ29" s="69" t="e">
        <f>'Geo &amp; CIC Deployment Plan'!#REF!</f>
        <v>#REF!</v>
      </c>
      <c r="DA29" s="69"/>
      <c r="DB29" s="65" t="s">
        <v>987</v>
      </c>
      <c r="DC29" s="65" t="s">
        <v>1011</v>
      </c>
      <c r="DD29" s="77" t="s">
        <v>1323</v>
      </c>
      <c r="DE29" s="67" t="e">
        <f>'Geo &amp; CIC Deployment Plan'!#REF!</f>
        <v>#REF!</v>
      </c>
      <c r="DF29" s="67" t="e">
        <f>'Geo &amp; CIC Deployment Plan'!#REF!</f>
        <v>#REF!</v>
      </c>
      <c r="DG29" s="67" t="e">
        <f>'Geo &amp; CIC Deployment Plan'!#REF!</f>
        <v>#REF!</v>
      </c>
      <c r="DH29" s="67" t="e">
        <f>'Geo &amp; CIC Deployment Plan'!#REF!</f>
        <v>#REF!</v>
      </c>
      <c r="DI29" s="67" t="e">
        <f>'Geo &amp; CIC Deployment Plan'!#REF!</f>
        <v>#REF!</v>
      </c>
      <c r="DJ29" s="67"/>
      <c r="DK29" s="67" t="e">
        <f>'Geo &amp; CIC Deployment Plan'!#REF!</f>
        <v>#REF!</v>
      </c>
      <c r="DL29" s="67" t="e">
        <f>'Geo &amp; CIC Deployment Plan'!#REF!</f>
        <v>#REF!</v>
      </c>
      <c r="DM29" s="69" t="e">
        <f>'Geo &amp; CIC Deployment Plan'!#REF!</f>
        <v>#REF!</v>
      </c>
      <c r="DN29" s="69"/>
      <c r="DO29" s="65" t="s">
        <v>1205</v>
      </c>
      <c r="DP29" s="65" t="s">
        <v>929</v>
      </c>
      <c r="DQ29" s="77" t="s">
        <v>1324</v>
      </c>
      <c r="DR29" s="67" t="str">
        <f>'Geo &amp; CIC Deployment Plan'!AG$400</f>
        <v>New GBS Associates Induction</v>
      </c>
      <c r="DS29" s="67" t="str">
        <f>'Geo &amp; CIC Deployment Plan'!AH$400</f>
        <v>Virtual</v>
      </c>
      <c r="DT29" s="67" t="str">
        <f>'Geo &amp; CIC Deployment Plan'!Z$400</f>
        <v>In Progress</v>
      </c>
      <c r="DU29" s="67">
        <f>'Geo &amp; CIC Deployment Plan'!AB$400</f>
        <v>0</v>
      </c>
      <c r="DV29" s="67">
        <f>'Geo &amp; CIC Deployment Plan'!AD$400</f>
        <v>0</v>
      </c>
      <c r="DW29" s="67"/>
      <c r="DX29" s="67">
        <f>'Geo &amp; CIC Deployment Plan'!AE$400</f>
        <v>0</v>
      </c>
      <c r="DY29" s="67">
        <f>'Geo &amp; CIC Deployment Plan'!AF$400</f>
        <v>0</v>
      </c>
      <c r="DZ29" s="69">
        <f>'Geo &amp; CIC Deployment Plan'!U400</f>
        <v>25</v>
      </c>
      <c r="EA29" s="69"/>
      <c r="EB29" s="75"/>
      <c r="EC29" s="75"/>
      <c r="ED29" s="75"/>
      <c r="EE29" s="75"/>
      <c r="EF29" s="75"/>
      <c r="EG29" s="75"/>
      <c r="EH29" s="75"/>
      <c r="EI29" s="75"/>
      <c r="EJ29" s="75"/>
      <c r="EK29" s="75"/>
      <c r="EL29" s="75"/>
      <c r="EM29" s="75"/>
      <c r="EN29" s="75"/>
      <c r="EO29" s="75"/>
      <c r="EP29" s="75"/>
      <c r="EQ29" s="75"/>
      <c r="ER29" s="75"/>
      <c r="ES29" s="75"/>
      <c r="ET29" s="75"/>
      <c r="EU29" s="75"/>
      <c r="EV29" s="75"/>
      <c r="EW29" s="75"/>
      <c r="EX29" s="75"/>
      <c r="EY29" s="75"/>
      <c r="EZ29" s="75"/>
      <c r="FA29" s="75"/>
      <c r="FC29" s="49"/>
      <c r="FD29" s="49"/>
      <c r="FE29" s="49"/>
      <c r="FF29" s="49"/>
      <c r="FG29" s="49"/>
      <c r="FH29" s="49"/>
      <c r="FI29" s="49"/>
      <c r="FJ29" s="49"/>
      <c r="FK29" s="49"/>
      <c r="FL29" s="49"/>
      <c r="FM29" s="49"/>
      <c r="FN29" s="49"/>
      <c r="FO29" s="49"/>
      <c r="FP29" s="49"/>
      <c r="FQ29" s="49"/>
      <c r="FR29" s="49"/>
      <c r="FS29" s="49"/>
      <c r="FT29" s="49"/>
      <c r="FU29" s="49"/>
      <c r="FV29" s="49"/>
      <c r="FX29" s="51"/>
      <c r="FY29" s="51"/>
      <c r="FZ29" s="51"/>
      <c r="GA29" s="51"/>
      <c r="GC29" s="41"/>
    </row>
    <row r="30" spans="4:185" s="35" customFormat="1">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65"/>
      <c r="AR30" s="65"/>
      <c r="AS30" s="65"/>
      <c r="AT30" s="65"/>
      <c r="AU30" s="65"/>
      <c r="AV30" s="65"/>
      <c r="AW30" s="65"/>
      <c r="AX30" s="65"/>
      <c r="AY30" s="65"/>
      <c r="AZ30" s="65"/>
      <c r="BA30" s="65"/>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65"/>
      <c r="CE30" s="65"/>
      <c r="CF30" s="65"/>
      <c r="CG30" s="65"/>
      <c r="CH30" s="65"/>
      <c r="CI30" s="65"/>
      <c r="CJ30" s="65"/>
      <c r="CK30" s="65"/>
      <c r="CL30" s="65"/>
      <c r="CM30" s="65"/>
      <c r="CN30" s="65"/>
      <c r="CO30" s="65"/>
      <c r="CP30" s="65"/>
      <c r="CQ30" s="642" t="s">
        <v>1229</v>
      </c>
      <c r="CR30" s="643"/>
      <c r="CS30" s="643"/>
      <c r="CT30" s="643"/>
      <c r="CU30" s="643"/>
      <c r="CV30" s="643"/>
      <c r="CW30" s="643"/>
      <c r="CX30" s="643"/>
      <c r="CY30" s="643"/>
      <c r="CZ30" s="643"/>
      <c r="DA30" s="644"/>
      <c r="DB30" s="76"/>
      <c r="DC30" s="76"/>
      <c r="DD30" s="76"/>
      <c r="DE30" s="76"/>
      <c r="DF30" s="76"/>
      <c r="DG30" s="76"/>
      <c r="DH30" s="76"/>
      <c r="DI30" s="76"/>
      <c r="DJ30" s="76"/>
      <c r="DK30" s="76"/>
      <c r="DL30" s="76"/>
      <c r="DM30" s="76"/>
      <c r="DN30" s="76"/>
      <c r="DO30" s="76"/>
      <c r="DP30" s="76"/>
      <c r="DQ30" s="642" t="s">
        <v>1194</v>
      </c>
      <c r="DR30" s="643"/>
      <c r="DS30" s="643"/>
      <c r="DT30" s="643"/>
      <c r="DU30" s="643"/>
      <c r="DV30" s="643"/>
      <c r="DW30" s="643"/>
      <c r="DX30" s="643"/>
      <c r="DY30" s="643"/>
      <c r="DZ30" s="643"/>
      <c r="EA30" s="644"/>
      <c r="EB30" s="75"/>
      <c r="EC30" s="75"/>
      <c r="ED30" s="75"/>
      <c r="EE30" s="75"/>
      <c r="EF30" s="75"/>
      <c r="EG30" s="75"/>
      <c r="EH30" s="75"/>
      <c r="EI30" s="75"/>
      <c r="EJ30" s="75"/>
      <c r="EK30" s="75"/>
      <c r="EL30" s="75"/>
      <c r="EM30" s="75"/>
      <c r="EN30" s="75"/>
      <c r="EO30" s="75"/>
      <c r="EP30" s="75"/>
      <c r="EQ30" s="75"/>
      <c r="ER30" s="75"/>
      <c r="ES30" s="75"/>
      <c r="ET30" s="75"/>
      <c r="EU30" s="75"/>
      <c r="EV30" s="75"/>
      <c r="EW30" s="75"/>
      <c r="EX30" s="75"/>
      <c r="EY30" s="75"/>
      <c r="EZ30" s="75"/>
      <c r="FA30" s="75"/>
      <c r="FC30" s="49"/>
      <c r="FD30" s="49"/>
      <c r="FE30" s="49"/>
      <c r="FF30" s="49"/>
      <c r="FG30" s="49"/>
      <c r="FH30" s="49"/>
      <c r="FI30" s="49"/>
      <c r="FJ30" s="49"/>
      <c r="FK30" s="49"/>
      <c r="FL30" s="49"/>
      <c r="FM30" s="49"/>
      <c r="FN30" s="49"/>
      <c r="FO30" s="49"/>
      <c r="FP30" s="49"/>
      <c r="FQ30" s="49"/>
      <c r="FR30" s="49"/>
      <c r="FS30" s="49"/>
      <c r="FT30" s="49"/>
      <c r="FU30" s="49"/>
      <c r="FV30" s="49"/>
      <c r="FX30" s="51"/>
      <c r="FY30" s="51"/>
      <c r="FZ30" s="51"/>
      <c r="GA30" s="51"/>
      <c r="GC30" s="41"/>
    </row>
    <row r="31" spans="4:185" s="35" customFormat="1" ht="24">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65"/>
      <c r="AR31" s="65"/>
      <c r="AS31" s="65"/>
      <c r="AT31" s="65"/>
      <c r="AU31" s="65"/>
      <c r="AV31" s="65"/>
      <c r="AW31" s="65"/>
      <c r="AX31" s="65"/>
      <c r="AY31" s="65"/>
      <c r="AZ31" s="65"/>
      <c r="BA31" s="65"/>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65"/>
      <c r="CE31" s="65"/>
      <c r="CF31" s="65"/>
      <c r="CG31" s="65"/>
      <c r="CH31" s="65"/>
      <c r="CI31" s="65"/>
      <c r="CJ31" s="65"/>
      <c r="CK31" s="65"/>
      <c r="CL31" s="65"/>
      <c r="CM31" s="65"/>
      <c r="CN31" s="65"/>
      <c r="CO31" s="65" t="s">
        <v>1205</v>
      </c>
      <c r="CP31" s="65" t="s">
        <v>929</v>
      </c>
      <c r="CQ31" s="77" t="s">
        <v>1325</v>
      </c>
      <c r="CR31" s="67" t="e">
        <f>'Geo &amp; CIC Deployment Plan'!#REF!</f>
        <v>#REF!</v>
      </c>
      <c r="CS31" s="67" t="e">
        <f>'Geo &amp; CIC Deployment Plan'!#REF!</f>
        <v>#REF!</v>
      </c>
      <c r="CT31" s="67" t="e">
        <f>'Geo &amp; CIC Deployment Plan'!#REF!</f>
        <v>#REF!</v>
      </c>
      <c r="CU31" s="67" t="e">
        <f>'Geo &amp; CIC Deployment Plan'!#REF!</f>
        <v>#REF!</v>
      </c>
      <c r="CV31" s="67" t="e">
        <f>'Geo &amp; CIC Deployment Plan'!#REF!</f>
        <v>#REF!</v>
      </c>
      <c r="CW31" s="67"/>
      <c r="CX31" s="67" t="e">
        <f>'Geo &amp; CIC Deployment Plan'!#REF!</f>
        <v>#REF!</v>
      </c>
      <c r="CY31" s="67" t="e">
        <f>'Geo &amp; CIC Deployment Plan'!#REF!</f>
        <v>#REF!</v>
      </c>
      <c r="CZ31" s="69" t="e">
        <f>'Geo &amp; CIC Deployment Plan'!#REF!</f>
        <v>#REF!</v>
      </c>
      <c r="DA31" s="69"/>
      <c r="DB31" s="75"/>
      <c r="DC31" s="75"/>
      <c r="DD31" s="75"/>
      <c r="DE31" s="75"/>
      <c r="DF31" s="75"/>
      <c r="DG31" s="75"/>
      <c r="DH31" s="75"/>
      <c r="DI31" s="75"/>
      <c r="DJ31" s="75"/>
      <c r="DK31" s="75"/>
      <c r="DL31" s="75"/>
      <c r="DM31" s="75"/>
      <c r="DN31" s="75"/>
      <c r="DO31" s="75" t="s">
        <v>987</v>
      </c>
      <c r="DP31" s="75" t="s">
        <v>1203</v>
      </c>
      <c r="DQ31" s="77" t="s">
        <v>1326</v>
      </c>
      <c r="DR31" s="67" t="e">
        <f>'Geo &amp; CIC Deployment Plan'!#REF!</f>
        <v>#REF!</v>
      </c>
      <c r="DS31" s="67" t="e">
        <f>'Geo &amp; CIC Deployment Plan'!#REF!</f>
        <v>#REF!</v>
      </c>
      <c r="DT31" s="67" t="e">
        <f>'Geo &amp; CIC Deployment Plan'!#REF!</f>
        <v>#REF!</v>
      </c>
      <c r="DU31" s="67" t="e">
        <f>'Geo &amp; CIC Deployment Plan'!#REF!</f>
        <v>#REF!</v>
      </c>
      <c r="DV31" s="67" t="e">
        <f>'Geo &amp; CIC Deployment Plan'!#REF!</f>
        <v>#REF!</v>
      </c>
      <c r="DW31" s="67"/>
      <c r="DX31" s="67" t="e">
        <f>'Geo &amp; CIC Deployment Plan'!#REF!</f>
        <v>#REF!</v>
      </c>
      <c r="DY31" s="67" t="e">
        <f>'Geo &amp; CIC Deployment Plan'!#REF!</f>
        <v>#REF!</v>
      </c>
      <c r="DZ31" s="69" t="e">
        <f>'Geo &amp; CIC Deployment Plan'!#REF!</f>
        <v>#REF!</v>
      </c>
      <c r="EA31" s="69"/>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C31" s="49"/>
      <c r="FD31" s="49"/>
      <c r="FE31" s="49"/>
      <c r="FF31" s="49"/>
      <c r="FG31" s="49"/>
      <c r="FH31" s="49"/>
      <c r="FI31" s="49"/>
      <c r="FJ31" s="49"/>
      <c r="FK31" s="49"/>
      <c r="FL31" s="49"/>
      <c r="FM31" s="49"/>
      <c r="FN31" s="49"/>
      <c r="FO31" s="49"/>
      <c r="FP31" s="49"/>
      <c r="FQ31" s="49"/>
      <c r="FR31" s="49"/>
      <c r="FS31" s="49"/>
      <c r="FT31" s="49"/>
      <c r="FU31" s="49"/>
      <c r="FV31" s="49"/>
      <c r="FX31" s="51"/>
      <c r="FY31" s="51"/>
      <c r="FZ31" s="51"/>
      <c r="GA31" s="51"/>
      <c r="GC31" s="41"/>
    </row>
    <row r="32" spans="4:185" s="35" customFormat="1" ht="24">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65"/>
      <c r="CE32" s="65"/>
      <c r="CF32" s="65"/>
      <c r="CG32" s="65"/>
      <c r="CH32" s="65"/>
      <c r="CI32" s="65"/>
      <c r="CJ32" s="65"/>
      <c r="CK32" s="65"/>
      <c r="CL32" s="65"/>
      <c r="CM32" s="65"/>
      <c r="CN32" s="65"/>
      <c r="CO32" s="76"/>
      <c r="CP32" s="76"/>
      <c r="CQ32" s="526" t="s">
        <v>1214</v>
      </c>
      <c r="CR32" s="527"/>
      <c r="CS32" s="527"/>
      <c r="CT32" s="527"/>
      <c r="CU32" s="527"/>
      <c r="CV32" s="527"/>
      <c r="CW32" s="527"/>
      <c r="CX32" s="527"/>
      <c r="CY32" s="527"/>
      <c r="CZ32" s="527"/>
      <c r="DA32" s="528"/>
      <c r="DB32" s="75"/>
      <c r="DC32" s="75"/>
      <c r="DD32" s="75"/>
      <c r="DE32" s="75"/>
      <c r="DF32" s="75"/>
      <c r="DG32" s="75"/>
      <c r="DH32" s="75"/>
      <c r="DI32" s="75"/>
      <c r="DJ32" s="75"/>
      <c r="DK32" s="75"/>
      <c r="DL32" s="75"/>
      <c r="DM32" s="75"/>
      <c r="DN32" s="75"/>
      <c r="EB32" s="76"/>
      <c r="EC32" s="76"/>
      <c r="ED32" s="76"/>
      <c r="EE32" s="76"/>
      <c r="EF32" s="76"/>
      <c r="EG32" s="76"/>
      <c r="EH32" s="76"/>
      <c r="EI32" s="76"/>
      <c r="EJ32" s="76"/>
      <c r="EK32" s="76"/>
      <c r="EL32" s="76"/>
      <c r="EM32" s="76"/>
      <c r="EN32" s="76"/>
      <c r="EO32" s="76"/>
      <c r="EP32" s="76"/>
      <c r="EQ32" s="76"/>
      <c r="ER32" s="76"/>
      <c r="ES32" s="76"/>
      <c r="ET32" s="76"/>
      <c r="EU32" s="76"/>
      <c r="EV32" s="76"/>
      <c r="EW32" s="76"/>
      <c r="EX32" s="76"/>
      <c r="EY32" s="76"/>
      <c r="EZ32" s="76"/>
      <c r="FA32" s="76"/>
      <c r="FC32" s="49"/>
      <c r="FD32" s="49"/>
      <c r="FE32" s="49"/>
      <c r="FF32" s="49"/>
      <c r="FG32" s="49"/>
      <c r="FH32" s="49"/>
      <c r="FI32" s="49"/>
      <c r="FJ32" s="49"/>
      <c r="FK32" s="49"/>
      <c r="FL32" s="49"/>
      <c r="FM32" s="49"/>
      <c r="FN32" s="49"/>
      <c r="FO32" s="49"/>
      <c r="FP32" s="49"/>
      <c r="FQ32" s="49"/>
      <c r="FR32" s="49"/>
      <c r="FS32" s="49"/>
      <c r="FT32" s="49"/>
      <c r="FU32" s="49"/>
      <c r="FV32" s="49"/>
      <c r="FX32" s="51"/>
      <c r="FY32" s="51"/>
      <c r="FZ32" s="51"/>
      <c r="GA32" s="51"/>
      <c r="GC32" s="41"/>
    </row>
    <row r="33" spans="1:235" s="35" customFormat="1" ht="24">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5"/>
      <c r="CE33" s="75"/>
      <c r="CF33" s="75"/>
      <c r="CG33" s="75"/>
      <c r="CH33" s="75"/>
      <c r="CI33" s="75"/>
      <c r="CJ33" s="75"/>
      <c r="CK33" s="75"/>
      <c r="CL33" s="75"/>
      <c r="CM33" s="75"/>
      <c r="CN33" s="75"/>
      <c r="CO33" s="75" t="s">
        <v>1205</v>
      </c>
      <c r="CP33" s="75" t="s">
        <v>928</v>
      </c>
      <c r="CQ33" s="77" t="s">
        <v>1327</v>
      </c>
      <c r="CR33" s="67" t="str">
        <f>'Geo &amp; CIC Deployment Plan'!AG372</f>
        <v>New GBS Associates Induction</v>
      </c>
      <c r="CS33" s="67" t="str">
        <f>'Geo &amp; CIC Deployment Plan'!AH372</f>
        <v>Virtual</v>
      </c>
      <c r="CT33" s="67" t="str">
        <f>'Geo &amp; CIC Deployment Plan'!Z372</f>
        <v>In Progress</v>
      </c>
      <c r="CU33" s="67">
        <f>'Geo &amp; CIC Deployment Plan'!AB372</f>
        <v>0</v>
      </c>
      <c r="CV33" s="67">
        <f>'Geo &amp; CIC Deployment Plan'!AD372</f>
        <v>0</v>
      </c>
      <c r="CW33" s="67"/>
      <c r="CX33" s="67">
        <f>'Geo &amp; CIC Deployment Plan'!AE372</f>
        <v>0</v>
      </c>
      <c r="CY33" s="67">
        <f>'Geo &amp; CIC Deployment Plan'!AF372</f>
        <v>0</v>
      </c>
      <c r="CZ33" s="69">
        <f>'Geo &amp; CIC Deployment Plan'!U372</f>
        <v>10</v>
      </c>
      <c r="DA33" s="69"/>
      <c r="DB33" s="75"/>
      <c r="DC33" s="75"/>
      <c r="DD33" s="75"/>
      <c r="DE33" s="75"/>
      <c r="DF33" s="75"/>
      <c r="DG33" s="75"/>
      <c r="DH33" s="75"/>
      <c r="DI33" s="75"/>
      <c r="DJ33" s="75"/>
      <c r="DK33" s="75"/>
      <c r="DL33" s="75"/>
      <c r="DM33" s="75"/>
      <c r="DN33" s="75"/>
      <c r="DO33" s="76"/>
      <c r="DP33" s="76"/>
      <c r="DQ33" s="76"/>
      <c r="DR33" s="76"/>
      <c r="DS33" s="76"/>
      <c r="DT33" s="76"/>
      <c r="DU33" s="76"/>
      <c r="DV33" s="76"/>
      <c r="DW33" s="76"/>
      <c r="DX33" s="76"/>
      <c r="DY33" s="76"/>
      <c r="DZ33" s="76"/>
      <c r="EA33" s="76"/>
      <c r="EB33" s="76"/>
      <c r="EC33" s="76"/>
      <c r="ED33" s="76"/>
      <c r="EE33" s="76"/>
      <c r="EF33" s="76"/>
      <c r="EG33" s="76"/>
      <c r="EH33" s="76"/>
      <c r="EI33" s="76"/>
      <c r="EJ33" s="76"/>
      <c r="EK33" s="76"/>
      <c r="EL33" s="76"/>
      <c r="EM33" s="76"/>
      <c r="EN33" s="76"/>
      <c r="EO33" s="76"/>
      <c r="EP33" s="76"/>
      <c r="EQ33" s="76"/>
      <c r="ER33" s="76"/>
      <c r="ES33" s="76"/>
      <c r="ET33" s="76"/>
      <c r="EU33" s="76"/>
      <c r="EV33" s="76"/>
      <c r="EW33" s="76"/>
      <c r="EX33" s="76"/>
      <c r="EY33" s="76"/>
      <c r="EZ33" s="76"/>
      <c r="FA33" s="76"/>
      <c r="FC33" s="49"/>
      <c r="FD33" s="49"/>
      <c r="FE33" s="49"/>
      <c r="FF33" s="49"/>
      <c r="FG33" s="49"/>
      <c r="FH33" s="49"/>
      <c r="FI33" s="49"/>
      <c r="FJ33" s="49"/>
      <c r="FK33" s="49"/>
      <c r="FL33" s="49"/>
      <c r="FM33" s="49"/>
      <c r="FN33" s="49"/>
      <c r="FO33" s="49"/>
      <c r="FP33" s="49"/>
      <c r="FQ33" s="49"/>
      <c r="FR33" s="49"/>
      <c r="FS33" s="49"/>
      <c r="FT33" s="49"/>
      <c r="FU33" s="49"/>
      <c r="FV33" s="49"/>
      <c r="FX33" s="51"/>
      <c r="FY33" s="51"/>
      <c r="FZ33" s="51"/>
      <c r="GA33" s="51"/>
      <c r="GC33" s="41"/>
    </row>
    <row r="34" spans="1:235" s="35" customFormat="1" ht="15" customHeight="1">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5"/>
      <c r="CE34" s="75"/>
      <c r="CF34" s="75"/>
      <c r="CG34" s="75"/>
      <c r="CH34" s="75"/>
      <c r="CI34" s="75"/>
      <c r="CJ34" s="75"/>
      <c r="CK34" s="75"/>
      <c r="CL34" s="75"/>
      <c r="CM34" s="75"/>
      <c r="CN34" s="75"/>
      <c r="CO34" s="75"/>
      <c r="CP34" s="75"/>
      <c r="CQ34" s="642" t="s">
        <v>1192</v>
      </c>
      <c r="CR34" s="643"/>
      <c r="CS34" s="643"/>
      <c r="CT34" s="643"/>
      <c r="CU34" s="643"/>
      <c r="CV34" s="643"/>
      <c r="CW34" s="643"/>
      <c r="CX34" s="643"/>
      <c r="CY34" s="643"/>
      <c r="CZ34" s="643"/>
      <c r="DA34" s="644"/>
      <c r="DB34" s="75"/>
      <c r="DC34" s="75"/>
      <c r="DD34" s="75"/>
      <c r="DE34" s="75"/>
      <c r="DF34" s="75"/>
      <c r="DG34" s="75"/>
      <c r="DH34" s="75"/>
      <c r="DI34" s="75"/>
      <c r="DJ34" s="75"/>
      <c r="DK34" s="75"/>
      <c r="DL34" s="75"/>
      <c r="DM34" s="75"/>
      <c r="DN34" s="75"/>
      <c r="DO34" s="76"/>
      <c r="DP34" s="76"/>
      <c r="DQ34" s="76"/>
      <c r="DR34" s="76"/>
      <c r="DS34" s="76"/>
      <c r="DT34" s="76"/>
      <c r="DU34" s="76"/>
      <c r="DV34" s="76"/>
      <c r="DW34" s="76"/>
      <c r="DX34" s="76"/>
      <c r="DY34" s="76"/>
      <c r="DZ34" s="76"/>
      <c r="EA34" s="76"/>
      <c r="EB34" s="76"/>
      <c r="EC34" s="76"/>
      <c r="ED34" s="76"/>
      <c r="EE34" s="76"/>
      <c r="EF34" s="76"/>
      <c r="EG34" s="76"/>
      <c r="EH34" s="76"/>
      <c r="EI34" s="76"/>
      <c r="EJ34" s="76"/>
      <c r="EK34" s="76"/>
      <c r="EL34" s="76"/>
      <c r="EM34" s="76"/>
      <c r="EN34" s="76"/>
      <c r="EO34" s="76"/>
      <c r="EP34" s="76"/>
      <c r="EQ34" s="76"/>
      <c r="ER34" s="76"/>
      <c r="ES34" s="76"/>
      <c r="ET34" s="76"/>
      <c r="EU34" s="76"/>
      <c r="EV34" s="76"/>
      <c r="EW34" s="76"/>
      <c r="EX34" s="76"/>
      <c r="EY34" s="76"/>
      <c r="EZ34" s="76"/>
      <c r="FA34" s="76"/>
      <c r="FC34" s="49"/>
      <c r="FD34" s="49"/>
      <c r="FE34" s="49"/>
      <c r="FF34" s="49"/>
      <c r="FG34" s="49"/>
      <c r="FH34" s="49"/>
      <c r="FI34" s="49"/>
      <c r="FJ34" s="49"/>
      <c r="FK34" s="49"/>
      <c r="FL34" s="49"/>
      <c r="FM34" s="49"/>
      <c r="FN34" s="49"/>
      <c r="FO34" s="49"/>
      <c r="FP34" s="49"/>
      <c r="FQ34" s="49"/>
      <c r="FR34" s="49"/>
      <c r="FS34" s="49"/>
      <c r="FT34" s="49"/>
      <c r="FU34" s="49"/>
      <c r="FV34" s="49"/>
      <c r="FX34" s="51"/>
      <c r="FY34" s="51"/>
      <c r="FZ34" s="51"/>
      <c r="GA34" s="51"/>
      <c r="GC34" s="41"/>
    </row>
    <row r="35" spans="1:235" s="35" customFormat="1" ht="24">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5"/>
      <c r="CE35" s="75"/>
      <c r="CF35" s="75"/>
      <c r="CG35" s="75"/>
      <c r="CH35" s="75"/>
      <c r="CI35" s="75"/>
      <c r="CJ35" s="75"/>
      <c r="CK35" s="75"/>
      <c r="CL35" s="75"/>
      <c r="CM35" s="75"/>
      <c r="CN35" s="75"/>
      <c r="CO35" s="75" t="s">
        <v>987</v>
      </c>
      <c r="CP35" s="75" t="s">
        <v>276</v>
      </c>
      <c r="CQ35" s="77" t="s">
        <v>1328</v>
      </c>
      <c r="CR35" s="67" t="e">
        <f>'Geo &amp; CIC Deployment Plan'!#REF!</f>
        <v>#REF!</v>
      </c>
      <c r="CS35" s="67" t="e">
        <f>'Geo &amp; CIC Deployment Plan'!#REF!</f>
        <v>#REF!</v>
      </c>
      <c r="CT35" s="67" t="e">
        <f>'Geo &amp; CIC Deployment Plan'!#REF!</f>
        <v>#REF!</v>
      </c>
      <c r="CU35" s="67" t="e">
        <f>'Geo &amp; CIC Deployment Plan'!#REF!</f>
        <v>#REF!</v>
      </c>
      <c r="CV35" s="67" t="e">
        <f>'Geo &amp; CIC Deployment Plan'!#REF!</f>
        <v>#REF!</v>
      </c>
      <c r="CW35" s="67"/>
      <c r="CX35" s="67" t="e">
        <f>'Geo &amp; CIC Deployment Plan'!#REF!</f>
        <v>#REF!</v>
      </c>
      <c r="CY35" s="67" t="e">
        <f>'Geo &amp; CIC Deployment Plan'!#REF!</f>
        <v>#REF!</v>
      </c>
      <c r="CZ35" s="69" t="e">
        <f>'Geo &amp; CIC Deployment Plan'!#REF!</f>
        <v>#REF!</v>
      </c>
      <c r="DA35" s="69"/>
      <c r="DB35" s="75"/>
      <c r="DC35" s="75"/>
      <c r="DD35" s="75"/>
      <c r="DE35" s="75"/>
      <c r="DF35" s="75"/>
      <c r="DG35" s="75"/>
      <c r="DH35" s="75"/>
      <c r="DI35" s="75"/>
      <c r="DJ35" s="75"/>
      <c r="DK35" s="75"/>
      <c r="DL35" s="75"/>
      <c r="DM35" s="75"/>
      <c r="DN35" s="75"/>
      <c r="DO35" s="76"/>
      <c r="DP35" s="76"/>
      <c r="DQ35" s="76"/>
      <c r="DR35" s="76"/>
      <c r="DS35" s="76"/>
      <c r="DT35" s="76"/>
      <c r="DU35" s="76"/>
      <c r="DV35" s="76"/>
      <c r="DW35" s="76"/>
      <c r="DX35" s="76"/>
      <c r="DY35" s="76"/>
      <c r="DZ35" s="76"/>
      <c r="EA35" s="76"/>
      <c r="EB35" s="76"/>
      <c r="EC35" s="76"/>
      <c r="ED35" s="76"/>
      <c r="EE35" s="76"/>
      <c r="EF35" s="76"/>
      <c r="EG35" s="76"/>
      <c r="EH35" s="76"/>
      <c r="EI35" s="76"/>
      <c r="EJ35" s="76"/>
      <c r="EK35" s="76"/>
      <c r="EL35" s="76"/>
      <c r="EM35" s="76"/>
      <c r="EN35" s="76"/>
      <c r="EO35" s="76"/>
      <c r="EP35" s="76"/>
      <c r="EQ35" s="76"/>
      <c r="ER35" s="76"/>
      <c r="ES35" s="76"/>
      <c r="ET35" s="76"/>
      <c r="EU35" s="76"/>
      <c r="EV35" s="76"/>
      <c r="EW35" s="76"/>
      <c r="EX35" s="76"/>
      <c r="EY35" s="76"/>
      <c r="EZ35" s="76"/>
      <c r="FA35" s="76"/>
      <c r="FC35" s="49"/>
      <c r="FD35" s="49"/>
      <c r="FE35" s="49"/>
      <c r="FF35" s="49"/>
      <c r="FG35" s="49"/>
      <c r="FH35" s="49"/>
      <c r="FI35" s="49"/>
      <c r="FJ35" s="49"/>
      <c r="FK35" s="49"/>
      <c r="FL35" s="49"/>
      <c r="FM35" s="49"/>
      <c r="FN35" s="49"/>
      <c r="FO35" s="49"/>
      <c r="FP35" s="49"/>
      <c r="FQ35" s="49"/>
      <c r="FR35" s="49"/>
      <c r="FS35" s="49"/>
      <c r="FT35" s="49"/>
      <c r="FU35" s="49"/>
      <c r="FV35" s="49"/>
      <c r="FX35" s="51"/>
      <c r="FY35" s="51"/>
      <c r="FZ35" s="51"/>
      <c r="GA35" s="51"/>
      <c r="GC35" s="41"/>
    </row>
    <row r="36" spans="1:235" s="35" customFormat="1">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5"/>
      <c r="CE36" s="75"/>
      <c r="CF36" s="75"/>
      <c r="CG36" s="75"/>
      <c r="CH36" s="75"/>
      <c r="CI36" s="75"/>
      <c r="CJ36" s="75"/>
      <c r="CK36" s="75"/>
      <c r="CL36" s="75"/>
      <c r="CM36" s="75"/>
      <c r="CN36" s="75"/>
      <c r="CO36" s="75"/>
      <c r="CP36" s="75"/>
      <c r="CQ36" s="645"/>
      <c r="CR36" s="645"/>
      <c r="CS36" s="645"/>
      <c r="CT36" s="645"/>
      <c r="CU36" s="645"/>
      <c r="CV36" s="645"/>
      <c r="CW36" s="645"/>
      <c r="CX36" s="645"/>
      <c r="CY36" s="645"/>
      <c r="CZ36" s="645"/>
      <c r="DA36" s="645"/>
      <c r="DB36" s="75"/>
      <c r="DC36" s="75"/>
      <c r="DD36" s="75"/>
      <c r="DE36" s="75"/>
      <c r="DF36" s="75"/>
      <c r="DG36" s="75"/>
      <c r="DH36" s="75"/>
      <c r="DI36" s="75"/>
      <c r="DJ36" s="75"/>
      <c r="DK36" s="75"/>
      <c r="DL36" s="75"/>
      <c r="DM36" s="75"/>
      <c r="DN36" s="75"/>
      <c r="DO36" s="76"/>
      <c r="DP36" s="76"/>
      <c r="DQ36" s="76"/>
      <c r="DR36" s="76"/>
      <c r="DS36" s="76"/>
      <c r="DT36" s="76"/>
      <c r="DU36" s="76"/>
      <c r="DV36" s="76"/>
      <c r="DW36" s="76"/>
      <c r="DX36" s="76"/>
      <c r="DY36" s="76"/>
      <c r="DZ36" s="76"/>
      <c r="EA36" s="76"/>
      <c r="EB36" s="76"/>
      <c r="EC36" s="76"/>
      <c r="ED36" s="76"/>
      <c r="EE36" s="76"/>
      <c r="EF36" s="76"/>
      <c r="EG36" s="76"/>
      <c r="EH36" s="76"/>
      <c r="EI36" s="76"/>
      <c r="EJ36" s="76"/>
      <c r="EK36" s="76"/>
      <c r="EL36" s="76"/>
      <c r="EM36" s="76"/>
      <c r="EN36" s="76"/>
      <c r="EO36" s="76"/>
      <c r="EP36" s="76"/>
      <c r="EQ36" s="76"/>
      <c r="ER36" s="76"/>
      <c r="ES36" s="76"/>
      <c r="ET36" s="76"/>
      <c r="EU36" s="76"/>
      <c r="EV36" s="76"/>
      <c r="EW36" s="76"/>
      <c r="EX36" s="76"/>
      <c r="EY36" s="76"/>
      <c r="EZ36" s="76"/>
      <c r="FA36" s="76"/>
      <c r="FC36" s="49"/>
      <c r="FD36" s="49"/>
      <c r="FE36" s="49"/>
      <c r="FF36" s="49"/>
      <c r="FG36" s="49"/>
      <c r="FH36" s="49"/>
      <c r="FI36" s="49"/>
      <c r="FJ36" s="49"/>
      <c r="FK36" s="49"/>
      <c r="FL36" s="49"/>
      <c r="FM36" s="49"/>
      <c r="FN36" s="49"/>
      <c r="FO36" s="49"/>
      <c r="FP36" s="49"/>
      <c r="FQ36" s="49"/>
      <c r="FR36" s="49"/>
      <c r="FS36" s="49"/>
      <c r="FT36" s="49"/>
      <c r="FU36" s="49"/>
      <c r="FV36" s="49"/>
      <c r="FX36" s="51"/>
      <c r="FY36" s="51"/>
      <c r="FZ36" s="51"/>
      <c r="GA36" s="51"/>
      <c r="GC36" s="41"/>
    </row>
    <row r="37" spans="1:235" s="35" customFormat="1" ht="24.75" customHeight="1">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5"/>
      <c r="CE37" s="75"/>
      <c r="CF37" s="75"/>
      <c r="CG37" s="75"/>
      <c r="CH37" s="75"/>
      <c r="CI37" s="75"/>
      <c r="CJ37" s="75"/>
      <c r="CK37" s="75"/>
      <c r="CL37" s="75"/>
      <c r="CM37" s="75"/>
      <c r="CN37" s="75"/>
      <c r="CO37" s="75"/>
      <c r="CP37" s="75"/>
      <c r="CQ37" s="79"/>
      <c r="CR37" s="80"/>
      <c r="CS37" s="80"/>
      <c r="CT37" s="80"/>
      <c r="CU37" s="80"/>
      <c r="CV37" s="80"/>
      <c r="CW37" s="80"/>
      <c r="CX37" s="80"/>
      <c r="CY37" s="80"/>
      <c r="CZ37" s="75"/>
      <c r="DA37" s="75"/>
      <c r="DB37" s="75"/>
      <c r="DC37" s="75"/>
      <c r="DD37" s="75"/>
      <c r="DE37" s="75"/>
      <c r="DF37" s="75"/>
      <c r="DG37" s="75"/>
      <c r="DH37" s="75"/>
      <c r="DI37" s="75"/>
      <c r="DJ37" s="75"/>
      <c r="DK37" s="75"/>
      <c r="DL37" s="75"/>
      <c r="DM37" s="75"/>
      <c r="DN37" s="75"/>
      <c r="DO37" s="76"/>
      <c r="DP37" s="76"/>
      <c r="DQ37" s="76"/>
      <c r="DR37" s="76"/>
      <c r="DS37" s="76"/>
      <c r="DT37" s="76"/>
      <c r="DU37" s="76"/>
      <c r="DV37" s="76"/>
      <c r="DW37" s="76"/>
      <c r="DX37" s="76"/>
      <c r="DY37" s="76"/>
      <c r="DZ37" s="76"/>
      <c r="EA37" s="76"/>
      <c r="EB37" s="76"/>
      <c r="EC37" s="76"/>
      <c r="ED37" s="76"/>
      <c r="EE37" s="76"/>
      <c r="EF37" s="76"/>
      <c r="EG37" s="76"/>
      <c r="EH37" s="76"/>
      <c r="EI37" s="76"/>
      <c r="EJ37" s="76"/>
      <c r="EK37" s="76"/>
      <c r="EL37" s="76"/>
      <c r="EM37" s="76"/>
      <c r="EN37" s="76"/>
      <c r="EO37" s="76"/>
      <c r="EP37" s="76"/>
      <c r="EQ37" s="76"/>
      <c r="ER37" s="76"/>
      <c r="ES37" s="76"/>
      <c r="ET37" s="76"/>
      <c r="EU37" s="76"/>
      <c r="EV37" s="76"/>
      <c r="EW37" s="76"/>
      <c r="EX37" s="76"/>
      <c r="EY37" s="76"/>
      <c r="EZ37" s="76"/>
      <c r="FA37" s="76"/>
      <c r="FC37" s="49"/>
      <c r="FD37" s="49"/>
      <c r="FE37" s="49"/>
      <c r="FF37" s="49"/>
      <c r="FG37" s="49"/>
      <c r="FH37" s="49"/>
      <c r="FI37" s="49"/>
      <c r="FJ37" s="49"/>
      <c r="FK37" s="49"/>
      <c r="FL37" s="49"/>
      <c r="FM37" s="49"/>
      <c r="FN37" s="49"/>
      <c r="FO37" s="49"/>
      <c r="FP37" s="49"/>
      <c r="FQ37" s="49"/>
      <c r="FR37" s="49"/>
      <c r="FS37" s="49"/>
      <c r="FT37" s="49"/>
      <c r="FU37" s="49"/>
      <c r="FV37" s="49"/>
      <c r="FX37" s="51"/>
      <c r="FY37" s="51"/>
      <c r="FZ37" s="51"/>
      <c r="GA37" s="51"/>
      <c r="GC37" s="41"/>
    </row>
    <row r="38" spans="1:235" s="29" customFormat="1">
      <c r="A38" s="35"/>
      <c r="B38" s="35"/>
      <c r="C38" s="35"/>
      <c r="D38" s="35"/>
      <c r="E38" s="35"/>
      <c r="F38" s="35"/>
      <c r="G38" s="35"/>
      <c r="H38" s="35"/>
      <c r="I38" s="43"/>
      <c r="J38" s="43"/>
      <c r="K38" s="35"/>
      <c r="L38" s="35"/>
      <c r="M38" s="35"/>
      <c r="N38" s="35"/>
      <c r="O38" s="35"/>
      <c r="P38" s="35"/>
      <c r="Q38" s="35"/>
      <c r="R38" s="35"/>
      <c r="S38" s="35"/>
      <c r="T38" s="35"/>
      <c r="U38" s="35"/>
      <c r="V38" s="43"/>
      <c r="W38" s="43"/>
      <c r="X38" s="35"/>
      <c r="Y38" s="35"/>
      <c r="Z38" s="35"/>
      <c r="AA38" s="35"/>
      <c r="AB38" s="35"/>
      <c r="AC38" s="35"/>
      <c r="AD38" s="35"/>
      <c r="AE38" s="35"/>
      <c r="AF38" s="35"/>
      <c r="AG38" s="35"/>
      <c r="AH38" s="35"/>
      <c r="AI38" s="43"/>
      <c r="AJ38" s="43"/>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76"/>
      <c r="CC38" s="76"/>
      <c r="CD38" s="75"/>
      <c r="CE38" s="75"/>
      <c r="CF38" s="75"/>
      <c r="CG38" s="75"/>
      <c r="CH38" s="75"/>
      <c r="CI38" s="75"/>
      <c r="CJ38" s="75"/>
      <c r="CK38" s="75"/>
      <c r="CL38" s="75"/>
      <c r="CM38" s="75"/>
      <c r="CN38" s="75"/>
      <c r="CO38" s="36"/>
      <c r="CP38" s="36"/>
      <c r="CQ38" s="57"/>
      <c r="CR38" s="56"/>
      <c r="CS38" s="56"/>
      <c r="CT38" s="56"/>
      <c r="CU38" s="56"/>
      <c r="CV38" s="56"/>
      <c r="CW38" s="56"/>
      <c r="CX38" s="56"/>
      <c r="CY38" s="56"/>
      <c r="CZ38" s="36"/>
      <c r="DA38" s="36"/>
      <c r="DB38" s="36"/>
      <c r="DC38" s="36"/>
      <c r="DD38" s="36"/>
      <c r="DE38" s="36"/>
      <c r="DF38" s="36"/>
      <c r="DG38" s="36"/>
      <c r="DH38" s="36"/>
      <c r="DI38" s="36"/>
      <c r="DJ38" s="36"/>
      <c r="DK38" s="36"/>
      <c r="DL38" s="36"/>
      <c r="DM38" s="36"/>
      <c r="DN38" s="36"/>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c r="EU38" s="35"/>
      <c r="EV38" s="35"/>
      <c r="EW38" s="35"/>
      <c r="EX38" s="35"/>
      <c r="EY38" s="35"/>
      <c r="EZ38" s="35"/>
      <c r="FA38" s="35"/>
      <c r="FB38" s="35"/>
      <c r="FC38" s="49"/>
      <c r="FD38" s="49"/>
      <c r="FE38" s="49"/>
      <c r="FF38" s="49"/>
      <c r="FG38" s="49"/>
      <c r="FH38" s="49"/>
      <c r="FI38" s="49"/>
      <c r="FJ38" s="49"/>
      <c r="FK38" s="49"/>
      <c r="FL38" s="49"/>
      <c r="FM38" s="49"/>
      <c r="FN38" s="49"/>
      <c r="FO38" s="49"/>
      <c r="FP38" s="49"/>
      <c r="FQ38" s="49"/>
      <c r="FR38" s="49"/>
      <c r="FS38" s="49"/>
      <c r="FT38" s="49"/>
      <c r="FU38" s="49"/>
      <c r="FV38" s="49"/>
      <c r="FW38" s="35"/>
      <c r="FX38" s="51"/>
      <c r="FY38" s="51"/>
      <c r="FZ38" s="51"/>
      <c r="GA38" s="51"/>
      <c r="GB38" s="35"/>
      <c r="GC38" s="41"/>
      <c r="GD38" s="35"/>
      <c r="GE38" s="35"/>
      <c r="GF38" s="35"/>
      <c r="GG38" s="35"/>
      <c r="GH38" s="35"/>
      <c r="GI38" s="35"/>
      <c r="GJ38" s="35"/>
      <c r="GK38" s="35"/>
      <c r="GL38" s="35"/>
      <c r="GM38" s="35"/>
      <c r="GN38" s="35"/>
      <c r="GO38" s="35"/>
      <c r="GP38" s="35"/>
      <c r="GQ38" s="35"/>
      <c r="GR38" s="35"/>
      <c r="GS38" s="35"/>
      <c r="GT38" s="35"/>
      <c r="GU38" s="35"/>
      <c r="GV38" s="35"/>
      <c r="GW38" s="35"/>
      <c r="GX38" s="35"/>
      <c r="GY38" s="35"/>
      <c r="GZ38" s="35"/>
      <c r="HA38" s="35"/>
      <c r="HB38" s="35"/>
      <c r="HC38" s="35"/>
      <c r="HD38" s="35"/>
      <c r="HE38" s="35"/>
      <c r="HF38" s="35"/>
      <c r="HG38" s="35"/>
      <c r="HH38" s="35"/>
      <c r="HI38" s="35"/>
      <c r="HJ38" s="35"/>
      <c r="HK38" s="35"/>
      <c r="HL38" s="35"/>
      <c r="HM38" s="35"/>
      <c r="HN38" s="35"/>
      <c r="HO38" s="35"/>
      <c r="HP38" s="35"/>
      <c r="HQ38" s="35"/>
      <c r="HR38" s="35"/>
      <c r="HS38" s="35"/>
      <c r="HT38" s="35"/>
      <c r="HU38" s="35"/>
      <c r="HV38" s="35"/>
      <c r="HW38" s="35"/>
      <c r="HX38" s="35"/>
      <c r="HY38" s="35"/>
      <c r="HZ38" s="35"/>
      <c r="IA38" s="35"/>
    </row>
    <row r="39" spans="1:235" s="29" customFormat="1">
      <c r="A39" s="28" t="s">
        <v>1329</v>
      </c>
      <c r="B39" s="28"/>
      <c r="E39" s="31">
        <f>COUNTIFS(E4:E28, "=Legacy")</f>
        <v>0</v>
      </c>
      <c r="F39" s="32" t="s">
        <v>277</v>
      </c>
      <c r="G39" s="32" t="s">
        <v>277</v>
      </c>
      <c r="H39" s="32" t="s">
        <v>277</v>
      </c>
      <c r="I39" s="32" t="s">
        <v>277</v>
      </c>
      <c r="J39" s="32"/>
      <c r="K39" s="32" t="s">
        <v>277</v>
      </c>
      <c r="L39" s="32" t="s">
        <v>277</v>
      </c>
      <c r="Q39" s="30"/>
      <c r="R39" s="31">
        <f>COUNTIFS(R4:R28, "=Legacy")</f>
        <v>0</v>
      </c>
      <c r="S39" s="32" t="s">
        <v>277</v>
      </c>
      <c r="T39" s="32" t="s">
        <v>277</v>
      </c>
      <c r="U39" s="32" t="s">
        <v>277</v>
      </c>
      <c r="V39" s="32" t="s">
        <v>277</v>
      </c>
      <c r="W39" s="32"/>
      <c r="X39" s="32" t="s">
        <v>277</v>
      </c>
      <c r="Y39" s="32" t="s">
        <v>277</v>
      </c>
      <c r="AE39" s="31">
        <f>COUNTIFS(AE4:AE28, "=Legacy")</f>
        <v>0</v>
      </c>
      <c r="AF39" s="32" t="s">
        <v>277</v>
      </c>
      <c r="AG39" s="32" t="s">
        <v>277</v>
      </c>
      <c r="AH39" s="32" t="s">
        <v>277</v>
      </c>
      <c r="AI39" s="32" t="s">
        <v>277</v>
      </c>
      <c r="AJ39" s="32"/>
      <c r="AK39" s="32" t="s">
        <v>277</v>
      </c>
      <c r="AL39" s="32" t="s">
        <v>277</v>
      </c>
      <c r="AR39" s="31">
        <f>COUNTIFS(AR4:AR19, "=Legacy")</f>
        <v>0</v>
      </c>
      <c r="AS39" s="32" t="s">
        <v>277</v>
      </c>
      <c r="AT39" s="32" t="s">
        <v>277</v>
      </c>
      <c r="AU39" s="32" t="s">
        <v>277</v>
      </c>
      <c r="AV39" s="32" t="s">
        <v>277</v>
      </c>
      <c r="AW39" s="32"/>
      <c r="AX39" s="32" t="s">
        <v>277</v>
      </c>
      <c r="AY39" s="32" t="s">
        <v>277</v>
      </c>
      <c r="BD39" s="30"/>
      <c r="BE39" s="31">
        <f>COUNTIFS(BE3:BE14, "=Legacy")</f>
        <v>0</v>
      </c>
      <c r="BF39" s="32" t="s">
        <v>277</v>
      </c>
      <c r="BG39" s="32" t="s">
        <v>277</v>
      </c>
      <c r="BH39" s="32" t="s">
        <v>277</v>
      </c>
      <c r="BI39" s="32" t="s">
        <v>277</v>
      </c>
      <c r="BJ39" s="32"/>
      <c r="BK39" s="32" t="s">
        <v>277</v>
      </c>
      <c r="BL39" s="32" t="s">
        <v>277</v>
      </c>
      <c r="BR39" s="31">
        <f>COUNTIFS(BR4:BR9, "=Legacy")</f>
        <v>0</v>
      </c>
      <c r="BS39" s="32" t="s">
        <v>277</v>
      </c>
      <c r="BT39" s="32" t="s">
        <v>277</v>
      </c>
      <c r="BU39" s="32" t="s">
        <v>277</v>
      </c>
      <c r="BV39" s="32" t="s">
        <v>277</v>
      </c>
      <c r="BW39" s="32"/>
      <c r="BX39" s="32" t="s">
        <v>277</v>
      </c>
      <c r="BY39" s="32" t="s">
        <v>277</v>
      </c>
      <c r="CE39" s="31">
        <f>COUNTIFS(CE4:CE29, "=Legacy")</f>
        <v>0</v>
      </c>
      <c r="CF39" s="32" t="s">
        <v>277</v>
      </c>
      <c r="CG39" s="32" t="s">
        <v>277</v>
      </c>
      <c r="CH39" s="32" t="s">
        <v>277</v>
      </c>
      <c r="CI39" s="32" t="s">
        <v>277</v>
      </c>
      <c r="CJ39" s="32"/>
      <c r="CK39" s="32" t="s">
        <v>277</v>
      </c>
      <c r="CL39" s="32" t="s">
        <v>277</v>
      </c>
      <c r="CQ39" s="30"/>
      <c r="CR39" s="54">
        <f>COUNTIFS(CR6:CR37, "=Legacy")</f>
        <v>0</v>
      </c>
      <c r="CS39" s="55" t="s">
        <v>277</v>
      </c>
      <c r="CT39" s="55" t="s">
        <v>277</v>
      </c>
      <c r="CU39" s="55" t="s">
        <v>277</v>
      </c>
      <c r="CV39" s="55" t="s">
        <v>277</v>
      </c>
      <c r="CW39" s="55"/>
      <c r="CX39" s="55" t="s">
        <v>277</v>
      </c>
      <c r="CY39" s="55" t="s">
        <v>277</v>
      </c>
      <c r="DE39" s="31">
        <f>COUNTIFS(DE4:DE29, "=Legacy")</f>
        <v>0</v>
      </c>
      <c r="DF39" s="32" t="s">
        <v>277</v>
      </c>
      <c r="DG39" s="32" t="s">
        <v>277</v>
      </c>
      <c r="DH39" s="32" t="s">
        <v>277</v>
      </c>
      <c r="DI39" s="32" t="s">
        <v>277</v>
      </c>
      <c r="DJ39" s="32"/>
      <c r="DK39" s="32" t="s">
        <v>277</v>
      </c>
      <c r="DL39" s="32" t="s">
        <v>277</v>
      </c>
      <c r="DR39" s="31">
        <f>COUNTIFS(DR4:DR31, "=Legacy")</f>
        <v>0</v>
      </c>
      <c r="DS39" s="32" t="s">
        <v>277</v>
      </c>
      <c r="DT39" s="32" t="s">
        <v>277</v>
      </c>
      <c r="DU39" s="32" t="s">
        <v>277</v>
      </c>
      <c r="DV39" s="32" t="s">
        <v>277</v>
      </c>
      <c r="DW39" s="32"/>
      <c r="DX39" s="32" t="s">
        <v>277</v>
      </c>
      <c r="DY39" s="32" t="s">
        <v>277</v>
      </c>
      <c r="ED39" s="30"/>
      <c r="EE39" s="31">
        <f>COUNTIFS(EF4:EF18, "=Legacy")</f>
        <v>0</v>
      </c>
      <c r="EF39" s="32" t="s">
        <v>277</v>
      </c>
      <c r="EG39" s="32" t="s">
        <v>277</v>
      </c>
      <c r="EH39" s="32" t="s">
        <v>277</v>
      </c>
      <c r="EI39" s="32" t="s">
        <v>277</v>
      </c>
      <c r="EJ39" s="32"/>
      <c r="EK39" s="32" t="s">
        <v>277</v>
      </c>
      <c r="EL39" s="32" t="s">
        <v>277</v>
      </c>
      <c r="ER39" s="31">
        <f>COUNTIFS(ER4:ER12, "=Legacy")</f>
        <v>0</v>
      </c>
      <c r="ES39" s="32" t="s">
        <v>277</v>
      </c>
      <c r="ET39" s="32" t="s">
        <v>277</v>
      </c>
      <c r="EU39" s="32" t="s">
        <v>277</v>
      </c>
      <c r="EV39" s="32" t="s">
        <v>277</v>
      </c>
      <c r="EW39" s="32"/>
      <c r="EX39" s="32" t="s">
        <v>277</v>
      </c>
      <c r="EY39" s="32" t="s">
        <v>277</v>
      </c>
      <c r="FB39" s="35"/>
      <c r="FC39" s="49"/>
      <c r="FD39" s="49"/>
      <c r="FE39" s="49"/>
      <c r="FF39" s="49"/>
      <c r="FG39" s="49"/>
      <c r="FH39" s="49"/>
      <c r="FI39" s="49"/>
      <c r="FJ39" s="49"/>
      <c r="FK39" s="49"/>
      <c r="FL39" s="49"/>
      <c r="FM39" s="49"/>
      <c r="FN39" s="49"/>
      <c r="FO39" s="49"/>
      <c r="FP39" s="49"/>
      <c r="FQ39" s="49"/>
      <c r="FR39" s="49"/>
      <c r="FS39" s="49"/>
      <c r="FT39" s="49"/>
      <c r="FU39" s="49"/>
      <c r="FV39" s="49"/>
      <c r="FW39" s="35"/>
      <c r="FX39" s="29">
        <f>SUM(E39,R39,AE39)</f>
        <v>0</v>
      </c>
      <c r="FY39" s="29">
        <f>SUM(AR39,BE39,BR39)</f>
        <v>0</v>
      </c>
      <c r="FZ39" s="29">
        <f>SUM(CE39,CR39,DE39)</f>
        <v>0</v>
      </c>
      <c r="GA39" s="29">
        <f>SUM(DR39,EE39,ER39)</f>
        <v>0</v>
      </c>
      <c r="GB39" s="35"/>
      <c r="GC39" s="41">
        <f>SUM(FX39:GA39)</f>
        <v>0</v>
      </c>
      <c r="GD39" s="35"/>
      <c r="GE39" s="35"/>
      <c r="GF39" s="35"/>
      <c r="GG39" s="35"/>
      <c r="GH39" s="35"/>
      <c r="GI39" s="35"/>
      <c r="GJ39" s="35"/>
      <c r="GK39" s="35"/>
      <c r="GL39" s="35"/>
      <c r="GM39" s="35"/>
      <c r="GN39" s="35"/>
      <c r="GO39" s="35"/>
      <c r="GP39" s="35"/>
      <c r="GQ39" s="35"/>
      <c r="GR39" s="35"/>
      <c r="GS39" s="35"/>
      <c r="GT39" s="35"/>
      <c r="GU39" s="35"/>
      <c r="GV39" s="35"/>
      <c r="GW39" s="35"/>
      <c r="GX39" s="35"/>
      <c r="GY39" s="35"/>
      <c r="GZ39" s="35"/>
      <c r="HA39" s="35"/>
      <c r="HB39" s="35"/>
      <c r="HC39" s="35"/>
      <c r="HD39" s="35"/>
      <c r="HE39" s="35"/>
      <c r="HF39" s="35"/>
      <c r="HG39" s="35"/>
      <c r="HH39" s="35"/>
      <c r="HI39" s="35"/>
      <c r="HJ39" s="35"/>
      <c r="HK39" s="35"/>
      <c r="HL39" s="35"/>
      <c r="HM39" s="35"/>
      <c r="HN39" s="35"/>
      <c r="HO39" s="35"/>
      <c r="HP39" s="35"/>
      <c r="HQ39" s="35"/>
      <c r="HR39" s="35"/>
      <c r="HS39" s="35"/>
      <c r="HT39" s="35"/>
      <c r="HU39" s="35"/>
      <c r="HV39" s="35"/>
      <c r="HW39" s="35"/>
      <c r="HX39" s="35"/>
      <c r="HY39" s="35"/>
      <c r="HZ39" s="35"/>
      <c r="IA39" s="35"/>
    </row>
    <row r="40" spans="1:235" s="29" customFormat="1">
      <c r="A40" s="28" t="s">
        <v>1330</v>
      </c>
      <c r="B40" s="28"/>
      <c r="E40" s="31">
        <f>COUNTIFS(E4:E28, "=New")</f>
        <v>0</v>
      </c>
      <c r="F40" s="32" t="s">
        <v>277</v>
      </c>
      <c r="G40" s="32" t="s">
        <v>277</v>
      </c>
      <c r="H40" s="32" t="s">
        <v>277</v>
      </c>
      <c r="I40" s="32" t="s">
        <v>277</v>
      </c>
      <c r="J40" s="32"/>
      <c r="K40" s="32" t="s">
        <v>277</v>
      </c>
      <c r="L40" s="32" t="s">
        <v>277</v>
      </c>
      <c r="Q40" s="30"/>
      <c r="R40" s="31">
        <f>COUNTIFS(R4:R28, "=New")</f>
        <v>0</v>
      </c>
      <c r="S40" s="32" t="s">
        <v>277</v>
      </c>
      <c r="T40" s="32" t="s">
        <v>277</v>
      </c>
      <c r="U40" s="32" t="s">
        <v>277</v>
      </c>
      <c r="V40" s="32" t="s">
        <v>277</v>
      </c>
      <c r="W40" s="32"/>
      <c r="X40" s="32" t="s">
        <v>277</v>
      </c>
      <c r="Y40" s="32" t="s">
        <v>277</v>
      </c>
      <c r="AE40" s="31">
        <f>COUNTIFS(AE4:AE28, "=New")</f>
        <v>0</v>
      </c>
      <c r="AF40" s="32" t="s">
        <v>277</v>
      </c>
      <c r="AG40" s="32" t="s">
        <v>277</v>
      </c>
      <c r="AH40" s="32" t="s">
        <v>277</v>
      </c>
      <c r="AI40" s="32" t="s">
        <v>277</v>
      </c>
      <c r="AJ40" s="32"/>
      <c r="AK40" s="32" t="s">
        <v>277</v>
      </c>
      <c r="AL40" s="32" t="s">
        <v>277</v>
      </c>
      <c r="AR40" s="31">
        <f>COUNTIFS(AR3:AR19, "=New")</f>
        <v>0</v>
      </c>
      <c r="AS40" s="32" t="s">
        <v>277</v>
      </c>
      <c r="AT40" s="32" t="s">
        <v>277</v>
      </c>
      <c r="AU40" s="32" t="s">
        <v>277</v>
      </c>
      <c r="AV40" s="32" t="s">
        <v>277</v>
      </c>
      <c r="AW40" s="32"/>
      <c r="AX40" s="32" t="s">
        <v>277</v>
      </c>
      <c r="AY40" s="32" t="s">
        <v>277</v>
      </c>
      <c r="BD40" s="30"/>
      <c r="BE40" s="31">
        <f>COUNTIFS(BE4:BE14, "=New")</f>
        <v>0</v>
      </c>
      <c r="BF40" s="32" t="s">
        <v>277</v>
      </c>
      <c r="BG40" s="32" t="s">
        <v>277</v>
      </c>
      <c r="BH40" s="32" t="s">
        <v>277</v>
      </c>
      <c r="BI40" s="32" t="s">
        <v>277</v>
      </c>
      <c r="BJ40" s="32"/>
      <c r="BK40" s="32" t="s">
        <v>277</v>
      </c>
      <c r="BL40" s="32" t="s">
        <v>277</v>
      </c>
      <c r="BR40" s="31">
        <f>COUNTIFS(BR4:BR9, "=New")</f>
        <v>0</v>
      </c>
      <c r="BS40" s="32" t="s">
        <v>277</v>
      </c>
      <c r="BT40" s="32" t="s">
        <v>277</v>
      </c>
      <c r="BU40" s="32" t="s">
        <v>277</v>
      </c>
      <c r="BV40" s="32" t="s">
        <v>277</v>
      </c>
      <c r="BW40" s="32"/>
      <c r="BX40" s="32" t="s">
        <v>277</v>
      </c>
      <c r="BY40" s="32" t="s">
        <v>277</v>
      </c>
      <c r="CE40" s="31">
        <f>COUNTIFS(CE4:CE29, "=New")</f>
        <v>0</v>
      </c>
      <c r="CF40" s="32" t="s">
        <v>277</v>
      </c>
      <c r="CG40" s="32" t="s">
        <v>277</v>
      </c>
      <c r="CH40" s="32" t="s">
        <v>277</v>
      </c>
      <c r="CI40" s="32" t="s">
        <v>277</v>
      </c>
      <c r="CJ40" s="32"/>
      <c r="CK40" s="32" t="s">
        <v>277</v>
      </c>
      <c r="CL40" s="32" t="s">
        <v>277</v>
      </c>
      <c r="CQ40" s="30"/>
      <c r="CR40" s="31">
        <f>COUNTIFS(CR6:CR37, "=New")</f>
        <v>0</v>
      </c>
      <c r="CS40" s="32" t="s">
        <v>277</v>
      </c>
      <c r="CT40" s="32" t="s">
        <v>277</v>
      </c>
      <c r="CU40" s="32" t="s">
        <v>277</v>
      </c>
      <c r="CV40" s="32" t="s">
        <v>277</v>
      </c>
      <c r="CW40" s="32"/>
      <c r="CX40" s="32" t="s">
        <v>277</v>
      </c>
      <c r="CY40" s="32" t="s">
        <v>277</v>
      </c>
      <c r="DE40" s="31">
        <f>COUNTIFS(DE4:DE29, "=New")</f>
        <v>0</v>
      </c>
      <c r="DF40" s="32" t="s">
        <v>277</v>
      </c>
      <c r="DG40" s="32" t="s">
        <v>277</v>
      </c>
      <c r="DH40" s="32" t="s">
        <v>277</v>
      </c>
      <c r="DI40" s="32" t="s">
        <v>277</v>
      </c>
      <c r="DJ40" s="32"/>
      <c r="DK40" s="32" t="s">
        <v>277</v>
      </c>
      <c r="DL40" s="32" t="s">
        <v>277</v>
      </c>
      <c r="DR40" s="31">
        <f>COUNTIFS(DR4:DR31, "=New")</f>
        <v>0</v>
      </c>
      <c r="DS40" s="32" t="s">
        <v>277</v>
      </c>
      <c r="DT40" s="32" t="s">
        <v>277</v>
      </c>
      <c r="DU40" s="32" t="s">
        <v>277</v>
      </c>
      <c r="DV40" s="32" t="s">
        <v>277</v>
      </c>
      <c r="DW40" s="32"/>
      <c r="DX40" s="32" t="s">
        <v>277</v>
      </c>
      <c r="DY40" s="32" t="s">
        <v>277</v>
      </c>
      <c r="ED40" s="30"/>
      <c r="EE40" s="31">
        <f>COUNTIFS(EE4:EE18, "=New")</f>
        <v>0</v>
      </c>
      <c r="EF40" s="32" t="s">
        <v>277</v>
      </c>
      <c r="EG40" s="32" t="s">
        <v>277</v>
      </c>
      <c r="EH40" s="32" t="s">
        <v>277</v>
      </c>
      <c r="EI40" s="32" t="s">
        <v>277</v>
      </c>
      <c r="EJ40" s="32"/>
      <c r="EK40" s="32" t="s">
        <v>277</v>
      </c>
      <c r="EL40" s="32" t="s">
        <v>277</v>
      </c>
      <c r="ER40" s="31">
        <f>COUNTIFS(ER4:ER12, "=New")</f>
        <v>0</v>
      </c>
      <c r="ES40" s="32" t="s">
        <v>277</v>
      </c>
      <c r="ET40" s="32" t="s">
        <v>277</v>
      </c>
      <c r="EU40" s="32" t="s">
        <v>277</v>
      </c>
      <c r="EV40" s="32" t="s">
        <v>277</v>
      </c>
      <c r="EW40" s="32"/>
      <c r="EX40" s="32" t="s">
        <v>277</v>
      </c>
      <c r="EY40" s="32" t="s">
        <v>277</v>
      </c>
      <c r="FB40" s="35"/>
      <c r="FC40" s="49"/>
      <c r="FD40" s="49"/>
      <c r="FE40" s="49"/>
      <c r="FF40" s="49"/>
      <c r="FG40" s="49"/>
      <c r="FH40" s="49"/>
      <c r="FI40" s="49"/>
      <c r="FJ40" s="49"/>
      <c r="FK40" s="49"/>
      <c r="FL40" s="49"/>
      <c r="FM40" s="49"/>
      <c r="FN40" s="49"/>
      <c r="FO40" s="49"/>
      <c r="FP40" s="49"/>
      <c r="FQ40" s="49"/>
      <c r="FR40" s="49"/>
      <c r="FS40" s="49"/>
      <c r="FT40" s="49"/>
      <c r="FU40" s="49"/>
      <c r="FV40" s="49"/>
      <c r="FW40" s="35"/>
      <c r="FX40" s="29">
        <f>SUM(E40,R40,AE40)</f>
        <v>0</v>
      </c>
      <c r="FY40" s="29">
        <f>SUM(AR40,BE40,BR40)</f>
        <v>0</v>
      </c>
      <c r="FZ40" s="29">
        <f>SUM(CE40,CR40,DE40)</f>
        <v>0</v>
      </c>
      <c r="GA40" s="29">
        <f>SUM(DR40,EE40,ER40)</f>
        <v>0</v>
      </c>
      <c r="GB40" s="35"/>
      <c r="GC40" s="41">
        <f t="shared" ref="GC40:GC85" si="0">SUM(FX40:GA40)</f>
        <v>0</v>
      </c>
      <c r="GD40" s="35"/>
      <c r="GE40" s="35"/>
      <c r="GF40" s="35"/>
      <c r="GG40" s="35"/>
      <c r="GH40" s="35"/>
      <c r="GI40" s="35"/>
      <c r="GJ40" s="35"/>
      <c r="GK40" s="35"/>
      <c r="GL40" s="35"/>
      <c r="GM40" s="35"/>
      <c r="GN40" s="35"/>
      <c r="GO40" s="35"/>
      <c r="GP40" s="35"/>
      <c r="GQ40" s="35"/>
      <c r="GR40" s="35"/>
      <c r="GS40" s="35"/>
      <c r="GT40" s="35"/>
      <c r="GU40" s="35"/>
      <c r="GV40" s="35"/>
      <c r="GW40" s="35"/>
      <c r="GX40" s="35"/>
      <c r="GY40" s="35"/>
      <c r="GZ40" s="35"/>
      <c r="HA40" s="35"/>
      <c r="HB40" s="35"/>
      <c r="HC40" s="35"/>
      <c r="HD40" s="35"/>
      <c r="HE40" s="35"/>
      <c r="HF40" s="35"/>
      <c r="HG40" s="35"/>
      <c r="HH40" s="35"/>
      <c r="HI40" s="35"/>
      <c r="HJ40" s="35"/>
      <c r="HK40" s="35"/>
      <c r="HL40" s="35"/>
      <c r="HM40" s="35"/>
      <c r="HN40" s="35"/>
      <c r="HO40" s="35"/>
      <c r="HP40" s="35"/>
      <c r="HQ40" s="35"/>
      <c r="HR40" s="35"/>
      <c r="HS40" s="35"/>
      <c r="HT40" s="35"/>
      <c r="HU40" s="35"/>
      <c r="HV40" s="35"/>
      <c r="HW40" s="35"/>
      <c r="HX40" s="35"/>
      <c r="HY40" s="35"/>
      <c r="HZ40" s="35"/>
      <c r="IA40" s="35"/>
    </row>
    <row r="41" spans="1:235" s="29" customFormat="1">
      <c r="A41" s="28" t="s">
        <v>1331</v>
      </c>
      <c r="B41" s="28"/>
      <c r="E41" s="32" t="s">
        <v>277</v>
      </c>
      <c r="F41" s="31">
        <f>COUNTIFS(F4:F28, "=F2F")</f>
        <v>0</v>
      </c>
      <c r="G41" s="32" t="s">
        <v>277</v>
      </c>
      <c r="H41" s="32" t="s">
        <v>277</v>
      </c>
      <c r="I41" s="32" t="s">
        <v>277</v>
      </c>
      <c r="J41" s="32"/>
      <c r="K41" s="32" t="s">
        <v>277</v>
      </c>
      <c r="L41" s="32" t="s">
        <v>277</v>
      </c>
      <c r="Q41" s="30"/>
      <c r="R41" s="32" t="s">
        <v>277</v>
      </c>
      <c r="S41" s="31">
        <f>COUNTIFS(S4:S28, "=F2F")</f>
        <v>0</v>
      </c>
      <c r="T41" s="32" t="s">
        <v>277</v>
      </c>
      <c r="U41" s="32" t="s">
        <v>277</v>
      </c>
      <c r="V41" s="32" t="s">
        <v>277</v>
      </c>
      <c r="W41" s="32"/>
      <c r="X41" s="32" t="s">
        <v>277</v>
      </c>
      <c r="Y41" s="32" t="s">
        <v>277</v>
      </c>
      <c r="AE41" s="32" t="s">
        <v>277</v>
      </c>
      <c r="AF41" s="31">
        <f>COUNTIFS(AF4:AF28, "=F2F")</f>
        <v>0</v>
      </c>
      <c r="AG41" s="32" t="s">
        <v>277</v>
      </c>
      <c r="AH41" s="32" t="s">
        <v>277</v>
      </c>
      <c r="AI41" s="32" t="s">
        <v>277</v>
      </c>
      <c r="AJ41" s="32"/>
      <c r="AK41" s="32" t="s">
        <v>277</v>
      </c>
      <c r="AL41" s="32" t="s">
        <v>277</v>
      </c>
      <c r="AR41" s="32" t="s">
        <v>277</v>
      </c>
      <c r="AS41" s="31">
        <f>COUNTIFS(AS3:AS19, "=F2F")</f>
        <v>0</v>
      </c>
      <c r="AT41" s="32" t="s">
        <v>277</v>
      </c>
      <c r="AU41" s="32" t="s">
        <v>277</v>
      </c>
      <c r="AV41" s="32" t="s">
        <v>277</v>
      </c>
      <c r="AW41" s="32"/>
      <c r="AX41" s="32" t="s">
        <v>277</v>
      </c>
      <c r="AY41" s="32" t="s">
        <v>277</v>
      </c>
      <c r="BD41" s="30"/>
      <c r="BE41" s="32" t="s">
        <v>277</v>
      </c>
      <c r="BF41" s="31">
        <f>COUNTIFS(BF4:BF14, "=F2F")</f>
        <v>0</v>
      </c>
      <c r="BG41" s="32" t="s">
        <v>277</v>
      </c>
      <c r="BH41" s="32" t="s">
        <v>277</v>
      </c>
      <c r="BI41" s="32" t="s">
        <v>277</v>
      </c>
      <c r="BJ41" s="32"/>
      <c r="BK41" s="32" t="s">
        <v>277</v>
      </c>
      <c r="BL41" s="32" t="s">
        <v>277</v>
      </c>
      <c r="BR41" s="32" t="s">
        <v>277</v>
      </c>
      <c r="BS41" s="31">
        <f>COUNTIFS(BS4:BS9, "=F2F")</f>
        <v>0</v>
      </c>
      <c r="BT41" s="32" t="s">
        <v>277</v>
      </c>
      <c r="BU41" s="32" t="s">
        <v>277</v>
      </c>
      <c r="BV41" s="32" t="s">
        <v>277</v>
      </c>
      <c r="BW41" s="32"/>
      <c r="BX41" s="32" t="s">
        <v>277</v>
      </c>
      <c r="BY41" s="32" t="s">
        <v>277</v>
      </c>
      <c r="CE41" s="32" t="s">
        <v>277</v>
      </c>
      <c r="CF41" s="31">
        <f>COUNTIFS(CF4:CF29, "=F2F")</f>
        <v>0</v>
      </c>
      <c r="CG41" s="32" t="s">
        <v>277</v>
      </c>
      <c r="CH41" s="32" t="s">
        <v>277</v>
      </c>
      <c r="CI41" s="32" t="s">
        <v>277</v>
      </c>
      <c r="CJ41" s="32"/>
      <c r="CK41" s="32" t="s">
        <v>277</v>
      </c>
      <c r="CL41" s="32" t="s">
        <v>277</v>
      </c>
      <c r="CQ41" s="30"/>
      <c r="CR41" s="32" t="s">
        <v>277</v>
      </c>
      <c r="CS41" s="31">
        <f>COUNTIFS(CS6:CS37, "=F2F")</f>
        <v>0</v>
      </c>
      <c r="CT41" s="32" t="s">
        <v>277</v>
      </c>
      <c r="CU41" s="32" t="s">
        <v>277</v>
      </c>
      <c r="CV41" s="32" t="s">
        <v>277</v>
      </c>
      <c r="CW41" s="32"/>
      <c r="CX41" s="32" t="s">
        <v>277</v>
      </c>
      <c r="CY41" s="32" t="s">
        <v>277</v>
      </c>
      <c r="DE41" s="32" t="s">
        <v>277</v>
      </c>
      <c r="DF41" s="31">
        <f>COUNTIFS(DF4:DF29, "=F2F")</f>
        <v>0</v>
      </c>
      <c r="DG41" s="32" t="s">
        <v>277</v>
      </c>
      <c r="DH41" s="32" t="s">
        <v>277</v>
      </c>
      <c r="DI41" s="32" t="s">
        <v>277</v>
      </c>
      <c r="DJ41" s="32"/>
      <c r="DK41" s="32" t="s">
        <v>277</v>
      </c>
      <c r="DL41" s="32" t="s">
        <v>277</v>
      </c>
      <c r="DR41" s="32" t="s">
        <v>277</v>
      </c>
      <c r="DS41" s="31">
        <f>COUNTIFS(DS4:DS31, "=F2F")</f>
        <v>0</v>
      </c>
      <c r="DT41" s="32" t="s">
        <v>277</v>
      </c>
      <c r="DU41" s="32" t="s">
        <v>277</v>
      </c>
      <c r="DV41" s="32" t="s">
        <v>277</v>
      </c>
      <c r="DW41" s="32"/>
      <c r="DX41" s="32" t="s">
        <v>277</v>
      </c>
      <c r="DY41" s="32" t="s">
        <v>277</v>
      </c>
      <c r="ED41" s="30"/>
      <c r="EE41" s="32" t="s">
        <v>277</v>
      </c>
      <c r="EF41" s="31">
        <f>COUNTIFS(EF4:EF18, "=F2F")</f>
        <v>0</v>
      </c>
      <c r="EG41" s="32" t="s">
        <v>277</v>
      </c>
      <c r="EH41" s="32" t="s">
        <v>277</v>
      </c>
      <c r="EI41" s="32" t="s">
        <v>277</v>
      </c>
      <c r="EJ41" s="32"/>
      <c r="EK41" s="32" t="s">
        <v>277</v>
      </c>
      <c r="EL41" s="32" t="s">
        <v>277</v>
      </c>
      <c r="ER41" s="32" t="s">
        <v>277</v>
      </c>
      <c r="ES41" s="31">
        <f>COUNTIFS(ES4:ES12, "=F2F")</f>
        <v>0</v>
      </c>
      <c r="ET41" s="32" t="s">
        <v>277</v>
      </c>
      <c r="EU41" s="32" t="s">
        <v>277</v>
      </c>
      <c r="EV41" s="32" t="s">
        <v>277</v>
      </c>
      <c r="EW41" s="32"/>
      <c r="EX41" s="32" t="s">
        <v>277</v>
      </c>
      <c r="EY41" s="32" t="s">
        <v>277</v>
      </c>
      <c r="FB41" s="35"/>
      <c r="FC41" s="49"/>
      <c r="FD41" s="49"/>
      <c r="FE41" s="49"/>
      <c r="FF41" s="49"/>
      <c r="FG41" s="49"/>
      <c r="FH41" s="49"/>
      <c r="FI41" s="49"/>
      <c r="FJ41" s="49"/>
      <c r="FK41" s="49"/>
      <c r="FL41" s="49"/>
      <c r="FM41" s="49"/>
      <c r="FN41" s="49"/>
      <c r="FO41" s="49"/>
      <c r="FP41" s="49"/>
      <c r="FQ41" s="49"/>
      <c r="FR41" s="49"/>
      <c r="FS41" s="49"/>
      <c r="FT41" s="49"/>
      <c r="FU41" s="49"/>
      <c r="FV41" s="49"/>
      <c r="FW41" s="35"/>
      <c r="FX41" s="29">
        <f>SUM(F41,S41,AF41)</f>
        <v>0</v>
      </c>
      <c r="FY41" s="29">
        <f>SUM(AS41,BF41,BS41)</f>
        <v>0</v>
      </c>
      <c r="FZ41" s="29">
        <f>SUM(CF41,CS41,DF41)</f>
        <v>0</v>
      </c>
      <c r="GA41" s="29">
        <f>SUM(DS41,EF41,ES41)</f>
        <v>0</v>
      </c>
      <c r="GB41" s="35"/>
      <c r="GC41" s="41">
        <f t="shared" si="0"/>
        <v>0</v>
      </c>
      <c r="GD41" s="35"/>
      <c r="GE41" s="35"/>
      <c r="GF41" s="35"/>
      <c r="GG41" s="35"/>
      <c r="GH41" s="35"/>
      <c r="GI41" s="35"/>
      <c r="GJ41" s="35"/>
      <c r="GK41" s="35"/>
      <c r="GL41" s="35"/>
      <c r="GM41" s="35"/>
      <c r="GN41" s="35"/>
      <c r="GO41" s="35"/>
      <c r="GP41" s="35"/>
      <c r="GQ41" s="35"/>
      <c r="GR41" s="35"/>
      <c r="GS41" s="35"/>
      <c r="GT41" s="35"/>
      <c r="GU41" s="35"/>
      <c r="GV41" s="35"/>
      <c r="GW41" s="35"/>
      <c r="GX41" s="35"/>
      <c r="GY41" s="35"/>
      <c r="GZ41" s="35"/>
      <c r="HA41" s="35"/>
      <c r="HB41" s="35"/>
      <c r="HC41" s="35"/>
      <c r="HD41" s="35"/>
      <c r="HE41" s="35"/>
      <c r="HF41" s="35"/>
      <c r="HG41" s="35"/>
      <c r="HH41" s="35"/>
      <c r="HI41" s="35"/>
      <c r="HJ41" s="35"/>
      <c r="HK41" s="35"/>
      <c r="HL41" s="35"/>
      <c r="HM41" s="35"/>
      <c r="HN41" s="35"/>
      <c r="HO41" s="35"/>
      <c r="HP41" s="35"/>
      <c r="HQ41" s="35"/>
      <c r="HR41" s="35"/>
      <c r="HS41" s="35"/>
      <c r="HT41" s="35"/>
      <c r="HU41" s="35"/>
      <c r="HV41" s="35"/>
      <c r="HW41" s="35"/>
      <c r="HX41" s="35"/>
      <c r="HY41" s="35"/>
      <c r="HZ41" s="35"/>
      <c r="IA41" s="35"/>
    </row>
    <row r="42" spans="1:235" s="29" customFormat="1">
      <c r="A42" s="28" t="s">
        <v>1332</v>
      </c>
      <c r="B42" s="28"/>
      <c r="E42" s="32" t="s">
        <v>277</v>
      </c>
      <c r="F42" s="31">
        <f>COUNTIFS(F4:F28, "=Virtual")</f>
        <v>0</v>
      </c>
      <c r="G42" s="32" t="s">
        <v>277</v>
      </c>
      <c r="H42" s="32" t="s">
        <v>277</v>
      </c>
      <c r="I42" s="32" t="s">
        <v>277</v>
      </c>
      <c r="J42" s="32"/>
      <c r="K42" s="32" t="s">
        <v>277</v>
      </c>
      <c r="L42" s="32" t="s">
        <v>277</v>
      </c>
      <c r="Q42" s="30"/>
      <c r="R42" s="32" t="s">
        <v>277</v>
      </c>
      <c r="S42" s="31">
        <f>COUNTIFS(S4:S28, "=Virtual")</f>
        <v>1</v>
      </c>
      <c r="T42" s="32" t="s">
        <v>277</v>
      </c>
      <c r="U42" s="32" t="s">
        <v>277</v>
      </c>
      <c r="V42" s="32" t="s">
        <v>277</v>
      </c>
      <c r="W42" s="32"/>
      <c r="X42" s="32" t="s">
        <v>277</v>
      </c>
      <c r="Y42" s="32" t="s">
        <v>277</v>
      </c>
      <c r="AE42" s="32" t="s">
        <v>277</v>
      </c>
      <c r="AF42" s="31">
        <f>COUNTIFS(AF4:AF28, "=Virtual")</f>
        <v>1</v>
      </c>
      <c r="AG42" s="32" t="s">
        <v>277</v>
      </c>
      <c r="AH42" s="32" t="s">
        <v>277</v>
      </c>
      <c r="AI42" s="32" t="s">
        <v>277</v>
      </c>
      <c r="AJ42" s="32"/>
      <c r="AK42" s="32" t="s">
        <v>277</v>
      </c>
      <c r="AL42" s="32" t="s">
        <v>277</v>
      </c>
      <c r="AR42" s="32" t="s">
        <v>277</v>
      </c>
      <c r="AS42" s="31">
        <f>COUNTIFS(AS3:AS19, "=Virtual")</f>
        <v>1</v>
      </c>
      <c r="AT42" s="32" t="s">
        <v>277</v>
      </c>
      <c r="AU42" s="32" t="s">
        <v>277</v>
      </c>
      <c r="AV42" s="32" t="s">
        <v>277</v>
      </c>
      <c r="AW42" s="32"/>
      <c r="AX42" s="32" t="s">
        <v>277</v>
      </c>
      <c r="AY42" s="32" t="s">
        <v>277</v>
      </c>
      <c r="BD42" s="30"/>
      <c r="BE42" s="32" t="s">
        <v>277</v>
      </c>
      <c r="BF42" s="31">
        <f>COUNTIFS(BF4:BF14, "=Virtual")</f>
        <v>0</v>
      </c>
      <c r="BG42" s="32" t="s">
        <v>277</v>
      </c>
      <c r="BH42" s="32" t="s">
        <v>277</v>
      </c>
      <c r="BI42" s="32" t="s">
        <v>277</v>
      </c>
      <c r="BJ42" s="32"/>
      <c r="BK42" s="32" t="s">
        <v>277</v>
      </c>
      <c r="BL42" s="32" t="s">
        <v>277</v>
      </c>
      <c r="BR42" s="32" t="s">
        <v>277</v>
      </c>
      <c r="BS42" s="31">
        <f>COUNTIFS(BS4:BS9, "=Virtual")</f>
        <v>0</v>
      </c>
      <c r="BT42" s="32" t="s">
        <v>277</v>
      </c>
      <c r="BU42" s="32" t="s">
        <v>277</v>
      </c>
      <c r="BV42" s="32" t="s">
        <v>277</v>
      </c>
      <c r="BW42" s="32"/>
      <c r="BX42" s="32" t="s">
        <v>277</v>
      </c>
      <c r="BY42" s="32" t="s">
        <v>277</v>
      </c>
      <c r="CE42" s="32" t="s">
        <v>277</v>
      </c>
      <c r="CF42" s="31">
        <f>COUNTIFS(CF4:CF29, "=Virtual")</f>
        <v>1</v>
      </c>
      <c r="CG42" s="32" t="s">
        <v>277</v>
      </c>
      <c r="CH42" s="32" t="s">
        <v>277</v>
      </c>
      <c r="CI42" s="32" t="s">
        <v>277</v>
      </c>
      <c r="CJ42" s="32"/>
      <c r="CK42" s="32" t="s">
        <v>277</v>
      </c>
      <c r="CL42" s="32" t="s">
        <v>277</v>
      </c>
      <c r="CQ42" s="30"/>
      <c r="CR42" s="32" t="s">
        <v>277</v>
      </c>
      <c r="CS42" s="31">
        <f>COUNTIFS(CS6:CS37, "=Virtual")</f>
        <v>1</v>
      </c>
      <c r="CT42" s="32" t="s">
        <v>277</v>
      </c>
      <c r="CU42" s="32" t="s">
        <v>277</v>
      </c>
      <c r="CV42" s="32" t="s">
        <v>277</v>
      </c>
      <c r="CW42" s="32"/>
      <c r="CX42" s="32" t="s">
        <v>277</v>
      </c>
      <c r="CY42" s="32" t="s">
        <v>277</v>
      </c>
      <c r="DE42" s="32" t="s">
        <v>277</v>
      </c>
      <c r="DF42" s="31">
        <f>COUNTIFS(DF4:DF29, "=Virtual")</f>
        <v>1</v>
      </c>
      <c r="DG42" s="32" t="s">
        <v>277</v>
      </c>
      <c r="DH42" s="32" t="s">
        <v>277</v>
      </c>
      <c r="DI42" s="32" t="s">
        <v>277</v>
      </c>
      <c r="DJ42" s="32"/>
      <c r="DK42" s="32" t="s">
        <v>277</v>
      </c>
      <c r="DL42" s="32" t="s">
        <v>277</v>
      </c>
      <c r="DR42" s="32" t="s">
        <v>277</v>
      </c>
      <c r="DS42" s="31">
        <f>COUNTIFS(DS4:DS31, "=Virtual")</f>
        <v>2</v>
      </c>
      <c r="DT42" s="32" t="s">
        <v>277</v>
      </c>
      <c r="DU42" s="32" t="s">
        <v>277</v>
      </c>
      <c r="DV42" s="32" t="s">
        <v>277</v>
      </c>
      <c r="DW42" s="32"/>
      <c r="DX42" s="32" t="s">
        <v>277</v>
      </c>
      <c r="DY42" s="32" t="s">
        <v>277</v>
      </c>
      <c r="ED42" s="30"/>
      <c r="EE42" s="32" t="s">
        <v>277</v>
      </c>
      <c r="EF42" s="31">
        <f>COUNTIFS(EF4:EF18, "=Virtual")</f>
        <v>1</v>
      </c>
      <c r="EG42" s="32" t="s">
        <v>277</v>
      </c>
      <c r="EH42" s="32" t="s">
        <v>277</v>
      </c>
      <c r="EI42" s="32" t="s">
        <v>277</v>
      </c>
      <c r="EJ42" s="32"/>
      <c r="EK42" s="32" t="s">
        <v>277</v>
      </c>
      <c r="EL42" s="32" t="s">
        <v>277</v>
      </c>
      <c r="ER42" s="32" t="s">
        <v>277</v>
      </c>
      <c r="ES42" s="31">
        <f>COUNTIFS(ES4:ES12, "=Virtual")</f>
        <v>0</v>
      </c>
      <c r="ET42" s="32" t="s">
        <v>277</v>
      </c>
      <c r="EU42" s="32" t="s">
        <v>277</v>
      </c>
      <c r="EV42" s="32" t="s">
        <v>277</v>
      </c>
      <c r="EW42" s="32"/>
      <c r="EX42" s="32" t="s">
        <v>277</v>
      </c>
      <c r="EY42" s="32" t="s">
        <v>277</v>
      </c>
      <c r="FB42" s="35"/>
      <c r="FC42" s="49"/>
      <c r="FD42" s="49"/>
      <c r="FE42" s="49"/>
      <c r="FF42" s="49"/>
      <c r="FG42" s="49"/>
      <c r="FH42" s="49"/>
      <c r="FI42" s="49"/>
      <c r="FJ42" s="49"/>
      <c r="FK42" s="49"/>
      <c r="FL42" s="49"/>
      <c r="FM42" s="49"/>
      <c r="FN42" s="49"/>
      <c r="FO42" s="49"/>
      <c r="FP42" s="49"/>
      <c r="FQ42" s="49"/>
      <c r="FR42" s="49"/>
      <c r="FS42" s="49"/>
      <c r="FT42" s="49"/>
      <c r="FU42" s="49"/>
      <c r="FV42" s="49"/>
      <c r="FW42" s="35"/>
      <c r="FX42" s="29">
        <f>SUM(F42,S42,AF42)</f>
        <v>2</v>
      </c>
      <c r="FY42" s="29">
        <f>SUM(AS42,BF42,BS42)</f>
        <v>1</v>
      </c>
      <c r="FZ42" s="29">
        <f>SUM(CF42,CS42,DF42)</f>
        <v>3</v>
      </c>
      <c r="GA42" s="29">
        <f>SUM(DS42,EF42,ES42)</f>
        <v>3</v>
      </c>
      <c r="GB42" s="35"/>
      <c r="GC42" s="41">
        <f t="shared" si="0"/>
        <v>9</v>
      </c>
      <c r="GD42" s="35"/>
      <c r="GE42" s="35"/>
      <c r="GF42" s="35"/>
      <c r="GG42" s="35"/>
      <c r="GH42" s="35"/>
      <c r="GI42" s="35"/>
      <c r="GJ42" s="35"/>
      <c r="GK42" s="35"/>
      <c r="GL42" s="35"/>
      <c r="GM42" s="35"/>
      <c r="GN42" s="35"/>
      <c r="GO42" s="35"/>
      <c r="GP42" s="35"/>
      <c r="GQ42" s="35"/>
      <c r="GR42" s="35"/>
      <c r="GS42" s="35"/>
      <c r="GT42" s="35"/>
      <c r="GU42" s="35"/>
      <c r="GV42" s="35"/>
      <c r="GW42" s="35"/>
      <c r="GX42" s="35"/>
      <c r="GY42" s="35"/>
      <c r="GZ42" s="35"/>
      <c r="HA42" s="35"/>
      <c r="HB42" s="35"/>
      <c r="HC42" s="35"/>
      <c r="HD42" s="35"/>
      <c r="HE42" s="35"/>
      <c r="HF42" s="35"/>
      <c r="HG42" s="35"/>
      <c r="HH42" s="35"/>
      <c r="HI42" s="35"/>
      <c r="HJ42" s="35"/>
      <c r="HK42" s="35"/>
      <c r="HL42" s="35"/>
      <c r="HM42" s="35"/>
      <c r="HN42" s="35"/>
      <c r="HO42" s="35"/>
      <c r="HP42" s="35"/>
      <c r="HQ42" s="35"/>
      <c r="HR42" s="35"/>
      <c r="HS42" s="35"/>
      <c r="HT42" s="35"/>
      <c r="HU42" s="35"/>
      <c r="HV42" s="35"/>
      <c r="HW42" s="35"/>
      <c r="HX42" s="35"/>
      <c r="HY42" s="35"/>
      <c r="HZ42" s="35"/>
      <c r="IA42" s="35"/>
    </row>
    <row r="43" spans="1:235" s="29" customFormat="1">
      <c r="A43" s="28" t="s">
        <v>1333</v>
      </c>
      <c r="B43" s="28"/>
      <c r="E43" s="32" t="s">
        <v>277</v>
      </c>
      <c r="F43" s="32" t="s">
        <v>277</v>
      </c>
      <c r="G43" s="31">
        <f>COUNTIFS(G4:G28, "=Complete")</f>
        <v>0</v>
      </c>
      <c r="H43" s="31">
        <f>COUNTIFS(H4:H28, "=Complete")</f>
        <v>0</v>
      </c>
      <c r="I43" s="31">
        <f>COUNTIFS(I4:I28, "=Complete")</f>
        <v>0</v>
      </c>
      <c r="J43" s="31"/>
      <c r="K43" s="31">
        <f>COUNTIFS(K4:K28, "=Complete")</f>
        <v>0</v>
      </c>
      <c r="L43" s="31">
        <f>COUNTIFS(L4:L28, "=Complete")</f>
        <v>0</v>
      </c>
      <c r="Q43" s="30"/>
      <c r="R43" s="32" t="s">
        <v>277</v>
      </c>
      <c r="S43" s="32" t="s">
        <v>277</v>
      </c>
      <c r="T43" s="31">
        <f>COUNTIFS(T4:T28, "=Complete")</f>
        <v>0</v>
      </c>
      <c r="U43" s="31">
        <f>COUNTIFS(U4:U28, "=Complete")</f>
        <v>0</v>
      </c>
      <c r="V43" s="31">
        <f>COUNTIFS(V4:V28, "=Complete")</f>
        <v>0</v>
      </c>
      <c r="W43" s="31"/>
      <c r="X43" s="31">
        <f>COUNTIFS(X4:X28, "=Complete")</f>
        <v>0</v>
      </c>
      <c r="Y43" s="31">
        <f>COUNTIFS(Y4:Y28, "=Complete")</f>
        <v>0</v>
      </c>
      <c r="AE43" s="32" t="s">
        <v>277</v>
      </c>
      <c r="AF43" s="32" t="s">
        <v>277</v>
      </c>
      <c r="AG43" s="31">
        <f>COUNTIFS(AG4:AG28, "=Complete")</f>
        <v>0</v>
      </c>
      <c r="AH43" s="31">
        <f>COUNTIFS(AH4:AH28, "=Complete")</f>
        <v>0</v>
      </c>
      <c r="AI43" s="31">
        <f>COUNTIFS(AI4:AI28, "=Complete")</f>
        <v>0</v>
      </c>
      <c r="AJ43" s="31"/>
      <c r="AK43" s="31">
        <f>COUNTIFS(AK4:AK28, "=Complete")</f>
        <v>0</v>
      </c>
      <c r="AL43" s="31">
        <f>COUNTIFS(AL4:AL28, "=Complete")</f>
        <v>0</v>
      </c>
      <c r="AR43" s="32" t="s">
        <v>277</v>
      </c>
      <c r="AS43" s="32" t="s">
        <v>277</v>
      </c>
      <c r="AT43" s="31">
        <f>COUNTIFS(AT4:AT19, "=Complete")</f>
        <v>0</v>
      </c>
      <c r="AU43" s="31">
        <f>COUNTIFS(AU4:AU19, "=Complete")</f>
        <v>0</v>
      </c>
      <c r="AV43" s="31">
        <f>COUNTIFS(AV4:AV19, "=Complete")</f>
        <v>0</v>
      </c>
      <c r="AW43" s="31"/>
      <c r="AX43" s="31">
        <f>COUNTIFS(AX4:AX19, "=Complete")</f>
        <v>0</v>
      </c>
      <c r="AY43" s="31">
        <f>COUNTIFS(AY4:AY19, "=Complete")</f>
        <v>0</v>
      </c>
      <c r="BD43" s="30"/>
      <c r="BE43" s="32" t="s">
        <v>277</v>
      </c>
      <c r="BF43" s="32" t="s">
        <v>277</v>
      </c>
      <c r="BG43" s="31">
        <f>COUNTIFS(BG4:BG14, "=Complete")</f>
        <v>0</v>
      </c>
      <c r="BH43" s="31">
        <f>COUNTIFS(BH4:BH14, "=Complete")</f>
        <v>0</v>
      </c>
      <c r="BI43" s="31">
        <f>COUNTIFS(BI4:BI14, "=Complete")</f>
        <v>0</v>
      </c>
      <c r="BJ43" s="31"/>
      <c r="BK43" s="31">
        <f>COUNTIFS(BK4:BK14, "=Complete")</f>
        <v>0</v>
      </c>
      <c r="BL43" s="31">
        <f>COUNTIFS(BL4:BL14, "=Complete")</f>
        <v>0</v>
      </c>
      <c r="BR43" s="32" t="s">
        <v>277</v>
      </c>
      <c r="BS43" s="32" t="s">
        <v>277</v>
      </c>
      <c r="BT43" s="31">
        <f>COUNTIFS(BT4:BT9, "=Complete")</f>
        <v>0</v>
      </c>
      <c r="BU43" s="31">
        <f>COUNTIFS(BU4:BU9, "=Complete")</f>
        <v>0</v>
      </c>
      <c r="BV43" s="31">
        <f>COUNTIFS(BV4:BV9, "=Complete")</f>
        <v>0</v>
      </c>
      <c r="BW43" s="31"/>
      <c r="BX43" s="31">
        <f>COUNTIFS(BX4:BX9, "=Complete")</f>
        <v>0</v>
      </c>
      <c r="BY43" s="31">
        <f>COUNTIFS(BY4:BY9, "=Complete")</f>
        <v>0</v>
      </c>
      <c r="CE43" s="32" t="s">
        <v>277</v>
      </c>
      <c r="CF43" s="32" t="s">
        <v>277</v>
      </c>
      <c r="CG43" s="32">
        <f>COUNTIFS(CG4:CG29, "=Complete")</f>
        <v>0</v>
      </c>
      <c r="CH43" s="32">
        <f>COUNTIFS(CH4:CH29, "=Complete")</f>
        <v>0</v>
      </c>
      <c r="CI43" s="32">
        <f>COUNTIFS(CI4:CI29, "=Complete")</f>
        <v>0</v>
      </c>
      <c r="CJ43" s="32"/>
      <c r="CK43" s="32">
        <f>COUNTIFS(CK4:CK29, "=Complete")</f>
        <v>0</v>
      </c>
      <c r="CL43" s="32">
        <f>COUNTIFS(CL4:CL29, "=Complete")</f>
        <v>0</v>
      </c>
      <c r="CQ43" s="30"/>
      <c r="CR43" s="32" t="s">
        <v>277</v>
      </c>
      <c r="CS43" s="32" t="s">
        <v>277</v>
      </c>
      <c r="CT43" s="31">
        <f>COUNTIFS(CT4:CT37, "=Complete")</f>
        <v>0</v>
      </c>
      <c r="CU43" s="31">
        <f>COUNTIFS(CU4:CU37, "=Complete")</f>
        <v>0</v>
      </c>
      <c r="CV43" s="31">
        <f>COUNTIFS(CV4:CV37, "=Complete")</f>
        <v>0</v>
      </c>
      <c r="CW43" s="31"/>
      <c r="CX43" s="31">
        <f>COUNTIFS(CX4:CX37, "=Complete")</f>
        <v>0</v>
      </c>
      <c r="CY43" s="31">
        <f>COUNTIFS(CY4:CY37, "=Complete")</f>
        <v>0</v>
      </c>
      <c r="DE43" s="32" t="s">
        <v>277</v>
      </c>
      <c r="DF43" s="32" t="s">
        <v>277</v>
      </c>
      <c r="DG43" s="31">
        <f>COUNTIFS(DG4:DG29, "=Complete")</f>
        <v>0</v>
      </c>
      <c r="DH43" s="31">
        <f>COUNTIFS(DH4:DH29, "=Complete")</f>
        <v>0</v>
      </c>
      <c r="DI43" s="31">
        <f>COUNTIFS(DI4:DI29, "=Complete")</f>
        <v>0</v>
      </c>
      <c r="DJ43" s="31"/>
      <c r="DK43" s="31">
        <f>COUNTIFS(DK4:DK29, "=Complete")</f>
        <v>0</v>
      </c>
      <c r="DL43" s="31">
        <f>COUNTIFS(DL4:DL29, "=Complete")</f>
        <v>0</v>
      </c>
      <c r="DR43" s="32" t="s">
        <v>277</v>
      </c>
      <c r="DS43" s="32" t="s">
        <v>277</v>
      </c>
      <c r="DT43" s="31">
        <f>COUNTIFS(DT4:DT31, "=Complete")</f>
        <v>0</v>
      </c>
      <c r="DU43" s="31">
        <f>COUNTIFS(DU4:DU31, "=Complete")</f>
        <v>0</v>
      </c>
      <c r="DV43" s="31">
        <f>COUNTIFS(DV4:DV31, "=Complete")</f>
        <v>0</v>
      </c>
      <c r="DW43" s="31"/>
      <c r="DX43" s="31">
        <f>COUNTIFS(DX4:DX31, "=Complete")</f>
        <v>0</v>
      </c>
      <c r="DY43" s="31">
        <f>COUNTIFS(DY4:DY31, "=Complete")</f>
        <v>0</v>
      </c>
      <c r="ED43" s="30"/>
      <c r="EE43" s="32" t="s">
        <v>277</v>
      </c>
      <c r="EF43" s="32" t="s">
        <v>277</v>
      </c>
      <c r="EG43" s="31">
        <f>COUNTIFS(EH4:EH18, "=Complete")</f>
        <v>0</v>
      </c>
      <c r="EH43" s="31">
        <f>COUNTIFS(EI4:EI18, "=Complete")</f>
        <v>0</v>
      </c>
      <c r="EI43" s="31">
        <f>COUNTIFS(EK4:EK18, "=Complete")</f>
        <v>0</v>
      </c>
      <c r="EJ43" s="31"/>
      <c r="EK43" s="31">
        <f>COUNTIFS(EL4:EL18, "=Complete")</f>
        <v>0</v>
      </c>
      <c r="EL43" s="31">
        <f>COUNTIFS(EL4:EL18, "=Complete")</f>
        <v>0</v>
      </c>
      <c r="ER43" s="32" t="s">
        <v>277</v>
      </c>
      <c r="ES43" s="32" t="s">
        <v>277</v>
      </c>
      <c r="ET43" s="31">
        <f>COUNTIFS(ET4:ET12, "=Complete")</f>
        <v>0</v>
      </c>
      <c r="EU43" s="31">
        <f>COUNTIFS(EU4:EU12, "=Complete")</f>
        <v>0</v>
      </c>
      <c r="EV43" s="31">
        <f>COUNTIFS(EV4:EV12, "=Complete")</f>
        <v>0</v>
      </c>
      <c r="EW43" s="31"/>
      <c r="EX43" s="31">
        <f>COUNTIFS(EX4:EX12, "=Complete")</f>
        <v>0</v>
      </c>
      <c r="EY43" s="31">
        <f>COUNTIFS(EY4:EY12, "=Complete")</f>
        <v>0</v>
      </c>
      <c r="FB43" s="35">
        <f>18+5</f>
        <v>23</v>
      </c>
      <c r="FC43" s="45">
        <f>SUM(G$43, T$43, AG$43)</f>
        <v>0</v>
      </c>
      <c r="FD43" s="45">
        <f>SUM(H$43, U$43, AH$43)</f>
        <v>0</v>
      </c>
      <c r="FE43" s="45">
        <f>SUM(I$43, V$43, AI$43)</f>
        <v>0</v>
      </c>
      <c r="FF43" s="45">
        <f>SUM(K$43, X$43, AK$43)</f>
        <v>0</v>
      </c>
      <c r="FG43" s="45">
        <f>SUM(L$43, Y$43, AL$43)</f>
        <v>0</v>
      </c>
      <c r="FH43" s="47">
        <f>SUM(AT$43, BG$43, BT$43)</f>
        <v>0</v>
      </c>
      <c r="FI43" s="47">
        <f>SUM(AU$43, BH$43, BU$43)</f>
        <v>0</v>
      </c>
      <c r="FJ43" s="47">
        <f>SUM(AV$43, BI$43, BV$43)</f>
        <v>0</v>
      </c>
      <c r="FK43" s="47">
        <f>SUM(AX$43, BK$43, BX$43)</f>
        <v>0</v>
      </c>
      <c r="FL43" s="47">
        <f>SUM(AY$43, BL$43, BY$43)</f>
        <v>0</v>
      </c>
      <c r="FM43" s="45">
        <f>SUM(CG$43, CT$43, DG$43)</f>
        <v>0</v>
      </c>
      <c r="FN43" s="45">
        <f>SUM(CH$43, CU$43, DH$43)</f>
        <v>0</v>
      </c>
      <c r="FO43" s="45">
        <f>SUM(CI$43, CV$43, DI$43)</f>
        <v>0</v>
      </c>
      <c r="FP43" s="45">
        <f>SUM(CK$43, CX$43, DK$43)</f>
        <v>0</v>
      </c>
      <c r="FQ43" s="45">
        <f>SUM(CL$43, CY$43, DL$43)</f>
        <v>0</v>
      </c>
      <c r="FR43" s="47">
        <f>SUM(DT$43,EG$43,ET$43)</f>
        <v>0</v>
      </c>
      <c r="FS43" s="47">
        <f>SUM(DU$43,EH$43,EU$43)</f>
        <v>0</v>
      </c>
      <c r="FT43" s="47">
        <f>SUM(DV$43,EI$43,EV$43)</f>
        <v>0</v>
      </c>
      <c r="FU43" s="47">
        <f>SUM(DX$43,EK$43,EX$43)</f>
        <v>0</v>
      </c>
      <c r="FV43" s="47">
        <f>SUM(DY$43,EL$43,EY$43)</f>
        <v>0</v>
      </c>
      <c r="FW43" s="35"/>
      <c r="FX43" s="51"/>
      <c r="FY43" s="51"/>
      <c r="FZ43" s="51"/>
      <c r="GA43" s="51"/>
      <c r="GB43" s="35"/>
      <c r="GC43" s="41">
        <f t="shared" si="0"/>
        <v>0</v>
      </c>
      <c r="GD43" s="35"/>
      <c r="GE43" s="35"/>
      <c r="GF43" s="35"/>
      <c r="GG43" s="35"/>
      <c r="GH43" s="35"/>
      <c r="GI43" s="35"/>
      <c r="GJ43" s="35"/>
      <c r="GK43" s="35"/>
      <c r="GL43" s="35"/>
      <c r="GM43" s="35"/>
      <c r="GN43" s="35"/>
      <c r="GO43" s="35"/>
      <c r="GP43" s="35"/>
      <c r="GQ43" s="35"/>
      <c r="GR43" s="35"/>
      <c r="GS43" s="35"/>
      <c r="GT43" s="35"/>
      <c r="GU43" s="35"/>
      <c r="GV43" s="35"/>
      <c r="GW43" s="35"/>
      <c r="GX43" s="35"/>
      <c r="GY43" s="35"/>
      <c r="GZ43" s="35"/>
      <c r="HA43" s="35"/>
      <c r="HB43" s="35"/>
      <c r="HC43" s="35"/>
      <c r="HD43" s="35"/>
      <c r="HE43" s="35"/>
      <c r="HF43" s="35"/>
      <c r="HG43" s="35"/>
      <c r="HH43" s="35"/>
      <c r="HI43" s="35"/>
      <c r="HJ43" s="35"/>
      <c r="HK43" s="35"/>
      <c r="HL43" s="35"/>
      <c r="HM43" s="35"/>
      <c r="HN43" s="35"/>
      <c r="HO43" s="35"/>
      <c r="HP43" s="35"/>
      <c r="HQ43" s="35"/>
      <c r="HR43" s="35"/>
      <c r="HS43" s="35"/>
      <c r="HT43" s="35"/>
      <c r="HU43" s="35"/>
      <c r="HV43" s="35"/>
      <c r="HW43" s="35"/>
      <c r="HX43" s="35"/>
      <c r="HY43" s="35"/>
      <c r="HZ43" s="35"/>
      <c r="IA43" s="35"/>
    </row>
    <row r="44" spans="1:235">
      <c r="A44" s="28" t="s">
        <v>1334</v>
      </c>
      <c r="B44" s="28"/>
      <c r="C44" s="29"/>
      <c r="D44" s="29"/>
      <c r="E44" s="32" t="s">
        <v>277</v>
      </c>
      <c r="F44" s="32" t="s">
        <v>277</v>
      </c>
      <c r="G44" s="31">
        <f>COUNTIFS(G4:G28, "=In Progress")</f>
        <v>0</v>
      </c>
      <c r="H44" s="31">
        <f>COUNTIFS(H4:H28, "=In Progress")</f>
        <v>0</v>
      </c>
      <c r="I44" s="31">
        <f>COUNTIFS(I4:I28, "=In Progress")</f>
        <v>0</v>
      </c>
      <c r="J44" s="31"/>
      <c r="K44" s="31">
        <f>COUNTIFS(K4:K28, "=In Progress")</f>
        <v>0</v>
      </c>
      <c r="L44" s="31">
        <f>COUNTIFS(L4:L28, "=In Progress")</f>
        <v>0</v>
      </c>
      <c r="M44" s="29"/>
      <c r="N44" s="29"/>
      <c r="O44" s="29"/>
      <c r="P44" s="29"/>
      <c r="Q44" s="30"/>
      <c r="R44" s="32" t="s">
        <v>277</v>
      </c>
      <c r="S44" s="32" t="s">
        <v>277</v>
      </c>
      <c r="T44" s="31">
        <f>COUNTIFS(T4:T28, "=In Progress")</f>
        <v>1</v>
      </c>
      <c r="U44" s="31">
        <f>COUNTIFS(U4:U28, "=In Progress")</f>
        <v>0</v>
      </c>
      <c r="V44" s="31">
        <f>COUNTIFS(V4:V28, "=In Progress")</f>
        <v>0</v>
      </c>
      <c r="W44" s="31"/>
      <c r="X44" s="31">
        <f>COUNTIFS(X4:X28, "=In Progress")</f>
        <v>0</v>
      </c>
      <c r="Y44" s="31">
        <f>COUNTIFS(Y4:Y28, "=In Progress")</f>
        <v>0</v>
      </c>
      <c r="Z44" s="29"/>
      <c r="AA44" s="29"/>
      <c r="AB44" s="29"/>
      <c r="AC44" s="29"/>
      <c r="AD44" s="29"/>
      <c r="AE44" s="32" t="s">
        <v>277</v>
      </c>
      <c r="AF44" s="32" t="s">
        <v>277</v>
      </c>
      <c r="AG44" s="31">
        <f>COUNTIFS(AG4:AG28, "=In Progress")</f>
        <v>0</v>
      </c>
      <c r="AH44" s="31">
        <f>COUNTIFS(AH4:AH28, "=In Progress")</f>
        <v>0</v>
      </c>
      <c r="AI44" s="31">
        <f>COUNTIFS(AI4:AI28, "=In Progress")</f>
        <v>0</v>
      </c>
      <c r="AJ44" s="31"/>
      <c r="AK44" s="31">
        <f>COUNTIFS(AK4:AK28, "=In Progress")</f>
        <v>0</v>
      </c>
      <c r="AL44" s="31">
        <f>COUNTIFS(AL4:AL28, "=In Progress")</f>
        <v>0</v>
      </c>
      <c r="AM44" s="29"/>
      <c r="AN44" s="29"/>
      <c r="AO44" s="29"/>
      <c r="AP44" s="29"/>
      <c r="AQ44" s="29"/>
      <c r="AR44" s="32" t="s">
        <v>277</v>
      </c>
      <c r="AS44" s="32" t="s">
        <v>277</v>
      </c>
      <c r="AT44" s="31">
        <f>COUNTIFS(AT4:AT19, "=In Progress")</f>
        <v>1</v>
      </c>
      <c r="AU44" s="31">
        <f>COUNTIFS(AU4:AU19, "=In Progress")</f>
        <v>0</v>
      </c>
      <c r="AV44" s="31">
        <f>COUNTIFS(AV4:AV19, "=In Progress")</f>
        <v>0</v>
      </c>
      <c r="AW44" s="31"/>
      <c r="AX44" s="31">
        <f>COUNTIFS(AX4:AX19, "=In Progress")</f>
        <v>0</v>
      </c>
      <c r="AY44" s="31">
        <f>COUNTIFS(AY4:AY19, "=In Progress")</f>
        <v>0</v>
      </c>
      <c r="AZ44" s="29"/>
      <c r="BA44" s="29"/>
      <c r="BB44" s="29"/>
      <c r="BC44" s="29"/>
      <c r="BD44" s="30"/>
      <c r="BE44" s="32" t="s">
        <v>277</v>
      </c>
      <c r="BF44" s="32" t="s">
        <v>277</v>
      </c>
      <c r="BG44" s="31">
        <f>COUNTIFS(BG4:BG14, "=In Progress")</f>
        <v>0</v>
      </c>
      <c r="BH44" s="31">
        <f>COUNTIFS(BH4:BH14, "=In Progress")</f>
        <v>0</v>
      </c>
      <c r="BI44" s="31">
        <f>COUNTIFS(BI4:BI14, "=In Progress")</f>
        <v>0</v>
      </c>
      <c r="BJ44" s="31"/>
      <c r="BK44" s="31">
        <f>COUNTIFS(BK4:BK14, "=In Progress")</f>
        <v>0</v>
      </c>
      <c r="BL44" s="31">
        <f>COUNTIFS(BL4:BL14, "=In Progress")</f>
        <v>0</v>
      </c>
      <c r="BM44" s="29"/>
      <c r="BN44" s="29"/>
      <c r="BO44" s="29"/>
      <c r="BP44" s="29"/>
      <c r="BQ44" s="29"/>
      <c r="BR44" s="32" t="s">
        <v>277</v>
      </c>
      <c r="BS44" s="32" t="s">
        <v>277</v>
      </c>
      <c r="BT44" s="31">
        <f>COUNTIFS(BT4:BT9, "=In Progress")</f>
        <v>0</v>
      </c>
      <c r="BU44" s="31">
        <f>COUNTIFS(BU4:BU9, "=In Progress")</f>
        <v>0</v>
      </c>
      <c r="BV44" s="31">
        <f>COUNTIFS(BV4:BV9, "=In Progress")</f>
        <v>0</v>
      </c>
      <c r="BW44" s="31"/>
      <c r="BX44" s="31">
        <f>COUNTIFS(BX4:BX9, "=In Progress")</f>
        <v>0</v>
      </c>
      <c r="BY44" s="31">
        <f>COUNTIFS(BY4:BY9, "=In Progress")</f>
        <v>0</v>
      </c>
      <c r="BZ44" s="29"/>
      <c r="CA44" s="29"/>
      <c r="CB44" s="29"/>
      <c r="CC44" s="29"/>
      <c r="CD44" s="29"/>
      <c r="CE44" s="32" t="s">
        <v>277</v>
      </c>
      <c r="CF44" s="32" t="s">
        <v>277</v>
      </c>
      <c r="CG44" s="32">
        <f>COUNTIFS(CG4:CG29, "=In Progress")</f>
        <v>0</v>
      </c>
      <c r="CH44" s="32">
        <f>COUNTIFS(CH4:CH29, "=In Progress")</f>
        <v>0</v>
      </c>
      <c r="CI44" s="32">
        <f>COUNTIFS(CI4:CI29, "=In Progress")</f>
        <v>0</v>
      </c>
      <c r="CJ44" s="32"/>
      <c r="CK44" s="32">
        <f>COUNTIFS(CK4:CK29, "=In Progress")</f>
        <v>0</v>
      </c>
      <c r="CL44" s="32">
        <f>COUNTIFS(CL4:CL29, "=In Progress")</f>
        <v>0</v>
      </c>
      <c r="CM44" s="29"/>
      <c r="CN44" s="29"/>
      <c r="CO44" s="29"/>
      <c r="CP44" s="29"/>
      <c r="CQ44" s="30"/>
      <c r="CR44" s="32" t="s">
        <v>277</v>
      </c>
      <c r="CS44" s="32" t="s">
        <v>277</v>
      </c>
      <c r="CT44" s="31">
        <f>COUNTIFS(CT4:CT37, "=In Progress")</f>
        <v>1</v>
      </c>
      <c r="CU44" s="32">
        <f>COUNTIFS(CU4:CU37, "=In Progress")</f>
        <v>0</v>
      </c>
      <c r="CV44" s="31">
        <f>COUNTIFS(CV4:CV37, "=In Progress")</f>
        <v>0</v>
      </c>
      <c r="CW44" s="31"/>
      <c r="CX44" s="31">
        <f>COUNTIFS(CX4:CX37, "=In Progress")</f>
        <v>0</v>
      </c>
      <c r="CY44" s="31">
        <f>COUNTIFS(CY4:CY37, "=In Progress")</f>
        <v>0</v>
      </c>
      <c r="CZ44" s="29"/>
      <c r="DA44" s="29"/>
      <c r="DB44" s="29"/>
      <c r="DC44" s="29"/>
      <c r="DD44" s="29"/>
      <c r="DE44" s="32" t="s">
        <v>277</v>
      </c>
      <c r="DF44" s="32" t="s">
        <v>277</v>
      </c>
      <c r="DG44" s="31">
        <f>COUNTIFS(DG4:DG29, "=In Progress")</f>
        <v>1</v>
      </c>
      <c r="DH44" s="31">
        <f>COUNTIFS(DH4:DH29, "=In Progress")</f>
        <v>0</v>
      </c>
      <c r="DI44" s="31">
        <f>COUNTIFS(DI4:DI29, "=In Progress")</f>
        <v>0</v>
      </c>
      <c r="DJ44" s="31"/>
      <c r="DK44" s="31">
        <f>COUNTIFS(DK4:DK29, "=In Progress")</f>
        <v>0</v>
      </c>
      <c r="DL44" s="31">
        <f>COUNTIFS(DL4:DL29, "=In Progress")</f>
        <v>0</v>
      </c>
      <c r="DM44" s="29"/>
      <c r="DN44" s="29"/>
      <c r="DO44" s="29"/>
      <c r="DP44" s="29"/>
      <c r="DQ44" s="29"/>
      <c r="DR44" s="32" t="s">
        <v>277</v>
      </c>
      <c r="DS44" s="32" t="s">
        <v>277</v>
      </c>
      <c r="DT44" s="31">
        <f>COUNTIFS(DT4:DT31, "=In Progress")</f>
        <v>2</v>
      </c>
      <c r="DU44" s="31">
        <f>COUNTIFS(DU4:DU31, "=In Progress")</f>
        <v>0</v>
      </c>
      <c r="DV44" s="31">
        <f>COUNTIFS(DV4:DV31, "=In Progress")</f>
        <v>0</v>
      </c>
      <c r="DW44" s="31"/>
      <c r="DX44" s="31">
        <f>COUNTIFS(DX4:DX31, "=In Progress")</f>
        <v>0</v>
      </c>
      <c r="DY44" s="31">
        <f>COUNTIFS(DY4:DY31, "=In Progress")</f>
        <v>0</v>
      </c>
      <c r="DZ44" s="29"/>
      <c r="EA44" s="29"/>
      <c r="EB44" s="29"/>
      <c r="EC44" s="29"/>
      <c r="ED44" s="30"/>
      <c r="EE44" s="32" t="s">
        <v>277</v>
      </c>
      <c r="EF44" s="32" t="s">
        <v>277</v>
      </c>
      <c r="EG44" s="31">
        <f>COUNTIFS(EH4:EH18, "=In Progress")</f>
        <v>0</v>
      </c>
      <c r="EH44" s="31">
        <f>COUNTIFS(EI4:EI18, "=In Progress")</f>
        <v>0</v>
      </c>
      <c r="EI44" s="31">
        <f>COUNTIFS(EK4:EK18, "=In Progress")</f>
        <v>0</v>
      </c>
      <c r="EJ44" s="31"/>
      <c r="EK44" s="31">
        <f>COUNTIFS(EL4:EL18, "=In Progress")</f>
        <v>0</v>
      </c>
      <c r="EL44" s="31">
        <f>COUNTIFS(EL4:EL18, "=In Progress")</f>
        <v>0</v>
      </c>
      <c r="EM44" s="29"/>
      <c r="EN44" s="29"/>
      <c r="EO44" s="29"/>
      <c r="EP44" s="29"/>
      <c r="EQ44" s="29"/>
      <c r="ER44" s="32" t="s">
        <v>277</v>
      </c>
      <c r="ES44" s="32" t="s">
        <v>277</v>
      </c>
      <c r="ET44" s="31">
        <f>COUNTIFS(ET4:ET12, "=In Progress")</f>
        <v>0</v>
      </c>
      <c r="EU44" s="31">
        <f>COUNTIFS(EU4:EU12, "=In Progress")</f>
        <v>0</v>
      </c>
      <c r="EV44" s="31">
        <f>COUNTIFS(EV4:EV12, "=In Progress")</f>
        <v>0</v>
      </c>
      <c r="EW44" s="31"/>
      <c r="EX44" s="31">
        <f>COUNTIFS(EX4:EX12, "=In Progress")</f>
        <v>0</v>
      </c>
      <c r="EY44" s="31">
        <f>COUNTIFS(EY4:EY12, "=In Progress")</f>
        <v>0</v>
      </c>
      <c r="EZ44" s="29"/>
      <c r="FA44" s="29"/>
      <c r="FB44" s="36">
        <f>8+13</f>
        <v>21</v>
      </c>
      <c r="FC44" s="45">
        <f>SUM(G$44, T$44, AG$44)</f>
        <v>1</v>
      </c>
      <c r="FD44" s="45">
        <f>SUM(H$44, U$44, AH$44)</f>
        <v>0</v>
      </c>
      <c r="FE44" s="45">
        <f>SUM(I$44, V$44, AI$44)</f>
        <v>0</v>
      </c>
      <c r="FF44" s="45">
        <f>SUM(K$44, X$44, AK$44)</f>
        <v>0</v>
      </c>
      <c r="FG44" s="45">
        <f>SUM(L$44, Y$44, AL$44)</f>
        <v>0</v>
      </c>
      <c r="FH44" s="47">
        <f>SUM(AT$44, BG$44, BT$44)</f>
        <v>1</v>
      </c>
      <c r="FI44" s="47">
        <f>SUM(AU$44, BH$44, BU$44)</f>
        <v>0</v>
      </c>
      <c r="FJ44" s="47">
        <f>SUM(AV$44, BI$44, BV$44)</f>
        <v>0</v>
      </c>
      <c r="FK44" s="47">
        <f>SUM(AX$44, BK$44, BX$44)</f>
        <v>0</v>
      </c>
      <c r="FL44" s="47">
        <f>SUM(AY$44, BL$44, BY$44)</f>
        <v>0</v>
      </c>
      <c r="FM44" s="45">
        <f>SUM(CG$44, CT$44, DG$44)</f>
        <v>2</v>
      </c>
      <c r="FN44" s="45">
        <f>SUM(CH$44, CU$44, DH$44)</f>
        <v>0</v>
      </c>
      <c r="FO44" s="45">
        <f>SUM(CI$44, CV$44, DI$44)</f>
        <v>0</v>
      </c>
      <c r="FP44" s="45">
        <f>SUM(CK$44, CX$44, DK$44)</f>
        <v>0</v>
      </c>
      <c r="FQ44" s="45">
        <f>SUM(CL$44, CY$44, DL$44)</f>
        <v>0</v>
      </c>
      <c r="FR44" s="47">
        <f>SUM(DT$44,EG$44,ET$44)</f>
        <v>2</v>
      </c>
      <c r="FS44" s="47">
        <f>SUM(DU$44,EH$44,EU$44)</f>
        <v>0</v>
      </c>
      <c r="FT44" s="47">
        <f>SUM(DV$44,EI$44,EV$44)</f>
        <v>0</v>
      </c>
      <c r="FU44" s="47">
        <f>SUM(DX$44,EK$44,EX$44)</f>
        <v>0</v>
      </c>
      <c r="FV44" s="47">
        <f>SUM(DY$44,EL$44,EY$44)</f>
        <v>0</v>
      </c>
      <c r="FW44" s="36"/>
      <c r="FX44" s="51"/>
      <c r="FY44" s="51"/>
      <c r="FZ44" s="51"/>
      <c r="GA44" s="51"/>
      <c r="GB44" s="35"/>
      <c r="GC44" s="41">
        <f t="shared" si="0"/>
        <v>0</v>
      </c>
      <c r="GD44" s="36"/>
      <c r="GE44" s="36"/>
      <c r="GF44" s="36"/>
      <c r="GG44" s="36"/>
      <c r="GH44" s="36"/>
      <c r="GI44" s="36"/>
      <c r="GJ44" s="36"/>
      <c r="GK44" s="36"/>
      <c r="GL44" s="36"/>
      <c r="GM44" s="36"/>
      <c r="GN44" s="36"/>
      <c r="GO44" s="36"/>
      <c r="GP44" s="36"/>
      <c r="GQ44" s="36"/>
      <c r="GR44" s="36"/>
      <c r="GS44" s="36"/>
      <c r="GT44" s="36"/>
      <c r="GU44" s="36"/>
      <c r="GV44" s="36"/>
      <c r="GW44" s="36"/>
      <c r="GX44" s="36"/>
      <c r="GY44" s="36"/>
      <c r="GZ44" s="36"/>
      <c r="HA44" s="36"/>
      <c r="HB44" s="36"/>
      <c r="HC44" s="36"/>
      <c r="HD44" s="36"/>
      <c r="HE44" s="36"/>
      <c r="HF44" s="36"/>
      <c r="HG44" s="36"/>
      <c r="HH44" s="36"/>
      <c r="HI44" s="36"/>
      <c r="HJ44" s="36"/>
      <c r="HK44" s="36"/>
      <c r="HL44" s="36"/>
      <c r="HM44" s="36"/>
      <c r="HN44" s="36"/>
      <c r="HO44" s="36"/>
      <c r="HP44" s="36"/>
      <c r="HQ44" s="36"/>
      <c r="HR44" s="36"/>
      <c r="HS44" s="36"/>
      <c r="HT44" s="36"/>
      <c r="HU44" s="36"/>
      <c r="HV44" s="36"/>
      <c r="HW44" s="36"/>
      <c r="HX44" s="36"/>
      <c r="HY44" s="36"/>
      <c r="HZ44" s="36"/>
      <c r="IA44" s="36"/>
    </row>
    <row r="45" spans="1:235">
      <c r="A45" s="28" t="s">
        <v>1335</v>
      </c>
      <c r="B45" s="28"/>
      <c r="C45" s="29"/>
      <c r="D45" s="29"/>
      <c r="E45" s="32" t="s">
        <v>277</v>
      </c>
      <c r="F45" s="32" t="s">
        <v>277</v>
      </c>
      <c r="G45" s="31">
        <f>COUNTIFS(G4:G28, "=Planned")</f>
        <v>0</v>
      </c>
      <c r="H45" s="31">
        <f>COUNTIFS(H4:H28, "=Planned")</f>
        <v>0</v>
      </c>
      <c r="I45" s="31">
        <f>COUNTIFS(I4:I28, "=Planned")</f>
        <v>0</v>
      </c>
      <c r="J45" s="31"/>
      <c r="K45" s="31">
        <f>COUNTIFS(K4:K28, "=Planned")</f>
        <v>0</v>
      </c>
      <c r="L45" s="31">
        <f>COUNTIFS(L4:L28, "=Planned")</f>
        <v>0</v>
      </c>
      <c r="M45" s="29"/>
      <c r="N45" s="29"/>
      <c r="O45" s="29"/>
      <c r="P45" s="29"/>
      <c r="Q45" s="30"/>
      <c r="R45" s="32" t="s">
        <v>277</v>
      </c>
      <c r="S45" s="32" t="s">
        <v>277</v>
      </c>
      <c r="T45" s="31">
        <f>COUNTIFS(T4:T28, "=Planned")</f>
        <v>0</v>
      </c>
      <c r="U45" s="31">
        <f>COUNTIFS(U4:U28, "=Planned")</f>
        <v>0</v>
      </c>
      <c r="V45" s="31">
        <f>COUNTIFS(V4:V28, "=Planned")</f>
        <v>0</v>
      </c>
      <c r="W45" s="31"/>
      <c r="X45" s="31">
        <f>COUNTIFS(X4:X28, "=Planned")</f>
        <v>0</v>
      </c>
      <c r="Y45" s="31">
        <f>COUNTIFS(Y4:Y28, "=Planned")</f>
        <v>0</v>
      </c>
      <c r="Z45" s="29"/>
      <c r="AA45" s="29"/>
      <c r="AB45" s="29"/>
      <c r="AC45" s="29"/>
      <c r="AD45" s="29"/>
      <c r="AE45" s="32" t="s">
        <v>277</v>
      </c>
      <c r="AF45" s="32" t="s">
        <v>277</v>
      </c>
      <c r="AG45" s="31">
        <f>COUNTIFS(AG4:AG28, "=Planned")</f>
        <v>0</v>
      </c>
      <c r="AH45" s="31">
        <f>COUNTIFS(AH4:AH28, "=Planned")</f>
        <v>0</v>
      </c>
      <c r="AI45" s="31">
        <f>COUNTIFS(AI4:AI28, "=Planned")</f>
        <v>0</v>
      </c>
      <c r="AJ45" s="31"/>
      <c r="AK45" s="31">
        <f>COUNTIFS(AK4:AK28, "=Planned")</f>
        <v>0</v>
      </c>
      <c r="AL45" s="31">
        <f>COUNTIFS(AL4:AL28, "=Planned")</f>
        <v>0</v>
      </c>
      <c r="AM45" s="29"/>
      <c r="AN45" s="29"/>
      <c r="AO45" s="29"/>
      <c r="AP45" s="29"/>
      <c r="AQ45" s="29"/>
      <c r="AR45" s="32" t="s">
        <v>277</v>
      </c>
      <c r="AS45" s="32" t="s">
        <v>277</v>
      </c>
      <c r="AT45" s="31">
        <f>COUNTIFS(AT4:AT19, "=Planned")</f>
        <v>0</v>
      </c>
      <c r="AU45" s="31">
        <f>COUNTIFS(AU4:AU19, "=Planned")</f>
        <v>0</v>
      </c>
      <c r="AV45" s="31">
        <f>COUNTIFS(AV4:AV19, "=Planned")</f>
        <v>0</v>
      </c>
      <c r="AW45" s="31"/>
      <c r="AX45" s="31">
        <f>COUNTIFS(AX4:AX19, "=Planned")</f>
        <v>0</v>
      </c>
      <c r="AY45" s="31">
        <f>COUNTIFS(AY4:AY19, "=Planned")</f>
        <v>0</v>
      </c>
      <c r="AZ45" s="29"/>
      <c r="BA45" s="29"/>
      <c r="BB45" s="29"/>
      <c r="BC45" s="29"/>
      <c r="BD45" s="30"/>
      <c r="BE45" s="32" t="s">
        <v>277</v>
      </c>
      <c r="BF45" s="32" t="s">
        <v>277</v>
      </c>
      <c r="BG45" s="31">
        <f>COUNTIFS(BG4:BG14, "=Planned")</f>
        <v>0</v>
      </c>
      <c r="BH45" s="31">
        <f>COUNTIFS(BH4:BH14, "=Planned")</f>
        <v>0</v>
      </c>
      <c r="BI45" s="31">
        <f>COUNTIFS(BI4:BI14, "=Planned")</f>
        <v>0</v>
      </c>
      <c r="BJ45" s="31"/>
      <c r="BK45" s="31">
        <f>COUNTIFS(BK4:BK14, "=Planned")</f>
        <v>0</v>
      </c>
      <c r="BL45" s="31">
        <f>COUNTIFS(BL4:BL14, "=Planned")</f>
        <v>0</v>
      </c>
      <c r="BM45" s="29"/>
      <c r="BN45" s="29"/>
      <c r="BO45" s="29"/>
      <c r="BP45" s="29"/>
      <c r="BQ45" s="29"/>
      <c r="BR45" s="32" t="s">
        <v>277</v>
      </c>
      <c r="BS45" s="32" t="s">
        <v>277</v>
      </c>
      <c r="BT45" s="31">
        <f>COUNTIFS(BT4:BT9, "=Planned")</f>
        <v>0</v>
      </c>
      <c r="BU45" s="31">
        <f>COUNTIFS(BU4:BU9, "=Planned")</f>
        <v>0</v>
      </c>
      <c r="BV45" s="31">
        <f>COUNTIFS(BV4:BV9, "=Planned")</f>
        <v>0</v>
      </c>
      <c r="BW45" s="31"/>
      <c r="BX45" s="31">
        <f>COUNTIFS(BX4:BX9, "=Planned")</f>
        <v>0</v>
      </c>
      <c r="BY45" s="31">
        <f>COUNTIFS(BY4:BY9, "=Planned")</f>
        <v>0</v>
      </c>
      <c r="BZ45" s="29"/>
      <c r="CA45" s="29"/>
      <c r="CB45" s="29"/>
      <c r="CC45" s="29"/>
      <c r="CD45" s="29"/>
      <c r="CE45" s="32" t="s">
        <v>277</v>
      </c>
      <c r="CF45" s="32" t="s">
        <v>277</v>
      </c>
      <c r="CG45" s="32">
        <f>COUNTIFS(CG4:CG29, "=Planned")</f>
        <v>0</v>
      </c>
      <c r="CH45" s="32">
        <f>COUNTIFS(CH4:CH29, "=Planned")</f>
        <v>0</v>
      </c>
      <c r="CI45" s="32">
        <f>COUNTIFS(CI4:CI29, "=Planned")</f>
        <v>0</v>
      </c>
      <c r="CJ45" s="32"/>
      <c r="CK45" s="32">
        <f>COUNTIFS(CK4:CK29, "=Planned")</f>
        <v>0</v>
      </c>
      <c r="CL45" s="32">
        <f>COUNTIFS(CL4:CL29, "=Planned")</f>
        <v>0</v>
      </c>
      <c r="CM45" s="29"/>
      <c r="CN45" s="29"/>
      <c r="CO45" s="29"/>
      <c r="CP45" s="29"/>
      <c r="CQ45" s="30"/>
      <c r="CR45" s="32" t="s">
        <v>277</v>
      </c>
      <c r="CS45" s="32" t="s">
        <v>277</v>
      </c>
      <c r="CT45" s="31">
        <f>COUNTIFS(CT4:CT37, "=Planned")</f>
        <v>0</v>
      </c>
      <c r="CU45" s="32">
        <f>COUNTIFS(CU4:CU37, "=Planned")</f>
        <v>0</v>
      </c>
      <c r="CV45" s="31">
        <f>COUNTIFS(CV4:CV37, "=Planned")</f>
        <v>0</v>
      </c>
      <c r="CW45" s="31"/>
      <c r="CX45" s="31">
        <f>COUNTIFS(CX4:CX37, "=Planned")</f>
        <v>0</v>
      </c>
      <c r="CY45" s="31">
        <f>COUNTIFS(CY4:CY37, "=Planned")</f>
        <v>0</v>
      </c>
      <c r="CZ45" s="29"/>
      <c r="DA45" s="29"/>
      <c r="DB45" s="29"/>
      <c r="DC45" s="29"/>
      <c r="DD45" s="29"/>
      <c r="DE45" s="32" t="s">
        <v>277</v>
      </c>
      <c r="DF45" s="32" t="s">
        <v>277</v>
      </c>
      <c r="DG45" s="31">
        <f>COUNTIFS(DG4:DG29, "=Planned")</f>
        <v>0</v>
      </c>
      <c r="DH45" s="31">
        <f>COUNTIFS(DH4:DH29, "=Planned")</f>
        <v>0</v>
      </c>
      <c r="DI45" s="31">
        <f>COUNTIFS(DI4:DI29, "=Planned")</f>
        <v>0</v>
      </c>
      <c r="DJ45" s="31"/>
      <c r="DK45" s="31">
        <f>COUNTIFS(DK4:DK29, "=Planned")</f>
        <v>0</v>
      </c>
      <c r="DL45" s="31">
        <f>COUNTIFS(DL4:DL29, "=Planned")</f>
        <v>0</v>
      </c>
      <c r="DM45" s="29"/>
      <c r="DN45" s="29"/>
      <c r="DO45" s="29"/>
      <c r="DP45" s="29"/>
      <c r="DQ45" s="29"/>
      <c r="DR45" s="32" t="s">
        <v>277</v>
      </c>
      <c r="DS45" s="32" t="s">
        <v>277</v>
      </c>
      <c r="DT45" s="31">
        <f>COUNTIFS(DT4:DT31, "=Planned")</f>
        <v>0</v>
      </c>
      <c r="DU45" s="31">
        <f>COUNTIFS(DU4:DU31, "=Planned")</f>
        <v>0</v>
      </c>
      <c r="DV45" s="31">
        <f>COUNTIFS(DV4:DV31, "=Planned")</f>
        <v>0</v>
      </c>
      <c r="DW45" s="31"/>
      <c r="DX45" s="31">
        <f>COUNTIFS(DX4:DX31, "=Planned")</f>
        <v>0</v>
      </c>
      <c r="DY45" s="31">
        <f>COUNTIFS(DY4:DY31, "=Planned")</f>
        <v>0</v>
      </c>
      <c r="DZ45" s="29"/>
      <c r="EA45" s="29"/>
      <c r="EB45" s="29"/>
      <c r="EC45" s="29"/>
      <c r="ED45" s="30"/>
      <c r="EE45" s="32" t="s">
        <v>277</v>
      </c>
      <c r="EF45" s="32" t="s">
        <v>277</v>
      </c>
      <c r="EG45" s="31">
        <f>COUNTIFS(EH4:EH18, "=Planned")</f>
        <v>0</v>
      </c>
      <c r="EH45" s="31">
        <f>COUNTIFS(EI4:EI18, "=Planned")</f>
        <v>0</v>
      </c>
      <c r="EI45" s="31">
        <f>COUNTIFS(EK4:EK18, "=Planned")</f>
        <v>0</v>
      </c>
      <c r="EJ45" s="31"/>
      <c r="EK45" s="31">
        <f>COUNTIFS(EL4:EL18, "=Planned")</f>
        <v>0</v>
      </c>
      <c r="EL45" s="31">
        <f>COUNTIFS(EL4:EL18, "=Planned")</f>
        <v>0</v>
      </c>
      <c r="EM45" s="29"/>
      <c r="EN45" s="29"/>
      <c r="EO45" s="29"/>
      <c r="EP45" s="29"/>
      <c r="EQ45" s="29"/>
      <c r="ER45" s="32" t="s">
        <v>277</v>
      </c>
      <c r="ES45" s="32" t="s">
        <v>277</v>
      </c>
      <c r="ET45" s="31">
        <f>COUNTIFS(ET4:ET12, "=Planned")</f>
        <v>0</v>
      </c>
      <c r="EU45" s="31">
        <f>COUNTIFS(EU4:EU12, "=Planned")</f>
        <v>0</v>
      </c>
      <c r="EV45" s="31">
        <f>COUNTIFS(EV4:EV12, "=Planned")</f>
        <v>0</v>
      </c>
      <c r="EW45" s="31"/>
      <c r="EX45" s="31">
        <f>COUNTIFS(EX4:EX12, "=Planned")</f>
        <v>0</v>
      </c>
      <c r="EY45" s="31">
        <f>COUNTIFS(EY4:EY12, "=Planned")</f>
        <v>0</v>
      </c>
      <c r="EZ45" s="33"/>
      <c r="FA45" s="33"/>
      <c r="FB45" s="36"/>
      <c r="FC45" s="45">
        <f>SUM(G$45, T$45, AG$45)</f>
        <v>0</v>
      </c>
      <c r="FD45" s="45">
        <f>SUM(H$45, U$45, AH$45)</f>
        <v>0</v>
      </c>
      <c r="FE45" s="45">
        <f>SUM(I$45, V$45, AI$45)</f>
        <v>0</v>
      </c>
      <c r="FF45" s="45">
        <f>SUM(K$45, X$45, AK$45)</f>
        <v>0</v>
      </c>
      <c r="FG45" s="45">
        <f>SUM(L$45, Y$45, AL$45)</f>
        <v>0</v>
      </c>
      <c r="FH45" s="47">
        <f>SUM(AT$45, BG$45, BT$45)</f>
        <v>0</v>
      </c>
      <c r="FI45" s="47">
        <f>SUM(AU$45, BH$45, BU$45)</f>
        <v>0</v>
      </c>
      <c r="FJ45" s="47">
        <f>SUM(AV$45, BI$45, BV$45)</f>
        <v>0</v>
      </c>
      <c r="FK45" s="47">
        <f>SUM(AX$45, BK$45, BX$45)</f>
        <v>0</v>
      </c>
      <c r="FL45" s="47">
        <f>SUM(AY$45, BL$45, BY$45)</f>
        <v>0</v>
      </c>
      <c r="FM45" s="45">
        <f>SUM(CG$45, CT$45, DG$45)</f>
        <v>0</v>
      </c>
      <c r="FN45" s="45">
        <f>SUM(CH$45, CU$45, DH$45)</f>
        <v>0</v>
      </c>
      <c r="FO45" s="45">
        <f>SUM(CI$45, CV$45, DI$45)</f>
        <v>0</v>
      </c>
      <c r="FP45" s="45">
        <f>SUM(CK$45, CX$45, DK$45)</f>
        <v>0</v>
      </c>
      <c r="FQ45" s="45">
        <f>SUM(CL$45, CY$45, DL$45)</f>
        <v>0</v>
      </c>
      <c r="FR45" s="47">
        <f>SUM(DT$45,EG$45,ET$45)</f>
        <v>0</v>
      </c>
      <c r="FS45" s="47">
        <f>SUM(DU$45,EH$45,EU$45)</f>
        <v>0</v>
      </c>
      <c r="FT45" s="47">
        <f>SUM(DV$45,EI$45,EV$45)</f>
        <v>0</v>
      </c>
      <c r="FU45" s="47">
        <f>SUM(DX$45,EK$45,EX$45)</f>
        <v>0</v>
      </c>
      <c r="FV45" s="47">
        <f>SUM(DY$45,EL$45,EY$45)</f>
        <v>0</v>
      </c>
      <c r="FW45" s="36"/>
      <c r="FX45" s="51"/>
      <c r="FY45" s="51"/>
      <c r="FZ45" s="51"/>
      <c r="GA45" s="51"/>
      <c r="GB45" s="36"/>
      <c r="GC45" s="41">
        <f t="shared" si="0"/>
        <v>0</v>
      </c>
      <c r="GD45" s="36"/>
      <c r="GE45" s="36"/>
      <c r="GF45" s="36"/>
      <c r="GG45" s="36"/>
      <c r="GH45" s="36"/>
      <c r="GI45" s="36"/>
      <c r="GJ45" s="36"/>
      <c r="GK45" s="36"/>
      <c r="GL45" s="36"/>
      <c r="GM45" s="36"/>
      <c r="GN45" s="36"/>
      <c r="GO45" s="36"/>
      <c r="GP45" s="36"/>
      <c r="GQ45" s="36"/>
      <c r="GR45" s="36"/>
      <c r="GS45" s="36"/>
      <c r="GT45" s="36"/>
      <c r="GU45" s="36"/>
      <c r="GV45" s="36"/>
      <c r="GW45" s="36"/>
      <c r="GX45" s="36"/>
      <c r="GY45" s="36"/>
      <c r="GZ45" s="36"/>
      <c r="HA45" s="36"/>
      <c r="HB45" s="36"/>
      <c r="HC45" s="36"/>
      <c r="HD45" s="36"/>
      <c r="HE45" s="36"/>
      <c r="HF45" s="36"/>
      <c r="HG45" s="36"/>
      <c r="HH45" s="36"/>
      <c r="HI45" s="36"/>
      <c r="HJ45" s="36"/>
      <c r="HK45" s="36"/>
      <c r="HL45" s="36"/>
      <c r="HM45" s="36"/>
      <c r="HN45" s="36"/>
      <c r="HO45" s="36"/>
      <c r="HP45" s="36"/>
      <c r="HQ45" s="36"/>
      <c r="HR45" s="36"/>
      <c r="HS45" s="36"/>
      <c r="HT45" s="36"/>
      <c r="HU45" s="36"/>
      <c r="HV45" s="36"/>
      <c r="HW45" s="36"/>
      <c r="HX45" s="36"/>
      <c r="HY45" s="36"/>
      <c r="HZ45" s="36"/>
      <c r="IA45" s="36"/>
    </row>
    <row r="46" spans="1:235">
      <c r="A46" s="28" t="s">
        <v>1336</v>
      </c>
      <c r="B46" s="28"/>
      <c r="C46" s="29"/>
      <c r="D46" s="29"/>
      <c r="E46" s="32" t="s">
        <v>277</v>
      </c>
      <c r="F46" s="32" t="s">
        <v>277</v>
      </c>
      <c r="G46" s="31">
        <f>COUNTIFS(G4:G28, "=Tentative")</f>
        <v>0</v>
      </c>
      <c r="H46" s="31">
        <f>COUNTIFS(H4:H28, "=Tentative")</f>
        <v>0</v>
      </c>
      <c r="I46" s="31">
        <f>COUNTIFS(I4:I28, "=Tentative")</f>
        <v>0</v>
      </c>
      <c r="J46" s="31"/>
      <c r="K46" s="31">
        <f>COUNTIFS(K4:K28, "=Tentative")</f>
        <v>0</v>
      </c>
      <c r="L46" s="31">
        <f>COUNTIFS(L4:L28, "=Tentative")</f>
        <v>0</v>
      </c>
      <c r="M46" s="29"/>
      <c r="N46" s="29"/>
      <c r="O46" s="29"/>
      <c r="P46" s="29"/>
      <c r="Q46" s="29"/>
      <c r="R46" s="32" t="s">
        <v>277</v>
      </c>
      <c r="S46" s="32" t="s">
        <v>277</v>
      </c>
      <c r="T46" s="31">
        <f>COUNTIFS(T4:T28, "=Tentative")</f>
        <v>0</v>
      </c>
      <c r="U46" s="31">
        <f>COUNTIFS(U4:U28, "=Tentative")</f>
        <v>0</v>
      </c>
      <c r="V46" s="31">
        <f>COUNTIFS(V4:V28, "=Tentative")</f>
        <v>0</v>
      </c>
      <c r="W46" s="31"/>
      <c r="X46" s="31">
        <f>COUNTIFS(X4:X28, "=Tentative")</f>
        <v>0</v>
      </c>
      <c r="Y46" s="31">
        <f>COUNTIFS(Y4:Y28, "=Tentative")</f>
        <v>0</v>
      </c>
      <c r="Z46" s="29"/>
      <c r="AA46" s="29"/>
      <c r="AB46" s="29"/>
      <c r="AC46" s="29"/>
      <c r="AD46" s="29"/>
      <c r="AE46" s="32" t="s">
        <v>277</v>
      </c>
      <c r="AF46" s="32" t="s">
        <v>277</v>
      </c>
      <c r="AG46" s="31">
        <f>COUNTIFS(AG4:AG28, "=Tentative")</f>
        <v>0</v>
      </c>
      <c r="AH46" s="31">
        <f>COUNTIFS(AH4:AH28, "=Tentative")</f>
        <v>0</v>
      </c>
      <c r="AI46" s="31">
        <f>COUNTIFS(AI4:AI28, "=Tentative")</f>
        <v>0</v>
      </c>
      <c r="AJ46" s="31"/>
      <c r="AK46" s="31">
        <f>COUNTIFS(AK4:AK28, "=Tentative")</f>
        <v>0</v>
      </c>
      <c r="AL46" s="31">
        <f>COUNTIFS(AL4:AL28, "=Tentative")</f>
        <v>0</v>
      </c>
      <c r="AM46" s="29"/>
      <c r="AN46" s="29"/>
      <c r="AO46" s="29"/>
      <c r="AP46" s="29"/>
      <c r="AQ46" s="29"/>
      <c r="AR46" s="32" t="s">
        <v>277</v>
      </c>
      <c r="AS46" s="32" t="s">
        <v>277</v>
      </c>
      <c r="AT46" s="31">
        <f>COUNTIFS(AT4:AT19, "=Tentative")</f>
        <v>0</v>
      </c>
      <c r="AU46" s="31">
        <f>COUNTIFS(AU4:AU19, "=Tentative")</f>
        <v>0</v>
      </c>
      <c r="AV46" s="31">
        <f>COUNTIFS(AV4:AV19, "=Tentative")</f>
        <v>0</v>
      </c>
      <c r="AW46" s="31"/>
      <c r="AX46" s="31">
        <f>COUNTIFS(AX4:AX19, "=Tentative")</f>
        <v>0</v>
      </c>
      <c r="AY46" s="31">
        <f>COUNTIFS(AY4:AY19, "=Tentative")</f>
        <v>0</v>
      </c>
      <c r="AZ46" s="29"/>
      <c r="BA46" s="29"/>
      <c r="BB46" s="29"/>
      <c r="BC46" s="29"/>
      <c r="BD46" s="29"/>
      <c r="BE46" s="32" t="s">
        <v>277</v>
      </c>
      <c r="BF46" s="32" t="s">
        <v>277</v>
      </c>
      <c r="BG46" s="31">
        <f>COUNTIFS(BG4:BG14, "=Tentative")</f>
        <v>0</v>
      </c>
      <c r="BH46" s="31">
        <f>COUNTIFS(BH4:BH14, "=Tentative")</f>
        <v>0</v>
      </c>
      <c r="BI46" s="31">
        <f>COUNTIFS(BI4:BI14, "=Tentative")</f>
        <v>0</v>
      </c>
      <c r="BJ46" s="31"/>
      <c r="BK46" s="31">
        <f>COUNTIFS(BK4:BK14, "=Tentative")</f>
        <v>0</v>
      </c>
      <c r="BL46" s="31">
        <f>COUNTIFS(BL4:BL14, "=Tentative")</f>
        <v>0</v>
      </c>
      <c r="BM46" s="29"/>
      <c r="BN46" s="29"/>
      <c r="BO46" s="29"/>
      <c r="BP46" s="29"/>
      <c r="BQ46" s="29"/>
      <c r="BR46" s="32" t="s">
        <v>277</v>
      </c>
      <c r="BS46" s="32" t="s">
        <v>277</v>
      </c>
      <c r="BT46" s="31">
        <f>COUNTIFS(BT4:BT9, "=Tentative")</f>
        <v>0</v>
      </c>
      <c r="BU46" s="31">
        <f>COUNTIFS(BU4:BU9, "=Tentative")</f>
        <v>0</v>
      </c>
      <c r="BV46" s="31">
        <f>COUNTIFS(BV4:BV9, "=Tentative")</f>
        <v>0</v>
      </c>
      <c r="BW46" s="31"/>
      <c r="BX46" s="31">
        <f>COUNTIFS(BX4:BX9, "=Tentative")</f>
        <v>0</v>
      </c>
      <c r="BY46" s="31">
        <f>COUNTIFS(BY4:BY9, "=Tentative")</f>
        <v>0</v>
      </c>
      <c r="BZ46" s="29"/>
      <c r="CA46" s="29"/>
      <c r="CB46" s="29"/>
      <c r="CC46" s="29"/>
      <c r="CD46" s="29"/>
      <c r="CE46" s="32" t="s">
        <v>277</v>
      </c>
      <c r="CF46" s="32" t="s">
        <v>277</v>
      </c>
      <c r="CG46" s="32">
        <f>COUNTIFS(CG4:CG29, "=Tentative")</f>
        <v>0</v>
      </c>
      <c r="CH46" s="32">
        <f>COUNTIFS(CH4:CH29, "=Tentative")</f>
        <v>0</v>
      </c>
      <c r="CI46" s="32">
        <f>COUNTIFS(CI4:CI29, "=Tentative")</f>
        <v>0</v>
      </c>
      <c r="CJ46" s="32"/>
      <c r="CK46" s="32">
        <f>COUNTIFS(CK4:CK29, "=Tentative")</f>
        <v>0</v>
      </c>
      <c r="CL46" s="32">
        <f>COUNTIFS(CL4:CL29, "=Tentative")</f>
        <v>0</v>
      </c>
      <c r="CM46" s="29"/>
      <c r="CN46" s="29"/>
      <c r="CO46" s="29"/>
      <c r="CP46" s="29"/>
      <c r="CQ46" s="29"/>
      <c r="CR46" s="32" t="s">
        <v>277</v>
      </c>
      <c r="CS46" s="32" t="s">
        <v>277</v>
      </c>
      <c r="CT46" s="31">
        <f>COUNTIFS(CT4:CT37, "=Tentative")</f>
        <v>0</v>
      </c>
      <c r="CU46" s="31">
        <f>COUNTIFS(CU4:CU37, "=Tentative")</f>
        <v>0</v>
      </c>
      <c r="CV46" s="31">
        <f>COUNTIFS(CV4:CV37, "=Tentative")</f>
        <v>0</v>
      </c>
      <c r="CW46" s="31"/>
      <c r="CX46" s="31">
        <f>COUNTIFS(CX4:CX37, "=Tentative")</f>
        <v>0</v>
      </c>
      <c r="CY46" s="31">
        <f>COUNTIFS(CY4:CY37, "=Tentative")</f>
        <v>0</v>
      </c>
      <c r="CZ46" s="29"/>
      <c r="DA46" s="29"/>
      <c r="DB46" s="29"/>
      <c r="DC46" s="29"/>
      <c r="DD46" s="29"/>
      <c r="DE46" s="32" t="s">
        <v>277</v>
      </c>
      <c r="DF46" s="32" t="s">
        <v>277</v>
      </c>
      <c r="DG46" s="31">
        <f>COUNTIFS(DG4:DG29, "=Tentative")</f>
        <v>0</v>
      </c>
      <c r="DH46" s="31">
        <f>COUNTIFS(DH4:DH29, "=Tentative")</f>
        <v>0</v>
      </c>
      <c r="DI46" s="31">
        <f>COUNTIFS(DI4:DI29, "=Tentative")</f>
        <v>0</v>
      </c>
      <c r="DJ46" s="31"/>
      <c r="DK46" s="31">
        <f>COUNTIFS(DK4:DK29, "=Tentative")</f>
        <v>0</v>
      </c>
      <c r="DL46" s="31">
        <f>COUNTIFS(DL4:DL29, "=Tentative")</f>
        <v>0</v>
      </c>
      <c r="DM46" s="29"/>
      <c r="DN46" s="29"/>
      <c r="DO46" s="29"/>
      <c r="DP46" s="29"/>
      <c r="DQ46" s="29"/>
      <c r="DR46" s="32" t="s">
        <v>277</v>
      </c>
      <c r="DS46" s="32" t="s">
        <v>277</v>
      </c>
      <c r="DT46" s="31">
        <f>COUNTIFS(DT4:DT31, "=Tentative")</f>
        <v>0</v>
      </c>
      <c r="DU46" s="31">
        <f>COUNTIFS(DU4:DU31, "=Tentative")</f>
        <v>0</v>
      </c>
      <c r="DV46" s="31">
        <f>COUNTIFS(DV4:DV31, "=Tentative")</f>
        <v>0</v>
      </c>
      <c r="DW46" s="31"/>
      <c r="DX46" s="31">
        <f>COUNTIFS(DX4:DX31, "=Tentative")</f>
        <v>0</v>
      </c>
      <c r="DY46" s="31">
        <f>COUNTIFS(DY4:DY31, "=Tentative")</f>
        <v>0</v>
      </c>
      <c r="DZ46" s="29"/>
      <c r="EA46" s="29"/>
      <c r="EB46" s="29"/>
      <c r="EC46" s="29"/>
      <c r="ED46" s="29"/>
      <c r="EE46" s="32" t="s">
        <v>277</v>
      </c>
      <c r="EF46" s="32" t="s">
        <v>277</v>
      </c>
      <c r="EG46" s="31">
        <f>COUNTIFS(EH4:EH18, "=Tentative")</f>
        <v>0</v>
      </c>
      <c r="EH46" s="31">
        <f>COUNTIFS(EH4:EH18, "=Tentative")</f>
        <v>0</v>
      </c>
      <c r="EI46" s="31">
        <f>COUNTIFS(EI4:EI18, "=Tentative")</f>
        <v>0</v>
      </c>
      <c r="EJ46" s="31"/>
      <c r="EK46" s="31">
        <f>COUNTIFS(EK4:EK18, "=Tentative")</f>
        <v>0</v>
      </c>
      <c r="EL46" s="31">
        <f>COUNTIFS(EL4:EL18, "=Tentative")</f>
        <v>0</v>
      </c>
      <c r="EM46" s="29"/>
      <c r="EN46" s="29"/>
      <c r="EO46" s="29"/>
      <c r="EP46" s="29"/>
      <c r="EQ46" s="29"/>
      <c r="ER46" s="32" t="s">
        <v>277</v>
      </c>
      <c r="ES46" s="32" t="s">
        <v>277</v>
      </c>
      <c r="ET46" s="31">
        <f>COUNTIFS(ET4:ET12, "=Tentative")</f>
        <v>0</v>
      </c>
      <c r="EU46" s="31">
        <f>COUNTIFS(EU4:EU12, "=Tentative")</f>
        <v>0</v>
      </c>
      <c r="EV46" s="31">
        <f>COUNTIFS(EV4:EV12, "=Tentative")</f>
        <v>0</v>
      </c>
      <c r="EW46" s="31"/>
      <c r="EX46" s="31">
        <f>COUNTIFS(EX4:EX12, "=Tentative")</f>
        <v>0</v>
      </c>
      <c r="EY46" s="31">
        <f>COUNTIFS(EY4:EY12, "=Tentative")</f>
        <v>0</v>
      </c>
      <c r="EZ46" s="33"/>
      <c r="FA46" s="33"/>
      <c r="FB46" s="36"/>
      <c r="FC46" s="45">
        <f>SUM(G$46, T$46, AG$46)</f>
        <v>0</v>
      </c>
      <c r="FD46" s="45">
        <f>SUM(H$46, U$46, AH$46)</f>
        <v>0</v>
      </c>
      <c r="FE46" s="45">
        <f>SUM(I$46, V$46, AI$46)</f>
        <v>0</v>
      </c>
      <c r="FF46" s="45">
        <f>SUM(K$46, X$46, AK$46)</f>
        <v>0</v>
      </c>
      <c r="FG46" s="45">
        <f>SUM(L$46, Y$46, AL$46)</f>
        <v>0</v>
      </c>
      <c r="FH46" s="47">
        <f>SUM(AT$46, BG$46, BT$46)</f>
        <v>0</v>
      </c>
      <c r="FI46" s="47">
        <f>SUM(AU$46, BH$46, BU$46)</f>
        <v>0</v>
      </c>
      <c r="FJ46" s="47">
        <f>SUM(AV$46, BI$46, BV$46)</f>
        <v>0</v>
      </c>
      <c r="FK46" s="47">
        <f>SUM(AX$46, BK$46, BX$46)</f>
        <v>0</v>
      </c>
      <c r="FL46" s="47">
        <f>SUM(AY$46, BL$46, BY$46)</f>
        <v>0</v>
      </c>
      <c r="FM46" s="45">
        <f>SUM(CG$46, CT$46, DG$46)</f>
        <v>0</v>
      </c>
      <c r="FN46" s="45">
        <f>SUM(CH$46, CU$46, DH$46)</f>
        <v>0</v>
      </c>
      <c r="FO46" s="45">
        <f>SUM(CI$46, CV$46, DI$46)</f>
        <v>0</v>
      </c>
      <c r="FP46" s="45">
        <f>SUM(CK$46, CX$46, DK$46)</f>
        <v>0</v>
      </c>
      <c r="FQ46" s="45">
        <f>SUM(CL$46, CY$46, DL$46)</f>
        <v>0</v>
      </c>
      <c r="FR46" s="47">
        <f>SUM(DT$46,EG$46,ET$46)</f>
        <v>0</v>
      </c>
      <c r="FS46" s="47">
        <f>SUM(DU$46,EH$46,EU$46)</f>
        <v>0</v>
      </c>
      <c r="FT46" s="47">
        <f>SUM(DV$46,EI$46,EV$46)</f>
        <v>0</v>
      </c>
      <c r="FU46" s="47">
        <f>SUM(DX$46,EK$46,EX$46)</f>
        <v>0</v>
      </c>
      <c r="FV46" s="47">
        <f>SUM(DY$46,EL$46,EY$46)</f>
        <v>0</v>
      </c>
      <c r="FW46" s="36"/>
      <c r="FX46" s="51"/>
      <c r="FY46" s="51"/>
      <c r="FZ46" s="51"/>
      <c r="GA46" s="51"/>
      <c r="GB46" s="36"/>
      <c r="GC46" s="41">
        <f t="shared" si="0"/>
        <v>0</v>
      </c>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row>
    <row r="47" spans="1:235">
      <c r="A47" s="42" t="s">
        <v>1337</v>
      </c>
      <c r="B47" s="28"/>
      <c r="C47" s="29"/>
      <c r="D47" s="29"/>
      <c r="E47" s="28"/>
      <c r="F47" s="28"/>
      <c r="G47" s="28"/>
      <c r="H47" s="28"/>
      <c r="I47" s="28"/>
      <c r="J47" s="28"/>
      <c r="K47" s="28"/>
      <c r="L47" s="28"/>
      <c r="M47" s="31">
        <f>COUNTIFS(C$3:C$38, "=CEE")</f>
        <v>1</v>
      </c>
      <c r="N47" s="34"/>
      <c r="O47" s="29"/>
      <c r="P47" s="29"/>
      <c r="Q47" s="29"/>
      <c r="R47" s="33"/>
      <c r="S47" s="33"/>
      <c r="T47" s="34"/>
      <c r="U47" s="34"/>
      <c r="V47" s="34"/>
      <c r="W47" s="34"/>
      <c r="X47" s="34"/>
      <c r="Y47" s="34"/>
      <c r="Z47" s="31">
        <f>COUNTIFS(P$3:P$38, "=CEE")</f>
        <v>1</v>
      </c>
      <c r="AA47" s="34"/>
      <c r="AB47" s="29"/>
      <c r="AC47" s="29"/>
      <c r="AD47" s="29"/>
      <c r="AE47" s="33"/>
      <c r="AF47" s="33"/>
      <c r="AG47" s="34"/>
      <c r="AH47" s="34"/>
      <c r="AI47" s="34"/>
      <c r="AJ47" s="34"/>
      <c r="AK47" s="34"/>
      <c r="AL47" s="34"/>
      <c r="AM47" s="31">
        <f>COUNTIFS(AC$3:AC$38, "=CEE")</f>
        <v>1</v>
      </c>
      <c r="AN47" s="34"/>
      <c r="AO47" s="29"/>
      <c r="AP47" s="29"/>
      <c r="AQ47" s="29"/>
      <c r="AR47" s="33"/>
      <c r="AS47" s="33"/>
      <c r="AT47" s="34"/>
      <c r="AU47" s="34"/>
      <c r="AV47" s="34"/>
      <c r="AW47" s="34"/>
      <c r="AX47" s="34"/>
      <c r="AY47" s="34"/>
      <c r="AZ47" s="31">
        <f>COUNTIFS(AP$3:AP$38, "=CEE")</f>
        <v>0</v>
      </c>
      <c r="BA47" s="34"/>
      <c r="BB47" s="29"/>
      <c r="BC47" s="29"/>
      <c r="BD47" s="29"/>
      <c r="BE47" s="33"/>
      <c r="BF47" s="33"/>
      <c r="BG47" s="34"/>
      <c r="BH47" s="34"/>
      <c r="BI47" s="34"/>
      <c r="BJ47" s="34"/>
      <c r="BK47" s="34"/>
      <c r="BL47" s="34"/>
      <c r="BM47" s="31">
        <f>COUNTIFS(BC$3:BC$38, "=CEE")</f>
        <v>1</v>
      </c>
      <c r="BN47" s="34"/>
      <c r="BO47" s="29"/>
      <c r="BP47" s="29"/>
      <c r="BQ47" s="29"/>
      <c r="BR47" s="33"/>
      <c r="BS47" s="33"/>
      <c r="BT47" s="34"/>
      <c r="BU47" s="34"/>
      <c r="BV47" s="34"/>
      <c r="BW47" s="34"/>
      <c r="BX47" s="34"/>
      <c r="BY47" s="34"/>
      <c r="BZ47" s="31">
        <f>COUNTIFS(BP$3:BP$38, "=CEE")</f>
        <v>0</v>
      </c>
      <c r="CA47" s="34"/>
      <c r="CB47" s="29"/>
      <c r="CC47" s="29"/>
      <c r="CD47" s="29"/>
      <c r="CE47" s="33"/>
      <c r="CF47" s="33"/>
      <c r="CG47" s="34"/>
      <c r="CH47" s="34"/>
      <c r="CI47" s="34"/>
      <c r="CJ47" s="34"/>
      <c r="CK47" s="34"/>
      <c r="CL47" s="34"/>
      <c r="CM47" s="31">
        <f>COUNTIFS(CC$3:CC$38, "=CEE")</f>
        <v>1</v>
      </c>
      <c r="CN47" s="34"/>
      <c r="CO47" s="29"/>
      <c r="CP47" s="29"/>
      <c r="CQ47" s="29"/>
      <c r="CR47" s="33"/>
      <c r="CS47" s="33"/>
      <c r="CT47" s="34"/>
      <c r="CU47" s="34"/>
      <c r="CV47" s="34"/>
      <c r="CW47" s="34"/>
      <c r="CX47" s="34"/>
      <c r="CY47" s="34"/>
      <c r="CZ47" s="31">
        <f>COUNTIFS(CP$3:CP$37, "=CEE")</f>
        <v>2</v>
      </c>
      <c r="DA47" s="34"/>
      <c r="DB47" s="29"/>
      <c r="DC47" s="29"/>
      <c r="DD47" s="29"/>
      <c r="DE47" s="33"/>
      <c r="DF47" s="33"/>
      <c r="DG47" s="34"/>
      <c r="DH47" s="34"/>
      <c r="DI47" s="34"/>
      <c r="DJ47" s="34"/>
      <c r="DK47" s="34"/>
      <c r="DL47" s="34"/>
      <c r="DM47" s="31">
        <f>COUNTIFS(DC$3:DC$38, "=CEE")</f>
        <v>0</v>
      </c>
      <c r="DN47" s="34"/>
      <c r="DO47" s="29"/>
      <c r="DP47" s="29"/>
      <c r="DQ47" s="29"/>
      <c r="DR47" s="33"/>
      <c r="DS47" s="33"/>
      <c r="DT47" s="34"/>
      <c r="DU47" s="34"/>
      <c r="DV47" s="34"/>
      <c r="DW47" s="34"/>
      <c r="DX47" s="34"/>
      <c r="DY47" s="34"/>
      <c r="DZ47" s="31">
        <f>COUNTIFS(DP$3:DP$38, "=CEE")</f>
        <v>1</v>
      </c>
      <c r="EA47" s="34"/>
      <c r="EB47" s="29"/>
      <c r="EC47" s="29"/>
      <c r="ED47" s="29"/>
      <c r="EE47" s="33"/>
      <c r="EF47" s="33"/>
      <c r="EG47" s="34"/>
      <c r="EH47" s="34"/>
      <c r="EI47" s="34"/>
      <c r="EJ47" s="34"/>
      <c r="EK47" s="34"/>
      <c r="EL47" s="34"/>
      <c r="EM47" s="31">
        <f>COUNTIFS(EC$3:EC$38, "=CEE")</f>
        <v>1</v>
      </c>
      <c r="EN47" s="34"/>
      <c r="EO47" s="29"/>
      <c r="EP47" s="29"/>
      <c r="EQ47" s="29"/>
      <c r="ER47" s="33"/>
      <c r="ES47" s="33"/>
      <c r="ET47" s="34"/>
      <c r="EU47" s="34"/>
      <c r="EV47" s="34"/>
      <c r="EW47" s="34"/>
      <c r="EX47" s="34"/>
      <c r="EY47" s="34"/>
      <c r="EZ47" s="31">
        <f>COUNTIFS(EP$3:EP$38, "=CEE")</f>
        <v>1</v>
      </c>
      <c r="FA47" s="34"/>
      <c r="FB47" s="36"/>
      <c r="FC47" s="52">
        <f>SUM(FC43:FC46)</f>
        <v>1</v>
      </c>
      <c r="FD47" s="52">
        <f t="shared" ref="FD47:FV47" si="1">SUM(FD43:FD46)</f>
        <v>0</v>
      </c>
      <c r="FE47" s="52">
        <f t="shared" si="1"/>
        <v>0</v>
      </c>
      <c r="FF47" s="52">
        <f t="shared" si="1"/>
        <v>0</v>
      </c>
      <c r="FG47" s="52">
        <f t="shared" si="1"/>
        <v>0</v>
      </c>
      <c r="FH47" s="52">
        <f t="shared" si="1"/>
        <v>1</v>
      </c>
      <c r="FI47" s="52">
        <f t="shared" si="1"/>
        <v>0</v>
      </c>
      <c r="FJ47" s="52">
        <f t="shared" si="1"/>
        <v>0</v>
      </c>
      <c r="FK47" s="52">
        <f t="shared" si="1"/>
        <v>0</v>
      </c>
      <c r="FL47" s="52">
        <f t="shared" si="1"/>
        <v>0</v>
      </c>
      <c r="FM47" s="52">
        <f t="shared" si="1"/>
        <v>2</v>
      </c>
      <c r="FN47" s="52">
        <f t="shared" si="1"/>
        <v>0</v>
      </c>
      <c r="FO47" s="52">
        <f t="shared" si="1"/>
        <v>0</v>
      </c>
      <c r="FP47" s="52">
        <f t="shared" si="1"/>
        <v>0</v>
      </c>
      <c r="FQ47" s="52">
        <f t="shared" si="1"/>
        <v>0</v>
      </c>
      <c r="FR47" s="52">
        <f t="shared" si="1"/>
        <v>2</v>
      </c>
      <c r="FS47" s="52">
        <f t="shared" si="1"/>
        <v>0</v>
      </c>
      <c r="FT47" s="52">
        <f t="shared" si="1"/>
        <v>0</v>
      </c>
      <c r="FU47" s="52">
        <f t="shared" si="1"/>
        <v>0</v>
      </c>
      <c r="FV47" s="52">
        <f t="shared" si="1"/>
        <v>0</v>
      </c>
      <c r="FW47" s="36"/>
      <c r="FX47" s="29">
        <f t="shared" ref="FX47:FX84" si="2">SUM(M47,Z47,AM47)</f>
        <v>3</v>
      </c>
      <c r="FY47" s="29">
        <f t="shared" ref="FY47:FY64" si="3">SUM(AZ47,BM47,BZ47)</f>
        <v>1</v>
      </c>
      <c r="FZ47" s="29">
        <f t="shared" ref="FZ47:FZ64" si="4">SUM(CM47,CZ47,DM47)</f>
        <v>3</v>
      </c>
      <c r="GA47" s="29">
        <f t="shared" ref="GA47:GA61" si="5">SUM(DZ47,EM47,EZ47)</f>
        <v>3</v>
      </c>
      <c r="GB47" s="36"/>
      <c r="GC47" s="41">
        <f t="shared" si="0"/>
        <v>10</v>
      </c>
      <c r="GD47" s="36"/>
      <c r="GE47" s="36"/>
      <c r="GF47" s="36"/>
      <c r="GG47" s="36"/>
      <c r="GH47" s="36"/>
      <c r="GI47" s="36"/>
      <c r="GJ47" s="36"/>
      <c r="GK47" s="36"/>
      <c r="GL47" s="36"/>
      <c r="GM47" s="36"/>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row>
    <row r="48" spans="1:235">
      <c r="A48" s="42" t="s">
        <v>1338</v>
      </c>
      <c r="B48" s="28"/>
      <c r="C48" s="29"/>
      <c r="D48" s="29"/>
      <c r="E48" s="28"/>
      <c r="F48" s="28"/>
      <c r="G48" s="28"/>
      <c r="H48" s="28"/>
      <c r="I48" s="28"/>
      <c r="J48" s="28"/>
      <c r="K48" s="28"/>
      <c r="L48" s="28"/>
      <c r="M48" s="31">
        <f>COUNTIFS(C$3:C$38, "=CIC China")</f>
        <v>0</v>
      </c>
      <c r="N48" s="34"/>
      <c r="O48" s="29"/>
      <c r="P48" s="29"/>
      <c r="Q48" s="29"/>
      <c r="R48" s="33"/>
      <c r="S48" s="33"/>
      <c r="T48" s="34"/>
      <c r="U48" s="34"/>
      <c r="V48" s="34"/>
      <c r="W48" s="34"/>
      <c r="X48" s="34"/>
      <c r="Y48" s="34"/>
      <c r="Z48" s="31">
        <f>COUNTIFS(P$3:P$38, "=CIC China")</f>
        <v>0</v>
      </c>
      <c r="AA48" s="34"/>
      <c r="AB48" s="29"/>
      <c r="AC48" s="29"/>
      <c r="AD48" s="29"/>
      <c r="AE48" s="33"/>
      <c r="AF48" s="33"/>
      <c r="AG48" s="34"/>
      <c r="AH48" s="34"/>
      <c r="AI48" s="34"/>
      <c r="AJ48" s="34"/>
      <c r="AK48" s="34"/>
      <c r="AL48" s="34"/>
      <c r="AM48" s="31">
        <f>COUNTIFS(AC$3:AC$38, "=CIC China")</f>
        <v>0</v>
      </c>
      <c r="AN48" s="34"/>
      <c r="AO48" s="29"/>
      <c r="AP48" s="29"/>
      <c r="AQ48" s="29"/>
      <c r="AR48" s="33"/>
      <c r="AS48" s="33"/>
      <c r="AT48" s="34"/>
      <c r="AU48" s="34"/>
      <c r="AV48" s="34"/>
      <c r="AW48" s="34"/>
      <c r="AX48" s="34"/>
      <c r="AY48" s="34"/>
      <c r="AZ48" s="31">
        <f>COUNTIFS(AP$3:AP$38, "=CIC China")</f>
        <v>0</v>
      </c>
      <c r="BA48" s="34"/>
      <c r="BB48" s="29"/>
      <c r="BC48" s="29"/>
      <c r="BD48" s="29"/>
      <c r="BE48" s="33"/>
      <c r="BF48" s="33"/>
      <c r="BG48" s="34"/>
      <c r="BH48" s="34"/>
      <c r="BI48" s="34"/>
      <c r="BJ48" s="34"/>
      <c r="BK48" s="34"/>
      <c r="BL48" s="34"/>
      <c r="BM48" s="31">
        <f>COUNTIFS(BC$3:BC$38, "=CIC China")</f>
        <v>1</v>
      </c>
      <c r="BN48" s="34"/>
      <c r="BO48" s="29"/>
      <c r="BP48" s="29"/>
      <c r="BQ48" s="29"/>
      <c r="BR48" s="33"/>
      <c r="BS48" s="33"/>
      <c r="BT48" s="34"/>
      <c r="BU48" s="34"/>
      <c r="BV48" s="34"/>
      <c r="BW48" s="34"/>
      <c r="BX48" s="34"/>
      <c r="BY48" s="34"/>
      <c r="BZ48" s="31">
        <f>COUNTIFS(BP$3:BP$38, "=CIC China")</f>
        <v>0</v>
      </c>
      <c r="CA48" s="34"/>
      <c r="CB48" s="29"/>
      <c r="CC48" s="29"/>
      <c r="CD48" s="29"/>
      <c r="CE48" s="33"/>
      <c r="CF48" s="33"/>
      <c r="CG48" s="34"/>
      <c r="CH48" s="34"/>
      <c r="CI48" s="34"/>
      <c r="CJ48" s="34"/>
      <c r="CK48" s="34"/>
      <c r="CL48" s="34"/>
      <c r="CM48" s="31">
        <f>COUNTIFS(CC$3:CC$38, "=CIC China")</f>
        <v>1</v>
      </c>
      <c r="CN48" s="34"/>
      <c r="CO48" s="29"/>
      <c r="CP48" s="29"/>
      <c r="CQ48" s="29"/>
      <c r="CR48" s="33"/>
      <c r="CS48" s="33"/>
      <c r="CT48" s="34"/>
      <c r="CU48" s="34"/>
      <c r="CV48" s="34"/>
      <c r="CW48" s="34"/>
      <c r="CX48" s="34"/>
      <c r="CY48" s="34"/>
      <c r="CZ48" s="31">
        <f>COUNTIFS(CP$3:CP$37, "=CIC China")</f>
        <v>0</v>
      </c>
      <c r="DA48" s="34"/>
      <c r="DB48" s="29"/>
      <c r="DC48" s="29"/>
      <c r="DD48" s="29"/>
      <c r="DE48" s="33"/>
      <c r="DF48" s="33"/>
      <c r="DG48" s="34"/>
      <c r="DH48" s="34"/>
      <c r="DI48" s="34"/>
      <c r="DJ48" s="34"/>
      <c r="DK48" s="34"/>
      <c r="DL48" s="34"/>
      <c r="DM48" s="31">
        <f>COUNTIFS(DC$3:DC$38, "=CIC China")</f>
        <v>0</v>
      </c>
      <c r="DN48" s="34"/>
      <c r="DO48" s="29"/>
      <c r="DP48" s="29"/>
      <c r="DQ48" s="29"/>
      <c r="DR48" s="33"/>
      <c r="DS48" s="33"/>
      <c r="DT48" s="34"/>
      <c r="DU48" s="34"/>
      <c r="DV48" s="34"/>
      <c r="DW48" s="34"/>
      <c r="DX48" s="34"/>
      <c r="DY48" s="34"/>
      <c r="DZ48" s="31">
        <f>COUNTIFS(DP$3:DP$38, "=CIC China")</f>
        <v>1</v>
      </c>
      <c r="EA48" s="34"/>
      <c r="EB48" s="29"/>
      <c r="EC48" s="29"/>
      <c r="ED48" s="29"/>
      <c r="EE48" s="33"/>
      <c r="EF48" s="33"/>
      <c r="EG48" s="34"/>
      <c r="EH48" s="34"/>
      <c r="EI48" s="34"/>
      <c r="EJ48" s="34"/>
      <c r="EK48" s="34"/>
      <c r="EL48" s="34"/>
      <c r="EM48" s="31">
        <f>COUNTIFS(EC$3:EC$38, "=CIC China")</f>
        <v>0</v>
      </c>
      <c r="EN48" s="34"/>
      <c r="EO48" s="29"/>
      <c r="EP48" s="29"/>
      <c r="EQ48" s="29"/>
      <c r="ER48" s="33"/>
      <c r="ES48" s="33"/>
      <c r="ET48" s="34"/>
      <c r="EU48" s="34"/>
      <c r="EV48" s="34"/>
      <c r="EW48" s="34"/>
      <c r="EX48" s="34"/>
      <c r="EY48" s="34"/>
      <c r="EZ48" s="31">
        <f>COUNTIFS(EP$3:EP$38, "=CIC China")</f>
        <v>0</v>
      </c>
      <c r="FA48" s="34"/>
      <c r="FB48" s="36"/>
      <c r="FC48" s="48"/>
      <c r="FD48" s="48"/>
      <c r="FE48" s="48"/>
      <c r="FF48" s="48"/>
      <c r="FG48" s="48"/>
      <c r="FH48" s="48"/>
      <c r="FI48" s="48"/>
      <c r="FJ48" s="48"/>
      <c r="FK48" s="48"/>
      <c r="FL48" s="48"/>
      <c r="FM48" s="48"/>
      <c r="FN48" s="48"/>
      <c r="FO48" s="48"/>
      <c r="FP48" s="48"/>
      <c r="FQ48" s="48"/>
      <c r="FR48" s="48"/>
      <c r="FS48" s="48"/>
      <c r="FT48" s="48"/>
      <c r="FU48" s="48"/>
      <c r="FV48" s="48"/>
      <c r="FW48" s="36"/>
      <c r="FX48" s="29">
        <f t="shared" si="2"/>
        <v>0</v>
      </c>
      <c r="FY48" s="29">
        <f t="shared" si="3"/>
        <v>1</v>
      </c>
      <c r="FZ48" s="29">
        <f t="shared" si="4"/>
        <v>1</v>
      </c>
      <c r="GA48" s="29">
        <f t="shared" si="5"/>
        <v>1</v>
      </c>
      <c r="GB48" s="36"/>
      <c r="GC48" s="41">
        <f t="shared" si="0"/>
        <v>3</v>
      </c>
      <c r="GD48" s="36"/>
      <c r="GE48" s="36"/>
      <c r="GF48" s="36"/>
      <c r="GG48" s="36"/>
      <c r="GH48" s="36"/>
      <c r="GI48" s="36"/>
      <c r="GJ48" s="36"/>
      <c r="GK48" s="36"/>
      <c r="GL48" s="36"/>
      <c r="GM48" s="36"/>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row>
    <row r="49" spans="1:235">
      <c r="A49" s="42" t="s">
        <v>1339</v>
      </c>
      <c r="B49" s="28"/>
      <c r="C49" s="29"/>
      <c r="D49" s="29"/>
      <c r="E49" s="28"/>
      <c r="F49" s="28"/>
      <c r="G49" s="28"/>
      <c r="H49" s="28"/>
      <c r="I49" s="28"/>
      <c r="J49" s="28"/>
      <c r="K49" s="28"/>
      <c r="L49" s="28"/>
      <c r="M49" s="31">
        <f>COUNTIFS(C$3:C$38, "=India")</f>
        <v>3</v>
      </c>
      <c r="N49" s="34"/>
      <c r="O49" s="29"/>
      <c r="P49" s="29"/>
      <c r="Q49" s="29"/>
      <c r="R49" s="33"/>
      <c r="S49" s="33"/>
      <c r="T49" s="34"/>
      <c r="U49" s="34"/>
      <c r="V49" s="34"/>
      <c r="W49" s="34"/>
      <c r="X49" s="34"/>
      <c r="Y49" s="34"/>
      <c r="Z49" s="31">
        <f>COUNTIFS(P$3:P$38, "=India")</f>
        <v>3</v>
      </c>
      <c r="AA49" s="34"/>
      <c r="AB49" s="29"/>
      <c r="AC49" s="29"/>
      <c r="AD49" s="29"/>
      <c r="AE49" s="33"/>
      <c r="AF49" s="33"/>
      <c r="AG49" s="34"/>
      <c r="AH49" s="34"/>
      <c r="AI49" s="34"/>
      <c r="AJ49" s="34"/>
      <c r="AK49" s="34"/>
      <c r="AL49" s="34"/>
      <c r="AM49" s="31">
        <f>COUNTIFS(AC$3:AC$38, "=India")</f>
        <v>1</v>
      </c>
      <c r="AN49" s="34"/>
      <c r="AO49" s="29"/>
      <c r="AP49" s="29"/>
      <c r="AQ49" s="29"/>
      <c r="AR49" s="33"/>
      <c r="AS49" s="33"/>
      <c r="AT49" s="34"/>
      <c r="AU49" s="34"/>
      <c r="AV49" s="34"/>
      <c r="AW49" s="34"/>
      <c r="AX49" s="34"/>
      <c r="AY49" s="34"/>
      <c r="AZ49" s="31">
        <f>COUNTIFS(AP$3:AP$38, "=India")</f>
        <v>1</v>
      </c>
      <c r="BA49" s="34"/>
      <c r="BB49" s="29"/>
      <c r="BC49" s="29"/>
      <c r="BD49" s="29"/>
      <c r="BE49" s="33"/>
      <c r="BF49" s="33"/>
      <c r="BG49" s="34"/>
      <c r="BH49" s="34"/>
      <c r="BI49" s="34"/>
      <c r="BJ49" s="34"/>
      <c r="BK49" s="34"/>
      <c r="BL49" s="34"/>
      <c r="BM49" s="31">
        <f>COUNTIFS(BC$3:BC$38, "=India")</f>
        <v>0</v>
      </c>
      <c r="BN49" s="34"/>
      <c r="BO49" s="29"/>
      <c r="BP49" s="29"/>
      <c r="BQ49" s="29"/>
      <c r="BR49" s="33"/>
      <c r="BS49" s="33"/>
      <c r="BT49" s="34"/>
      <c r="BU49" s="34"/>
      <c r="BV49" s="34"/>
      <c r="BW49" s="34"/>
      <c r="BX49" s="34"/>
      <c r="BY49" s="34"/>
      <c r="BZ49" s="31">
        <f>COUNTIFS(BP$3:BP$38, "=India")</f>
        <v>0</v>
      </c>
      <c r="CA49" s="34"/>
      <c r="CB49" s="29"/>
      <c r="CC49" s="29"/>
      <c r="CD49" s="29"/>
      <c r="CE49" s="33"/>
      <c r="CF49" s="33"/>
      <c r="CG49" s="34"/>
      <c r="CH49" s="34"/>
      <c r="CI49" s="34"/>
      <c r="CJ49" s="34"/>
      <c r="CK49" s="34"/>
      <c r="CL49" s="34"/>
      <c r="CM49" s="31">
        <f>COUNTIFS(CC$3:CC$38, "=India")</f>
        <v>0</v>
      </c>
      <c r="CN49" s="34"/>
      <c r="CO49" s="29"/>
      <c r="CP49" s="29"/>
      <c r="CQ49" s="29"/>
      <c r="CR49" s="33"/>
      <c r="CS49" s="33"/>
      <c r="CT49" s="34"/>
      <c r="CU49" s="34"/>
      <c r="CV49" s="34"/>
      <c r="CW49" s="34"/>
      <c r="CX49" s="34"/>
      <c r="CY49" s="34"/>
      <c r="CZ49" s="31">
        <f>COUNTIFS(CP$3:CP$37, "=India")</f>
        <v>3</v>
      </c>
      <c r="DA49" s="34"/>
      <c r="DB49" s="29"/>
      <c r="DC49" s="29"/>
      <c r="DD49" s="29"/>
      <c r="DE49" s="33"/>
      <c r="DF49" s="33"/>
      <c r="DG49" s="34"/>
      <c r="DH49" s="34"/>
      <c r="DI49" s="34"/>
      <c r="DJ49" s="34"/>
      <c r="DK49" s="34"/>
      <c r="DL49" s="34"/>
      <c r="DM49" s="31">
        <f>COUNTIFS(DC$3:DC$38, "=India")</f>
        <v>3</v>
      </c>
      <c r="DN49" s="34"/>
      <c r="DO49" s="29"/>
      <c r="DP49" s="29"/>
      <c r="DQ49" s="29"/>
      <c r="DR49" s="33"/>
      <c r="DS49" s="33"/>
      <c r="DT49" s="34"/>
      <c r="DU49" s="34"/>
      <c r="DV49" s="34"/>
      <c r="DW49" s="34"/>
      <c r="DX49" s="34"/>
      <c r="DY49" s="34"/>
      <c r="DZ49" s="31">
        <f>COUNTIFS(DP$3:DP$38, "=India")</f>
        <v>3</v>
      </c>
      <c r="EA49" s="34"/>
      <c r="EB49" s="29"/>
      <c r="EC49" s="29"/>
      <c r="ED49" s="29"/>
      <c r="EE49" s="33"/>
      <c r="EF49" s="33"/>
      <c r="EG49" s="34"/>
      <c r="EH49" s="34"/>
      <c r="EI49" s="34"/>
      <c r="EJ49" s="34"/>
      <c r="EK49" s="34"/>
      <c r="EL49" s="34"/>
      <c r="EM49" s="31">
        <f>COUNTIFS(EC$3:EC$38, "=India")</f>
        <v>1</v>
      </c>
      <c r="EN49" s="34"/>
      <c r="EO49" s="29"/>
      <c r="EP49" s="29"/>
      <c r="EQ49" s="29"/>
      <c r="ER49" s="33"/>
      <c r="ES49" s="33"/>
      <c r="ET49" s="34"/>
      <c r="EU49" s="34"/>
      <c r="EV49" s="34"/>
      <c r="EW49" s="34"/>
      <c r="EX49" s="34"/>
      <c r="EY49" s="34"/>
      <c r="EZ49" s="31">
        <f>COUNTIFS(EP$3:EP$38, "=India")</f>
        <v>0</v>
      </c>
      <c r="FA49" s="34"/>
      <c r="FB49" s="36"/>
      <c r="FC49" s="48"/>
      <c r="FD49" s="48"/>
      <c r="FE49" s="48"/>
      <c r="FF49" s="48"/>
      <c r="FG49" s="48"/>
      <c r="FH49" s="48"/>
      <c r="FI49" s="48"/>
      <c r="FJ49" s="48"/>
      <c r="FK49" s="48"/>
      <c r="FL49" s="48"/>
      <c r="FM49" s="48"/>
      <c r="FN49" s="48"/>
      <c r="FO49" s="48"/>
      <c r="FP49" s="48"/>
      <c r="FQ49" s="48"/>
      <c r="FR49" s="48"/>
      <c r="FS49" s="48"/>
      <c r="FT49" s="48"/>
      <c r="FU49" s="48"/>
      <c r="FV49" s="48"/>
      <c r="FW49" s="36"/>
      <c r="FX49" s="29">
        <f t="shared" si="2"/>
        <v>7</v>
      </c>
      <c r="FY49" s="29">
        <f t="shared" si="3"/>
        <v>1</v>
      </c>
      <c r="FZ49" s="29">
        <f t="shared" si="4"/>
        <v>6</v>
      </c>
      <c r="GA49" s="29">
        <f t="shared" si="5"/>
        <v>4</v>
      </c>
      <c r="GB49" s="36"/>
      <c r="GC49" s="41">
        <f t="shared" si="0"/>
        <v>18</v>
      </c>
      <c r="GD49" s="36"/>
      <c r="GE49" s="36"/>
      <c r="GF49" s="36"/>
      <c r="GG49" s="36"/>
      <c r="GH49" s="36"/>
      <c r="GI49" s="36"/>
      <c r="GJ49" s="36"/>
      <c r="GK49" s="36"/>
      <c r="GL49" s="36"/>
      <c r="GM49" s="36"/>
      <c r="GN49" s="36"/>
      <c r="GO49" s="36"/>
      <c r="GP49" s="36"/>
      <c r="GQ49" s="36"/>
      <c r="GR49" s="36"/>
      <c r="GS49" s="36"/>
      <c r="GT49" s="36"/>
      <c r="GU49" s="36"/>
      <c r="GV49" s="36"/>
      <c r="GW49" s="36"/>
      <c r="GX49" s="36"/>
      <c r="GY49" s="36"/>
      <c r="GZ49" s="36"/>
      <c r="HA49" s="36"/>
      <c r="HB49" s="36"/>
      <c r="HC49" s="36"/>
      <c r="HD49" s="36"/>
      <c r="HE49" s="36"/>
      <c r="HF49" s="36"/>
      <c r="HG49" s="36"/>
      <c r="HH49" s="36"/>
      <c r="HI49" s="36"/>
      <c r="HJ49" s="36"/>
      <c r="HK49" s="36"/>
      <c r="HL49" s="36"/>
      <c r="HM49" s="36"/>
      <c r="HN49" s="36"/>
      <c r="HO49" s="36"/>
      <c r="HP49" s="36"/>
      <c r="HQ49" s="36"/>
      <c r="HR49" s="36"/>
      <c r="HS49" s="36"/>
      <c r="HT49" s="36"/>
      <c r="HU49" s="36"/>
      <c r="HV49" s="36"/>
      <c r="HW49" s="36"/>
      <c r="HX49" s="36"/>
      <c r="HY49" s="36"/>
      <c r="HZ49" s="36"/>
      <c r="IA49" s="36"/>
    </row>
    <row r="50" spans="1:235">
      <c r="A50" s="42" t="s">
        <v>1340</v>
      </c>
      <c r="B50" s="28"/>
      <c r="C50" s="29"/>
      <c r="D50" s="29"/>
      <c r="E50" s="28"/>
      <c r="F50" s="28"/>
      <c r="G50" s="28"/>
      <c r="H50" s="28"/>
      <c r="I50" s="28"/>
      <c r="J50" s="28"/>
      <c r="K50" s="28"/>
      <c r="L50" s="28"/>
      <c r="M50" s="31">
        <f>COUNTIFS(C$3:C$38, "=LA")</f>
        <v>0</v>
      </c>
      <c r="N50" s="34"/>
      <c r="O50" s="29"/>
      <c r="P50" s="29"/>
      <c r="Q50" s="29"/>
      <c r="R50" s="33"/>
      <c r="S50" s="33"/>
      <c r="T50" s="34"/>
      <c r="U50" s="34"/>
      <c r="V50" s="34"/>
      <c r="W50" s="34"/>
      <c r="X50" s="34"/>
      <c r="Y50" s="34"/>
      <c r="Z50" s="31">
        <f>COUNTIFS(P$3:P$38, "=LA")</f>
        <v>0</v>
      </c>
      <c r="AA50" s="34"/>
      <c r="AB50" s="29"/>
      <c r="AC50" s="29"/>
      <c r="AD50" s="29"/>
      <c r="AE50" s="33"/>
      <c r="AF50" s="33"/>
      <c r="AG50" s="34"/>
      <c r="AH50" s="34"/>
      <c r="AI50" s="34"/>
      <c r="AJ50" s="34"/>
      <c r="AK50" s="34"/>
      <c r="AL50" s="34"/>
      <c r="AM50" s="31">
        <f>COUNTIFS(AC$3:AC$38, "=LA")</f>
        <v>0</v>
      </c>
      <c r="AN50" s="34"/>
      <c r="AO50" s="29"/>
      <c r="AP50" s="29"/>
      <c r="AQ50" s="29"/>
      <c r="AR50" s="33"/>
      <c r="AS50" s="33"/>
      <c r="AT50" s="34"/>
      <c r="AU50" s="34"/>
      <c r="AV50" s="34"/>
      <c r="AW50" s="34"/>
      <c r="AX50" s="34"/>
      <c r="AY50" s="34"/>
      <c r="AZ50" s="31">
        <f>COUNTIFS(AP$3:AP$38, "=LA")</f>
        <v>0</v>
      </c>
      <c r="BA50" s="34"/>
      <c r="BB50" s="29"/>
      <c r="BC50" s="29"/>
      <c r="BD50" s="29"/>
      <c r="BE50" s="33"/>
      <c r="BF50" s="33"/>
      <c r="BG50" s="34"/>
      <c r="BH50" s="34"/>
      <c r="BI50" s="34"/>
      <c r="BJ50" s="34"/>
      <c r="BK50" s="34"/>
      <c r="BL50" s="34"/>
      <c r="BM50" s="31">
        <f>COUNTIFS(BC$3:BC$38, "=LA")</f>
        <v>3</v>
      </c>
      <c r="BN50" s="34"/>
      <c r="BO50" s="29"/>
      <c r="BP50" s="29"/>
      <c r="BQ50" s="29"/>
      <c r="BR50" s="33"/>
      <c r="BS50" s="33"/>
      <c r="BT50" s="34"/>
      <c r="BU50" s="34"/>
      <c r="BV50" s="34"/>
      <c r="BW50" s="34"/>
      <c r="BX50" s="34"/>
      <c r="BY50" s="34"/>
      <c r="BZ50" s="31">
        <f>COUNTIFS(BP$3:BP$38, "=LA")</f>
        <v>2</v>
      </c>
      <c r="CA50" s="34"/>
      <c r="CB50" s="29"/>
      <c r="CC50" s="29"/>
      <c r="CD50" s="29"/>
      <c r="CE50" s="33"/>
      <c r="CF50" s="33"/>
      <c r="CG50" s="34"/>
      <c r="CH50" s="34"/>
      <c r="CI50" s="34"/>
      <c r="CJ50" s="34"/>
      <c r="CK50" s="34"/>
      <c r="CL50" s="34"/>
      <c r="CM50" s="31">
        <f>COUNTIFS(CC$3:CC$38, "=LA")</f>
        <v>3</v>
      </c>
      <c r="CN50" s="34"/>
      <c r="CO50" s="29"/>
      <c r="CP50" s="29"/>
      <c r="CQ50" s="29"/>
      <c r="CR50" s="33"/>
      <c r="CS50" s="33"/>
      <c r="CT50" s="34"/>
      <c r="CU50" s="34"/>
      <c r="CV50" s="34"/>
      <c r="CW50" s="34"/>
      <c r="CX50" s="34"/>
      <c r="CY50" s="34"/>
      <c r="CZ50" s="31">
        <f>COUNTIFS(CP$3:CP$37, "=LA")</f>
        <v>3</v>
      </c>
      <c r="DA50" s="34"/>
      <c r="DB50" s="29"/>
      <c r="DC50" s="29"/>
      <c r="DD50" s="29"/>
      <c r="DE50" s="33"/>
      <c r="DF50" s="33"/>
      <c r="DG50" s="34"/>
      <c r="DH50" s="34"/>
      <c r="DI50" s="34"/>
      <c r="DJ50" s="34"/>
      <c r="DK50" s="34"/>
      <c r="DL50" s="34"/>
      <c r="DM50" s="31">
        <f>COUNTIFS(DC$3:DC$38, "=LA")</f>
        <v>3</v>
      </c>
      <c r="DN50" s="34"/>
      <c r="DO50" s="29"/>
      <c r="DP50" s="29"/>
      <c r="DQ50" s="29"/>
      <c r="DR50" s="33"/>
      <c r="DS50" s="33"/>
      <c r="DT50" s="34"/>
      <c r="DU50" s="34"/>
      <c r="DV50" s="34"/>
      <c r="DW50" s="34"/>
      <c r="DX50" s="34"/>
      <c r="DY50" s="34"/>
      <c r="DZ50" s="31">
        <f>COUNTIFS(DP$3:DP$38, "=LA")</f>
        <v>3</v>
      </c>
      <c r="EA50" s="34"/>
      <c r="EB50" s="29"/>
      <c r="EC50" s="29"/>
      <c r="ED50" s="29"/>
      <c r="EE50" s="33"/>
      <c r="EF50" s="33"/>
      <c r="EG50" s="34"/>
      <c r="EH50" s="34"/>
      <c r="EI50" s="34"/>
      <c r="EJ50" s="34"/>
      <c r="EK50" s="34"/>
      <c r="EL50" s="34"/>
      <c r="EM50" s="31">
        <f>COUNTIFS(EC$3:EC$38, "=LA")</f>
        <v>3</v>
      </c>
      <c r="EN50" s="34"/>
      <c r="EO50" s="29"/>
      <c r="EP50" s="29"/>
      <c r="EQ50" s="29"/>
      <c r="ER50" s="33"/>
      <c r="ES50" s="33"/>
      <c r="ET50" s="34"/>
      <c r="EU50" s="34"/>
      <c r="EV50" s="34"/>
      <c r="EW50" s="34"/>
      <c r="EX50" s="34"/>
      <c r="EY50" s="34"/>
      <c r="EZ50" s="31">
        <f>COUNTIFS(EP$3:EP$38, "=LA")</f>
        <v>2</v>
      </c>
      <c r="FA50" s="34"/>
      <c r="FB50" s="36"/>
      <c r="FC50" s="48"/>
      <c r="FD50" s="48"/>
      <c r="FE50" s="48"/>
      <c r="FF50" s="48"/>
      <c r="FG50" s="48"/>
      <c r="FH50" s="48"/>
      <c r="FI50" s="48"/>
      <c r="FJ50" s="48"/>
      <c r="FK50" s="48"/>
      <c r="FL50" s="48"/>
      <c r="FM50" s="48"/>
      <c r="FN50" s="48"/>
      <c r="FO50" s="48"/>
      <c r="FP50" s="48"/>
      <c r="FQ50" s="48"/>
      <c r="FR50" s="48"/>
      <c r="FS50" s="48"/>
      <c r="FT50" s="48"/>
      <c r="FU50" s="48"/>
      <c r="FV50" s="48"/>
      <c r="FW50" s="36"/>
      <c r="FX50" s="29">
        <f t="shared" si="2"/>
        <v>0</v>
      </c>
      <c r="FY50" s="29">
        <f t="shared" si="3"/>
        <v>5</v>
      </c>
      <c r="FZ50" s="29">
        <f t="shared" si="4"/>
        <v>9</v>
      </c>
      <c r="GA50" s="29">
        <f t="shared" si="5"/>
        <v>8</v>
      </c>
      <c r="GB50" s="36"/>
      <c r="GC50" s="41">
        <f t="shared" si="0"/>
        <v>22</v>
      </c>
      <c r="GD50" s="36"/>
      <c r="GE50" s="36"/>
      <c r="GF50" s="36"/>
      <c r="GG50" s="36"/>
      <c r="GH50" s="36"/>
      <c r="GI50" s="36"/>
      <c r="GJ50" s="36"/>
      <c r="GK50" s="36"/>
      <c r="GL50" s="36"/>
      <c r="GM50" s="36"/>
      <c r="GN50" s="36"/>
      <c r="GO50" s="36"/>
      <c r="GP50" s="36"/>
      <c r="GQ50" s="36"/>
      <c r="GR50" s="36"/>
      <c r="GS50" s="36"/>
      <c r="GT50" s="36"/>
      <c r="GU50" s="36"/>
      <c r="GV50" s="36"/>
      <c r="GW50" s="36"/>
      <c r="GX50" s="36"/>
      <c r="GY50" s="36"/>
      <c r="GZ50" s="36"/>
      <c r="HA50" s="36"/>
      <c r="HB50" s="36"/>
      <c r="HC50" s="36"/>
      <c r="HD50" s="36"/>
      <c r="HE50" s="36"/>
      <c r="HF50" s="36"/>
      <c r="HG50" s="36"/>
      <c r="HH50" s="36"/>
      <c r="HI50" s="36"/>
      <c r="HJ50" s="36"/>
      <c r="HK50" s="36"/>
      <c r="HL50" s="36"/>
      <c r="HM50" s="36"/>
      <c r="HN50" s="36"/>
      <c r="HO50" s="36"/>
      <c r="HP50" s="36"/>
      <c r="HQ50" s="36"/>
      <c r="HR50" s="36"/>
      <c r="HS50" s="36"/>
      <c r="HT50" s="36"/>
      <c r="HU50" s="36"/>
      <c r="HV50" s="36"/>
      <c r="HW50" s="36"/>
      <c r="HX50" s="36"/>
      <c r="HY50" s="36"/>
      <c r="HZ50" s="36"/>
      <c r="IA50" s="36"/>
    </row>
    <row r="51" spans="1:235">
      <c r="A51" s="42" t="s">
        <v>1341</v>
      </c>
      <c r="B51" s="28"/>
      <c r="C51" s="29"/>
      <c r="D51" s="29"/>
      <c r="E51" s="28"/>
      <c r="F51" s="28"/>
      <c r="G51" s="28"/>
      <c r="H51" s="28"/>
      <c r="I51" s="28"/>
      <c r="J51" s="28"/>
      <c r="K51" s="28"/>
      <c r="L51" s="28"/>
      <c r="M51" s="31">
        <f>COUNTIFS(C$3:C$38, "=CIC MEA")</f>
        <v>0</v>
      </c>
      <c r="N51" s="34"/>
      <c r="O51" s="29"/>
      <c r="P51" s="29"/>
      <c r="Q51" s="29"/>
      <c r="R51" s="33"/>
      <c r="S51" s="33"/>
      <c r="T51" s="34"/>
      <c r="U51" s="34"/>
      <c r="V51" s="34"/>
      <c r="W51" s="34"/>
      <c r="X51" s="34"/>
      <c r="Y51" s="34"/>
      <c r="Z51" s="31">
        <f>COUNTIFS(P$3:P$38, "=CIC MEA")</f>
        <v>0</v>
      </c>
      <c r="AA51" s="34"/>
      <c r="AB51" s="29"/>
      <c r="AC51" s="29"/>
      <c r="AD51" s="29"/>
      <c r="AE51" s="33"/>
      <c r="AF51" s="33"/>
      <c r="AG51" s="34"/>
      <c r="AH51" s="34"/>
      <c r="AI51" s="34"/>
      <c r="AJ51" s="34"/>
      <c r="AK51" s="34"/>
      <c r="AL51" s="34"/>
      <c r="AM51" s="31">
        <f>COUNTIFS(AC$3:AC$38, "=CIC MEA")</f>
        <v>0</v>
      </c>
      <c r="AN51" s="34"/>
      <c r="AO51" s="29"/>
      <c r="AP51" s="29"/>
      <c r="AQ51" s="29"/>
      <c r="AR51" s="33"/>
      <c r="AS51" s="33"/>
      <c r="AT51" s="34"/>
      <c r="AU51" s="34"/>
      <c r="AV51" s="34"/>
      <c r="AW51" s="34"/>
      <c r="AX51" s="34"/>
      <c r="AY51" s="34"/>
      <c r="AZ51" s="31">
        <f>COUNTIFS(AP$3:AP$38, "=CIC MEA")</f>
        <v>0</v>
      </c>
      <c r="BA51" s="34"/>
      <c r="BB51" s="29"/>
      <c r="BC51" s="29"/>
      <c r="BD51" s="29"/>
      <c r="BE51" s="33"/>
      <c r="BF51" s="33"/>
      <c r="BG51" s="34"/>
      <c r="BH51" s="34"/>
      <c r="BI51" s="34"/>
      <c r="BJ51" s="34"/>
      <c r="BK51" s="34"/>
      <c r="BL51" s="34"/>
      <c r="BM51" s="31">
        <f>COUNTIFS(BC$3:BC$38, "=CIC MEA")</f>
        <v>0</v>
      </c>
      <c r="BN51" s="34"/>
      <c r="BO51" s="29"/>
      <c r="BP51" s="29"/>
      <c r="BQ51" s="29"/>
      <c r="BR51" s="33"/>
      <c r="BS51" s="33"/>
      <c r="BT51" s="34"/>
      <c r="BU51" s="34"/>
      <c r="BV51" s="34"/>
      <c r="BW51" s="34"/>
      <c r="BX51" s="34"/>
      <c r="BY51" s="34"/>
      <c r="BZ51" s="31">
        <f>COUNTIFS(BP$3:BP$38, "=CIC MEA")</f>
        <v>0</v>
      </c>
      <c r="CA51" s="34"/>
      <c r="CB51" s="29"/>
      <c r="CC51" s="29"/>
      <c r="CD51" s="29"/>
      <c r="CE51" s="33"/>
      <c r="CF51" s="33"/>
      <c r="CG51" s="34"/>
      <c r="CH51" s="34"/>
      <c r="CI51" s="34"/>
      <c r="CJ51" s="34"/>
      <c r="CK51" s="34"/>
      <c r="CL51" s="34"/>
      <c r="CM51" s="31">
        <f>COUNTIFS(CC$3:CC$38, "=CIC MEA")</f>
        <v>0</v>
      </c>
      <c r="CN51" s="34"/>
      <c r="CO51" s="29"/>
      <c r="CP51" s="29"/>
      <c r="CQ51" s="29"/>
      <c r="CR51" s="33"/>
      <c r="CS51" s="33"/>
      <c r="CT51" s="34"/>
      <c r="CU51" s="34"/>
      <c r="CV51" s="34"/>
      <c r="CW51" s="34"/>
      <c r="CX51" s="34"/>
      <c r="CY51" s="34"/>
      <c r="CZ51" s="31">
        <f>COUNTIFS(CP$3:CP$37, "=CIC MEA")</f>
        <v>0</v>
      </c>
      <c r="DA51" s="34"/>
      <c r="DB51" s="29"/>
      <c r="DC51" s="29"/>
      <c r="DD51" s="29"/>
      <c r="DE51" s="33"/>
      <c r="DF51" s="33"/>
      <c r="DG51" s="34"/>
      <c r="DH51" s="34"/>
      <c r="DI51" s="34"/>
      <c r="DJ51" s="34"/>
      <c r="DK51" s="34"/>
      <c r="DL51" s="34"/>
      <c r="DM51" s="31">
        <f>COUNTIFS(DC$3:DC$38, "=CIC MEA")</f>
        <v>3</v>
      </c>
      <c r="DN51" s="34"/>
      <c r="DO51" s="29"/>
      <c r="DP51" s="29"/>
      <c r="DQ51" s="29"/>
      <c r="DR51" s="33"/>
      <c r="DS51" s="33"/>
      <c r="DT51" s="34"/>
      <c r="DU51" s="34"/>
      <c r="DV51" s="34"/>
      <c r="DW51" s="34"/>
      <c r="DX51" s="34"/>
      <c r="DY51" s="34"/>
      <c r="DZ51" s="31">
        <f>COUNTIFS(DP$3:DP$38, "=CIC MEA")</f>
        <v>0</v>
      </c>
      <c r="EA51" s="34"/>
      <c r="EB51" s="29"/>
      <c r="EC51" s="29"/>
      <c r="ED51" s="29"/>
      <c r="EE51" s="33"/>
      <c r="EF51" s="33"/>
      <c r="EG51" s="34"/>
      <c r="EH51" s="34"/>
      <c r="EI51" s="34"/>
      <c r="EJ51" s="34"/>
      <c r="EK51" s="34"/>
      <c r="EL51" s="34"/>
      <c r="EM51" s="31">
        <f>COUNTIFS(EC$3:EC$38, "=CIC MEA")</f>
        <v>1</v>
      </c>
      <c r="EN51" s="34"/>
      <c r="EO51" s="29"/>
      <c r="EP51" s="29"/>
      <c r="EQ51" s="29"/>
      <c r="ER51" s="33"/>
      <c r="ES51" s="33"/>
      <c r="ET51" s="34"/>
      <c r="EU51" s="34"/>
      <c r="EV51" s="34"/>
      <c r="EW51" s="34"/>
      <c r="EX51" s="34"/>
      <c r="EY51" s="34"/>
      <c r="EZ51" s="31">
        <f>COUNTIFS(EP$3:EP$38, "=CIC MEA")</f>
        <v>1</v>
      </c>
      <c r="FA51" s="34"/>
      <c r="FB51" s="36"/>
      <c r="FC51" s="48"/>
      <c r="FD51" s="48"/>
      <c r="FE51" s="48"/>
      <c r="FF51" s="48"/>
      <c r="FG51" s="48"/>
      <c r="FH51" s="48"/>
      <c r="FI51" s="48"/>
      <c r="FJ51" s="48"/>
      <c r="FK51" s="48"/>
      <c r="FL51" s="48"/>
      <c r="FM51" s="48"/>
      <c r="FN51" s="48"/>
      <c r="FO51" s="48"/>
      <c r="FP51" s="48"/>
      <c r="FQ51" s="48"/>
      <c r="FR51" s="48"/>
      <c r="FS51" s="48"/>
      <c r="FT51" s="48"/>
      <c r="FU51" s="48"/>
      <c r="FV51" s="48"/>
      <c r="FW51" s="36"/>
      <c r="FX51" s="29">
        <f t="shared" si="2"/>
        <v>0</v>
      </c>
      <c r="FY51" s="29">
        <f t="shared" si="3"/>
        <v>0</v>
      </c>
      <c r="FZ51" s="29">
        <f t="shared" si="4"/>
        <v>3</v>
      </c>
      <c r="GA51" s="29">
        <f t="shared" si="5"/>
        <v>2</v>
      </c>
      <c r="GB51" s="36"/>
      <c r="GC51" s="41">
        <f t="shared" si="0"/>
        <v>5</v>
      </c>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row>
    <row r="52" spans="1:235">
      <c r="A52" s="42" t="s">
        <v>1342</v>
      </c>
      <c r="B52" s="28"/>
      <c r="C52" s="29"/>
      <c r="D52" s="29"/>
      <c r="E52" s="28"/>
      <c r="F52" s="28"/>
      <c r="G52" s="28"/>
      <c r="H52" s="28"/>
      <c r="I52" s="28"/>
      <c r="J52" s="28"/>
      <c r="K52" s="28"/>
      <c r="L52" s="28"/>
      <c r="M52" s="31">
        <f>COUNTIFS(C$3:C$38, "=CIC NA")</f>
        <v>3</v>
      </c>
      <c r="N52" s="34"/>
      <c r="O52" s="29"/>
      <c r="P52" s="29"/>
      <c r="Q52" s="29"/>
      <c r="R52" s="33"/>
      <c r="S52" s="33"/>
      <c r="T52" s="34"/>
      <c r="U52" s="34"/>
      <c r="V52" s="34"/>
      <c r="W52" s="34"/>
      <c r="X52" s="34"/>
      <c r="Y52" s="34"/>
      <c r="Z52" s="31">
        <f>COUNTIFS(P$3:P$38, "=CIC NA")</f>
        <v>6</v>
      </c>
      <c r="AA52" s="34"/>
      <c r="AB52" s="29"/>
      <c r="AC52" s="29"/>
      <c r="AD52" s="29"/>
      <c r="AE52" s="33"/>
      <c r="AF52" s="33"/>
      <c r="AG52" s="34"/>
      <c r="AH52" s="34"/>
      <c r="AI52" s="34"/>
      <c r="AJ52" s="34"/>
      <c r="AK52" s="34"/>
      <c r="AL52" s="34"/>
      <c r="AM52" s="31">
        <f>COUNTIFS(AC$3:AC$38, "=CIC NA")</f>
        <v>0</v>
      </c>
      <c r="AN52" s="34"/>
      <c r="AO52" s="29"/>
      <c r="AP52" s="29"/>
      <c r="AQ52" s="29"/>
      <c r="AR52" s="33"/>
      <c r="AS52" s="33"/>
      <c r="AT52" s="34"/>
      <c r="AU52" s="34"/>
      <c r="AV52" s="34"/>
      <c r="AW52" s="34"/>
      <c r="AX52" s="34"/>
      <c r="AY52" s="34"/>
      <c r="AZ52" s="31">
        <f>COUNTIFS(AP$3:AP$38, "=CIC NA")</f>
        <v>1</v>
      </c>
      <c r="BA52" s="34"/>
      <c r="BB52" s="29"/>
      <c r="BC52" s="29"/>
      <c r="BD52" s="29"/>
      <c r="BE52" s="33"/>
      <c r="BF52" s="33"/>
      <c r="BG52" s="34"/>
      <c r="BH52" s="34"/>
      <c r="BI52" s="34"/>
      <c r="BJ52" s="34"/>
      <c r="BK52" s="34"/>
      <c r="BL52" s="34"/>
      <c r="BM52" s="31">
        <f>COUNTIFS(BC$3:BC$38, "=CIC NA")</f>
        <v>0</v>
      </c>
      <c r="BN52" s="34"/>
      <c r="BO52" s="29"/>
      <c r="BP52" s="29"/>
      <c r="BQ52" s="29"/>
      <c r="BR52" s="33"/>
      <c r="BS52" s="33"/>
      <c r="BT52" s="34"/>
      <c r="BU52" s="34"/>
      <c r="BV52" s="34"/>
      <c r="BW52" s="34"/>
      <c r="BX52" s="34"/>
      <c r="BY52" s="34"/>
      <c r="BZ52" s="31">
        <f>COUNTIFS(BP$3:BP$38, "=CIC NA")</f>
        <v>0</v>
      </c>
      <c r="CA52" s="34"/>
      <c r="CB52" s="29"/>
      <c r="CC52" s="29"/>
      <c r="CD52" s="29"/>
      <c r="CE52" s="33"/>
      <c r="CF52" s="33"/>
      <c r="CG52" s="34"/>
      <c r="CH52" s="34"/>
      <c r="CI52" s="34"/>
      <c r="CJ52" s="34"/>
      <c r="CK52" s="34"/>
      <c r="CL52" s="34"/>
      <c r="CM52" s="31">
        <f>COUNTIFS(CC$3:CC$38, "=CIC NA")</f>
        <v>2</v>
      </c>
      <c r="CN52" s="34"/>
      <c r="CO52" s="29"/>
      <c r="CP52" s="29"/>
      <c r="CQ52" s="29"/>
      <c r="CR52" s="33"/>
      <c r="CS52" s="33"/>
      <c r="CT52" s="34"/>
      <c r="CU52" s="34"/>
      <c r="CV52" s="34"/>
      <c r="CW52" s="34"/>
      <c r="CX52" s="34"/>
      <c r="CY52" s="34"/>
      <c r="CZ52" s="31">
        <f>COUNTIFS(CP$3:CP$37, "=CIC NA")</f>
        <v>0</v>
      </c>
      <c r="DA52" s="34"/>
      <c r="DB52" s="29"/>
      <c r="DC52" s="29"/>
      <c r="DD52" s="29"/>
      <c r="DE52" s="33"/>
      <c r="DF52" s="33"/>
      <c r="DG52" s="34"/>
      <c r="DH52" s="34"/>
      <c r="DI52" s="34"/>
      <c r="DJ52" s="34"/>
      <c r="DK52" s="34"/>
      <c r="DL52" s="34"/>
      <c r="DM52" s="31">
        <f>COUNTIFS(DC$3:DC$38, "=CIC NA")</f>
        <v>1</v>
      </c>
      <c r="DN52" s="34"/>
      <c r="DO52" s="29"/>
      <c r="DP52" s="29"/>
      <c r="DQ52" s="29"/>
      <c r="DR52" s="33"/>
      <c r="DS52" s="33"/>
      <c r="DT52" s="34"/>
      <c r="DU52" s="34"/>
      <c r="DV52" s="34"/>
      <c r="DW52" s="34"/>
      <c r="DX52" s="34"/>
      <c r="DY52" s="34"/>
      <c r="DZ52" s="31">
        <f>COUNTIFS(DP$3:DP$38, "=CIC NA")</f>
        <v>0</v>
      </c>
      <c r="EA52" s="34"/>
      <c r="EB52" s="29"/>
      <c r="EC52" s="29"/>
      <c r="ED52" s="29"/>
      <c r="EE52" s="33"/>
      <c r="EF52" s="33"/>
      <c r="EG52" s="34"/>
      <c r="EH52" s="34"/>
      <c r="EI52" s="34"/>
      <c r="EJ52" s="34"/>
      <c r="EK52" s="34"/>
      <c r="EL52" s="34"/>
      <c r="EM52" s="31">
        <f>COUNTIFS(EC$3:EC$38, "=CIC NA")</f>
        <v>0</v>
      </c>
      <c r="EN52" s="34"/>
      <c r="EO52" s="29"/>
      <c r="EP52" s="29"/>
      <c r="EQ52" s="29"/>
      <c r="ER52" s="33"/>
      <c r="ES52" s="33"/>
      <c r="ET52" s="34"/>
      <c r="EU52" s="34"/>
      <c r="EV52" s="34"/>
      <c r="EW52" s="34"/>
      <c r="EX52" s="34"/>
      <c r="EY52" s="34"/>
      <c r="EZ52" s="31">
        <f>COUNTIFS(EP$3:EP$38, "=CIC NA")</f>
        <v>0</v>
      </c>
      <c r="FA52" s="34"/>
      <c r="FB52" s="36"/>
      <c r="FC52" s="48"/>
      <c r="FD52" s="48"/>
      <c r="FE52" s="48"/>
      <c r="FF52" s="48"/>
      <c r="FG52" s="48"/>
      <c r="FH52" s="48"/>
      <c r="FI52" s="48"/>
      <c r="FJ52" s="48"/>
      <c r="FK52" s="48"/>
      <c r="FL52" s="48"/>
      <c r="FM52" s="48"/>
      <c r="FN52" s="48"/>
      <c r="FO52" s="48"/>
      <c r="FP52" s="48"/>
      <c r="FQ52" s="48"/>
      <c r="FR52" s="48"/>
      <c r="FS52" s="48"/>
      <c r="FT52" s="48"/>
      <c r="FU52" s="48"/>
      <c r="FV52" s="48"/>
      <c r="FW52" s="36"/>
      <c r="FX52" s="29">
        <f t="shared" si="2"/>
        <v>9</v>
      </c>
      <c r="FY52" s="29">
        <f t="shared" si="3"/>
        <v>1</v>
      </c>
      <c r="FZ52" s="29">
        <f t="shared" si="4"/>
        <v>3</v>
      </c>
      <c r="GA52" s="29">
        <f t="shared" si="5"/>
        <v>0</v>
      </c>
      <c r="GB52" s="36"/>
      <c r="GC52" s="41">
        <f t="shared" si="0"/>
        <v>13</v>
      </c>
      <c r="GD52" s="36"/>
      <c r="GE52" s="36"/>
      <c r="GF52" s="36"/>
      <c r="GG52" s="36"/>
      <c r="GH52" s="36"/>
      <c r="GI52" s="36"/>
      <c r="GJ52" s="36"/>
      <c r="GK52" s="36"/>
      <c r="GL52" s="36"/>
      <c r="GM52" s="36"/>
      <c r="GN52" s="36"/>
      <c r="GO52" s="36"/>
      <c r="GP52" s="36"/>
      <c r="GQ52" s="36"/>
      <c r="GR52" s="36"/>
      <c r="GS52" s="36"/>
      <c r="GT52" s="36"/>
      <c r="GU52" s="36"/>
      <c r="GV52" s="36"/>
      <c r="GW52" s="36"/>
      <c r="GX52" s="36"/>
      <c r="GY52" s="36"/>
      <c r="GZ52" s="36"/>
      <c r="HA52" s="36"/>
      <c r="HB52" s="36"/>
      <c r="HC52" s="36"/>
      <c r="HD52" s="36"/>
      <c r="HE52" s="36"/>
      <c r="HF52" s="36"/>
      <c r="HG52" s="36"/>
      <c r="HH52" s="36"/>
      <c r="HI52" s="36"/>
      <c r="HJ52" s="36"/>
      <c r="HK52" s="36"/>
      <c r="HL52" s="36"/>
      <c r="HM52" s="36"/>
      <c r="HN52" s="36"/>
      <c r="HO52" s="36"/>
      <c r="HP52" s="36"/>
      <c r="HQ52" s="36"/>
      <c r="HR52" s="36"/>
      <c r="HS52" s="36"/>
      <c r="HT52" s="36"/>
      <c r="HU52" s="36"/>
      <c r="HV52" s="36"/>
      <c r="HW52" s="36"/>
      <c r="HX52" s="36"/>
      <c r="HY52" s="36"/>
      <c r="HZ52" s="36"/>
      <c r="IA52" s="36"/>
    </row>
    <row r="53" spans="1:235">
      <c r="A53" s="42" t="s">
        <v>1343</v>
      </c>
      <c r="B53" s="28"/>
      <c r="C53" s="29"/>
      <c r="D53" s="29"/>
      <c r="E53" s="28"/>
      <c r="F53" s="28"/>
      <c r="G53" s="28"/>
      <c r="H53" s="28"/>
      <c r="I53" s="28"/>
      <c r="J53" s="28"/>
      <c r="K53" s="28"/>
      <c r="L53" s="28"/>
      <c r="M53" s="31">
        <f>COUNTIFS(C$3:C$38, "=PH")</f>
        <v>0</v>
      </c>
      <c r="N53" s="34"/>
      <c r="O53" s="29"/>
      <c r="P53" s="29"/>
      <c r="Q53" s="29"/>
      <c r="R53" s="33"/>
      <c r="S53" s="33"/>
      <c r="T53" s="34"/>
      <c r="U53" s="34"/>
      <c r="V53" s="34"/>
      <c r="W53" s="34"/>
      <c r="X53" s="34"/>
      <c r="Y53" s="34"/>
      <c r="Z53" s="31">
        <f>COUNTIFS(P$3:P$38, "=PH")</f>
        <v>0</v>
      </c>
      <c r="AA53" s="34"/>
      <c r="AB53" s="29"/>
      <c r="AC53" s="29"/>
      <c r="AD53" s="29"/>
      <c r="AE53" s="33"/>
      <c r="AF53" s="33"/>
      <c r="AG53" s="34"/>
      <c r="AH53" s="34"/>
      <c r="AI53" s="34"/>
      <c r="AJ53" s="34"/>
      <c r="AK53" s="34"/>
      <c r="AL53" s="34"/>
      <c r="AM53" s="31">
        <f>COUNTIFS(AC$3:AC$38, "=PH")</f>
        <v>0</v>
      </c>
      <c r="AN53" s="34"/>
      <c r="AO53" s="29"/>
      <c r="AP53" s="29"/>
      <c r="AQ53" s="29"/>
      <c r="AR53" s="33"/>
      <c r="AS53" s="33"/>
      <c r="AT53" s="34"/>
      <c r="AU53" s="34"/>
      <c r="AV53" s="34"/>
      <c r="AW53" s="34"/>
      <c r="AX53" s="34"/>
      <c r="AY53" s="34"/>
      <c r="AZ53" s="31">
        <f>COUNTIFS(AP$3:AP$38, "=PH")</f>
        <v>0</v>
      </c>
      <c r="BA53" s="34"/>
      <c r="BB53" s="29"/>
      <c r="BC53" s="29"/>
      <c r="BD53" s="29"/>
      <c r="BE53" s="33"/>
      <c r="BF53" s="33"/>
      <c r="BG53" s="34"/>
      <c r="BH53" s="34"/>
      <c r="BI53" s="34"/>
      <c r="BJ53" s="34"/>
      <c r="BK53" s="34"/>
      <c r="BL53" s="34"/>
      <c r="BM53" s="31">
        <f>COUNTIFS(BC$3:BC$38, "=PH")</f>
        <v>0</v>
      </c>
      <c r="BN53" s="34"/>
      <c r="BO53" s="29"/>
      <c r="BP53" s="29"/>
      <c r="BQ53" s="29"/>
      <c r="BR53" s="33"/>
      <c r="BS53" s="33"/>
      <c r="BT53" s="34"/>
      <c r="BU53" s="34"/>
      <c r="BV53" s="34"/>
      <c r="BW53" s="34"/>
      <c r="BX53" s="34"/>
      <c r="BY53" s="34"/>
      <c r="BZ53" s="31">
        <f>COUNTIFS(BP$3:BP$38, "=PH")</f>
        <v>0</v>
      </c>
      <c r="CA53" s="34"/>
      <c r="CB53" s="29"/>
      <c r="CC53" s="29"/>
      <c r="CD53" s="29"/>
      <c r="CE53" s="33"/>
      <c r="CF53" s="33"/>
      <c r="CG53" s="34"/>
      <c r="CH53" s="34"/>
      <c r="CI53" s="34"/>
      <c r="CJ53" s="34"/>
      <c r="CK53" s="34"/>
      <c r="CL53" s="34"/>
      <c r="CM53" s="31">
        <f>COUNTIFS(CC$3:CC$38, "=PH")</f>
        <v>0</v>
      </c>
      <c r="CN53" s="34"/>
      <c r="CO53" s="29"/>
      <c r="CP53" s="29"/>
      <c r="CQ53" s="29"/>
      <c r="CR53" s="33"/>
      <c r="CS53" s="33"/>
      <c r="CT53" s="34"/>
      <c r="CU53" s="34"/>
      <c r="CV53" s="34"/>
      <c r="CW53" s="34"/>
      <c r="CX53" s="34"/>
      <c r="CY53" s="34"/>
      <c r="CZ53" s="31">
        <f>COUNTIFS(CP$3:CP$37, "=PH")</f>
        <v>2</v>
      </c>
      <c r="DA53" s="34"/>
      <c r="DB53" s="29"/>
      <c r="DC53" s="29"/>
      <c r="DD53" s="29"/>
      <c r="DE53" s="33"/>
      <c r="DF53" s="33"/>
      <c r="DG53" s="34"/>
      <c r="DH53" s="34"/>
      <c r="DI53" s="34"/>
      <c r="DJ53" s="34"/>
      <c r="DK53" s="34"/>
      <c r="DL53" s="34"/>
      <c r="DM53" s="31">
        <f>COUNTIFS(DC$3:DC$38, "=PH")</f>
        <v>0</v>
      </c>
      <c r="DN53" s="34"/>
      <c r="DO53" s="29"/>
      <c r="DP53" s="29"/>
      <c r="DQ53" s="29"/>
      <c r="DR53" s="33"/>
      <c r="DS53" s="33"/>
      <c r="DT53" s="34"/>
      <c r="DU53" s="34"/>
      <c r="DV53" s="34"/>
      <c r="DW53" s="34"/>
      <c r="DX53" s="34"/>
      <c r="DY53" s="34"/>
      <c r="DZ53" s="31">
        <f>COUNTIFS(DP$3:DP$38, "=PH")</f>
        <v>1</v>
      </c>
      <c r="EA53" s="34"/>
      <c r="EB53" s="29"/>
      <c r="EC53" s="29"/>
      <c r="ED53" s="29"/>
      <c r="EE53" s="33"/>
      <c r="EF53" s="33"/>
      <c r="EG53" s="34"/>
      <c r="EH53" s="34"/>
      <c r="EI53" s="34"/>
      <c r="EJ53" s="34"/>
      <c r="EK53" s="34"/>
      <c r="EL53" s="34"/>
      <c r="EM53" s="31">
        <f>COUNTIFS(EC$3:EC$38, "=PH")</f>
        <v>0</v>
      </c>
      <c r="EN53" s="34"/>
      <c r="EO53" s="29"/>
      <c r="EP53" s="29"/>
      <c r="EQ53" s="29"/>
      <c r="ER53" s="33"/>
      <c r="ES53" s="33"/>
      <c r="ET53" s="34"/>
      <c r="EU53" s="34"/>
      <c r="EV53" s="34"/>
      <c r="EW53" s="34"/>
      <c r="EX53" s="34"/>
      <c r="EY53" s="34"/>
      <c r="EZ53" s="31">
        <f>COUNTIFS(EP$3:EP$38, "=PH")</f>
        <v>0</v>
      </c>
      <c r="FA53" s="34"/>
      <c r="FB53" s="36"/>
      <c r="FC53" s="48"/>
      <c r="FD53" s="48"/>
      <c r="FE53" s="48"/>
      <c r="FF53" s="48"/>
      <c r="FG53" s="48"/>
      <c r="FH53" s="48"/>
      <c r="FI53" s="48"/>
      <c r="FJ53" s="48"/>
      <c r="FK53" s="48"/>
      <c r="FL53" s="48"/>
      <c r="FM53" s="48"/>
      <c r="FN53" s="48"/>
      <c r="FO53" s="48"/>
      <c r="FP53" s="48"/>
      <c r="FQ53" s="48"/>
      <c r="FR53" s="48"/>
      <c r="FS53" s="48"/>
      <c r="FT53" s="48"/>
      <c r="FU53" s="48"/>
      <c r="FV53" s="48"/>
      <c r="FW53" s="36"/>
      <c r="FX53" s="29">
        <f t="shared" si="2"/>
        <v>0</v>
      </c>
      <c r="FY53" s="29">
        <f t="shared" si="3"/>
        <v>0</v>
      </c>
      <c r="FZ53" s="29">
        <f t="shared" si="4"/>
        <v>2</v>
      </c>
      <c r="GA53" s="29">
        <f t="shared" si="5"/>
        <v>1</v>
      </c>
      <c r="GB53" s="36"/>
      <c r="GC53" s="41">
        <f t="shared" si="0"/>
        <v>3</v>
      </c>
      <c r="GD53" s="36"/>
      <c r="GE53" s="36"/>
      <c r="GF53" s="36"/>
      <c r="GG53" s="36"/>
      <c r="GH53" s="36"/>
      <c r="GI53" s="36"/>
      <c r="GJ53" s="36"/>
      <c r="GK53" s="36"/>
      <c r="GL53" s="36"/>
      <c r="GM53" s="36"/>
      <c r="GN53" s="36"/>
      <c r="GO53" s="36"/>
      <c r="GP53" s="36"/>
      <c r="GQ53" s="36"/>
      <c r="GR53" s="36"/>
      <c r="GS53" s="36"/>
      <c r="GT53" s="36"/>
      <c r="GU53" s="36"/>
      <c r="GV53" s="36"/>
      <c r="GW53" s="36"/>
      <c r="GX53" s="36"/>
      <c r="GY53" s="36"/>
      <c r="GZ53" s="36"/>
      <c r="HA53" s="36"/>
      <c r="HB53" s="36"/>
      <c r="HC53" s="36"/>
      <c r="HD53" s="36"/>
      <c r="HE53" s="36"/>
      <c r="HF53" s="36"/>
      <c r="HG53" s="36"/>
      <c r="HH53" s="36"/>
      <c r="HI53" s="36"/>
      <c r="HJ53" s="36"/>
      <c r="HK53" s="36"/>
      <c r="HL53" s="36"/>
      <c r="HM53" s="36"/>
      <c r="HN53" s="36"/>
      <c r="HO53" s="36"/>
      <c r="HP53" s="36"/>
      <c r="HQ53" s="36"/>
      <c r="HR53" s="36"/>
      <c r="HS53" s="36"/>
      <c r="HT53" s="36"/>
      <c r="HU53" s="36"/>
      <c r="HV53" s="36"/>
      <c r="HW53" s="36"/>
      <c r="HX53" s="36"/>
      <c r="HY53" s="36"/>
      <c r="HZ53" s="36"/>
      <c r="IA53" s="36"/>
    </row>
    <row r="54" spans="1:235">
      <c r="A54" s="42" t="s">
        <v>1344</v>
      </c>
      <c r="B54" s="28"/>
      <c r="C54" s="29"/>
      <c r="D54" s="29"/>
      <c r="E54" s="28"/>
      <c r="F54" s="28"/>
      <c r="G54" s="28"/>
      <c r="H54" s="28"/>
      <c r="I54" s="28"/>
      <c r="J54" s="28"/>
      <c r="K54" s="28"/>
      <c r="L54" s="28"/>
      <c r="M54" s="31">
        <f>COUNTIFS(C$3:C$38, "=CIC WE")</f>
        <v>0</v>
      </c>
      <c r="N54" s="34"/>
      <c r="O54" s="29"/>
      <c r="P54" s="29"/>
      <c r="Q54" s="29"/>
      <c r="R54" s="33"/>
      <c r="S54" s="33"/>
      <c r="T54" s="34"/>
      <c r="U54" s="34"/>
      <c r="V54" s="34"/>
      <c r="W54" s="34"/>
      <c r="X54" s="34"/>
      <c r="Y54" s="34"/>
      <c r="Z54" s="31">
        <f>COUNTIFS(P$3:P$38, "=CIC WE")</f>
        <v>1</v>
      </c>
      <c r="AA54" s="34"/>
      <c r="AB54" s="29"/>
      <c r="AC54" s="29"/>
      <c r="AD54" s="29"/>
      <c r="AE54" s="33"/>
      <c r="AF54" s="33"/>
      <c r="AG54" s="34"/>
      <c r="AH54" s="34"/>
      <c r="AI54" s="34"/>
      <c r="AJ54" s="34"/>
      <c r="AK54" s="34"/>
      <c r="AL54" s="34"/>
      <c r="AM54" s="31">
        <f>COUNTIFS(AC$3:AC$38, "=CIC WE")</f>
        <v>0</v>
      </c>
      <c r="AN54" s="34"/>
      <c r="AO54" s="29"/>
      <c r="AP54" s="29"/>
      <c r="AQ54" s="29"/>
      <c r="AR54" s="33"/>
      <c r="AS54" s="33"/>
      <c r="AT54" s="34"/>
      <c r="AU54" s="34"/>
      <c r="AV54" s="34"/>
      <c r="AW54" s="34"/>
      <c r="AX54" s="34"/>
      <c r="AY54" s="34"/>
      <c r="AZ54" s="31">
        <f>COUNTIFS(AP$3:AP$38, "=CIC WE")</f>
        <v>0</v>
      </c>
      <c r="BA54" s="34"/>
      <c r="BB54" s="29"/>
      <c r="BC54" s="29"/>
      <c r="BD54" s="29"/>
      <c r="BE54" s="33"/>
      <c r="BF54" s="33"/>
      <c r="BG54" s="34"/>
      <c r="BH54" s="34"/>
      <c r="BI54" s="34"/>
      <c r="BJ54" s="34"/>
      <c r="BK54" s="34"/>
      <c r="BL54" s="34"/>
      <c r="BM54" s="31">
        <f>COUNTIFS(BC$3:BC$38, "=CIC WE")</f>
        <v>0</v>
      </c>
      <c r="BN54" s="34"/>
      <c r="BO54" s="29"/>
      <c r="BP54" s="29"/>
      <c r="BQ54" s="29"/>
      <c r="BR54" s="33"/>
      <c r="BS54" s="33"/>
      <c r="BT54" s="34"/>
      <c r="BU54" s="34"/>
      <c r="BV54" s="34"/>
      <c r="BW54" s="34"/>
      <c r="BX54" s="34"/>
      <c r="BY54" s="34"/>
      <c r="BZ54" s="31">
        <f>COUNTIFS(BP$3:BP$38, "=CIC WE")</f>
        <v>1</v>
      </c>
      <c r="CA54" s="34"/>
      <c r="CB54" s="29"/>
      <c r="CC54" s="29"/>
      <c r="CD54" s="29"/>
      <c r="CE54" s="33"/>
      <c r="CF54" s="33"/>
      <c r="CG54" s="34"/>
      <c r="CH54" s="34"/>
      <c r="CI54" s="34"/>
      <c r="CJ54" s="34"/>
      <c r="CK54" s="34"/>
      <c r="CL54" s="34"/>
      <c r="CM54" s="31">
        <f>COUNTIFS(CC$3:CC$38, "=CIC WE")</f>
        <v>0</v>
      </c>
      <c r="CN54" s="34"/>
      <c r="CO54" s="29"/>
      <c r="CP54" s="29"/>
      <c r="CQ54" s="29"/>
      <c r="CR54" s="33"/>
      <c r="CS54" s="33"/>
      <c r="CT54" s="34"/>
      <c r="CU54" s="34"/>
      <c r="CV54" s="34"/>
      <c r="CW54" s="34"/>
      <c r="CX54" s="34"/>
      <c r="CY54" s="34"/>
      <c r="CZ54" s="31">
        <f>COUNTIFS(CP$3:CP$37, "=CIC WE")</f>
        <v>0</v>
      </c>
      <c r="DA54" s="34"/>
      <c r="DB54" s="29"/>
      <c r="DC54" s="29"/>
      <c r="DD54" s="29"/>
      <c r="DE54" s="33"/>
      <c r="DF54" s="33"/>
      <c r="DG54" s="34"/>
      <c r="DH54" s="34"/>
      <c r="DI54" s="34"/>
      <c r="DJ54" s="34"/>
      <c r="DK54" s="34"/>
      <c r="DL54" s="34"/>
      <c r="DM54" s="31">
        <f>COUNTIFS(DC$3:DC$38, "=CIC WE")</f>
        <v>1</v>
      </c>
      <c r="DN54" s="34"/>
      <c r="DO54" s="29"/>
      <c r="DP54" s="29"/>
      <c r="DQ54" s="29"/>
      <c r="DR54" s="33"/>
      <c r="DS54" s="33"/>
      <c r="DT54" s="34"/>
      <c r="DU54" s="34"/>
      <c r="DV54" s="34"/>
      <c r="DW54" s="34"/>
      <c r="DX54" s="34"/>
      <c r="DY54" s="34"/>
      <c r="DZ54" s="31">
        <f>COUNTIFS(DP$3:DP$38, "=CIC WE")</f>
        <v>1</v>
      </c>
      <c r="EA54" s="34"/>
      <c r="EB54" s="29"/>
      <c r="EC54" s="29"/>
      <c r="ED54" s="29"/>
      <c r="EE54" s="33"/>
      <c r="EF54" s="33"/>
      <c r="EG54" s="34"/>
      <c r="EH54" s="34"/>
      <c r="EI54" s="34"/>
      <c r="EJ54" s="34"/>
      <c r="EK54" s="34"/>
      <c r="EL54" s="34"/>
      <c r="EM54" s="31">
        <f>COUNTIFS(EC$3:EC$38, "=CIC WE")</f>
        <v>0</v>
      </c>
      <c r="EN54" s="34"/>
      <c r="EO54" s="29"/>
      <c r="EP54" s="29"/>
      <c r="EQ54" s="29"/>
      <c r="ER54" s="33"/>
      <c r="ES54" s="33"/>
      <c r="ET54" s="34"/>
      <c r="EU54" s="34"/>
      <c r="EV54" s="34"/>
      <c r="EW54" s="34"/>
      <c r="EX54" s="34"/>
      <c r="EY54" s="34"/>
      <c r="EZ54" s="31">
        <f>COUNTIFS(EP$3:EP$38, "=CIC WE")</f>
        <v>0</v>
      </c>
      <c r="FA54" s="34"/>
      <c r="FB54" s="36"/>
      <c r="FC54" s="48"/>
      <c r="FD54" s="48"/>
      <c r="FE54" s="48"/>
      <c r="FF54" s="48"/>
      <c r="FG54" s="48"/>
      <c r="FH54" s="48"/>
      <c r="FI54" s="48"/>
      <c r="FJ54" s="48"/>
      <c r="FK54" s="48"/>
      <c r="FL54" s="48"/>
      <c r="FM54" s="48"/>
      <c r="FN54" s="48"/>
      <c r="FO54" s="48"/>
      <c r="FP54" s="48"/>
      <c r="FQ54" s="48"/>
      <c r="FR54" s="48"/>
      <c r="FS54" s="48"/>
      <c r="FT54" s="48"/>
      <c r="FU54" s="48"/>
      <c r="FV54" s="48"/>
      <c r="FW54" s="36"/>
      <c r="FX54" s="29">
        <f t="shared" si="2"/>
        <v>1</v>
      </c>
      <c r="FY54" s="29">
        <f t="shared" si="3"/>
        <v>1</v>
      </c>
      <c r="FZ54" s="29">
        <f t="shared" si="4"/>
        <v>1</v>
      </c>
      <c r="GA54" s="29">
        <f t="shared" si="5"/>
        <v>1</v>
      </c>
      <c r="GB54" s="36"/>
      <c r="GC54" s="41">
        <f t="shared" si="0"/>
        <v>4</v>
      </c>
      <c r="GD54" s="36"/>
      <c r="GE54" s="36"/>
      <c r="GF54" s="36"/>
      <c r="GG54" s="36"/>
      <c r="GH54" s="36"/>
      <c r="GI54" s="36"/>
      <c r="GJ54" s="36"/>
      <c r="GK54" s="36"/>
      <c r="GL54" s="36"/>
      <c r="GM54" s="36"/>
      <c r="GN54" s="36"/>
      <c r="GO54" s="36"/>
      <c r="GP54" s="36"/>
      <c r="GQ54" s="36"/>
      <c r="GR54" s="36"/>
      <c r="GS54" s="36"/>
      <c r="GT54" s="36"/>
      <c r="GU54" s="36"/>
      <c r="GV54" s="36"/>
      <c r="GW54" s="36"/>
      <c r="GX54" s="36"/>
      <c r="GY54" s="36"/>
      <c r="GZ54" s="36"/>
      <c r="HA54" s="36"/>
      <c r="HB54" s="36"/>
      <c r="HC54" s="36"/>
      <c r="HD54" s="36"/>
      <c r="HE54" s="36"/>
      <c r="HF54" s="36"/>
      <c r="HG54" s="36"/>
      <c r="HH54" s="36"/>
      <c r="HI54" s="36"/>
      <c r="HJ54" s="36"/>
      <c r="HK54" s="36"/>
      <c r="HL54" s="36"/>
      <c r="HM54" s="36"/>
      <c r="HN54" s="36"/>
      <c r="HO54" s="36"/>
      <c r="HP54" s="36"/>
      <c r="HQ54" s="36"/>
      <c r="HR54" s="36"/>
      <c r="HS54" s="36"/>
      <c r="HT54" s="36"/>
      <c r="HU54" s="36"/>
      <c r="HV54" s="36"/>
      <c r="HW54" s="36"/>
      <c r="HX54" s="36"/>
      <c r="HY54" s="36"/>
      <c r="HZ54" s="36"/>
      <c r="IA54" s="36"/>
    </row>
    <row r="55" spans="1:235">
      <c r="A55" s="42" t="s">
        <v>1345</v>
      </c>
      <c r="B55" s="28"/>
      <c r="C55" s="29"/>
      <c r="D55" s="29"/>
      <c r="E55" s="28"/>
      <c r="F55" s="28"/>
      <c r="G55" s="28"/>
      <c r="H55" s="28"/>
      <c r="I55" s="28"/>
      <c r="J55" s="28"/>
      <c r="K55" s="28"/>
      <c r="L55" s="28"/>
      <c r="M55" s="31">
        <f>COUNTIFS(C$3:C$38, "=AP")</f>
        <v>1</v>
      </c>
      <c r="N55" s="34"/>
      <c r="O55" s="29"/>
      <c r="P55" s="29"/>
      <c r="Q55" s="29"/>
      <c r="R55" s="33"/>
      <c r="S55" s="33"/>
      <c r="T55" s="34"/>
      <c r="U55" s="34"/>
      <c r="V55" s="34"/>
      <c r="W55" s="34"/>
      <c r="X55" s="34"/>
      <c r="Y55" s="34"/>
      <c r="Z55" s="31">
        <f>COUNTIFS(P$3:P$38, "=AP")</f>
        <v>1</v>
      </c>
      <c r="AA55" s="34"/>
      <c r="AB55" s="29"/>
      <c r="AC55" s="29"/>
      <c r="AD55" s="29"/>
      <c r="AE55" s="33"/>
      <c r="AF55" s="33"/>
      <c r="AG55" s="34"/>
      <c r="AH55" s="34"/>
      <c r="AI55" s="34"/>
      <c r="AJ55" s="34"/>
      <c r="AK55" s="34"/>
      <c r="AL55" s="34"/>
      <c r="AM55" s="31">
        <f>COUNTIFS(AC$3:AC$38, "=AP")</f>
        <v>0</v>
      </c>
      <c r="AN55" s="34"/>
      <c r="AO55" s="29"/>
      <c r="AP55" s="29"/>
      <c r="AQ55" s="29"/>
      <c r="AR55" s="33"/>
      <c r="AS55" s="33"/>
      <c r="AT55" s="34"/>
      <c r="AU55" s="34"/>
      <c r="AV55" s="34"/>
      <c r="AW55" s="34"/>
      <c r="AX55" s="34"/>
      <c r="AY55" s="34"/>
      <c r="AZ55" s="31">
        <f>COUNTIFS(AP$3:AP$38, "=AP")</f>
        <v>0</v>
      </c>
      <c r="BA55" s="34"/>
      <c r="BB55" s="29"/>
      <c r="BC55" s="29"/>
      <c r="BD55" s="29"/>
      <c r="BE55" s="33"/>
      <c r="BF55" s="33"/>
      <c r="BG55" s="34"/>
      <c r="BH55" s="34"/>
      <c r="BI55" s="34"/>
      <c r="BJ55" s="34"/>
      <c r="BK55" s="34"/>
      <c r="BL55" s="34"/>
      <c r="BM55" s="31">
        <f>COUNTIFS(BC$3:BC$38, "=AP")</f>
        <v>0</v>
      </c>
      <c r="BN55" s="34"/>
      <c r="BO55" s="29"/>
      <c r="BP55" s="29"/>
      <c r="BQ55" s="29"/>
      <c r="BR55" s="33"/>
      <c r="BS55" s="33"/>
      <c r="BT55" s="34"/>
      <c r="BU55" s="34"/>
      <c r="BV55" s="34"/>
      <c r="BW55" s="34"/>
      <c r="BX55" s="34"/>
      <c r="BY55" s="34"/>
      <c r="BZ55" s="31">
        <f>COUNTIFS(BP$3:BP$38, "=AP")</f>
        <v>0</v>
      </c>
      <c r="CA55" s="34"/>
      <c r="CB55" s="29"/>
      <c r="CC55" s="29"/>
      <c r="CD55" s="29"/>
      <c r="CE55" s="33"/>
      <c r="CF55" s="33"/>
      <c r="CG55" s="34"/>
      <c r="CH55" s="34"/>
      <c r="CI55" s="34"/>
      <c r="CJ55" s="34"/>
      <c r="CK55" s="34"/>
      <c r="CL55" s="34"/>
      <c r="CM55" s="31">
        <f>COUNTIFS(CC$3:CC$38, "=AP")</f>
        <v>1</v>
      </c>
      <c r="CN55" s="34"/>
      <c r="CO55" s="29"/>
      <c r="CP55" s="29"/>
      <c r="CQ55" s="29"/>
      <c r="CR55" s="33"/>
      <c r="CS55" s="33"/>
      <c r="CT55" s="34"/>
      <c r="CU55" s="34"/>
      <c r="CV55" s="34"/>
      <c r="CW55" s="34"/>
      <c r="CX55" s="34"/>
      <c r="CY55" s="34"/>
      <c r="CZ55" s="31">
        <f>COUNTIFS(CP$3:CP$37, "=AP")</f>
        <v>1</v>
      </c>
      <c r="DA55" s="34"/>
      <c r="DB55" s="29"/>
      <c r="DC55" s="29"/>
      <c r="DD55" s="29"/>
      <c r="DE55" s="33"/>
      <c r="DF55" s="33"/>
      <c r="DG55" s="34"/>
      <c r="DH55" s="34"/>
      <c r="DI55" s="34"/>
      <c r="DJ55" s="34"/>
      <c r="DK55" s="34"/>
      <c r="DL55" s="34"/>
      <c r="DM55" s="31">
        <f>COUNTIFS(DC$3:DC$38, "=AP")</f>
        <v>1</v>
      </c>
      <c r="DN55" s="34"/>
      <c r="DO55" s="29"/>
      <c r="DP55" s="29"/>
      <c r="DQ55" s="29"/>
      <c r="DR55" s="33"/>
      <c r="DS55" s="33"/>
      <c r="DT55" s="34"/>
      <c r="DU55" s="34"/>
      <c r="DV55" s="34"/>
      <c r="DW55" s="34"/>
      <c r="DX55" s="34"/>
      <c r="DY55" s="34"/>
      <c r="DZ55" s="31">
        <f>COUNTIFS(DP$3:DP$38, "=AP")</f>
        <v>1</v>
      </c>
      <c r="EA55" s="34"/>
      <c r="EB55" s="29"/>
      <c r="EC55" s="29"/>
      <c r="ED55" s="29"/>
      <c r="EE55" s="33"/>
      <c r="EF55" s="33"/>
      <c r="EG55" s="34"/>
      <c r="EH55" s="34"/>
      <c r="EI55" s="34"/>
      <c r="EJ55" s="34"/>
      <c r="EK55" s="34"/>
      <c r="EL55" s="34"/>
      <c r="EM55" s="31">
        <f>COUNTIFS(EC$3:EC$38, "=AP")</f>
        <v>0</v>
      </c>
      <c r="EN55" s="34"/>
      <c r="EO55" s="29"/>
      <c r="EP55" s="29"/>
      <c r="EQ55" s="29"/>
      <c r="ER55" s="33"/>
      <c r="ES55" s="33"/>
      <c r="ET55" s="34"/>
      <c r="EU55" s="34"/>
      <c r="EV55" s="34"/>
      <c r="EW55" s="34"/>
      <c r="EX55" s="34"/>
      <c r="EY55" s="34"/>
      <c r="EZ55" s="31">
        <f>COUNTIFS(EP$3:EP$38, "=AP")</f>
        <v>0</v>
      </c>
      <c r="FA55" s="34"/>
      <c r="FB55" s="36"/>
      <c r="FC55" s="48"/>
      <c r="FD55" s="48"/>
      <c r="FE55" s="48"/>
      <c r="FF55" s="48"/>
      <c r="FG55" s="48"/>
      <c r="FH55" s="48"/>
      <c r="FI55" s="48"/>
      <c r="FJ55" s="48"/>
      <c r="FK55" s="48"/>
      <c r="FL55" s="48"/>
      <c r="FM55" s="48"/>
      <c r="FN55" s="48"/>
      <c r="FO55" s="48"/>
      <c r="FP55" s="48"/>
      <c r="FQ55" s="48"/>
      <c r="FR55" s="48"/>
      <c r="FS55" s="48"/>
      <c r="FT55" s="48"/>
      <c r="FU55" s="48"/>
      <c r="FV55" s="48"/>
      <c r="FW55" s="36"/>
      <c r="FX55" s="29">
        <f t="shared" si="2"/>
        <v>2</v>
      </c>
      <c r="FY55" s="29">
        <f t="shared" si="3"/>
        <v>0</v>
      </c>
      <c r="FZ55" s="29">
        <f t="shared" si="4"/>
        <v>3</v>
      </c>
      <c r="GA55" s="29">
        <f t="shared" si="5"/>
        <v>1</v>
      </c>
      <c r="GB55" s="36"/>
      <c r="GC55" s="41">
        <f t="shared" si="0"/>
        <v>6</v>
      </c>
      <c r="GD55" s="36"/>
      <c r="GE55" s="36"/>
      <c r="GF55" s="36"/>
      <c r="GG55" s="36"/>
      <c r="GH55" s="36"/>
      <c r="GI55" s="36"/>
      <c r="GJ55" s="36"/>
      <c r="GK55" s="36"/>
      <c r="GL55" s="36"/>
      <c r="GM55" s="36"/>
      <c r="GN55" s="36"/>
      <c r="GO55" s="36"/>
      <c r="GP55" s="36"/>
      <c r="GQ55" s="36"/>
      <c r="GR55" s="36"/>
      <c r="GS55" s="36"/>
      <c r="GT55" s="36"/>
      <c r="GU55" s="36"/>
      <c r="GV55" s="36"/>
      <c r="GW55" s="36"/>
      <c r="GX55" s="36"/>
      <c r="GY55" s="36"/>
      <c r="GZ55" s="36"/>
      <c r="HA55" s="36"/>
      <c r="HB55" s="36"/>
      <c r="HC55" s="36"/>
      <c r="HD55" s="36"/>
      <c r="HE55" s="36"/>
      <c r="HF55" s="36"/>
      <c r="HG55" s="36"/>
      <c r="HH55" s="36"/>
      <c r="HI55" s="36"/>
      <c r="HJ55" s="36"/>
      <c r="HK55" s="36"/>
      <c r="HL55" s="36"/>
      <c r="HM55" s="36"/>
      <c r="HN55" s="36"/>
      <c r="HO55" s="36"/>
      <c r="HP55" s="36"/>
      <c r="HQ55" s="36"/>
      <c r="HR55" s="36"/>
      <c r="HS55" s="36"/>
      <c r="HT55" s="36"/>
      <c r="HU55" s="36"/>
      <c r="HV55" s="36"/>
      <c r="HW55" s="36"/>
      <c r="HX55" s="36"/>
      <c r="HY55" s="36"/>
      <c r="HZ55" s="36"/>
      <c r="IA55" s="36"/>
    </row>
    <row r="56" spans="1:235">
      <c r="A56" s="42" t="s">
        <v>1346</v>
      </c>
      <c r="B56" s="28"/>
      <c r="C56" s="29"/>
      <c r="D56" s="29"/>
      <c r="E56" s="28"/>
      <c r="F56" s="28"/>
      <c r="G56" s="28"/>
      <c r="H56" s="28"/>
      <c r="I56" s="28"/>
      <c r="J56" s="28"/>
      <c r="K56" s="28"/>
      <c r="L56" s="28"/>
      <c r="M56" s="31">
        <f>COUNTIFS(C$3:C$38, "=Geo China")</f>
        <v>0</v>
      </c>
      <c r="N56" s="34"/>
      <c r="O56" s="29"/>
      <c r="P56" s="29"/>
      <c r="Q56" s="29"/>
      <c r="R56" s="33"/>
      <c r="S56" s="33"/>
      <c r="T56" s="34"/>
      <c r="U56" s="34"/>
      <c r="V56" s="34"/>
      <c r="W56" s="34"/>
      <c r="X56" s="34"/>
      <c r="Y56" s="34"/>
      <c r="Z56" s="31">
        <f>COUNTIFS(P$3:P$38, "=Geo China")</f>
        <v>0</v>
      </c>
      <c r="AA56" s="34"/>
      <c r="AB56" s="29"/>
      <c r="AC56" s="29"/>
      <c r="AD56" s="29"/>
      <c r="AE56" s="33"/>
      <c r="AF56" s="33"/>
      <c r="AG56" s="34"/>
      <c r="AH56" s="34"/>
      <c r="AI56" s="34"/>
      <c r="AJ56" s="34"/>
      <c r="AK56" s="34"/>
      <c r="AL56" s="34"/>
      <c r="AM56" s="31">
        <f>COUNTIFS(AC$3:AC$38, "=Geo China")</f>
        <v>0</v>
      </c>
      <c r="AN56" s="34"/>
      <c r="AO56" s="29"/>
      <c r="AP56" s="29"/>
      <c r="AQ56" s="29"/>
      <c r="AR56" s="33"/>
      <c r="AS56" s="33"/>
      <c r="AT56" s="34"/>
      <c r="AU56" s="34"/>
      <c r="AV56" s="34"/>
      <c r="AW56" s="34"/>
      <c r="AX56" s="34"/>
      <c r="AY56" s="34"/>
      <c r="AZ56" s="31">
        <f>COUNTIFS(AP$3:AP$38, "=Geo China")</f>
        <v>0</v>
      </c>
      <c r="BA56" s="34"/>
      <c r="BB56" s="29"/>
      <c r="BC56" s="29"/>
      <c r="BD56" s="29"/>
      <c r="BE56" s="33"/>
      <c r="BF56" s="33"/>
      <c r="BG56" s="34"/>
      <c r="BH56" s="34"/>
      <c r="BI56" s="34"/>
      <c r="BJ56" s="34"/>
      <c r="BK56" s="34"/>
      <c r="BL56" s="34"/>
      <c r="BM56" s="31">
        <f>COUNTIFS(BC$3:BC$38, "=Geo China")</f>
        <v>1</v>
      </c>
      <c r="BN56" s="34"/>
      <c r="BO56" s="29"/>
      <c r="BP56" s="29"/>
      <c r="BQ56" s="29"/>
      <c r="BR56" s="33"/>
      <c r="BS56" s="33"/>
      <c r="BT56" s="34"/>
      <c r="BU56" s="34"/>
      <c r="BV56" s="34"/>
      <c r="BW56" s="34"/>
      <c r="BX56" s="34"/>
      <c r="BY56" s="34"/>
      <c r="BZ56" s="31">
        <f>COUNTIFS(BP$3:BP$38, "=Geo China")</f>
        <v>0</v>
      </c>
      <c r="CA56" s="34"/>
      <c r="CB56" s="29"/>
      <c r="CC56" s="29"/>
      <c r="CD56" s="29"/>
      <c r="CE56" s="33"/>
      <c r="CF56" s="33"/>
      <c r="CG56" s="34"/>
      <c r="CH56" s="34"/>
      <c r="CI56" s="34"/>
      <c r="CJ56" s="34"/>
      <c r="CK56" s="34"/>
      <c r="CL56" s="34"/>
      <c r="CM56" s="31">
        <f>COUNTIFS(CC$3:CC$38, "=Geo China")</f>
        <v>1</v>
      </c>
      <c r="CN56" s="34"/>
      <c r="CO56" s="29"/>
      <c r="CP56" s="29"/>
      <c r="CQ56" s="29"/>
      <c r="CR56" s="33"/>
      <c r="CS56" s="33"/>
      <c r="CT56" s="34"/>
      <c r="CU56" s="34"/>
      <c r="CV56" s="34"/>
      <c r="CW56" s="34"/>
      <c r="CX56" s="34"/>
      <c r="CY56" s="34"/>
      <c r="CZ56" s="31">
        <f>COUNTIFS(CP$3:CP$37, "=Geo China")</f>
        <v>1</v>
      </c>
      <c r="DA56" s="34"/>
      <c r="DB56" s="29"/>
      <c r="DC56" s="29"/>
      <c r="DD56" s="29"/>
      <c r="DE56" s="33"/>
      <c r="DF56" s="33"/>
      <c r="DG56" s="34"/>
      <c r="DH56" s="34"/>
      <c r="DI56" s="34"/>
      <c r="DJ56" s="34"/>
      <c r="DK56" s="34"/>
      <c r="DL56" s="34"/>
      <c r="DM56" s="31">
        <f>COUNTIFS(DC$3:DC$38, "=Geo China")</f>
        <v>0</v>
      </c>
      <c r="DN56" s="34"/>
      <c r="DO56" s="29"/>
      <c r="DP56" s="29"/>
      <c r="DQ56" s="29"/>
      <c r="DR56" s="33"/>
      <c r="DS56" s="33"/>
      <c r="DT56" s="34"/>
      <c r="DU56" s="34"/>
      <c r="DV56" s="34"/>
      <c r="DW56" s="34"/>
      <c r="DX56" s="34"/>
      <c r="DY56" s="34"/>
      <c r="DZ56" s="31">
        <f>COUNTIFS(DP$3:DP$38, "=Geo China")</f>
        <v>0</v>
      </c>
      <c r="EA56" s="34"/>
      <c r="EB56" s="29"/>
      <c r="EC56" s="29"/>
      <c r="ED56" s="29"/>
      <c r="EE56" s="33"/>
      <c r="EF56" s="33"/>
      <c r="EG56" s="34"/>
      <c r="EH56" s="34"/>
      <c r="EI56" s="34"/>
      <c r="EJ56" s="34"/>
      <c r="EK56" s="34"/>
      <c r="EL56" s="34"/>
      <c r="EM56" s="31">
        <f>COUNTIFS(EC$3:EC$38, "=Geo China")</f>
        <v>0</v>
      </c>
      <c r="EN56" s="34"/>
      <c r="EO56" s="29"/>
      <c r="EP56" s="29"/>
      <c r="EQ56" s="29"/>
      <c r="ER56" s="33"/>
      <c r="ES56" s="33"/>
      <c r="ET56" s="34"/>
      <c r="EU56" s="34"/>
      <c r="EV56" s="34"/>
      <c r="EW56" s="34"/>
      <c r="EX56" s="34"/>
      <c r="EY56" s="34"/>
      <c r="EZ56" s="31">
        <f>COUNTIFS(EP$3:EP$38, "=Geo China")</f>
        <v>0</v>
      </c>
      <c r="FA56" s="34"/>
      <c r="FB56" s="36"/>
      <c r="FC56" s="48"/>
      <c r="FD56" s="48"/>
      <c r="FE56" s="48"/>
      <c r="FF56" s="48"/>
      <c r="FG56" s="48"/>
      <c r="FH56" s="48"/>
      <c r="FI56" s="48"/>
      <c r="FJ56" s="48"/>
      <c r="FK56" s="48"/>
      <c r="FL56" s="48"/>
      <c r="FM56" s="48"/>
      <c r="FN56" s="48"/>
      <c r="FO56" s="48"/>
      <c r="FP56" s="48"/>
      <c r="FQ56" s="48"/>
      <c r="FR56" s="48"/>
      <c r="FS56" s="48"/>
      <c r="FT56" s="48"/>
      <c r="FU56" s="48"/>
      <c r="FV56" s="48"/>
      <c r="FW56" s="36"/>
      <c r="FX56" s="29">
        <f t="shared" si="2"/>
        <v>0</v>
      </c>
      <c r="FY56" s="29">
        <f t="shared" si="3"/>
        <v>1</v>
      </c>
      <c r="FZ56" s="29">
        <f t="shared" si="4"/>
        <v>2</v>
      </c>
      <c r="GA56" s="29">
        <f t="shared" si="5"/>
        <v>0</v>
      </c>
      <c r="GB56" s="36"/>
      <c r="GC56" s="41">
        <f t="shared" si="0"/>
        <v>3</v>
      </c>
      <c r="GD56" s="36"/>
      <c r="GE56" s="36"/>
      <c r="GF56" s="36"/>
      <c r="GG56" s="36"/>
      <c r="GH56" s="36"/>
      <c r="GI56" s="36"/>
      <c r="GJ56" s="36"/>
      <c r="GK56" s="36"/>
      <c r="GL56" s="36"/>
      <c r="GM56" s="36"/>
      <c r="GN56" s="36"/>
      <c r="GO56" s="36"/>
      <c r="GP56" s="36"/>
      <c r="GQ56" s="36"/>
      <c r="GR56" s="36"/>
      <c r="GS56" s="36"/>
      <c r="GT56" s="36"/>
      <c r="GU56" s="36"/>
      <c r="GV56" s="36"/>
      <c r="GW56" s="36"/>
      <c r="GX56" s="36"/>
      <c r="GY56" s="36"/>
      <c r="GZ56" s="36"/>
      <c r="HA56" s="36"/>
      <c r="HB56" s="36"/>
      <c r="HC56" s="36"/>
      <c r="HD56" s="36"/>
      <c r="HE56" s="36"/>
      <c r="HF56" s="36"/>
      <c r="HG56" s="36"/>
      <c r="HH56" s="36"/>
      <c r="HI56" s="36"/>
      <c r="HJ56" s="36"/>
      <c r="HK56" s="36"/>
      <c r="HL56" s="36"/>
      <c r="HM56" s="36"/>
      <c r="HN56" s="36"/>
      <c r="HO56" s="36"/>
      <c r="HP56" s="36"/>
      <c r="HQ56" s="36"/>
      <c r="HR56" s="36"/>
      <c r="HS56" s="36"/>
      <c r="HT56" s="36"/>
      <c r="HU56" s="36"/>
      <c r="HV56" s="36"/>
      <c r="HW56" s="36"/>
      <c r="HX56" s="36"/>
      <c r="HY56" s="36"/>
      <c r="HZ56" s="36"/>
      <c r="IA56" s="36"/>
    </row>
    <row r="57" spans="1:235">
      <c r="A57" s="42" t="s">
        <v>1347</v>
      </c>
      <c r="B57" s="28"/>
      <c r="C57" s="29"/>
      <c r="D57" s="29"/>
      <c r="E57" s="28"/>
      <c r="F57" s="28"/>
      <c r="G57" s="28"/>
      <c r="H57" s="28"/>
      <c r="I57" s="28"/>
      <c r="J57" s="28"/>
      <c r="K57" s="28"/>
      <c r="L57" s="28"/>
      <c r="M57" s="31">
        <f>COUNTIFS(C$3:C$38, "=Japan")</f>
        <v>0</v>
      </c>
      <c r="N57" s="34"/>
      <c r="O57" s="29"/>
      <c r="P57" s="29"/>
      <c r="Q57" s="29"/>
      <c r="R57" s="33"/>
      <c r="S57" s="33"/>
      <c r="T57" s="34"/>
      <c r="U57" s="34"/>
      <c r="V57" s="34"/>
      <c r="W57" s="34"/>
      <c r="X57" s="34"/>
      <c r="Y57" s="34"/>
      <c r="Z57" s="31">
        <f>COUNTIFS(P$3:P$38, "=Japan")</f>
        <v>0</v>
      </c>
      <c r="AA57" s="34"/>
      <c r="AB57" s="29"/>
      <c r="AC57" s="29"/>
      <c r="AD57" s="29"/>
      <c r="AE57" s="33"/>
      <c r="AF57" s="33"/>
      <c r="AG57" s="34"/>
      <c r="AH57" s="34"/>
      <c r="AI57" s="34"/>
      <c r="AJ57" s="34"/>
      <c r="AK57" s="34"/>
      <c r="AL57" s="34"/>
      <c r="AM57" s="31">
        <f>COUNTIFS(AC$3:AC$38, "=Japan")</f>
        <v>0</v>
      </c>
      <c r="AN57" s="34"/>
      <c r="AO57" s="29"/>
      <c r="AP57" s="29"/>
      <c r="AQ57" s="29"/>
      <c r="AR57" s="33"/>
      <c r="AS57" s="33"/>
      <c r="AT57" s="34"/>
      <c r="AU57" s="34"/>
      <c r="AV57" s="34"/>
      <c r="AW57" s="34"/>
      <c r="AX57" s="34"/>
      <c r="AY57" s="34"/>
      <c r="AZ57" s="31">
        <f>COUNTIFS(AP$3:AP$38, "=Japan")</f>
        <v>5</v>
      </c>
      <c r="BA57" s="34"/>
      <c r="BB57" s="29"/>
      <c r="BC57" s="29"/>
      <c r="BD57" s="29"/>
      <c r="BE57" s="33"/>
      <c r="BF57" s="33"/>
      <c r="BG57" s="34"/>
      <c r="BH57" s="34"/>
      <c r="BI57" s="34"/>
      <c r="BJ57" s="34"/>
      <c r="BK57" s="34"/>
      <c r="BL57" s="34"/>
      <c r="BM57" s="31">
        <f>COUNTIFS(BC$3:BC$38, "=Japan")</f>
        <v>0</v>
      </c>
      <c r="BN57" s="34"/>
      <c r="BO57" s="29"/>
      <c r="BP57" s="29"/>
      <c r="BQ57" s="29"/>
      <c r="BR57" s="33"/>
      <c r="BS57" s="33"/>
      <c r="BT57" s="34"/>
      <c r="BU57" s="34"/>
      <c r="BV57" s="34"/>
      <c r="BW57" s="34"/>
      <c r="BX57" s="34"/>
      <c r="BY57" s="34"/>
      <c r="BZ57" s="31">
        <f>COUNTIFS(BP$3:BP$38, "=Japan")</f>
        <v>0</v>
      </c>
      <c r="CA57" s="34"/>
      <c r="CB57" s="29"/>
      <c r="CC57" s="29"/>
      <c r="CD57" s="29"/>
      <c r="CE57" s="33"/>
      <c r="CF57" s="33"/>
      <c r="CG57" s="34"/>
      <c r="CH57" s="34"/>
      <c r="CI57" s="34"/>
      <c r="CJ57" s="34"/>
      <c r="CK57" s="34"/>
      <c r="CL57" s="34"/>
      <c r="CM57" s="31">
        <f>COUNTIFS(CC$3:CC$38, "=Japan")</f>
        <v>0</v>
      </c>
      <c r="CN57" s="34"/>
      <c r="CO57" s="29"/>
      <c r="CP57" s="29"/>
      <c r="CQ57" s="29"/>
      <c r="CR57" s="33"/>
      <c r="CS57" s="33"/>
      <c r="CT57" s="34"/>
      <c r="CU57" s="34"/>
      <c r="CV57" s="34"/>
      <c r="CW57" s="34"/>
      <c r="CX57" s="34"/>
      <c r="CY57" s="34"/>
      <c r="CZ57" s="31">
        <f>COUNTIFS(CP$3:CP$37, "=Japan")</f>
        <v>0</v>
      </c>
      <c r="DA57" s="34"/>
      <c r="DB57" s="29"/>
      <c r="DC57" s="29"/>
      <c r="DD57" s="29"/>
      <c r="DE57" s="33"/>
      <c r="DF57" s="33"/>
      <c r="DG57" s="34"/>
      <c r="DH57" s="34"/>
      <c r="DI57" s="34"/>
      <c r="DJ57" s="34"/>
      <c r="DK57" s="34"/>
      <c r="DL57" s="34"/>
      <c r="DM57" s="31">
        <f>COUNTIFS(DC$3:DC$38, "=Japan")</f>
        <v>0</v>
      </c>
      <c r="DN57" s="34"/>
      <c r="DO57" s="29"/>
      <c r="DP57" s="29"/>
      <c r="DQ57" s="29"/>
      <c r="DR57" s="33"/>
      <c r="DS57" s="33"/>
      <c r="DT57" s="34"/>
      <c r="DU57" s="34"/>
      <c r="DV57" s="34"/>
      <c r="DW57" s="34"/>
      <c r="DX57" s="34"/>
      <c r="DY57" s="34"/>
      <c r="DZ57" s="31">
        <f>COUNTIFS(DP$3:DP$38, "=Japan")</f>
        <v>1</v>
      </c>
      <c r="EA57" s="34"/>
      <c r="EB57" s="29"/>
      <c r="EC57" s="29"/>
      <c r="ED57" s="29"/>
      <c r="EE57" s="33"/>
      <c r="EF57" s="33"/>
      <c r="EG57" s="34"/>
      <c r="EH57" s="34"/>
      <c r="EI57" s="34"/>
      <c r="EJ57" s="34"/>
      <c r="EK57" s="34"/>
      <c r="EL57" s="34"/>
      <c r="EM57" s="31">
        <f>COUNTIFS(EC$3:EC$38, "=Japan")</f>
        <v>0</v>
      </c>
      <c r="EN57" s="34"/>
      <c r="EO57" s="29"/>
      <c r="EP57" s="29"/>
      <c r="EQ57" s="29"/>
      <c r="ER57" s="33"/>
      <c r="ES57" s="33"/>
      <c r="ET57" s="34"/>
      <c r="EU57" s="34"/>
      <c r="EV57" s="34"/>
      <c r="EW57" s="34"/>
      <c r="EX57" s="34"/>
      <c r="EY57" s="34"/>
      <c r="EZ57" s="31">
        <f>COUNTIFS(EP$3:EP$38, "=Japan")</f>
        <v>0</v>
      </c>
      <c r="FA57" s="34"/>
      <c r="FB57" s="36"/>
      <c r="FC57" s="48"/>
      <c r="FD57" s="48"/>
      <c r="FE57" s="48"/>
      <c r="FF57" s="48"/>
      <c r="FG57" s="48"/>
      <c r="FH57" s="48"/>
      <c r="FI57" s="48"/>
      <c r="FJ57" s="48"/>
      <c r="FK57" s="48"/>
      <c r="FL57" s="48"/>
      <c r="FM57" s="48"/>
      <c r="FN57" s="48"/>
      <c r="FO57" s="48"/>
      <c r="FP57" s="48"/>
      <c r="FQ57" s="48"/>
      <c r="FR57" s="48"/>
      <c r="FS57" s="48"/>
      <c r="FT57" s="48"/>
      <c r="FU57" s="48"/>
      <c r="FV57" s="48"/>
      <c r="FW57" s="36"/>
      <c r="FX57" s="29">
        <f t="shared" si="2"/>
        <v>0</v>
      </c>
      <c r="FY57" s="29">
        <f t="shared" si="3"/>
        <v>5</v>
      </c>
      <c r="FZ57" s="29">
        <f t="shared" si="4"/>
        <v>0</v>
      </c>
      <c r="GA57" s="29">
        <f t="shared" si="5"/>
        <v>1</v>
      </c>
      <c r="GB57" s="36"/>
      <c r="GC57" s="41">
        <f t="shared" si="0"/>
        <v>6</v>
      </c>
      <c r="GD57" s="36"/>
      <c r="GE57" s="36"/>
      <c r="GF57" s="36"/>
      <c r="GG57" s="36"/>
      <c r="GH57" s="36"/>
      <c r="GI57" s="36"/>
      <c r="GJ57" s="36"/>
      <c r="GK57" s="36"/>
      <c r="GL57" s="36"/>
      <c r="GM57" s="36"/>
      <c r="GN57" s="36"/>
      <c r="GO57" s="36"/>
      <c r="GP57" s="36"/>
      <c r="GQ57" s="36"/>
      <c r="GR57" s="36"/>
      <c r="GS57" s="36"/>
      <c r="GT57" s="36"/>
      <c r="GU57" s="36"/>
      <c r="GV57" s="36"/>
      <c r="GW57" s="36"/>
      <c r="GX57" s="36"/>
      <c r="GY57" s="36"/>
      <c r="GZ57" s="36"/>
      <c r="HA57" s="36"/>
      <c r="HB57" s="36"/>
      <c r="HC57" s="36"/>
      <c r="HD57" s="36"/>
      <c r="HE57" s="36"/>
      <c r="HF57" s="36"/>
      <c r="HG57" s="36"/>
      <c r="HH57" s="36"/>
      <c r="HI57" s="36"/>
      <c r="HJ57" s="36"/>
      <c r="HK57" s="36"/>
      <c r="HL57" s="36"/>
      <c r="HM57" s="36"/>
      <c r="HN57" s="36"/>
      <c r="HO57" s="36"/>
      <c r="HP57" s="36"/>
      <c r="HQ57" s="36"/>
      <c r="HR57" s="36"/>
      <c r="HS57" s="36"/>
      <c r="HT57" s="36"/>
      <c r="HU57" s="36"/>
      <c r="HV57" s="36"/>
      <c r="HW57" s="36"/>
      <c r="HX57" s="36"/>
      <c r="HY57" s="36"/>
      <c r="HZ57" s="36"/>
      <c r="IA57" s="36"/>
    </row>
    <row r="58" spans="1:235">
      <c r="A58" s="42" t="s">
        <v>1348</v>
      </c>
      <c r="B58" s="28"/>
      <c r="C58" s="29"/>
      <c r="D58" s="29"/>
      <c r="E58" s="28"/>
      <c r="F58" s="28"/>
      <c r="G58" s="28"/>
      <c r="H58" s="28"/>
      <c r="I58" s="28"/>
      <c r="J58" s="28"/>
      <c r="K58" s="28"/>
      <c r="L58" s="28"/>
      <c r="M58" s="31">
        <f>COUNTIFS(C$3:C$38, "=Geo MEA")</f>
        <v>0</v>
      </c>
      <c r="N58" s="34"/>
      <c r="O58" s="29"/>
      <c r="P58" s="29"/>
      <c r="Q58" s="29"/>
      <c r="R58" s="33"/>
      <c r="S58" s="33"/>
      <c r="T58" s="34"/>
      <c r="U58" s="34"/>
      <c r="V58" s="34"/>
      <c r="W58" s="34"/>
      <c r="X58" s="34"/>
      <c r="Y58" s="34"/>
      <c r="Z58" s="31">
        <f>COUNTIFS(P$3:P$38, "=Geo MEA")</f>
        <v>0</v>
      </c>
      <c r="AA58" s="34"/>
      <c r="AB58" s="29"/>
      <c r="AC58" s="29"/>
      <c r="AD58" s="29"/>
      <c r="AE58" s="33"/>
      <c r="AF58" s="33"/>
      <c r="AG58" s="34"/>
      <c r="AH58" s="34"/>
      <c r="AI58" s="34"/>
      <c r="AJ58" s="34"/>
      <c r="AK58" s="34"/>
      <c r="AL58" s="34"/>
      <c r="AM58" s="31">
        <f>COUNTIFS(AC$3:AC$38, "=Geo MEA")</f>
        <v>0</v>
      </c>
      <c r="AN58" s="34"/>
      <c r="AO58" s="29"/>
      <c r="AP58" s="29"/>
      <c r="AQ58" s="29"/>
      <c r="AR58" s="33"/>
      <c r="AS58" s="33"/>
      <c r="AT58" s="34"/>
      <c r="AU58" s="34"/>
      <c r="AV58" s="34"/>
      <c r="AW58" s="34"/>
      <c r="AX58" s="34"/>
      <c r="AY58" s="34"/>
      <c r="AZ58" s="31">
        <f>COUNTIFS(AP$3:AP$38, "=Geo MEA")</f>
        <v>0</v>
      </c>
      <c r="BA58" s="34"/>
      <c r="BB58" s="29"/>
      <c r="BC58" s="29"/>
      <c r="BD58" s="29"/>
      <c r="BE58" s="33"/>
      <c r="BF58" s="33"/>
      <c r="BG58" s="34"/>
      <c r="BH58" s="34"/>
      <c r="BI58" s="34"/>
      <c r="BJ58" s="34"/>
      <c r="BK58" s="34"/>
      <c r="BL58" s="34"/>
      <c r="BM58" s="31">
        <f>COUNTIFS(BC$3:BC$38, "=Geo MEA")</f>
        <v>0</v>
      </c>
      <c r="BN58" s="34"/>
      <c r="BO58" s="29"/>
      <c r="BP58" s="29"/>
      <c r="BQ58" s="29"/>
      <c r="BR58" s="33"/>
      <c r="BS58" s="33"/>
      <c r="BT58" s="34"/>
      <c r="BU58" s="34"/>
      <c r="BV58" s="34"/>
      <c r="BW58" s="34"/>
      <c r="BX58" s="34"/>
      <c r="BY58" s="34"/>
      <c r="BZ58" s="31">
        <f>COUNTIFS(BP$3:BP$38, "=Geo MEA")</f>
        <v>0</v>
      </c>
      <c r="CA58" s="34"/>
      <c r="CB58" s="29"/>
      <c r="CC58" s="29"/>
      <c r="CD58" s="29"/>
      <c r="CE58" s="33"/>
      <c r="CF58" s="33"/>
      <c r="CG58" s="34"/>
      <c r="CH58" s="34"/>
      <c r="CI58" s="34"/>
      <c r="CJ58" s="34"/>
      <c r="CK58" s="34"/>
      <c r="CL58" s="34"/>
      <c r="CM58" s="31">
        <f>COUNTIFS(CC$3:CC$38, "=Geo MEA")</f>
        <v>0</v>
      </c>
      <c r="CN58" s="34"/>
      <c r="CO58" s="29"/>
      <c r="CP58" s="29"/>
      <c r="CQ58" s="29"/>
      <c r="CR58" s="33"/>
      <c r="CS58" s="33"/>
      <c r="CT58" s="34"/>
      <c r="CU58" s="34"/>
      <c r="CV58" s="34"/>
      <c r="CW58" s="34"/>
      <c r="CX58" s="34"/>
      <c r="CY58" s="34"/>
      <c r="CZ58" s="31">
        <f>COUNTIFS(CP$3:CP$37, "=Geo MEA")</f>
        <v>1</v>
      </c>
      <c r="DA58" s="34"/>
      <c r="DB58" s="29"/>
      <c r="DC58" s="29"/>
      <c r="DD58" s="29"/>
      <c r="DE58" s="33"/>
      <c r="DF58" s="33"/>
      <c r="DG58" s="34"/>
      <c r="DH58" s="34"/>
      <c r="DI58" s="34"/>
      <c r="DJ58" s="34"/>
      <c r="DK58" s="34"/>
      <c r="DL58" s="34"/>
      <c r="DM58" s="31">
        <f>COUNTIFS(DC$3:DC$38, "=Geo MEA")</f>
        <v>0</v>
      </c>
      <c r="DN58" s="34"/>
      <c r="DO58" s="29"/>
      <c r="DP58" s="29"/>
      <c r="DQ58" s="29"/>
      <c r="DR58" s="33"/>
      <c r="DS58" s="33"/>
      <c r="DT58" s="34"/>
      <c r="DU58" s="34"/>
      <c r="DV58" s="34"/>
      <c r="DW58" s="34"/>
      <c r="DX58" s="34"/>
      <c r="DY58" s="34"/>
      <c r="DZ58" s="31">
        <f>COUNTIFS(DP$3:DP$38, "=Geo MEA")</f>
        <v>0</v>
      </c>
      <c r="EA58" s="34"/>
      <c r="EB58" s="29"/>
      <c r="EC58" s="29"/>
      <c r="ED58" s="29"/>
      <c r="EE58" s="33"/>
      <c r="EF58" s="33"/>
      <c r="EG58" s="34"/>
      <c r="EH58" s="34"/>
      <c r="EI58" s="34"/>
      <c r="EJ58" s="34"/>
      <c r="EK58" s="34"/>
      <c r="EL58" s="34"/>
      <c r="EM58" s="31">
        <f>COUNTIFS(EC$3:EC$38, "=Geo MEA")</f>
        <v>0</v>
      </c>
      <c r="EN58" s="34"/>
      <c r="EO58" s="29"/>
      <c r="EP58" s="29"/>
      <c r="EQ58" s="29"/>
      <c r="ER58" s="33"/>
      <c r="ES58" s="33"/>
      <c r="ET58" s="34"/>
      <c r="EU58" s="34"/>
      <c r="EV58" s="34"/>
      <c r="EW58" s="34"/>
      <c r="EX58" s="34"/>
      <c r="EY58" s="34"/>
      <c r="EZ58" s="31">
        <f>COUNTIFS(EP$3:EP$38, "=Geo MEA")</f>
        <v>0</v>
      </c>
      <c r="FA58" s="34"/>
      <c r="FB58" s="36"/>
      <c r="FC58" s="48"/>
      <c r="FD58" s="48"/>
      <c r="FE58" s="48"/>
      <c r="FF58" s="48"/>
      <c r="FG58" s="48"/>
      <c r="FH58" s="48"/>
      <c r="FI58" s="48"/>
      <c r="FJ58" s="48"/>
      <c r="FK58" s="48"/>
      <c r="FL58" s="48"/>
      <c r="FM58" s="48"/>
      <c r="FN58" s="48"/>
      <c r="FO58" s="48"/>
      <c r="FP58" s="48"/>
      <c r="FQ58" s="48"/>
      <c r="FR58" s="48"/>
      <c r="FS58" s="48"/>
      <c r="FT58" s="48"/>
      <c r="FU58" s="48"/>
      <c r="FV58" s="48"/>
      <c r="FW58" s="36"/>
      <c r="FX58" s="29">
        <f t="shared" si="2"/>
        <v>0</v>
      </c>
      <c r="FY58" s="29">
        <f t="shared" si="3"/>
        <v>0</v>
      </c>
      <c r="FZ58" s="29">
        <f t="shared" si="4"/>
        <v>1</v>
      </c>
      <c r="GA58" s="29">
        <f t="shared" si="5"/>
        <v>0</v>
      </c>
      <c r="GB58" s="36"/>
      <c r="GC58" s="41">
        <f t="shared" si="0"/>
        <v>1</v>
      </c>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row>
    <row r="59" spans="1:235">
      <c r="A59" s="42" t="s">
        <v>1349</v>
      </c>
      <c r="B59" s="28"/>
      <c r="C59" s="29"/>
      <c r="D59" s="29"/>
      <c r="E59" s="28"/>
      <c r="F59" s="28"/>
      <c r="G59" s="28"/>
      <c r="H59" s="28"/>
      <c r="I59" s="28"/>
      <c r="J59" s="28"/>
      <c r="K59" s="28"/>
      <c r="L59" s="28"/>
      <c r="M59" s="31">
        <f>COUNTIFS(C$3:C$38, "=Geo NA Canada")</f>
        <v>0</v>
      </c>
      <c r="N59" s="34"/>
      <c r="O59" s="29"/>
      <c r="P59" s="29"/>
      <c r="Q59" s="29"/>
      <c r="R59" s="33"/>
      <c r="S59" s="33"/>
      <c r="T59" s="34"/>
      <c r="U59" s="34"/>
      <c r="V59" s="34"/>
      <c r="W59" s="34"/>
      <c r="X59" s="34"/>
      <c r="Y59" s="34"/>
      <c r="Z59" s="31">
        <f>COUNTIFS(P$3:P$38, "=Geo NA Canada")</f>
        <v>1</v>
      </c>
      <c r="AA59" s="34"/>
      <c r="AB59" s="29"/>
      <c r="AC59" s="29"/>
      <c r="AD59" s="29"/>
      <c r="AE59" s="33"/>
      <c r="AF59" s="33"/>
      <c r="AG59" s="34"/>
      <c r="AH59" s="34"/>
      <c r="AI59" s="34"/>
      <c r="AJ59" s="34"/>
      <c r="AK59" s="34"/>
      <c r="AL59" s="34"/>
      <c r="AM59" s="31">
        <f>COUNTIFS(AC$3:AC$38, "=Geo NA Canada")</f>
        <v>1</v>
      </c>
      <c r="AN59" s="34"/>
      <c r="AO59" s="29"/>
      <c r="AP59" s="29"/>
      <c r="AQ59" s="29"/>
      <c r="AR59" s="33"/>
      <c r="AS59" s="33"/>
      <c r="AT59" s="34"/>
      <c r="AU59" s="34"/>
      <c r="AV59" s="34"/>
      <c r="AW59" s="34"/>
      <c r="AX59" s="34"/>
      <c r="AY59" s="34"/>
      <c r="AZ59" s="31">
        <f>COUNTIFS(AP$3:AP$38, "=Geo NA Canada")</f>
        <v>1</v>
      </c>
      <c r="BA59" s="34"/>
      <c r="BB59" s="29"/>
      <c r="BC59" s="29"/>
      <c r="BD59" s="29"/>
      <c r="BE59" s="33"/>
      <c r="BF59" s="33"/>
      <c r="BG59" s="34"/>
      <c r="BH59" s="34"/>
      <c r="BI59" s="34"/>
      <c r="BJ59" s="34"/>
      <c r="BK59" s="34"/>
      <c r="BL59" s="34"/>
      <c r="BM59" s="31">
        <f>COUNTIFS(BC$3:BC$38, "=Geo NA Canada")</f>
        <v>0</v>
      </c>
      <c r="BN59" s="34"/>
      <c r="BO59" s="29"/>
      <c r="BP59" s="29"/>
      <c r="BQ59" s="29"/>
      <c r="BR59" s="33"/>
      <c r="BS59" s="33"/>
      <c r="BT59" s="34"/>
      <c r="BU59" s="34"/>
      <c r="BV59" s="34"/>
      <c r="BW59" s="34"/>
      <c r="BX59" s="34"/>
      <c r="BY59" s="34"/>
      <c r="BZ59" s="31">
        <f>COUNTIFS(BP$3:BP$38, "=Geo NA Canada")</f>
        <v>0</v>
      </c>
      <c r="CA59" s="34"/>
      <c r="CB59" s="29"/>
      <c r="CC59" s="29"/>
      <c r="CD59" s="29"/>
      <c r="CE59" s="33"/>
      <c r="CF59" s="33"/>
      <c r="CG59" s="34"/>
      <c r="CH59" s="34"/>
      <c r="CI59" s="34"/>
      <c r="CJ59" s="34"/>
      <c r="CK59" s="34"/>
      <c r="CL59" s="34"/>
      <c r="CM59" s="31">
        <f>COUNTIFS(CC$3:CC$38, "=Geo NA Canada")</f>
        <v>1</v>
      </c>
      <c r="CN59" s="34"/>
      <c r="CO59" s="29"/>
      <c r="CP59" s="29"/>
      <c r="CQ59" s="29"/>
      <c r="CR59" s="33"/>
      <c r="CS59" s="33"/>
      <c r="CT59" s="34"/>
      <c r="CU59" s="34"/>
      <c r="CV59" s="34"/>
      <c r="CW59" s="34"/>
      <c r="CX59" s="34"/>
      <c r="CY59" s="34"/>
      <c r="CZ59" s="31">
        <f>COUNTIFS(CP$3:CP$37, "=Geo NA Canada")</f>
        <v>1</v>
      </c>
      <c r="DA59" s="34"/>
      <c r="DB59" s="29"/>
      <c r="DC59" s="29"/>
      <c r="DD59" s="29"/>
      <c r="DE59" s="33"/>
      <c r="DF59" s="33"/>
      <c r="DG59" s="34"/>
      <c r="DH59" s="34"/>
      <c r="DI59" s="34"/>
      <c r="DJ59" s="34"/>
      <c r="DK59" s="34"/>
      <c r="DL59" s="34"/>
      <c r="DM59" s="31">
        <f>COUNTIFS(DC$3:DC$38, "=Geo NA Canada")</f>
        <v>0</v>
      </c>
      <c r="DN59" s="34"/>
      <c r="DO59" s="29"/>
      <c r="DP59" s="29"/>
      <c r="DQ59" s="29"/>
      <c r="DR59" s="33"/>
      <c r="DS59" s="33"/>
      <c r="DT59" s="34"/>
      <c r="DU59" s="34"/>
      <c r="DV59" s="34"/>
      <c r="DW59" s="34"/>
      <c r="DX59" s="34"/>
      <c r="DY59" s="34"/>
      <c r="DZ59" s="31">
        <f>COUNTIFS(DP$3:DP$38, "=Geo NA Canada")</f>
        <v>1</v>
      </c>
      <c r="EA59" s="34"/>
      <c r="EB59" s="29"/>
      <c r="EC59" s="29"/>
      <c r="ED59" s="29"/>
      <c r="EE59" s="33"/>
      <c r="EF59" s="33"/>
      <c r="EG59" s="34"/>
      <c r="EH59" s="34"/>
      <c r="EI59" s="34"/>
      <c r="EJ59" s="34"/>
      <c r="EK59" s="34"/>
      <c r="EL59" s="34"/>
      <c r="EM59" s="31">
        <f>COUNTIFS(EC$3:EC$38, "=Geo NA Canada")</f>
        <v>0</v>
      </c>
      <c r="EN59" s="34"/>
      <c r="EO59" s="29"/>
      <c r="EP59" s="29"/>
      <c r="EQ59" s="29"/>
      <c r="ER59" s="33"/>
      <c r="ES59" s="33"/>
      <c r="ET59" s="34"/>
      <c r="EU59" s="34"/>
      <c r="EV59" s="34"/>
      <c r="EW59" s="34"/>
      <c r="EX59" s="34"/>
      <c r="EY59" s="34"/>
      <c r="EZ59" s="31">
        <f>COUNTIFS(EP$3:EP$38, "=Geo NA Canada")</f>
        <v>0</v>
      </c>
      <c r="FA59" s="34"/>
      <c r="FB59" s="36"/>
      <c r="FC59" s="48"/>
      <c r="FD59" s="48"/>
      <c r="FE59" s="48"/>
      <c r="FF59" s="48"/>
      <c r="FG59" s="48"/>
      <c r="FH59" s="48"/>
      <c r="FI59" s="48"/>
      <c r="FJ59" s="48"/>
      <c r="FK59" s="48"/>
      <c r="FL59" s="48"/>
      <c r="FM59" s="48"/>
      <c r="FN59" s="48"/>
      <c r="FO59" s="48"/>
      <c r="FP59" s="48"/>
      <c r="FQ59" s="48"/>
      <c r="FR59" s="48"/>
      <c r="FS59" s="48"/>
      <c r="FT59" s="48"/>
      <c r="FU59" s="48"/>
      <c r="FV59" s="48"/>
      <c r="FW59" s="36"/>
      <c r="FX59" s="29">
        <f t="shared" si="2"/>
        <v>2</v>
      </c>
      <c r="FY59" s="29">
        <f t="shared" si="3"/>
        <v>1</v>
      </c>
      <c r="FZ59" s="29">
        <f t="shared" si="4"/>
        <v>2</v>
      </c>
      <c r="GA59" s="29">
        <f t="shared" si="5"/>
        <v>1</v>
      </c>
      <c r="GB59" s="36"/>
      <c r="GC59" s="41">
        <f t="shared" si="0"/>
        <v>6</v>
      </c>
      <c r="GD59" s="36"/>
      <c r="GE59" s="36"/>
      <c r="GF59" s="36"/>
      <c r="GG59" s="36"/>
      <c r="GH59" s="36"/>
      <c r="GI59" s="36"/>
      <c r="GJ59" s="36"/>
      <c r="GK59" s="36"/>
      <c r="GL59" s="36"/>
      <c r="GM59" s="36"/>
      <c r="GN59" s="36"/>
      <c r="GO59" s="36"/>
      <c r="GP59" s="36"/>
      <c r="GQ59" s="36"/>
      <c r="GR59" s="36"/>
      <c r="GS59" s="36"/>
      <c r="GT59" s="36"/>
      <c r="GU59" s="36"/>
      <c r="GV59" s="36"/>
      <c r="GW59" s="36"/>
      <c r="GX59" s="36"/>
      <c r="GY59" s="36"/>
      <c r="GZ59" s="36"/>
      <c r="HA59" s="36"/>
      <c r="HB59" s="36"/>
      <c r="HC59" s="36"/>
      <c r="HD59" s="36"/>
      <c r="HE59" s="36"/>
      <c r="HF59" s="36"/>
      <c r="HG59" s="36"/>
      <c r="HH59" s="36"/>
      <c r="HI59" s="36"/>
      <c r="HJ59" s="36"/>
      <c r="HK59" s="36"/>
      <c r="HL59" s="36"/>
      <c r="HM59" s="36"/>
      <c r="HN59" s="36"/>
      <c r="HO59" s="36"/>
      <c r="HP59" s="36"/>
      <c r="HQ59" s="36"/>
      <c r="HR59" s="36"/>
      <c r="HS59" s="36"/>
      <c r="HT59" s="36"/>
      <c r="HU59" s="36"/>
      <c r="HV59" s="36"/>
      <c r="HW59" s="36"/>
      <c r="HX59" s="36"/>
      <c r="HY59" s="36"/>
      <c r="HZ59" s="36"/>
      <c r="IA59" s="36"/>
    </row>
    <row r="60" spans="1:235">
      <c r="A60" s="42" t="s">
        <v>1350</v>
      </c>
      <c r="B60" s="28"/>
      <c r="C60" s="29"/>
      <c r="D60" s="29"/>
      <c r="E60" s="28"/>
      <c r="F60" s="28"/>
      <c r="G60" s="28"/>
      <c r="H60" s="28"/>
      <c r="I60" s="28"/>
      <c r="J60" s="28"/>
      <c r="K60" s="28"/>
      <c r="L60" s="28"/>
      <c r="M60" s="31">
        <f>COUNTIFS(C$3:C$38, "=Geo NA US")</f>
        <v>0</v>
      </c>
      <c r="N60" s="34"/>
      <c r="O60" s="29"/>
      <c r="P60" s="29"/>
      <c r="Q60" s="29"/>
      <c r="R60" s="33"/>
      <c r="S60" s="33"/>
      <c r="T60" s="34"/>
      <c r="U60" s="34"/>
      <c r="V60" s="34"/>
      <c r="W60" s="34"/>
      <c r="X60" s="34"/>
      <c r="Y60" s="34"/>
      <c r="Z60" s="31">
        <f>COUNTIFS(P$3:P$38, "=Geo NA US")</f>
        <v>0</v>
      </c>
      <c r="AA60" s="34"/>
      <c r="AB60" s="29"/>
      <c r="AC60" s="29"/>
      <c r="AD60" s="29"/>
      <c r="AE60" s="33"/>
      <c r="AF60" s="33"/>
      <c r="AG60" s="34"/>
      <c r="AH60" s="34"/>
      <c r="AI60" s="34"/>
      <c r="AJ60" s="34"/>
      <c r="AK60" s="34"/>
      <c r="AL60" s="34"/>
      <c r="AM60" s="31">
        <f>COUNTIFS(AC$3:AC$38, "=Geo NA US")</f>
        <v>1</v>
      </c>
      <c r="AN60" s="34"/>
      <c r="AO60" s="29"/>
      <c r="AP60" s="29"/>
      <c r="AQ60" s="29"/>
      <c r="AR60" s="33"/>
      <c r="AS60" s="33"/>
      <c r="AT60" s="34"/>
      <c r="AU60" s="34"/>
      <c r="AV60" s="34"/>
      <c r="AW60" s="34"/>
      <c r="AX60" s="34"/>
      <c r="AY60" s="34"/>
      <c r="AZ60" s="31">
        <f>COUNTIFS(AP$3:AP$38, "=Geo NA US")</f>
        <v>1</v>
      </c>
      <c r="BA60" s="34"/>
      <c r="BB60" s="29"/>
      <c r="BC60" s="29"/>
      <c r="BD60" s="29"/>
      <c r="BE60" s="33"/>
      <c r="BF60" s="33"/>
      <c r="BG60" s="34"/>
      <c r="BH60" s="34"/>
      <c r="BI60" s="34"/>
      <c r="BJ60" s="34"/>
      <c r="BK60" s="34"/>
      <c r="BL60" s="34"/>
      <c r="BM60" s="31">
        <f>COUNTIFS(BC$3:BC$38, "=Geo NA US")</f>
        <v>0</v>
      </c>
      <c r="BN60" s="34"/>
      <c r="BO60" s="29"/>
      <c r="BP60" s="29"/>
      <c r="BQ60" s="29"/>
      <c r="BR60" s="33"/>
      <c r="BS60" s="33"/>
      <c r="BT60" s="34"/>
      <c r="BU60" s="34"/>
      <c r="BV60" s="34"/>
      <c r="BW60" s="34"/>
      <c r="BX60" s="34"/>
      <c r="BY60" s="34"/>
      <c r="BZ60" s="31">
        <f>COUNTIFS(BP$3:BP$38, "=Geo NA US")</f>
        <v>0</v>
      </c>
      <c r="CA60" s="34"/>
      <c r="CB60" s="29"/>
      <c r="CC60" s="29"/>
      <c r="CD60" s="29"/>
      <c r="CE60" s="33"/>
      <c r="CF60" s="33"/>
      <c r="CG60" s="34"/>
      <c r="CH60" s="34"/>
      <c r="CI60" s="34"/>
      <c r="CJ60" s="34"/>
      <c r="CK60" s="34"/>
      <c r="CL60" s="34"/>
      <c r="CM60" s="31">
        <f>COUNTIFS(CC$3:CC$38, "=Geo NA US")</f>
        <v>1</v>
      </c>
      <c r="CN60" s="34"/>
      <c r="CO60" s="29"/>
      <c r="CP60" s="29"/>
      <c r="CQ60" s="29"/>
      <c r="CR60" s="33"/>
      <c r="CS60" s="33"/>
      <c r="CT60" s="34"/>
      <c r="CU60" s="34"/>
      <c r="CV60" s="34"/>
      <c r="CW60" s="34"/>
      <c r="CX60" s="34"/>
      <c r="CY60" s="34"/>
      <c r="CZ60" s="31">
        <f>COUNTIFS(CP$3:CP$37, "=Geo NA US")</f>
        <v>2</v>
      </c>
      <c r="DA60" s="34"/>
      <c r="DB60" s="29"/>
      <c r="DC60" s="29"/>
      <c r="DD60" s="29"/>
      <c r="DE60" s="33"/>
      <c r="DF60" s="33"/>
      <c r="DG60" s="34"/>
      <c r="DH60" s="34"/>
      <c r="DI60" s="34"/>
      <c r="DJ60" s="34"/>
      <c r="DK60" s="34"/>
      <c r="DL60" s="34"/>
      <c r="DM60" s="31">
        <f>COUNTIFS(DC$3:DC$38, "=Geo NA US")</f>
        <v>1</v>
      </c>
      <c r="DN60" s="34"/>
      <c r="DO60" s="29"/>
      <c r="DP60" s="29"/>
      <c r="DQ60" s="29"/>
      <c r="DR60" s="33"/>
      <c r="DS60" s="33"/>
      <c r="DT60" s="34"/>
      <c r="DU60" s="34"/>
      <c r="DV60" s="34"/>
      <c r="DW60" s="34"/>
      <c r="DX60" s="34"/>
      <c r="DY60" s="34"/>
      <c r="DZ60" s="31">
        <f>COUNTIFS(DP$3:DP$38, "=Geo NA US")</f>
        <v>1</v>
      </c>
      <c r="EA60" s="34"/>
      <c r="EB60" s="29"/>
      <c r="EC60" s="29"/>
      <c r="ED60" s="29"/>
      <c r="EE60" s="33"/>
      <c r="EF60" s="33"/>
      <c r="EG60" s="34"/>
      <c r="EH60" s="34"/>
      <c r="EI60" s="34"/>
      <c r="EJ60" s="34"/>
      <c r="EK60" s="34"/>
      <c r="EL60" s="34"/>
      <c r="EM60" s="31">
        <f>COUNTIFS(EC$3:EC$38, "=Geo NA US")</f>
        <v>1</v>
      </c>
      <c r="EN60" s="34"/>
      <c r="EO60" s="29"/>
      <c r="EP60" s="29"/>
      <c r="EQ60" s="29"/>
      <c r="ER60" s="33"/>
      <c r="ES60" s="33"/>
      <c r="ET60" s="34"/>
      <c r="EU60" s="34"/>
      <c r="EV60" s="34"/>
      <c r="EW60" s="34"/>
      <c r="EX60" s="34"/>
      <c r="EY60" s="34"/>
      <c r="EZ60" s="31">
        <f>COUNTIFS(EP$3:EP$38, "=Geo NA US")</f>
        <v>0</v>
      </c>
      <c r="FA60" s="34"/>
      <c r="FB60" s="36"/>
      <c r="FC60" s="48"/>
      <c r="FD60" s="48"/>
      <c r="FE60" s="48"/>
      <c r="FF60" s="48"/>
      <c r="FG60" s="48"/>
      <c r="FH60" s="48"/>
      <c r="FI60" s="48"/>
      <c r="FJ60" s="48"/>
      <c r="FK60" s="48"/>
      <c r="FL60" s="48"/>
      <c r="FM60" s="48"/>
      <c r="FN60" s="48"/>
      <c r="FO60" s="48"/>
      <c r="FP60" s="48"/>
      <c r="FQ60" s="48"/>
      <c r="FR60" s="48"/>
      <c r="FS60" s="48"/>
      <c r="FT60" s="48"/>
      <c r="FU60" s="48"/>
      <c r="FV60" s="48"/>
      <c r="FW60" s="36"/>
      <c r="FX60" s="29">
        <f t="shared" si="2"/>
        <v>1</v>
      </c>
      <c r="FY60" s="29">
        <f t="shared" si="3"/>
        <v>1</v>
      </c>
      <c r="FZ60" s="29">
        <f t="shared" si="4"/>
        <v>4</v>
      </c>
      <c r="GA60" s="29">
        <f t="shared" si="5"/>
        <v>2</v>
      </c>
      <c r="GB60" s="36"/>
      <c r="GC60" s="41">
        <f t="shared" si="0"/>
        <v>8</v>
      </c>
      <c r="GD60" s="36"/>
      <c r="GE60" s="36"/>
      <c r="GF60" s="36"/>
      <c r="GG60" s="36"/>
      <c r="GH60" s="36"/>
      <c r="GI60" s="36"/>
      <c r="GJ60" s="36"/>
      <c r="GK60" s="36"/>
      <c r="GL60" s="36"/>
      <c r="GM60" s="36"/>
      <c r="GN60" s="36"/>
      <c r="GO60" s="36"/>
      <c r="GP60" s="36"/>
      <c r="GQ60" s="36"/>
      <c r="GR60" s="36"/>
      <c r="GS60" s="36"/>
      <c r="GT60" s="36"/>
      <c r="GU60" s="36"/>
      <c r="GV60" s="36"/>
      <c r="GW60" s="36"/>
      <c r="GX60" s="36"/>
      <c r="GY60" s="36"/>
      <c r="GZ60" s="36"/>
      <c r="HA60" s="36"/>
      <c r="HB60" s="36"/>
      <c r="HC60" s="36"/>
      <c r="HD60" s="36"/>
      <c r="HE60" s="36"/>
      <c r="HF60" s="36"/>
      <c r="HG60" s="36"/>
      <c r="HH60" s="36"/>
      <c r="HI60" s="36"/>
      <c r="HJ60" s="36"/>
      <c r="HK60" s="36"/>
      <c r="HL60" s="36"/>
      <c r="HM60" s="36"/>
      <c r="HN60" s="36"/>
      <c r="HO60" s="36"/>
      <c r="HP60" s="36"/>
      <c r="HQ60" s="36"/>
      <c r="HR60" s="36"/>
      <c r="HS60" s="36"/>
      <c r="HT60" s="36"/>
      <c r="HU60" s="36"/>
      <c r="HV60" s="36"/>
      <c r="HW60" s="36"/>
      <c r="HX60" s="36"/>
      <c r="HY60" s="36"/>
      <c r="HZ60" s="36"/>
      <c r="IA60" s="36"/>
    </row>
    <row r="61" spans="1:235">
      <c r="A61" s="42" t="s">
        <v>1351</v>
      </c>
      <c r="B61" s="28"/>
      <c r="C61" s="29"/>
      <c r="D61" s="29"/>
      <c r="E61" s="28"/>
      <c r="F61" s="28"/>
      <c r="G61" s="28"/>
      <c r="H61" s="28"/>
      <c r="I61" s="28"/>
      <c r="J61" s="28"/>
      <c r="K61" s="28"/>
      <c r="L61" s="28"/>
      <c r="M61" s="31">
        <f>COUNTIFS(C$3:C$38, "=Geo WE")</f>
        <v>0</v>
      </c>
      <c r="N61" s="34"/>
      <c r="O61" s="29"/>
      <c r="P61" s="29"/>
      <c r="Q61" s="29"/>
      <c r="R61" s="33"/>
      <c r="S61" s="33"/>
      <c r="T61" s="34"/>
      <c r="U61" s="34"/>
      <c r="V61" s="34"/>
      <c r="W61" s="34"/>
      <c r="X61" s="34"/>
      <c r="Y61" s="34"/>
      <c r="Z61" s="31">
        <f>COUNTIFS(P$3:P$38, "=Geo WE")</f>
        <v>1</v>
      </c>
      <c r="AA61" s="34"/>
      <c r="AB61" s="29"/>
      <c r="AC61" s="29"/>
      <c r="AD61" s="29"/>
      <c r="AE61" s="33"/>
      <c r="AF61" s="33"/>
      <c r="AG61" s="34"/>
      <c r="AH61" s="34"/>
      <c r="AI61" s="34"/>
      <c r="AJ61" s="34"/>
      <c r="AK61" s="34"/>
      <c r="AL61" s="34"/>
      <c r="AM61" s="31">
        <f>COUNTIFS(AC$3:AC$38, "=Geo WE")</f>
        <v>0</v>
      </c>
      <c r="AN61" s="34"/>
      <c r="AO61" s="29"/>
      <c r="AP61" s="29"/>
      <c r="AQ61" s="29"/>
      <c r="AR61" s="33"/>
      <c r="AS61" s="33"/>
      <c r="AT61" s="34"/>
      <c r="AU61" s="34"/>
      <c r="AV61" s="34"/>
      <c r="AW61" s="34"/>
      <c r="AX61" s="34"/>
      <c r="AY61" s="34"/>
      <c r="AZ61" s="31">
        <f>COUNTIFS(AP$3:AP$38, "=Geo WE")</f>
        <v>1</v>
      </c>
      <c r="BA61" s="34"/>
      <c r="BB61" s="29"/>
      <c r="BC61" s="29"/>
      <c r="BD61" s="29"/>
      <c r="BE61" s="33"/>
      <c r="BF61" s="33"/>
      <c r="BG61" s="34"/>
      <c r="BH61" s="34"/>
      <c r="BI61" s="34"/>
      <c r="BJ61" s="34"/>
      <c r="BK61" s="34"/>
      <c r="BL61" s="34"/>
      <c r="BM61" s="31">
        <f>COUNTIFS(BC$3:BC$38, "=Geo WE")</f>
        <v>0</v>
      </c>
      <c r="BN61" s="34"/>
      <c r="BO61" s="29"/>
      <c r="BP61" s="29"/>
      <c r="BQ61" s="29"/>
      <c r="BR61" s="33"/>
      <c r="BS61" s="33"/>
      <c r="BT61" s="34"/>
      <c r="BU61" s="34"/>
      <c r="BV61" s="34"/>
      <c r="BW61" s="34"/>
      <c r="BX61" s="34"/>
      <c r="BY61" s="34"/>
      <c r="BZ61" s="31">
        <f>COUNTIFS(BP$3:BP$38, "=Geo WE")</f>
        <v>0</v>
      </c>
      <c r="CA61" s="34"/>
      <c r="CB61" s="29"/>
      <c r="CC61" s="29"/>
      <c r="CD61" s="29"/>
      <c r="CE61" s="33"/>
      <c r="CF61" s="33"/>
      <c r="CG61" s="34"/>
      <c r="CH61" s="34"/>
      <c r="CI61" s="34"/>
      <c r="CJ61" s="34"/>
      <c r="CK61" s="34"/>
      <c r="CL61" s="34"/>
      <c r="CM61" s="31">
        <f>COUNTIFS(CC$3:CC$38, "=Geo WE")</f>
        <v>0</v>
      </c>
      <c r="CN61" s="34"/>
      <c r="CO61" s="33"/>
      <c r="CP61" s="33"/>
      <c r="CQ61" s="29"/>
      <c r="CR61" s="33"/>
      <c r="CS61" s="33"/>
      <c r="CT61" s="34"/>
      <c r="CU61" s="34"/>
      <c r="CV61" s="34"/>
      <c r="CW61" s="34"/>
      <c r="CX61" s="34"/>
      <c r="CY61" s="34"/>
      <c r="CZ61" s="31">
        <f>COUNTIFS(CP$3:CP$37, "=Geo WE")</f>
        <v>1</v>
      </c>
      <c r="DA61" s="34"/>
      <c r="DB61" s="29"/>
      <c r="DC61" s="29"/>
      <c r="DD61" s="29"/>
      <c r="DE61" s="33"/>
      <c r="DF61" s="33"/>
      <c r="DG61" s="34"/>
      <c r="DH61" s="34"/>
      <c r="DI61" s="34"/>
      <c r="DJ61" s="34"/>
      <c r="DK61" s="34"/>
      <c r="DL61" s="34"/>
      <c r="DM61" s="31">
        <f>COUNTIFS(DC$3:DC$38, "=Geo WE")</f>
        <v>2</v>
      </c>
      <c r="DN61" s="34"/>
      <c r="DO61" s="29"/>
      <c r="DP61" s="29"/>
      <c r="DQ61" s="29"/>
      <c r="DR61" s="33"/>
      <c r="DS61" s="33"/>
      <c r="DT61" s="34"/>
      <c r="DU61" s="34"/>
      <c r="DV61" s="34"/>
      <c r="DW61" s="34"/>
      <c r="DX61" s="34"/>
      <c r="DY61" s="34"/>
      <c r="DZ61" s="31">
        <f>COUNTIFS(DP$3:DP$38, "=Geo WE")</f>
        <v>1</v>
      </c>
      <c r="EA61" s="34"/>
      <c r="EB61" s="29"/>
      <c r="EC61" s="29"/>
      <c r="ED61" s="29"/>
      <c r="EE61" s="33"/>
      <c r="EF61" s="33"/>
      <c r="EG61" s="34"/>
      <c r="EH61" s="34"/>
      <c r="EI61" s="34"/>
      <c r="EJ61" s="34"/>
      <c r="EK61" s="34"/>
      <c r="EL61" s="34"/>
      <c r="EM61" s="31">
        <f>COUNTIFS(EC$3:EC$38, "=Geo WE")</f>
        <v>1</v>
      </c>
      <c r="EN61" s="34"/>
      <c r="EO61" s="29"/>
      <c r="EP61" s="29"/>
      <c r="EQ61" s="29"/>
      <c r="ER61" s="33"/>
      <c r="ES61" s="33"/>
      <c r="ET61" s="34"/>
      <c r="EU61" s="34"/>
      <c r="EV61" s="34"/>
      <c r="EW61" s="34"/>
      <c r="EX61" s="34"/>
      <c r="EY61" s="34"/>
      <c r="EZ61" s="31">
        <f>COUNTIFS(EP$3:EP$38, "=Geo WE")</f>
        <v>0</v>
      </c>
      <c r="FA61" s="34"/>
      <c r="FB61" s="36"/>
      <c r="FC61" s="48"/>
      <c r="FD61" s="48"/>
      <c r="FE61" s="48"/>
      <c r="FF61" s="48"/>
      <c r="FG61" s="48"/>
      <c r="FH61" s="48"/>
      <c r="FI61" s="48"/>
      <c r="FJ61" s="48"/>
      <c r="FK61" s="48"/>
      <c r="FL61" s="48"/>
      <c r="FM61" s="48"/>
      <c r="FN61" s="48"/>
      <c r="FO61" s="48"/>
      <c r="FP61" s="48"/>
      <c r="FQ61" s="48"/>
      <c r="FR61" s="48"/>
      <c r="FS61" s="48"/>
      <c r="FT61" s="48"/>
      <c r="FU61" s="48"/>
      <c r="FV61" s="48"/>
      <c r="FW61" s="36"/>
      <c r="FX61" s="29">
        <f t="shared" si="2"/>
        <v>1</v>
      </c>
      <c r="FY61" s="29">
        <f t="shared" si="3"/>
        <v>1</v>
      </c>
      <c r="FZ61" s="29">
        <f t="shared" si="4"/>
        <v>3</v>
      </c>
      <c r="GA61" s="29">
        <f t="shared" si="5"/>
        <v>2</v>
      </c>
      <c r="GB61" s="36"/>
      <c r="GC61" s="41">
        <f t="shared" si="0"/>
        <v>7</v>
      </c>
      <c r="GD61" s="36"/>
      <c r="GE61" s="36"/>
      <c r="GF61" s="36"/>
      <c r="GG61" s="36"/>
      <c r="GH61" s="36"/>
      <c r="GI61" s="36"/>
      <c r="GJ61" s="36"/>
      <c r="GK61" s="36"/>
      <c r="GL61" s="36"/>
      <c r="GM61" s="36"/>
      <c r="GN61" s="36"/>
      <c r="GO61" s="36"/>
      <c r="GP61" s="36"/>
      <c r="GQ61" s="36"/>
      <c r="GR61" s="36"/>
      <c r="GS61" s="36"/>
      <c r="GT61" s="36"/>
      <c r="GU61" s="36"/>
      <c r="GV61" s="36"/>
      <c r="GW61" s="36"/>
      <c r="GX61" s="36"/>
      <c r="GY61" s="36"/>
      <c r="GZ61" s="36"/>
      <c r="HA61" s="36"/>
      <c r="HB61" s="36"/>
      <c r="HC61" s="36"/>
      <c r="HD61" s="36"/>
      <c r="HE61" s="36"/>
      <c r="HF61" s="36"/>
      <c r="HG61" s="36"/>
      <c r="HH61" s="36"/>
      <c r="HI61" s="36"/>
      <c r="HJ61" s="36"/>
      <c r="HK61" s="36"/>
      <c r="HL61" s="36"/>
      <c r="HM61" s="36"/>
      <c r="HN61" s="36"/>
      <c r="HO61" s="36"/>
      <c r="HP61" s="36"/>
      <c r="HQ61" s="36"/>
      <c r="HR61" s="36"/>
      <c r="HS61" s="36"/>
      <c r="HT61" s="36"/>
      <c r="HU61" s="36"/>
      <c r="HV61" s="36"/>
      <c r="HW61" s="36"/>
      <c r="HX61" s="36"/>
      <c r="HY61" s="36"/>
      <c r="HZ61" s="36"/>
      <c r="IA61" s="36"/>
    </row>
    <row r="62" spans="1:235">
      <c r="A62" s="28" t="s">
        <v>1352</v>
      </c>
      <c r="B62" s="28"/>
      <c r="C62" s="29"/>
      <c r="D62" s="29"/>
      <c r="E62" s="33"/>
      <c r="F62" s="33"/>
      <c r="G62" s="34"/>
      <c r="H62" s="34"/>
      <c r="I62" s="34"/>
      <c r="J62" s="34"/>
      <c r="K62" s="34"/>
      <c r="L62" s="28"/>
      <c r="M62" s="31">
        <f>COUNTIFS(B3:B38, "=CIC")</f>
        <v>7</v>
      </c>
      <c r="N62" s="34"/>
      <c r="O62" s="29"/>
      <c r="P62" s="29"/>
      <c r="Q62" s="29"/>
      <c r="R62" s="33"/>
      <c r="S62" s="33"/>
      <c r="T62" s="34"/>
      <c r="U62" s="34"/>
      <c r="V62" s="34"/>
      <c r="W62" s="34"/>
      <c r="X62" s="34"/>
      <c r="Y62" s="34"/>
      <c r="Z62" s="31">
        <f>COUNTIFS(O3:O38, "=CIC")</f>
        <v>11</v>
      </c>
      <c r="AA62" s="34"/>
      <c r="AB62" s="29"/>
      <c r="AC62" s="29"/>
      <c r="AD62" s="29"/>
      <c r="AE62" s="33"/>
      <c r="AF62" s="33"/>
      <c r="AG62" s="34"/>
      <c r="AH62" s="34"/>
      <c r="AI62" s="34"/>
      <c r="AJ62" s="34"/>
      <c r="AK62" s="34"/>
      <c r="AL62" s="34"/>
      <c r="AM62" s="31">
        <f>COUNTIFS(AB3:AB38, "=CIC")</f>
        <v>2</v>
      </c>
      <c r="AN62" s="34"/>
      <c r="AO62" s="29"/>
      <c r="AP62" s="29"/>
      <c r="AQ62" s="29"/>
      <c r="AR62" s="29"/>
      <c r="AS62" s="29"/>
      <c r="AT62" s="29"/>
      <c r="AU62" s="29"/>
      <c r="AV62" s="29"/>
      <c r="AW62" s="29"/>
      <c r="AX62" s="29"/>
      <c r="AY62" s="34"/>
      <c r="AZ62" s="31">
        <f>COUNTIFS(AO4:AO38, "=CIC")</f>
        <v>2</v>
      </c>
      <c r="BA62" s="34"/>
      <c r="BB62" s="29"/>
      <c r="BC62" s="29"/>
      <c r="BD62" s="29"/>
      <c r="BE62" s="29"/>
      <c r="BF62" s="29"/>
      <c r="BG62" s="29"/>
      <c r="BH62" s="29"/>
      <c r="BI62" s="29"/>
      <c r="BJ62" s="29"/>
      <c r="BK62" s="29"/>
      <c r="BL62" s="34"/>
      <c r="BM62" s="31">
        <f>COUNTIFS(BB3:BB38, "=CIC")</f>
        <v>5</v>
      </c>
      <c r="BN62" s="34"/>
      <c r="BO62" s="29"/>
      <c r="BP62" s="29"/>
      <c r="BQ62" s="29"/>
      <c r="BR62" s="29"/>
      <c r="BS62" s="29"/>
      <c r="BT62" s="29"/>
      <c r="BU62" s="29"/>
      <c r="BV62" s="29"/>
      <c r="BW62" s="29"/>
      <c r="BX62" s="29"/>
      <c r="BY62" s="34"/>
      <c r="BZ62" s="31">
        <f>COUNTIFS(BO3:BO38, "=CIC")</f>
        <v>3</v>
      </c>
      <c r="CA62" s="34"/>
      <c r="CB62" s="29"/>
      <c r="CC62" s="29"/>
      <c r="CD62" s="33"/>
      <c r="CE62" s="33"/>
      <c r="CF62" s="33"/>
      <c r="CG62" s="33"/>
      <c r="CH62" s="33"/>
      <c r="CI62" s="33"/>
      <c r="CJ62" s="33"/>
      <c r="CK62" s="33"/>
      <c r="CL62" s="34"/>
      <c r="CM62" s="31">
        <f>COUNTIFS(CB3:CB38, "=CIC")</f>
        <v>7</v>
      </c>
      <c r="CN62" s="34"/>
      <c r="CO62" s="33"/>
      <c r="CP62" s="33"/>
      <c r="CQ62" s="33"/>
      <c r="CR62" s="33"/>
      <c r="CS62" s="33"/>
      <c r="CT62" s="33"/>
      <c r="CU62" s="33"/>
      <c r="CV62" s="33"/>
      <c r="CW62" s="33"/>
      <c r="CX62" s="33"/>
      <c r="CY62" s="34"/>
      <c r="CZ62" s="31">
        <f>COUNTIFS(CO3:CO37, "=CIC")</f>
        <v>10</v>
      </c>
      <c r="DA62" s="34"/>
      <c r="DB62" s="33"/>
      <c r="DC62" s="33"/>
      <c r="DD62" s="33"/>
      <c r="DE62" s="33"/>
      <c r="DF62" s="33"/>
      <c r="DG62" s="33"/>
      <c r="DH62" s="33"/>
      <c r="DI62" s="33"/>
      <c r="DJ62" s="33"/>
      <c r="DK62" s="33"/>
      <c r="DL62" s="34"/>
      <c r="DM62" s="31">
        <f>COUNTIFS(DB3:DB38, "=CIC")</f>
        <v>11</v>
      </c>
      <c r="DN62" s="34"/>
      <c r="DO62" s="33"/>
      <c r="DP62" s="33"/>
      <c r="DQ62" s="33"/>
      <c r="DR62" s="33"/>
      <c r="DS62" s="33"/>
      <c r="DT62" s="33"/>
      <c r="DU62" s="33"/>
      <c r="DV62" s="33"/>
      <c r="DW62" s="33"/>
      <c r="DX62" s="34"/>
      <c r="DY62" s="34"/>
      <c r="DZ62" s="31">
        <f>COUNTIFS(DO4:DO31, "=CIC")</f>
        <v>10</v>
      </c>
      <c r="EA62" s="34"/>
      <c r="EB62" s="33"/>
      <c r="EC62" s="33"/>
      <c r="ED62" s="33"/>
      <c r="EE62" s="33"/>
      <c r="EF62" s="33"/>
      <c r="EG62" s="33"/>
      <c r="EH62" s="33"/>
      <c r="EI62" s="33"/>
      <c r="EJ62" s="33"/>
      <c r="EK62" s="33"/>
      <c r="EL62" s="34"/>
      <c r="EM62" s="31">
        <f>COUNTIFS(EB4:EB38, "=CIC")</f>
        <v>6</v>
      </c>
      <c r="EN62" s="34"/>
      <c r="EO62" s="33"/>
      <c r="EP62" s="33"/>
      <c r="EQ62" s="33"/>
      <c r="ER62" s="33"/>
      <c r="ES62" s="33"/>
      <c r="ET62" s="33"/>
      <c r="EU62" s="33"/>
      <c r="EV62" s="33"/>
      <c r="EW62" s="33"/>
      <c r="EX62" s="33"/>
      <c r="EY62" s="34"/>
      <c r="EZ62" s="31">
        <f>COUNTIFS(EO3:EO38, "=CIC")</f>
        <v>4</v>
      </c>
      <c r="FA62" s="34"/>
      <c r="FB62" s="36"/>
      <c r="FC62" s="48"/>
      <c r="FD62" s="48"/>
      <c r="FE62" s="48"/>
      <c r="FF62" s="48"/>
      <c r="FG62" s="48"/>
      <c r="FH62" s="48"/>
      <c r="FI62" s="48"/>
      <c r="FJ62" s="48"/>
      <c r="FK62" s="48"/>
      <c r="FL62" s="48"/>
      <c r="FM62" s="48"/>
      <c r="FN62" s="48"/>
      <c r="FO62" s="48"/>
      <c r="FP62" s="48"/>
      <c r="FQ62" s="48"/>
      <c r="FR62" s="48"/>
      <c r="FS62" s="48"/>
      <c r="FT62" s="48"/>
      <c r="FU62" s="48"/>
      <c r="FV62" s="48"/>
      <c r="FW62" s="36"/>
      <c r="FX62" s="29">
        <f t="shared" si="2"/>
        <v>20</v>
      </c>
      <c r="FY62" s="29">
        <f t="shared" si="3"/>
        <v>10</v>
      </c>
      <c r="FZ62" s="29">
        <f t="shared" si="4"/>
        <v>28</v>
      </c>
      <c r="GA62" s="29">
        <f>SUM(EZ62,DZ62,EM62)</f>
        <v>20</v>
      </c>
      <c r="GB62" s="36"/>
      <c r="GC62" s="43">
        <f t="shared" si="0"/>
        <v>78</v>
      </c>
      <c r="GD62" s="36"/>
      <c r="GE62" s="36"/>
      <c r="GF62" s="36"/>
      <c r="GG62" s="36"/>
      <c r="GH62" s="36"/>
      <c r="GI62" s="36"/>
      <c r="GJ62" s="36"/>
      <c r="GK62" s="36"/>
      <c r="GL62" s="36"/>
      <c r="GM62" s="36"/>
      <c r="GN62" s="36"/>
      <c r="GO62" s="36"/>
      <c r="GP62" s="36"/>
      <c r="GQ62" s="36"/>
      <c r="GR62" s="36"/>
      <c r="GS62" s="36"/>
      <c r="GT62" s="36"/>
      <c r="GU62" s="36"/>
      <c r="GV62" s="36"/>
      <c r="GW62" s="36"/>
      <c r="GX62" s="36"/>
      <c r="GY62" s="36"/>
      <c r="GZ62" s="36"/>
      <c r="HA62" s="36"/>
      <c r="HB62" s="36"/>
      <c r="HC62" s="36"/>
      <c r="HD62" s="36"/>
      <c r="HE62" s="36"/>
      <c r="HF62" s="36"/>
      <c r="HG62" s="36"/>
      <c r="HH62" s="36"/>
      <c r="HI62" s="36"/>
      <c r="HJ62" s="36"/>
      <c r="HK62" s="36"/>
      <c r="HL62" s="36"/>
      <c r="HM62" s="36"/>
      <c r="HN62" s="36"/>
      <c r="HO62" s="36"/>
      <c r="HP62" s="36"/>
      <c r="HQ62" s="36"/>
      <c r="HR62" s="36"/>
      <c r="HS62" s="36"/>
      <c r="HT62" s="36"/>
      <c r="HU62" s="36"/>
      <c r="HV62" s="36"/>
      <c r="HW62" s="36"/>
      <c r="HX62" s="36"/>
      <c r="HY62" s="36"/>
      <c r="HZ62" s="36"/>
      <c r="IA62" s="36"/>
    </row>
    <row r="63" spans="1:235">
      <c r="A63" s="28" t="s">
        <v>1353</v>
      </c>
      <c r="B63" s="28"/>
      <c r="C63" s="29"/>
      <c r="D63" s="29"/>
      <c r="E63" s="33"/>
      <c r="F63" s="33"/>
      <c r="G63" s="34"/>
      <c r="H63" s="34"/>
      <c r="I63" s="34"/>
      <c r="J63" s="34"/>
      <c r="K63" s="34"/>
      <c r="L63" s="34"/>
      <c r="M63" s="31">
        <f>COUNTIFS(B3:B38, "=Geo")</f>
        <v>1</v>
      </c>
      <c r="N63" s="34"/>
      <c r="O63" s="29"/>
      <c r="P63" s="29"/>
      <c r="Q63" s="29"/>
      <c r="R63" s="33"/>
      <c r="S63" s="33"/>
      <c r="T63" s="34"/>
      <c r="U63" s="34"/>
      <c r="V63" s="34"/>
      <c r="W63" s="34"/>
      <c r="X63" s="34"/>
      <c r="Y63" s="34"/>
      <c r="Z63" s="31">
        <f>COUNTIFS(O3:O38, "=Geo")</f>
        <v>3</v>
      </c>
      <c r="AA63" s="34"/>
      <c r="AB63" s="29"/>
      <c r="AC63" s="29"/>
      <c r="AD63" s="29"/>
      <c r="AE63" s="33"/>
      <c r="AF63" s="33"/>
      <c r="AG63" s="34"/>
      <c r="AH63" s="34"/>
      <c r="AI63" s="34"/>
      <c r="AJ63" s="34"/>
      <c r="AK63" s="34"/>
      <c r="AL63" s="34"/>
      <c r="AM63" s="31">
        <f>COUNTIFS(AB3:AB38, "=Geo")</f>
        <v>2</v>
      </c>
      <c r="AN63" s="34"/>
      <c r="AO63" s="29"/>
      <c r="AP63" s="29"/>
      <c r="AQ63" s="29"/>
      <c r="AR63" s="29"/>
      <c r="AS63" s="29"/>
      <c r="AT63" s="29"/>
      <c r="AU63" s="29"/>
      <c r="AV63" s="29"/>
      <c r="AW63" s="29"/>
      <c r="AX63" s="29"/>
      <c r="AY63" s="34"/>
      <c r="AZ63" s="31">
        <f>COUNTIFS(AO4:AO38, "=Geo")</f>
        <v>8</v>
      </c>
      <c r="BA63" s="34"/>
      <c r="BB63" s="29"/>
      <c r="BC63" s="29"/>
      <c r="BD63" s="29"/>
      <c r="BE63" s="29"/>
      <c r="BF63" s="29"/>
      <c r="BG63" s="29"/>
      <c r="BH63" s="29"/>
      <c r="BI63" s="29"/>
      <c r="BJ63" s="29"/>
      <c r="BK63" s="29"/>
      <c r="BL63" s="34"/>
      <c r="BM63" s="31">
        <f>COUNTIFS(BB3:BB38, "=Geo")</f>
        <v>1</v>
      </c>
      <c r="BN63" s="34"/>
      <c r="BO63" s="29"/>
      <c r="BP63" s="29"/>
      <c r="BQ63" s="29"/>
      <c r="BR63" s="29"/>
      <c r="BS63" s="29"/>
      <c r="BT63" s="29"/>
      <c r="BU63" s="29"/>
      <c r="BV63" s="29"/>
      <c r="BW63" s="29"/>
      <c r="BX63" s="29"/>
      <c r="BY63" s="34"/>
      <c r="BZ63" s="31">
        <f>COUNTIFS(BO3:BO38, "=Geo")</f>
        <v>0</v>
      </c>
      <c r="CA63" s="34"/>
      <c r="CB63" s="29"/>
      <c r="CC63" s="29"/>
      <c r="CD63" s="33"/>
      <c r="CE63" s="33"/>
      <c r="CF63" s="33"/>
      <c r="CG63" s="33"/>
      <c r="CH63" s="33"/>
      <c r="CI63" s="33"/>
      <c r="CJ63" s="33"/>
      <c r="CK63" s="33"/>
      <c r="CL63" s="34"/>
      <c r="CM63" s="31">
        <f>COUNTIFS(CB3:CB38, "=Geo")</f>
        <v>4</v>
      </c>
      <c r="CN63" s="34"/>
      <c r="CO63" s="33"/>
      <c r="CP63" s="33"/>
      <c r="CQ63" s="33"/>
      <c r="CR63" s="33"/>
      <c r="CS63" s="33"/>
      <c r="CT63" s="33"/>
      <c r="CU63" s="33"/>
      <c r="CV63" s="33"/>
      <c r="CW63" s="33"/>
      <c r="CX63" s="33"/>
      <c r="CY63" s="34"/>
      <c r="CZ63" s="31">
        <f>COUNTIFS(CO3:CO37, "=Geo")</f>
        <v>7</v>
      </c>
      <c r="DA63" s="34"/>
      <c r="DB63" s="33"/>
      <c r="DC63" s="33"/>
      <c r="DD63" s="33"/>
      <c r="DE63" s="33"/>
      <c r="DF63" s="33"/>
      <c r="DG63" s="33"/>
      <c r="DH63" s="33"/>
      <c r="DI63" s="33"/>
      <c r="DJ63" s="33"/>
      <c r="DK63" s="33"/>
      <c r="DL63" s="34"/>
      <c r="DM63" s="31">
        <f>COUNTIFS(DB3:DB38, "=Geo")</f>
        <v>4</v>
      </c>
      <c r="DN63" s="34"/>
      <c r="DO63" s="33"/>
      <c r="DP63" s="33"/>
      <c r="DQ63" s="33"/>
      <c r="DR63" s="33"/>
      <c r="DS63" s="33"/>
      <c r="DT63" s="33"/>
      <c r="DU63" s="33"/>
      <c r="DV63" s="33"/>
      <c r="DW63" s="33"/>
      <c r="DX63" s="34"/>
      <c r="DY63" s="34"/>
      <c r="DZ63" s="31">
        <f>COUNTIFS(DO4:DO31, "=Geo")</f>
        <v>5</v>
      </c>
      <c r="EA63" s="34"/>
      <c r="EB63" s="33"/>
      <c r="EC63" s="33"/>
      <c r="ED63" s="33"/>
      <c r="EE63" s="33"/>
      <c r="EF63" s="33"/>
      <c r="EG63" s="33"/>
      <c r="EH63" s="33"/>
      <c r="EI63" s="33"/>
      <c r="EJ63" s="33"/>
      <c r="EK63" s="33"/>
      <c r="EL63" s="34"/>
      <c r="EM63" s="31">
        <f>COUNTIFS(EB4:EB39, "=Geo")</f>
        <v>2</v>
      </c>
      <c r="EN63" s="34"/>
      <c r="EO63" s="33"/>
      <c r="EP63" s="33"/>
      <c r="EQ63" s="33"/>
      <c r="ER63" s="33"/>
      <c r="ES63" s="33"/>
      <c r="ET63" s="33"/>
      <c r="EU63" s="33"/>
      <c r="EV63" s="33"/>
      <c r="EW63" s="33"/>
      <c r="EX63" s="33"/>
      <c r="EY63" s="34"/>
      <c r="EZ63" s="31">
        <f>COUNTIFS(EO3:EO38, "=Geo")</f>
        <v>0</v>
      </c>
      <c r="FA63" s="34"/>
      <c r="FB63" s="36"/>
      <c r="FC63" s="48"/>
      <c r="FD63" s="48"/>
      <c r="FE63" s="48"/>
      <c r="FF63" s="48"/>
      <c r="FG63" s="48"/>
      <c r="FH63" s="48"/>
      <c r="FI63" s="48"/>
      <c r="FJ63" s="48"/>
      <c r="FK63" s="48"/>
      <c r="FL63" s="48"/>
      <c r="FM63" s="48"/>
      <c r="FN63" s="48"/>
      <c r="FO63" s="48"/>
      <c r="FP63" s="48"/>
      <c r="FQ63" s="48"/>
      <c r="FR63" s="48"/>
      <c r="FS63" s="48"/>
      <c r="FT63" s="48"/>
      <c r="FU63" s="48"/>
      <c r="FV63" s="48"/>
      <c r="FW63" s="36"/>
      <c r="FX63" s="29">
        <f t="shared" si="2"/>
        <v>6</v>
      </c>
      <c r="FY63" s="29">
        <f t="shared" si="3"/>
        <v>9</v>
      </c>
      <c r="FZ63" s="29">
        <f t="shared" si="4"/>
        <v>15</v>
      </c>
      <c r="GA63" s="29">
        <f>SUM(EZ63,DZ63,EM63)</f>
        <v>7</v>
      </c>
      <c r="GB63" s="36"/>
      <c r="GC63" s="43">
        <f t="shared" si="0"/>
        <v>37</v>
      </c>
      <c r="GD63" s="36"/>
      <c r="GE63" s="36"/>
      <c r="GF63" s="36"/>
      <c r="GG63" s="36"/>
      <c r="GH63" s="36"/>
      <c r="GI63" s="36"/>
      <c r="GJ63" s="36"/>
      <c r="GK63" s="36"/>
      <c r="GL63" s="36"/>
      <c r="GM63" s="36"/>
      <c r="GN63" s="36"/>
      <c r="GO63" s="36"/>
      <c r="GP63" s="36"/>
      <c r="GQ63" s="36"/>
      <c r="GR63" s="36"/>
      <c r="GS63" s="36"/>
      <c r="GT63" s="36"/>
      <c r="GU63" s="36"/>
      <c r="GV63" s="36"/>
      <c r="GW63" s="36"/>
      <c r="GX63" s="36"/>
      <c r="GY63" s="36"/>
      <c r="GZ63" s="36"/>
      <c r="HA63" s="36"/>
      <c r="HB63" s="36"/>
      <c r="HC63" s="36"/>
      <c r="HD63" s="36"/>
      <c r="HE63" s="36"/>
      <c r="HF63" s="36"/>
      <c r="HG63" s="36"/>
      <c r="HH63" s="36"/>
      <c r="HI63" s="36"/>
      <c r="HJ63" s="36"/>
      <c r="HK63" s="36"/>
      <c r="HL63" s="36"/>
      <c r="HM63" s="36"/>
      <c r="HN63" s="36"/>
      <c r="HO63" s="36"/>
      <c r="HP63" s="36"/>
      <c r="HQ63" s="36"/>
      <c r="HR63" s="36"/>
      <c r="HS63" s="36"/>
      <c r="HT63" s="36"/>
      <c r="HU63" s="36"/>
      <c r="HV63" s="36"/>
      <c r="HW63" s="36"/>
      <c r="HX63" s="36"/>
      <c r="HY63" s="36"/>
      <c r="HZ63" s="36"/>
      <c r="IA63" s="36"/>
    </row>
    <row r="64" spans="1:235">
      <c r="A64" s="28" t="s">
        <v>1354</v>
      </c>
      <c r="B64" s="28"/>
      <c r="C64" s="29"/>
      <c r="D64" s="29"/>
      <c r="E64" s="33"/>
      <c r="F64" s="33"/>
      <c r="G64" s="34"/>
      <c r="H64" s="34"/>
      <c r="I64" s="34"/>
      <c r="J64" s="34"/>
      <c r="K64" s="34"/>
      <c r="L64" s="34"/>
      <c r="M64" s="29">
        <f>SUM(M62:M63)</f>
        <v>8</v>
      </c>
      <c r="N64" s="29"/>
      <c r="O64" s="29"/>
      <c r="P64" s="29"/>
      <c r="Q64" s="29"/>
      <c r="R64" s="33"/>
      <c r="S64" s="33"/>
      <c r="T64" s="34"/>
      <c r="U64" s="34"/>
      <c r="V64" s="34"/>
      <c r="W64" s="34"/>
      <c r="X64" s="34"/>
      <c r="Y64" s="34"/>
      <c r="Z64" s="29">
        <f>SUM(Z62:Z63)</f>
        <v>14</v>
      </c>
      <c r="AA64" s="29"/>
      <c r="AB64" s="29"/>
      <c r="AC64" s="29"/>
      <c r="AD64" s="29"/>
      <c r="AE64" s="33"/>
      <c r="AF64" s="33"/>
      <c r="AG64" s="34"/>
      <c r="AH64" s="34"/>
      <c r="AI64" s="34"/>
      <c r="AJ64" s="34"/>
      <c r="AK64" s="34"/>
      <c r="AL64" s="34"/>
      <c r="AM64" s="29">
        <f>SUM(AM62:AM63)</f>
        <v>4</v>
      </c>
      <c r="AN64" s="29"/>
      <c r="AO64" s="29"/>
      <c r="AP64" s="29"/>
      <c r="AQ64" s="29"/>
      <c r="AR64" s="29"/>
      <c r="AS64" s="29"/>
      <c r="AT64" s="29"/>
      <c r="AU64" s="29"/>
      <c r="AV64" s="29"/>
      <c r="AW64" s="29"/>
      <c r="AX64" s="29"/>
      <c r="AY64" s="34"/>
      <c r="AZ64" s="29">
        <f>SUM(AZ62:AZ63)</f>
        <v>10</v>
      </c>
      <c r="BA64" s="29"/>
      <c r="BB64" s="29"/>
      <c r="BC64" s="29"/>
      <c r="BD64" s="29"/>
      <c r="BE64" s="29"/>
      <c r="BF64" s="29"/>
      <c r="BG64" s="29"/>
      <c r="BH64" s="29"/>
      <c r="BI64" s="29"/>
      <c r="BJ64" s="29"/>
      <c r="BK64" s="29"/>
      <c r="BL64" s="34"/>
      <c r="BM64" s="29">
        <f>SUM(BM62:BM63)</f>
        <v>6</v>
      </c>
      <c r="BN64" s="29"/>
      <c r="BO64" s="29"/>
      <c r="BP64" s="29"/>
      <c r="BQ64" s="29"/>
      <c r="BR64" s="29"/>
      <c r="BS64" s="29"/>
      <c r="BT64" s="29"/>
      <c r="BU64" s="29"/>
      <c r="BV64" s="29"/>
      <c r="BW64" s="29"/>
      <c r="BX64" s="29"/>
      <c r="BY64" s="34"/>
      <c r="BZ64" s="29">
        <f>SUM(BZ62:BZ63)</f>
        <v>3</v>
      </c>
      <c r="CA64" s="29"/>
      <c r="CB64" s="29"/>
      <c r="CC64" s="29"/>
      <c r="CD64" s="33"/>
      <c r="CE64" s="33"/>
      <c r="CF64" s="33"/>
      <c r="CG64" s="33"/>
      <c r="CH64" s="33"/>
      <c r="CI64" s="33"/>
      <c r="CJ64" s="33"/>
      <c r="CK64" s="33"/>
      <c r="CL64" s="34"/>
      <c r="CM64" s="29">
        <f>SUM(CM62:CM63)</f>
        <v>11</v>
      </c>
      <c r="CN64" s="29"/>
      <c r="CO64" s="33"/>
      <c r="CP64" s="33"/>
      <c r="CQ64" s="33"/>
      <c r="CR64" s="33"/>
      <c r="CS64" s="33"/>
      <c r="CT64" s="33"/>
      <c r="CU64" s="33"/>
      <c r="CV64" s="33"/>
      <c r="CW64" s="33"/>
      <c r="CX64" s="33"/>
      <c r="CY64" s="34"/>
      <c r="CZ64" s="29">
        <f>SUM(CZ62:CZ63)</f>
        <v>17</v>
      </c>
      <c r="DA64" s="29"/>
      <c r="DB64" s="33"/>
      <c r="DC64" s="33"/>
      <c r="DD64" s="33"/>
      <c r="DE64" s="33"/>
      <c r="DF64" s="33"/>
      <c r="DG64" s="33"/>
      <c r="DH64" s="33"/>
      <c r="DI64" s="33"/>
      <c r="DJ64" s="33"/>
      <c r="DK64" s="33"/>
      <c r="DL64" s="34"/>
      <c r="DM64" s="29">
        <f>SUM(DM62:DM63)</f>
        <v>15</v>
      </c>
      <c r="DN64" s="29"/>
      <c r="DO64" s="33"/>
      <c r="DP64" s="33"/>
      <c r="DQ64" s="33"/>
      <c r="DR64" s="33"/>
      <c r="DS64" s="33"/>
      <c r="DT64" s="33"/>
      <c r="DU64" s="33"/>
      <c r="DV64" s="33"/>
      <c r="DW64" s="33"/>
      <c r="DX64" s="34"/>
      <c r="DY64" s="34"/>
      <c r="DZ64" s="29">
        <f>SUM(DZ62:DZ63)</f>
        <v>15</v>
      </c>
      <c r="EA64" s="29"/>
      <c r="EB64" s="33"/>
      <c r="EC64" s="33"/>
      <c r="ED64" s="33"/>
      <c r="EE64" s="33"/>
      <c r="EF64" s="33"/>
      <c r="EG64" s="33"/>
      <c r="EH64" s="33"/>
      <c r="EI64" s="33"/>
      <c r="EJ64" s="33"/>
      <c r="EK64" s="33"/>
      <c r="EL64" s="34"/>
      <c r="EM64" s="29">
        <f>SUM(EM62:EM63)</f>
        <v>8</v>
      </c>
      <c r="EN64" s="29"/>
      <c r="EO64" s="33"/>
      <c r="EP64" s="33"/>
      <c r="EQ64" s="33"/>
      <c r="ER64" s="33"/>
      <c r="ES64" s="33"/>
      <c r="ET64" s="33"/>
      <c r="EU64" s="33"/>
      <c r="EV64" s="33"/>
      <c r="EW64" s="33"/>
      <c r="EX64" s="33"/>
      <c r="EY64" s="34"/>
      <c r="EZ64" s="29">
        <f>SUM(EZ62:EZ63)</f>
        <v>4</v>
      </c>
      <c r="FA64" s="29"/>
      <c r="FB64" s="36"/>
      <c r="FC64" s="48"/>
      <c r="FD64" s="48"/>
      <c r="FE64" s="48"/>
      <c r="FF64" s="48"/>
      <c r="FG64" s="48"/>
      <c r="FH64" s="48"/>
      <c r="FI64" s="48"/>
      <c r="FJ64" s="48"/>
      <c r="FK64" s="48"/>
      <c r="FL64" s="48"/>
      <c r="FM64" s="48"/>
      <c r="FN64" s="48"/>
      <c r="FO64" s="48"/>
      <c r="FP64" s="48"/>
      <c r="FQ64" s="48"/>
      <c r="FR64" s="48"/>
      <c r="FS64" s="48"/>
      <c r="FT64" s="48"/>
      <c r="FU64" s="48"/>
      <c r="FV64" s="48"/>
      <c r="FW64" s="36"/>
      <c r="FX64" s="29">
        <f t="shared" si="2"/>
        <v>26</v>
      </c>
      <c r="FY64" s="29">
        <f t="shared" si="3"/>
        <v>19</v>
      </c>
      <c r="FZ64" s="29">
        <f t="shared" si="4"/>
        <v>43</v>
      </c>
      <c r="GA64" s="29">
        <f>SUM(EZ64,DZ64,EM64)</f>
        <v>27</v>
      </c>
      <c r="GB64" s="36"/>
      <c r="GC64" s="43">
        <f t="shared" si="0"/>
        <v>115</v>
      </c>
      <c r="GD64" s="36"/>
      <c r="GE64" s="36"/>
      <c r="GF64" s="36"/>
      <c r="GG64" s="36"/>
      <c r="GH64" s="36"/>
      <c r="GI64" s="36"/>
      <c r="GJ64" s="36"/>
      <c r="GK64" s="36"/>
      <c r="GL64" s="36"/>
      <c r="GM64" s="36"/>
      <c r="GN64" s="36"/>
      <c r="GO64" s="36"/>
      <c r="GP64" s="36"/>
      <c r="GQ64" s="36"/>
      <c r="GR64" s="36"/>
      <c r="GS64" s="36"/>
      <c r="GT64" s="36"/>
      <c r="GU64" s="36"/>
      <c r="GV64" s="36"/>
      <c r="GW64" s="36"/>
      <c r="GX64" s="36"/>
      <c r="GY64" s="36"/>
      <c r="GZ64" s="36"/>
      <c r="HA64" s="36"/>
      <c r="HB64" s="36"/>
      <c r="HC64" s="36"/>
      <c r="HD64" s="36"/>
      <c r="HE64" s="36"/>
      <c r="HF64" s="36"/>
      <c r="HG64" s="36"/>
      <c r="HH64" s="36"/>
      <c r="HI64" s="36"/>
      <c r="HJ64" s="36"/>
      <c r="HK64" s="36"/>
      <c r="HL64" s="36"/>
      <c r="HM64" s="36"/>
      <c r="HN64" s="36"/>
      <c r="HO64" s="36"/>
      <c r="HP64" s="36"/>
      <c r="HQ64" s="36"/>
      <c r="HR64" s="36"/>
      <c r="HS64" s="36"/>
      <c r="HT64" s="36"/>
      <c r="HU64" s="36"/>
      <c r="HV64" s="36"/>
      <c r="HW64" s="36"/>
      <c r="HX64" s="36"/>
      <c r="HY64" s="36"/>
      <c r="HZ64" s="36"/>
      <c r="IA64" s="36"/>
    </row>
    <row r="65" spans="1:235" s="29" customFormat="1">
      <c r="A65" s="28" t="s">
        <v>1355</v>
      </c>
      <c r="B65" s="28"/>
      <c r="E65" s="32" t="s">
        <v>277</v>
      </c>
      <c r="F65" s="32" t="s">
        <v>277</v>
      </c>
      <c r="G65" s="31">
        <f>SUMIF(G$4:G$38,"Complete",M$4:M$38)</f>
        <v>0</v>
      </c>
      <c r="H65" s="31">
        <f>SUMIF(H$4:H$38,"Complete",M$4:M$38)</f>
        <v>0</v>
      </c>
      <c r="I65" s="31">
        <f>SUMIF(I$4:I$38,"Complete",M$4:M$38)</f>
        <v>0</v>
      </c>
      <c r="J65" s="31"/>
      <c r="K65" s="31">
        <f>SUMIF(K$4:K$38,"Complete",M$4:M$38)</f>
        <v>0</v>
      </c>
      <c r="L65" s="31">
        <f>SUMIF(L$4:L$38,"Complete",M$4:M$38)</f>
        <v>0</v>
      </c>
      <c r="Q65" s="30"/>
      <c r="R65" s="32" t="s">
        <v>277</v>
      </c>
      <c r="S65" s="32" t="s">
        <v>277</v>
      </c>
      <c r="T65" s="31">
        <f>SUMIF(T$4:T$38,"Complete",Z$4:Z$38)</f>
        <v>0</v>
      </c>
      <c r="U65" s="31">
        <f>SUMIF(U$4:U$38,"Complete",Z$4:Z$38)</f>
        <v>0</v>
      </c>
      <c r="V65" s="31">
        <f>SUMIF(V$4:V$38,"Complete",Z$4:Z$38)</f>
        <v>0</v>
      </c>
      <c r="W65" s="31"/>
      <c r="X65" s="31">
        <f>SUMIF(X$4:X$38,"Complete",Z$4:Z$38)</f>
        <v>0</v>
      </c>
      <c r="Y65" s="31">
        <f>SUMIF(Y$4:Y$38,"Complete",Z$4:Z$38)</f>
        <v>0</v>
      </c>
      <c r="AE65" s="32" t="s">
        <v>277</v>
      </c>
      <c r="AF65" s="32" t="s">
        <v>277</v>
      </c>
      <c r="AG65" s="31">
        <f>SUMIF(AG$4:AG$38,"Complete",AM$4:AM$38)</f>
        <v>0</v>
      </c>
      <c r="AH65" s="31">
        <f>SUMIF(AH$4:AH$38,"Complete",AM$4:AM$38)</f>
        <v>0</v>
      </c>
      <c r="AI65" s="31">
        <f>SUMIF(AI$4:AI$38,"Complete",AM$4:AM$38)</f>
        <v>0</v>
      </c>
      <c r="AJ65" s="31"/>
      <c r="AK65" s="31">
        <f>SUMIF(AK$4:AK$38,"Complete",AM$4:AM$38)</f>
        <v>0</v>
      </c>
      <c r="AL65" s="31">
        <f>SUMIF(AL$4:AL$38,"Complete",AM$4:AM$38)</f>
        <v>0</v>
      </c>
      <c r="AR65" s="32" t="s">
        <v>277</v>
      </c>
      <c r="AS65" s="32" t="s">
        <v>277</v>
      </c>
      <c r="AT65" s="31">
        <f>SUMIF(AT$4:AT$38,"Complete",AZ$4:AZ$38)</f>
        <v>0</v>
      </c>
      <c r="AU65" s="31">
        <f>SUMIF(AU$4:AU$38,"Complete",AZ$4:AZ$38)</f>
        <v>0</v>
      </c>
      <c r="AV65" s="31">
        <f>SUMIF(AV$4:AV$38,"Complete",AZ$4:AZ$38)</f>
        <v>0</v>
      </c>
      <c r="AW65" s="31"/>
      <c r="AX65" s="31">
        <f>SUMIF(AX$4:AX$38,"Complete",AZ$4:AZ$38)</f>
        <v>0</v>
      </c>
      <c r="AY65" s="31">
        <f>SUMIF(AY$4:AY$38,"Complete",AZ$4:AZ$38)</f>
        <v>0</v>
      </c>
      <c r="BD65" s="30"/>
      <c r="BE65" s="32" t="s">
        <v>277</v>
      </c>
      <c r="BF65" s="32" t="s">
        <v>277</v>
      </c>
      <c r="BG65" s="31">
        <f>SUMIF(BG$4:BG$38,"Complete",BM$4:BM$38)</f>
        <v>0</v>
      </c>
      <c r="BH65" s="31">
        <f>SUMIF(BH$4:BH$38,"Complete",BM$4:BM$38)</f>
        <v>0</v>
      </c>
      <c r="BI65" s="31">
        <f>SUMIF(BI$4:BI$38,"Complete",BM$4:BM$38)</f>
        <v>0</v>
      </c>
      <c r="BJ65" s="31"/>
      <c r="BK65" s="31">
        <f>SUMIF(BK$4:BK$38,"Complete",BM$4:BM$38)</f>
        <v>0</v>
      </c>
      <c r="BL65" s="31">
        <f>SUMIF(BL$4:BL$38,"Complete",BM$4:BM$38)</f>
        <v>0</v>
      </c>
      <c r="BR65" s="32" t="s">
        <v>277</v>
      </c>
      <c r="BS65" s="32" t="s">
        <v>277</v>
      </c>
      <c r="BT65" s="31">
        <f>SUMIF(BT$4:BT$38,"Complete",BZ$4:BZ$38)</f>
        <v>0</v>
      </c>
      <c r="BU65" s="31">
        <f>SUMIF(BU$4:BU$38,"Complete",BZ$4:BZ$38)</f>
        <v>0</v>
      </c>
      <c r="BV65" s="31">
        <f>SUMIF(BV$4:BV$38,"Complete",BZ$4:BZ$38)</f>
        <v>0</v>
      </c>
      <c r="BW65" s="31"/>
      <c r="BX65" s="31">
        <f>SUMIF(BX$4:BX$38,"Complete",BZ$4:BZ$38)</f>
        <v>0</v>
      </c>
      <c r="BY65" s="31">
        <f>SUMIF(BY$4:BY$38,"Complete",BZ$4:BZ$38)</f>
        <v>0</v>
      </c>
      <c r="CE65" s="32" t="s">
        <v>277</v>
      </c>
      <c r="CF65" s="32" t="s">
        <v>277</v>
      </c>
      <c r="CG65" s="31">
        <f>SUMIF(CG$4:CG$38,"Complete",CM$4:CM$38)</f>
        <v>0</v>
      </c>
      <c r="CH65" s="31">
        <f>SUMIF(CH$4:CH$38,"Complete",CM$4:CM$38)</f>
        <v>0</v>
      </c>
      <c r="CI65" s="31">
        <f>SUMIF(CI$4:CI$38,"Complete",CM$4:CM$38)</f>
        <v>0</v>
      </c>
      <c r="CJ65" s="31"/>
      <c r="CK65" s="31">
        <f>SUMIF(CK$4:CK$38,"Complete",CM$4:CM$38)</f>
        <v>0</v>
      </c>
      <c r="CL65" s="31">
        <f>SUMIF(CL$4:CL$38,"Complete",CM$4:CM$38)</f>
        <v>0</v>
      </c>
      <c r="CQ65" s="30"/>
      <c r="CR65" s="32" t="s">
        <v>277</v>
      </c>
      <c r="CS65" s="32" t="s">
        <v>277</v>
      </c>
      <c r="CT65" s="31">
        <f>SUMIF(CT$4:CT$37,"Complete",CZ$4:CZ$37)</f>
        <v>0</v>
      </c>
      <c r="CU65" s="31">
        <f>SUMIF(CU$4:CU$37,"Complete",CZ$4:CZ$37)</f>
        <v>0</v>
      </c>
      <c r="CV65" s="31">
        <f>SUMIF(CV$4:CV$37,"Complete",CZ$4:CZ$37)</f>
        <v>0</v>
      </c>
      <c r="CW65" s="31"/>
      <c r="CX65" s="31">
        <f>SUMIF(CX$4:CX$37,"Complete",CZ$4:CZ$37)</f>
        <v>0</v>
      </c>
      <c r="CY65" s="31">
        <f>SUMIF(CY$4:CY$37,"Complete",CZ$4:CZ$37)</f>
        <v>0</v>
      </c>
      <c r="DE65" s="32" t="s">
        <v>277</v>
      </c>
      <c r="DF65" s="32" t="s">
        <v>277</v>
      </c>
      <c r="DG65" s="31">
        <f>SUMIF(DG$4:DG$38,"Complete",DM$4:DM$38)</f>
        <v>0</v>
      </c>
      <c r="DH65" s="31">
        <f>SUMIF(DH$4:DH$38,"Complete",DM$4:DM$38)</f>
        <v>0</v>
      </c>
      <c r="DI65" s="31">
        <f>SUMIF(DI$4:DI$38,"Complete",DM$4:DM$38)</f>
        <v>0</v>
      </c>
      <c r="DJ65" s="31"/>
      <c r="DK65" s="31">
        <f>SUMIF(DK$4:DK$38,"Complete",DM$4:DM$38)</f>
        <v>0</v>
      </c>
      <c r="DL65" s="31">
        <f>SUMIF(DL$4:DL$38,"Complete",DM$4:DM$38)</f>
        <v>0</v>
      </c>
      <c r="DR65" s="32" t="s">
        <v>277</v>
      </c>
      <c r="DS65" s="32" t="s">
        <v>277</v>
      </c>
      <c r="DT65" s="31">
        <f>SUMIF(DT$4:DT$38,"Complete",DZ$4:DZ$38)</f>
        <v>0</v>
      </c>
      <c r="DU65" s="31">
        <f>SUMIF(DU$4:DU$38,"Complete",DZ$4:DZ$38)</f>
        <v>0</v>
      </c>
      <c r="DV65" s="31">
        <f>SUMIF(DV$4:DV$38,"Complete",DZ$4:DZ$38)</f>
        <v>0</v>
      </c>
      <c r="DW65" s="31"/>
      <c r="DX65" s="31">
        <f>SUMIF(DX$4:DX$38,"Complete",DZ$4:DZ$38)</f>
        <v>0</v>
      </c>
      <c r="DY65" s="31">
        <f>SUMIF(DY$4:DY$38,"Complete",DZ$4:DZ$38)</f>
        <v>0</v>
      </c>
      <c r="ED65" s="30"/>
      <c r="EE65" s="32" t="s">
        <v>277</v>
      </c>
      <c r="EF65" s="32" t="s">
        <v>277</v>
      </c>
      <c r="EG65" s="31">
        <f>SUMIF(EG$4:EG$38,"Complete",EM$4:EM$38)</f>
        <v>0</v>
      </c>
      <c r="EH65" s="31">
        <f>SUMIF(EH$4:EH$38,"Complete",EM$4:EM$38)</f>
        <v>0</v>
      </c>
      <c r="EI65" s="31">
        <f>SUMIF(EI$4:EI$38,"Complete",EM$4:EM$38)</f>
        <v>0</v>
      </c>
      <c r="EJ65" s="31"/>
      <c r="EK65" s="31">
        <f>SUMIF(EK$4:EK$38,"Complete",EM$4:EM$38)</f>
        <v>0</v>
      </c>
      <c r="EL65" s="31">
        <f>SUMIF(EL$4:EL$38,"Complete",EM$4:EM$38)</f>
        <v>0</v>
      </c>
      <c r="ER65" s="32" t="s">
        <v>277</v>
      </c>
      <c r="ES65" s="32" t="s">
        <v>277</v>
      </c>
      <c r="ET65" s="31">
        <f>SUMIF(ET$4:ET$38,"Complete",EZ$4:EZ$38)</f>
        <v>0</v>
      </c>
      <c r="EU65" s="31">
        <f>SUMIF(EU$4:EU$38,"Complete",EZ$4:EZ$38)</f>
        <v>0</v>
      </c>
      <c r="EV65" s="31">
        <f>SUMIF(EV$4:EV$38,"Complete",EZ$4:EZ$38)</f>
        <v>0</v>
      </c>
      <c r="EW65" s="31"/>
      <c r="EX65" s="31">
        <f>SUMIF(EX$4:EX$38,"Complete",EZ$4:EZ$38)</f>
        <v>0</v>
      </c>
      <c r="EY65" s="31">
        <f>SUMIF(EY$4:EY$38,"Complete",EZ$4:EZ$38)</f>
        <v>0</v>
      </c>
      <c r="FB65" s="35">
        <f>18+5</f>
        <v>23</v>
      </c>
      <c r="FC65" s="45">
        <f>SUM(G$65, T$65, AG$65)</f>
        <v>0</v>
      </c>
      <c r="FD65" s="45">
        <f>SUM(H$65, U$65, AH$65)</f>
        <v>0</v>
      </c>
      <c r="FE65" s="45">
        <f>SUM(I$65, V$65, AI$65)</f>
        <v>0</v>
      </c>
      <c r="FF65" s="45">
        <f>SUM(K$65, X$65, AK$65)</f>
        <v>0</v>
      </c>
      <c r="FG65" s="45">
        <f>SUM(L$65, Y$65, AL$65)</f>
        <v>0</v>
      </c>
      <c r="FH65" s="47">
        <f>SUM(AT$65,BG$65,BT$65)</f>
        <v>0</v>
      </c>
      <c r="FI65" s="47">
        <f>SUM(AU$65,BH$65,BU$65)</f>
        <v>0</v>
      </c>
      <c r="FJ65" s="47">
        <f>SUM(AV$65,BI$65,BV$65)</f>
        <v>0</v>
      </c>
      <c r="FK65" s="47">
        <f>SUM(AX$65,BK$65,BX$65)</f>
        <v>0</v>
      </c>
      <c r="FL65" s="47">
        <f>SUM(AY$65,BL$65,BY$65)</f>
        <v>0</v>
      </c>
      <c r="FM65" s="45">
        <f>SUM(CG$65,CT$65,DG$65)</f>
        <v>0</v>
      </c>
      <c r="FN65" s="45">
        <f>SUM(CH$65,CU$65,DH$65)</f>
        <v>0</v>
      </c>
      <c r="FO65" s="45">
        <f>SUM(CI$65,CV$65,DI$65)</f>
        <v>0</v>
      </c>
      <c r="FP65" s="45">
        <f>SUM(CK$65,CX$65,DK$65)</f>
        <v>0</v>
      </c>
      <c r="FQ65" s="45">
        <f>SUM(CL$65,CY$65,DL$65)</f>
        <v>0</v>
      </c>
      <c r="FR65" s="47">
        <f>SUM(DT$65,EG$65,ET$65)</f>
        <v>0</v>
      </c>
      <c r="FS65" s="47">
        <f>SUM(DU$65,EH$65,EU$65)</f>
        <v>0</v>
      </c>
      <c r="FT65" s="47">
        <f>SUM(DV$65,EI$65,EV$65)</f>
        <v>0</v>
      </c>
      <c r="FU65" s="47">
        <f>SUM(DX$65,EK$65,EX$65)</f>
        <v>0</v>
      </c>
      <c r="FV65" s="47">
        <f>SUM(DY$65,EL$65,EY$65)</f>
        <v>0</v>
      </c>
      <c r="FW65" s="35"/>
      <c r="FX65" s="51"/>
      <c r="FY65" s="51"/>
      <c r="FZ65" s="51"/>
      <c r="GA65" s="51"/>
      <c r="GB65" s="35"/>
      <c r="GC65" s="41">
        <f>SUM(FX65:GA65)</f>
        <v>0</v>
      </c>
      <c r="GD65" s="35"/>
      <c r="GE65" s="35"/>
      <c r="GF65" s="35"/>
      <c r="GG65" s="35"/>
      <c r="GH65" s="35"/>
      <c r="GI65" s="35"/>
      <c r="GJ65" s="35"/>
      <c r="GK65" s="35"/>
      <c r="GL65" s="35"/>
      <c r="GM65" s="35"/>
      <c r="GN65" s="35"/>
      <c r="GO65" s="35"/>
      <c r="GP65" s="35"/>
      <c r="GQ65" s="35"/>
      <c r="GR65" s="35"/>
      <c r="GS65" s="35"/>
      <c r="GT65" s="35"/>
      <c r="GU65" s="35"/>
      <c r="GV65" s="35"/>
      <c r="GW65" s="35"/>
      <c r="GX65" s="35"/>
      <c r="GY65" s="35"/>
      <c r="GZ65" s="35"/>
      <c r="HA65" s="35"/>
      <c r="HB65" s="35"/>
      <c r="HC65" s="35"/>
      <c r="HD65" s="35"/>
      <c r="HE65" s="35"/>
      <c r="HF65" s="35"/>
      <c r="HG65" s="35"/>
      <c r="HH65" s="35"/>
      <c r="HI65" s="35"/>
      <c r="HJ65" s="35"/>
      <c r="HK65" s="35"/>
      <c r="HL65" s="35"/>
      <c r="HM65" s="35"/>
      <c r="HN65" s="35"/>
      <c r="HO65" s="35"/>
      <c r="HP65" s="35"/>
      <c r="HQ65" s="35"/>
      <c r="HR65" s="35"/>
      <c r="HS65" s="35"/>
      <c r="HT65" s="35"/>
      <c r="HU65" s="35"/>
      <c r="HV65" s="35"/>
      <c r="HW65" s="35"/>
      <c r="HX65" s="35"/>
      <c r="HY65" s="35"/>
      <c r="HZ65" s="35"/>
      <c r="IA65" s="35"/>
    </row>
    <row r="66" spans="1:235">
      <c r="A66" s="28" t="s">
        <v>1356</v>
      </c>
      <c r="B66" s="28"/>
      <c r="C66" s="29"/>
      <c r="D66" s="29"/>
      <c r="E66" s="32" t="s">
        <v>277</v>
      </c>
      <c r="F66" s="32" t="s">
        <v>277</v>
      </c>
      <c r="G66" s="31">
        <f>SUMIF(G$4:G$38,"In Progress",M$4:M$38)</f>
        <v>0</v>
      </c>
      <c r="H66" s="31">
        <f>SUMIF(H$4:H$38,"In Progress",M$4:M$38)</f>
        <v>0</v>
      </c>
      <c r="I66" s="31">
        <f>SUMIF(I$4:I$38,"In Progress",M$4:M$38)</f>
        <v>0</v>
      </c>
      <c r="J66" s="31"/>
      <c r="K66" s="31">
        <f>SUMIF(K$4:K$38,"In Progress",M$4:M$38)</f>
        <v>0</v>
      </c>
      <c r="L66" s="31">
        <f>SUMIF(L$4:L$38,"In Progress",M$4:M$38)</f>
        <v>0</v>
      </c>
      <c r="M66" s="29"/>
      <c r="N66" s="29"/>
      <c r="O66" s="29"/>
      <c r="P66" s="29"/>
      <c r="Q66" s="30"/>
      <c r="R66" s="32" t="s">
        <v>277</v>
      </c>
      <c r="S66" s="32" t="s">
        <v>277</v>
      </c>
      <c r="T66" s="31">
        <f>SUMIF(T$4:T$38,"In Progress",Z$4:Z$38)</f>
        <v>47</v>
      </c>
      <c r="U66" s="31">
        <f>SUMIF(U$4:U$38,"In Progress",Z$4:Z$38)</f>
        <v>0</v>
      </c>
      <c r="V66" s="31">
        <f>SUMIF(V$4:V$38,"In Progress",Z$4:Z$38)</f>
        <v>0</v>
      </c>
      <c r="W66" s="31"/>
      <c r="X66" s="31">
        <f>SUMIF(X$4:X$38,"In Progress",Z$4:Z$38)</f>
        <v>0</v>
      </c>
      <c r="Y66" s="31">
        <f>SUMIF(Y$4:Y$38,"In Progress",Z$4:Z$38)</f>
        <v>0</v>
      </c>
      <c r="Z66" s="29"/>
      <c r="AA66" s="29"/>
      <c r="AB66" s="29"/>
      <c r="AC66" s="29"/>
      <c r="AD66" s="29"/>
      <c r="AE66" s="32" t="s">
        <v>277</v>
      </c>
      <c r="AF66" s="32" t="s">
        <v>277</v>
      </c>
      <c r="AG66" s="31">
        <f>SUMIF(AG$4:AG$38,"In Progress",AM$4:AM$38)</f>
        <v>0</v>
      </c>
      <c r="AH66" s="31">
        <f>SUMIF(AH$4:AH$38,"In Progress",AM$4:AM$38)</f>
        <v>0</v>
      </c>
      <c r="AI66" s="31">
        <f>SUMIF(AI$4:AI$38,"In Progress",AM$4:AM$38)</f>
        <v>0</v>
      </c>
      <c r="AJ66" s="31"/>
      <c r="AK66" s="31">
        <f>SUMIF(AK$4:AK$38,"In Progress",AM$4:AM$38)</f>
        <v>0</v>
      </c>
      <c r="AL66" s="31">
        <f>SUMIF(AL$4:AL$38,"In Progress",AM$4:AM$38)</f>
        <v>0</v>
      </c>
      <c r="AM66" s="29"/>
      <c r="AN66" s="29"/>
      <c r="AO66" s="29"/>
      <c r="AP66" s="29"/>
      <c r="AQ66" s="29"/>
      <c r="AR66" s="32" t="s">
        <v>277</v>
      </c>
      <c r="AS66" s="32" t="s">
        <v>277</v>
      </c>
      <c r="AT66" s="31">
        <f>SUMIF(AT$4:AT$38,"In Progress",AZ$4:AZ$38)</f>
        <v>24</v>
      </c>
      <c r="AU66" s="31">
        <f>SUMIF(AU$4:AU$38,"In Progress",AZ$4:AZ$38)</f>
        <v>0</v>
      </c>
      <c r="AV66" s="31">
        <f>SUMIF(AV$4:AV$38,"In Progress",AZ$4:AZ$38)</f>
        <v>0</v>
      </c>
      <c r="AW66" s="31"/>
      <c r="AX66" s="31">
        <f>SUMIF(AX$4:AX$38,"In Progress",AZ$4:AZ$38)</f>
        <v>0</v>
      </c>
      <c r="AY66" s="31">
        <f>SUMIF(AY$4:AY$38,"In Progress",AZ$4:AZ$38)</f>
        <v>0</v>
      </c>
      <c r="AZ66" s="29"/>
      <c r="BA66" s="29"/>
      <c r="BB66" s="29"/>
      <c r="BC66" s="29"/>
      <c r="BD66" s="30"/>
      <c r="BE66" s="32" t="s">
        <v>277</v>
      </c>
      <c r="BF66" s="32" t="s">
        <v>277</v>
      </c>
      <c r="BG66" s="31">
        <f>SUMIF(BG$4:BG$38,"In Progress",BM$4:BM$38)</f>
        <v>0</v>
      </c>
      <c r="BH66" s="31">
        <f>SUMIF(BH$4:BH$38,"In Progress",BM$4:BM$38)</f>
        <v>0</v>
      </c>
      <c r="BI66" s="31">
        <f>SUMIF(BI$4:BI$38,"In Progress",BM$4:BM$38)</f>
        <v>0</v>
      </c>
      <c r="BJ66" s="31"/>
      <c r="BK66" s="31">
        <f>SUMIF(BK$4:BK$38,"In Progress",BM$4:BM$38)</f>
        <v>0</v>
      </c>
      <c r="BL66" s="31">
        <f>SUMIF(BL$4:BL$38,"In Progress",BM$4:BM$38)</f>
        <v>0</v>
      </c>
      <c r="BM66" s="29"/>
      <c r="BN66" s="29"/>
      <c r="BO66" s="29"/>
      <c r="BP66" s="29"/>
      <c r="BQ66" s="29"/>
      <c r="BR66" s="32" t="s">
        <v>277</v>
      </c>
      <c r="BS66" s="32" t="s">
        <v>277</v>
      </c>
      <c r="BT66" s="31">
        <f>SUMIF(BT$4:BT$38,"In Progress",BZ$4:BZ$38)</f>
        <v>0</v>
      </c>
      <c r="BU66" s="31">
        <f>SUMIF(BU$4:BU$38,"In Progress",BZ$4:BZ$38)</f>
        <v>0</v>
      </c>
      <c r="BV66" s="31">
        <f>SUMIF(BV$4:BV$38,"In Progress",BZ$4:BZ$38)</f>
        <v>0</v>
      </c>
      <c r="BW66" s="31"/>
      <c r="BX66" s="31">
        <f>SUMIF(BX$4:BX$38,"In Progress",BZ$4:BZ$38)</f>
        <v>0</v>
      </c>
      <c r="BY66" s="31">
        <f>SUMIF(BY$4:BY$38,"In Progress",BZ$4:BZ$38)</f>
        <v>0</v>
      </c>
      <c r="BZ66" s="29"/>
      <c r="CA66" s="29"/>
      <c r="CB66" s="29"/>
      <c r="CC66" s="29"/>
      <c r="CD66" s="29"/>
      <c r="CE66" s="32" t="s">
        <v>277</v>
      </c>
      <c r="CF66" s="32" t="s">
        <v>277</v>
      </c>
      <c r="CG66" s="31">
        <f>SUMIF(CG$4:CG$38,"In Progress",CM$4:CM$38)</f>
        <v>0</v>
      </c>
      <c r="CH66" s="31">
        <f>SUMIF(CH$4:CH$38,"In Progress",CM$4:CM$38)</f>
        <v>0</v>
      </c>
      <c r="CI66" s="31">
        <f>SUMIF(CI$4:CI$38,"In Progress",CM$4:CM$38)</f>
        <v>0</v>
      </c>
      <c r="CJ66" s="31"/>
      <c r="CK66" s="31">
        <f>SUMIF(CK$4:CK$38,"In Progress",CM$4:CM$38)</f>
        <v>0</v>
      </c>
      <c r="CL66" s="31">
        <f>SUMIF(CL$4:CL$38,"In Progress",CM$4:CM$38)</f>
        <v>0</v>
      </c>
      <c r="CM66" s="29"/>
      <c r="CN66" s="29"/>
      <c r="CO66" s="29"/>
      <c r="CP66" s="29"/>
      <c r="CQ66" s="30"/>
      <c r="CR66" s="32" t="s">
        <v>277</v>
      </c>
      <c r="CS66" s="32" t="s">
        <v>277</v>
      </c>
      <c r="CT66" s="31">
        <f>SUMIF(CT$4:CT$37,"In Progress",CZ$4:CZ$37)</f>
        <v>10</v>
      </c>
      <c r="CU66" s="31">
        <f>SUMIF(CU$4:CU$37,"In Progress",CZ$4:CZ$37)</f>
        <v>0</v>
      </c>
      <c r="CV66" s="31">
        <f>SUMIF(CV$4:CV$37,"In Progress",CZ$4:CZ$37)</f>
        <v>0</v>
      </c>
      <c r="CW66" s="31"/>
      <c r="CX66" s="31">
        <f>SUMIF(CX$4:CX$37,"In Progress",CZ$4:CZ$37)</f>
        <v>0</v>
      </c>
      <c r="CY66" s="31">
        <f>SUMIF(CY$4:CY$37,"In Progress",CZ$4:CZ$37)</f>
        <v>0</v>
      </c>
      <c r="CZ66" s="29"/>
      <c r="DA66" s="29"/>
      <c r="DB66" s="29"/>
      <c r="DC66" s="29"/>
      <c r="DD66" s="29"/>
      <c r="DE66" s="32" t="s">
        <v>277</v>
      </c>
      <c r="DF66" s="32" t="s">
        <v>277</v>
      </c>
      <c r="DG66" s="31">
        <f>SUMIF(DG$4:DG$38,"In Progress",DM$4:DM$38)</f>
        <v>27</v>
      </c>
      <c r="DH66" s="31">
        <f>SUMIF(DH$4:DH$38,"In Progress",DM$4:DM$38)</f>
        <v>0</v>
      </c>
      <c r="DI66" s="31">
        <f>SUMIF(DI$4:DI$38,"In Progress",DM$4:DM$38)</f>
        <v>0</v>
      </c>
      <c r="DJ66" s="31"/>
      <c r="DK66" s="31">
        <f>SUMIF(DK$4:DK$38,"In Progress",DM$4:DM$38)</f>
        <v>0</v>
      </c>
      <c r="DL66" s="31">
        <f>SUMIF(DL$4:DL$38,"In Progress",DM$4:DM$38)</f>
        <v>0</v>
      </c>
      <c r="DM66" s="29"/>
      <c r="DN66" s="29"/>
      <c r="DO66" s="29"/>
      <c r="DP66" s="29"/>
      <c r="DQ66" s="29"/>
      <c r="DR66" s="32" t="s">
        <v>277</v>
      </c>
      <c r="DS66" s="32" t="s">
        <v>277</v>
      </c>
      <c r="DT66" s="31">
        <f>SUMIF(DT$4:DT$38,"In Progress",DZ$4:DZ$38)</f>
        <v>54</v>
      </c>
      <c r="DU66" s="31">
        <f>SUMIF(DU$4:DU$38,"In Progress",DZ$4:DZ$38)</f>
        <v>0</v>
      </c>
      <c r="DV66" s="31">
        <f>SUMIF(DV$4:DV$38,"In Progress",DZ$4:DZ$38)</f>
        <v>0</v>
      </c>
      <c r="DW66" s="31"/>
      <c r="DX66" s="31">
        <f>SUMIF(DX$4:DX$38,"In Progress",DZ$4:DZ$38)</f>
        <v>0</v>
      </c>
      <c r="DY66" s="31">
        <f>SUMIF(DY$4:DY$38,"In Progress",DZ$4:DZ$38)</f>
        <v>0</v>
      </c>
      <c r="DZ66" s="29"/>
      <c r="EA66" s="29"/>
      <c r="EB66" s="29"/>
      <c r="EC66" s="29"/>
      <c r="ED66" s="30"/>
      <c r="EE66" s="32" t="s">
        <v>277</v>
      </c>
      <c r="EF66" s="32" t="s">
        <v>277</v>
      </c>
      <c r="EG66" s="31">
        <f>SUMIF(EG$4:EG$38,"In Progress",EM$4:EM$38)</f>
        <v>20</v>
      </c>
      <c r="EH66" s="31">
        <f>SUMIF(EH$4:EH$38,"In Progress",EM$4:EM$38)</f>
        <v>0</v>
      </c>
      <c r="EI66" s="31">
        <f>SUMIF(EI$4:EI$38,"In Progress",EM$4:EM$38)</f>
        <v>0</v>
      </c>
      <c r="EJ66" s="31"/>
      <c r="EK66" s="31">
        <f>SUMIF(EK$4:EK$38,"In Progress",EM$4:EM$38)</f>
        <v>0</v>
      </c>
      <c r="EL66" s="31">
        <f>SUMIF(EL$4:EL$38,"In Progress",EM$4:EM$38)</f>
        <v>0</v>
      </c>
      <c r="EM66" s="29"/>
      <c r="EN66" s="29"/>
      <c r="EO66" s="29"/>
      <c r="EP66" s="29"/>
      <c r="EQ66" s="29"/>
      <c r="ER66" s="32" t="s">
        <v>277</v>
      </c>
      <c r="ES66" s="32" t="s">
        <v>277</v>
      </c>
      <c r="ET66" s="31">
        <f>SUMIF(ET$4:ET$38,"In Progress",EZ$4:EZ$38)</f>
        <v>0</v>
      </c>
      <c r="EU66" s="31">
        <f>SUMIF(EU$4:EU$38,"In Progress",EZ$4:EZ$38)</f>
        <v>0</v>
      </c>
      <c r="EV66" s="31">
        <f>SUMIF(EV$4:EV$38,"In Progress",EZ$4:EZ$38)</f>
        <v>0</v>
      </c>
      <c r="EW66" s="31"/>
      <c r="EX66" s="31">
        <f>SUMIF(EX$4:EX$38,"In Progress",EZ$4:EZ$38)</f>
        <v>0</v>
      </c>
      <c r="EY66" s="31">
        <f>SUMIF(EY$4:EY$38,"In Progress",EZ$4:EZ$38)</f>
        <v>0</v>
      </c>
      <c r="EZ66" s="29"/>
      <c r="FA66" s="29"/>
      <c r="FB66" s="36">
        <f>8+13</f>
        <v>21</v>
      </c>
      <c r="FC66" s="45">
        <f>SUM(G$66, T$66, AG$66)</f>
        <v>47</v>
      </c>
      <c r="FD66" s="45">
        <f>SUM(H$66, U$66, AH$66)</f>
        <v>0</v>
      </c>
      <c r="FE66" s="45">
        <f>SUM(I$66, V$66, AI$66)</f>
        <v>0</v>
      </c>
      <c r="FF66" s="45">
        <f>SUM(K$66, X$66, AK$66)</f>
        <v>0</v>
      </c>
      <c r="FG66" s="45">
        <f>SUM(L$66, Y$66, AL$66)</f>
        <v>0</v>
      </c>
      <c r="FH66" s="47">
        <f>SUM(AT$66,BG$66,BT$66)</f>
        <v>24</v>
      </c>
      <c r="FI66" s="47">
        <f>SUM(AU$66,BH$66,BU$66)</f>
        <v>0</v>
      </c>
      <c r="FJ66" s="47">
        <f>SUM(AV$66,BI$66,BV$66)</f>
        <v>0</v>
      </c>
      <c r="FK66" s="47">
        <f>SUM(AX$66,BK$66,BX$66)</f>
        <v>0</v>
      </c>
      <c r="FL66" s="47">
        <f>SUM(AY$66,BL$66,BY$66)</f>
        <v>0</v>
      </c>
      <c r="FM66" s="45">
        <f>SUM(CG$66,CT$66,DG$66)</f>
        <v>37</v>
      </c>
      <c r="FN66" s="45">
        <f>SUM(CH$66,CU$66,DH$66)</f>
        <v>0</v>
      </c>
      <c r="FO66" s="45">
        <f>SUM(CI$66,CV$66,DI$66)</f>
        <v>0</v>
      </c>
      <c r="FP66" s="45">
        <f>SUM(CK$66,CX$66,DK$66)</f>
        <v>0</v>
      </c>
      <c r="FQ66" s="45">
        <f>SUM(CL$66,CY$66,DL$66)</f>
        <v>0</v>
      </c>
      <c r="FR66" s="47">
        <f>SUM(DT$66,EG$66,ET$66)</f>
        <v>74</v>
      </c>
      <c r="FS66" s="47">
        <f>SUM(DU$66,EH$66,EU$66)</f>
        <v>0</v>
      </c>
      <c r="FT66" s="47">
        <f>SUM(DV$66,EI$66,EV$66)</f>
        <v>0</v>
      </c>
      <c r="FU66" s="47">
        <f>SUM(DX$66,EK$66,EX$66)</f>
        <v>0</v>
      </c>
      <c r="FV66" s="47">
        <f>SUM(DY$66,EL$66,EY$66)</f>
        <v>0</v>
      </c>
      <c r="FW66" s="36"/>
      <c r="FX66" s="51"/>
      <c r="FY66" s="51"/>
      <c r="FZ66" s="51"/>
      <c r="GA66" s="51"/>
      <c r="GB66" s="35"/>
      <c r="GC66" s="41">
        <f>SUM(FX66:GA66)</f>
        <v>0</v>
      </c>
      <c r="GD66" s="36"/>
      <c r="GE66" s="36"/>
      <c r="GF66" s="36"/>
      <c r="GG66" s="36"/>
      <c r="GH66" s="36"/>
      <c r="GI66" s="36"/>
      <c r="GJ66" s="36"/>
      <c r="GK66" s="36"/>
      <c r="GL66" s="36"/>
      <c r="GM66" s="36"/>
      <c r="GN66" s="36"/>
      <c r="GO66" s="36"/>
      <c r="GP66" s="36"/>
      <c r="GQ66" s="36"/>
      <c r="GR66" s="36"/>
      <c r="GS66" s="36"/>
      <c r="GT66" s="36"/>
      <c r="GU66" s="36"/>
      <c r="GV66" s="36"/>
      <c r="GW66" s="36"/>
      <c r="GX66" s="36"/>
      <c r="GY66" s="36"/>
      <c r="GZ66" s="36"/>
      <c r="HA66" s="36"/>
      <c r="HB66" s="36"/>
      <c r="HC66" s="36"/>
      <c r="HD66" s="36"/>
      <c r="HE66" s="36"/>
      <c r="HF66" s="36"/>
      <c r="HG66" s="36"/>
      <c r="HH66" s="36"/>
      <c r="HI66" s="36"/>
      <c r="HJ66" s="36"/>
      <c r="HK66" s="36"/>
      <c r="HL66" s="36"/>
      <c r="HM66" s="36"/>
      <c r="HN66" s="36"/>
      <c r="HO66" s="36"/>
      <c r="HP66" s="36"/>
      <c r="HQ66" s="36"/>
      <c r="HR66" s="36"/>
      <c r="HS66" s="36"/>
      <c r="HT66" s="36"/>
      <c r="HU66" s="36"/>
      <c r="HV66" s="36"/>
      <c r="HW66" s="36"/>
      <c r="HX66" s="36"/>
      <c r="HY66" s="36"/>
      <c r="HZ66" s="36"/>
      <c r="IA66" s="36"/>
    </row>
    <row r="67" spans="1:235">
      <c r="A67" s="28" t="s">
        <v>1357</v>
      </c>
      <c r="B67" s="28"/>
      <c r="C67" s="29"/>
      <c r="D67" s="29"/>
      <c r="E67" s="32" t="s">
        <v>277</v>
      </c>
      <c r="F67" s="32" t="s">
        <v>277</v>
      </c>
      <c r="G67" s="31">
        <f>SUMIF(G$4:G$38,"Planned",M$4:M$38)</f>
        <v>0</v>
      </c>
      <c r="H67" s="31">
        <f>SUMIF(H$4:H$38,"Planned",M$4:M$38)</f>
        <v>0</v>
      </c>
      <c r="I67" s="31">
        <f>SUMIF(I$4:I$38,"Planned",M$4:M$38)</f>
        <v>0</v>
      </c>
      <c r="J67" s="31"/>
      <c r="K67" s="31">
        <f>SUMIF(K$4:K$38,"Planned",M$4:M$38)</f>
        <v>0</v>
      </c>
      <c r="L67" s="31">
        <f>SUMIF(L$4:L$38,"Planned",M$4:M$38)</f>
        <v>0</v>
      </c>
      <c r="M67" s="29"/>
      <c r="N67" s="29"/>
      <c r="O67" s="29"/>
      <c r="P67" s="29"/>
      <c r="Q67" s="30"/>
      <c r="R67" s="32" t="s">
        <v>277</v>
      </c>
      <c r="S67" s="32" t="s">
        <v>277</v>
      </c>
      <c r="T67" s="31">
        <f>SUMIF(T$4:T$38,"Planned",Z$4:Z$38)</f>
        <v>0</v>
      </c>
      <c r="U67" s="31">
        <f>SUMIF(U$4:U$38,"Planned",Z$4:Z$38)</f>
        <v>0</v>
      </c>
      <c r="V67" s="31">
        <f>SUMIF(V$4:V$38,"Planned",Z$4:Z$38)</f>
        <v>0</v>
      </c>
      <c r="W67" s="31"/>
      <c r="X67" s="31">
        <f>SUMIF(X$4:X$38,"Planned",Z$4:Z$38)</f>
        <v>0</v>
      </c>
      <c r="Y67" s="31">
        <f>SUMIF(Y$4:Y$38,"Planned",Z$4:Z$38)</f>
        <v>0</v>
      </c>
      <c r="Z67" s="29"/>
      <c r="AA67" s="29"/>
      <c r="AB67" s="29"/>
      <c r="AC67" s="29"/>
      <c r="AD67" s="29"/>
      <c r="AE67" s="32" t="s">
        <v>277</v>
      </c>
      <c r="AF67" s="32" t="s">
        <v>277</v>
      </c>
      <c r="AG67" s="31">
        <f>SUMIF(AG$4:AG$38,"Planned",AM$4:AM$38)</f>
        <v>0</v>
      </c>
      <c r="AH67" s="31">
        <f>SUMIF(AH$4:AH$38,"Planned",AM$4:AM$38)</f>
        <v>0</v>
      </c>
      <c r="AI67" s="31">
        <f>SUMIF(AI$4:AI$38,"Planned",AM$4:AM$38)</f>
        <v>0</v>
      </c>
      <c r="AJ67" s="31"/>
      <c r="AK67" s="31">
        <f>SUMIF(AK$4:AK$38,"Planned",AM$4:AM$38)</f>
        <v>0</v>
      </c>
      <c r="AL67" s="31">
        <f>SUMIF(AL$4:AL$38,"Planned",AM$4:AM$38)</f>
        <v>0</v>
      </c>
      <c r="AM67" s="29"/>
      <c r="AN67" s="29"/>
      <c r="AO67" s="29"/>
      <c r="AP67" s="29"/>
      <c r="AQ67" s="29"/>
      <c r="AR67" s="32" t="s">
        <v>277</v>
      </c>
      <c r="AS67" s="32" t="s">
        <v>277</v>
      </c>
      <c r="AT67" s="31">
        <f>SUMIF(AT$4:AT$38,"Planned",AZ$4:AZ$38)</f>
        <v>0</v>
      </c>
      <c r="AU67" s="31">
        <f>SUMIF(AU$4:AU$38,"Planned",AZ$4:AZ$38)</f>
        <v>0</v>
      </c>
      <c r="AV67" s="31">
        <f>SUMIF(AV$4:AV$38,"Planned",AZ$4:AZ$38)</f>
        <v>0</v>
      </c>
      <c r="AW67" s="31"/>
      <c r="AX67" s="31">
        <f>SUMIF(AX$4:AX$38,"Planned",AZ$4:AZ$38)</f>
        <v>0</v>
      </c>
      <c r="AY67" s="31">
        <f>SUMIF(AY$4:AY$38,"Planned",AZ$4:AZ$38)</f>
        <v>0</v>
      </c>
      <c r="AZ67" s="29"/>
      <c r="BA67" s="29"/>
      <c r="BB67" s="29"/>
      <c r="BC67" s="29"/>
      <c r="BD67" s="30"/>
      <c r="BE67" s="32" t="s">
        <v>277</v>
      </c>
      <c r="BF67" s="32" t="s">
        <v>277</v>
      </c>
      <c r="BG67" s="31">
        <f>SUMIF(BG$4:BG$38,"Planned",BM$4:BM$38)</f>
        <v>0</v>
      </c>
      <c r="BH67" s="31">
        <f>SUMIF(BH$4:BH$38,"Planned",BM$4:BM$38)</f>
        <v>0</v>
      </c>
      <c r="BI67" s="31">
        <f>SUMIF(BI$4:BI$38,"Planned",BM$4:BM$38)</f>
        <v>0</v>
      </c>
      <c r="BJ67" s="31"/>
      <c r="BK67" s="31">
        <f>SUMIF(BK$4:BK$38,"Planned",BM$4:BM$38)</f>
        <v>0</v>
      </c>
      <c r="BL67" s="31">
        <f>SUMIF(BL$4:BL$38,"Planned",BM$4:BM$38)</f>
        <v>0</v>
      </c>
      <c r="BM67" s="29"/>
      <c r="BN67" s="29"/>
      <c r="BO67" s="29"/>
      <c r="BP67" s="29"/>
      <c r="BQ67" s="29"/>
      <c r="BR67" s="32" t="s">
        <v>277</v>
      </c>
      <c r="BS67" s="32" t="s">
        <v>277</v>
      </c>
      <c r="BT67" s="31">
        <f>SUMIF(BT$4:BT$38,"Planned",BZ$4:BZ$38)</f>
        <v>0</v>
      </c>
      <c r="BU67" s="31">
        <f>SUMIF(BU$4:BU$38,"Planned",BZ$4:BZ$38)</f>
        <v>0</v>
      </c>
      <c r="BV67" s="31">
        <f>SUMIF(BV$4:BV$38,"Planned",BZ$4:BZ$38)</f>
        <v>0</v>
      </c>
      <c r="BW67" s="31"/>
      <c r="BX67" s="31">
        <f>SUMIF(BX$4:BX$38,"Planned",BZ$4:BZ$38)</f>
        <v>0</v>
      </c>
      <c r="BY67" s="31">
        <f>SUMIF(BY$4:BY$38,"Planned",BZ$4:BZ$38)</f>
        <v>0</v>
      </c>
      <c r="BZ67" s="29"/>
      <c r="CA67" s="29"/>
      <c r="CB67" s="29"/>
      <c r="CC67" s="29"/>
      <c r="CD67" s="29"/>
      <c r="CE67" s="32" t="s">
        <v>277</v>
      </c>
      <c r="CF67" s="32" t="s">
        <v>277</v>
      </c>
      <c r="CG67" s="31">
        <f>SUMIF(CG$4:CG$38,"Planned",CM$4:CM$38)</f>
        <v>0</v>
      </c>
      <c r="CH67" s="31">
        <f>SUMIF(CH$4:CH$38,"Planned",CM$4:CM$38)</f>
        <v>0</v>
      </c>
      <c r="CI67" s="31">
        <f>SUMIF(CI$4:CI$38,"Planned",CM$4:CM$38)</f>
        <v>0</v>
      </c>
      <c r="CJ67" s="31"/>
      <c r="CK67" s="31">
        <f>SUMIF(CK$4:CK$38,"Planned",CM$4:CM$38)</f>
        <v>0</v>
      </c>
      <c r="CL67" s="31">
        <f>SUMIF(CL$4:CL$38,"Planned",CM$4:CM$38)</f>
        <v>0</v>
      </c>
      <c r="CM67" s="29"/>
      <c r="CN67" s="29"/>
      <c r="CO67" s="29"/>
      <c r="CP67" s="29"/>
      <c r="CQ67" s="30"/>
      <c r="CR67" s="32" t="s">
        <v>277</v>
      </c>
      <c r="CS67" s="32" t="s">
        <v>277</v>
      </c>
      <c r="CT67" s="31">
        <f>SUMIF(CT$4:CT$37,"Planned",CZ$4:CZ$37)</f>
        <v>0</v>
      </c>
      <c r="CU67" s="31">
        <f>SUMIF(CU$4:CU$37,"Planned",CZ$4:CZ$37)</f>
        <v>0</v>
      </c>
      <c r="CV67" s="31">
        <f>SUMIF(CV$4:CV$37,"Planned",CZ$4:CZ$37)</f>
        <v>0</v>
      </c>
      <c r="CW67" s="31"/>
      <c r="CX67" s="31">
        <f>SUMIF(CX$4:CX$37,"Planned",CZ$4:CZ$37)</f>
        <v>0</v>
      </c>
      <c r="CY67" s="31">
        <f>SUMIF(CY$4:CY$37,"Planned",CZ$4:CZ$37)</f>
        <v>0</v>
      </c>
      <c r="CZ67" s="29"/>
      <c r="DA67" s="29"/>
      <c r="DB67" s="29"/>
      <c r="DC67" s="29"/>
      <c r="DD67" s="29"/>
      <c r="DE67" s="32" t="s">
        <v>277</v>
      </c>
      <c r="DF67" s="32" t="s">
        <v>277</v>
      </c>
      <c r="DG67" s="31">
        <f>SUMIF(DG$4:DG$38,"Planned",DM$4:DM$38)</f>
        <v>0</v>
      </c>
      <c r="DH67" s="31">
        <f>SUMIF(DH$4:DH$38,"Planned",DM$4:DM$38)</f>
        <v>0</v>
      </c>
      <c r="DI67" s="31">
        <f>SUMIF(DI$4:DI$38,"Planned",DM$4:DM$38)</f>
        <v>0</v>
      </c>
      <c r="DJ67" s="31"/>
      <c r="DK67" s="31">
        <f>SUMIF(DK$4:DK$38,"Planned",DM$4:DM$38)</f>
        <v>0</v>
      </c>
      <c r="DL67" s="31">
        <f>SUMIF(DL$4:DL$38,"Planned",DM$4:DM$38)</f>
        <v>0</v>
      </c>
      <c r="DM67" s="29"/>
      <c r="DN67" s="29"/>
      <c r="DO67" s="29"/>
      <c r="DP67" s="29"/>
      <c r="DQ67" s="29"/>
      <c r="DR67" s="32" t="s">
        <v>277</v>
      </c>
      <c r="DS67" s="32" t="s">
        <v>277</v>
      </c>
      <c r="DT67" s="31">
        <f>SUMIF(DT$4:DT$38,"Planned",DZ$4:DZ$38)</f>
        <v>0</v>
      </c>
      <c r="DU67" s="31">
        <f>SUMIF(DU$4:DU$38,"Planned",DZ$4:DZ$38)</f>
        <v>0</v>
      </c>
      <c r="DV67" s="31">
        <f>SUMIF(DV$4:DV$38,"Planned",DZ$4:DZ$38)</f>
        <v>0</v>
      </c>
      <c r="DW67" s="31"/>
      <c r="DX67" s="31">
        <f>SUMIF(DX$4:DX$38,"Planned",DZ$4:DZ$38)</f>
        <v>0</v>
      </c>
      <c r="DY67" s="31">
        <f>SUMIF(DY$4:DY$38,"Planned",DZ$4:DZ$38)</f>
        <v>0</v>
      </c>
      <c r="DZ67" s="29"/>
      <c r="EA67" s="29"/>
      <c r="EB67" s="29"/>
      <c r="EC67" s="29"/>
      <c r="ED67" s="30"/>
      <c r="EE67" s="32" t="s">
        <v>277</v>
      </c>
      <c r="EF67" s="32" t="s">
        <v>277</v>
      </c>
      <c r="EG67" s="31">
        <f>SUMIF(EG$4:EG$38,"Planned",EM$4:EM$38)</f>
        <v>0</v>
      </c>
      <c r="EH67" s="31">
        <f>SUMIF(EH$4:EH$38,"Planned",EM$4:EM$38)</f>
        <v>0</v>
      </c>
      <c r="EI67" s="31">
        <f>SUMIF(EI$4:EI$38,"Planned",EM$4:EM$38)</f>
        <v>0</v>
      </c>
      <c r="EJ67" s="31"/>
      <c r="EK67" s="31">
        <f>SUMIF(EK$4:EK$38,"Planned",EM$4:EM$38)</f>
        <v>0</v>
      </c>
      <c r="EL67" s="31">
        <f>SUMIF(EL$4:EL$38,"Planned",EM$4:EM$38)</f>
        <v>0</v>
      </c>
      <c r="EM67" s="29"/>
      <c r="EN67" s="29"/>
      <c r="EO67" s="29"/>
      <c r="EP67" s="29"/>
      <c r="EQ67" s="29"/>
      <c r="ER67" s="32" t="s">
        <v>277</v>
      </c>
      <c r="ES67" s="32" t="s">
        <v>277</v>
      </c>
      <c r="ET67" s="31">
        <f>SUMIF(ET$4:ET$38,"Planned",EZ$4:EZ$38)</f>
        <v>0</v>
      </c>
      <c r="EU67" s="31">
        <f>SUMIF(EU$4:EU$38,"Planned",EZ$4:EZ$38)</f>
        <v>0</v>
      </c>
      <c r="EV67" s="31">
        <f>SUMIF(EV$4:EV$38,"Planned",EZ$4:EZ$38)</f>
        <v>0</v>
      </c>
      <c r="EW67" s="31"/>
      <c r="EX67" s="31">
        <f>SUMIF(EX$4:EX$38,"Planned",EZ$4:EZ$38)</f>
        <v>0</v>
      </c>
      <c r="EY67" s="31">
        <f>SUMIF(EY$4:EY$38,"Planned",EZ$4:EZ$38)</f>
        <v>0</v>
      </c>
      <c r="EZ67" s="33"/>
      <c r="FA67" s="33"/>
      <c r="FB67" s="36"/>
      <c r="FC67" s="45">
        <f>SUM(G$67, T67, AG$67)</f>
        <v>0</v>
      </c>
      <c r="FD67" s="45">
        <f>SUM(H$67, U67, AH$67)</f>
        <v>0</v>
      </c>
      <c r="FE67" s="45">
        <f>SUM(I$67, V67, AI$67)</f>
        <v>0</v>
      </c>
      <c r="FF67" s="45">
        <f>SUM(K$67, X67, AK$67)</f>
        <v>0</v>
      </c>
      <c r="FG67" s="45">
        <f>SUM(L$67, Y67, AL$67)</f>
        <v>0</v>
      </c>
      <c r="FH67" s="47">
        <f>SUM(AT$67,BG$67,BT$67)</f>
        <v>0</v>
      </c>
      <c r="FI67" s="47">
        <f>SUM(AU$67,BH$67,BU$67)</f>
        <v>0</v>
      </c>
      <c r="FJ67" s="47">
        <f>SUM(AV$67,BI$67,BV$67)</f>
        <v>0</v>
      </c>
      <c r="FK67" s="47">
        <f>SUM(AX$67,BK$67,BX$67)</f>
        <v>0</v>
      </c>
      <c r="FL67" s="47">
        <f>SUM(AY$67,BL$67,BY$67)</f>
        <v>0</v>
      </c>
      <c r="FM67" s="45">
        <f>SUM(CG$67,CT$67,DG$67)</f>
        <v>0</v>
      </c>
      <c r="FN67" s="45">
        <f>SUM(CH$67,CU$67,DH$67)</f>
        <v>0</v>
      </c>
      <c r="FO67" s="45">
        <f>SUM(CI$67,CV$67,DI$67)</f>
        <v>0</v>
      </c>
      <c r="FP67" s="45">
        <f>SUM(CK$67,CX$67,DK$67)</f>
        <v>0</v>
      </c>
      <c r="FQ67" s="45">
        <f>SUM(CL$67,CY$67,DL$67)</f>
        <v>0</v>
      </c>
      <c r="FR67" s="47">
        <f>SUM(DT$67,EG$67,ET$67)</f>
        <v>0</v>
      </c>
      <c r="FS67" s="47">
        <f>SUM(DU$67,EH$67,EU$67)</f>
        <v>0</v>
      </c>
      <c r="FT67" s="47">
        <f>SUM(DV$67,EI$67,EV$67)</f>
        <v>0</v>
      </c>
      <c r="FU67" s="47">
        <f>SUM(DX$67,EK$67,EX$67)</f>
        <v>0</v>
      </c>
      <c r="FV67" s="47">
        <f>SUM(DY$67,EL$67,EY$67)</f>
        <v>0</v>
      </c>
      <c r="FW67" s="36"/>
      <c r="FX67" s="51"/>
      <c r="FY67" s="51"/>
      <c r="FZ67" s="51"/>
      <c r="GA67" s="51"/>
      <c r="GB67" s="36"/>
      <c r="GC67" s="41">
        <f>SUM(FX67:GA67)</f>
        <v>0</v>
      </c>
      <c r="GD67" s="36"/>
      <c r="GE67" s="36"/>
      <c r="GF67" s="36"/>
      <c r="GG67" s="36"/>
      <c r="GH67" s="36"/>
      <c r="GI67" s="36"/>
      <c r="GJ67" s="36"/>
      <c r="GK67" s="36"/>
      <c r="GL67" s="36"/>
      <c r="GM67" s="36"/>
      <c r="GN67" s="36"/>
      <c r="GO67" s="36"/>
      <c r="GP67" s="36"/>
      <c r="GQ67" s="36"/>
      <c r="GR67" s="36"/>
      <c r="GS67" s="36"/>
      <c r="GT67" s="36"/>
      <c r="GU67" s="36"/>
      <c r="GV67" s="36"/>
      <c r="GW67" s="36"/>
      <c r="GX67" s="36"/>
      <c r="GY67" s="36"/>
      <c r="GZ67" s="36"/>
      <c r="HA67" s="36"/>
      <c r="HB67" s="36"/>
      <c r="HC67" s="36"/>
      <c r="HD67" s="36"/>
      <c r="HE67" s="36"/>
      <c r="HF67" s="36"/>
      <c r="HG67" s="36"/>
      <c r="HH67" s="36"/>
      <c r="HI67" s="36"/>
      <c r="HJ67" s="36"/>
      <c r="HK67" s="36"/>
      <c r="HL67" s="36"/>
      <c r="HM67" s="36"/>
      <c r="HN67" s="36"/>
      <c r="HO67" s="36"/>
      <c r="HP67" s="36"/>
      <c r="HQ67" s="36"/>
      <c r="HR67" s="36"/>
      <c r="HS67" s="36"/>
      <c r="HT67" s="36"/>
      <c r="HU67" s="36"/>
      <c r="HV67" s="36"/>
      <c r="HW67" s="36"/>
      <c r="HX67" s="36"/>
      <c r="HY67" s="36"/>
      <c r="HZ67" s="36"/>
      <c r="IA67" s="36"/>
    </row>
    <row r="68" spans="1:235">
      <c r="A68" s="28" t="s">
        <v>1358</v>
      </c>
      <c r="B68" s="28"/>
      <c r="C68" s="29"/>
      <c r="D68" s="29"/>
      <c r="E68" s="32" t="s">
        <v>277</v>
      </c>
      <c r="F68" s="32" t="s">
        <v>277</v>
      </c>
      <c r="G68" s="31">
        <f>SUMIF(G$4:G$38,"Tentative",M$4:M$38)</f>
        <v>0</v>
      </c>
      <c r="H68" s="31">
        <f>SUMIF(H$4:H$38,"Tentative",M$4:M$38)</f>
        <v>0</v>
      </c>
      <c r="I68" s="31">
        <f>SUMIF(I$4:I$38,"Tentative",M$4:M$38)</f>
        <v>0</v>
      </c>
      <c r="J68" s="31"/>
      <c r="K68" s="31">
        <f>SUMIF(K$4:K$38,"Tentative",M$4:M$38)</f>
        <v>0</v>
      </c>
      <c r="L68" s="31">
        <f>SUMIF(L$4:L$38,"Tentative",M$4:M$38)</f>
        <v>0</v>
      </c>
      <c r="M68" s="29"/>
      <c r="N68" s="29"/>
      <c r="O68" s="29"/>
      <c r="P68" s="29"/>
      <c r="Q68" s="29"/>
      <c r="R68" s="32" t="s">
        <v>277</v>
      </c>
      <c r="S68" s="32" t="s">
        <v>277</v>
      </c>
      <c r="T68" s="31">
        <f>SUMIF(T$4:T$38,"Tentative",Z$4:Z$38)</f>
        <v>0</v>
      </c>
      <c r="U68" s="31">
        <f>SUMIF(U$4:U$38,"Tentative",Z$4:Z$38)</f>
        <v>0</v>
      </c>
      <c r="V68" s="31">
        <f>SUMIF(V$4:V$38,"Tentative",Z$4:Z$38)</f>
        <v>0</v>
      </c>
      <c r="W68" s="31"/>
      <c r="X68" s="31">
        <f>SUMIF(X$4:X$38,"Tentative",Z$4:Z$38)</f>
        <v>0</v>
      </c>
      <c r="Y68" s="31">
        <f>SUMIF(Y$4:Y$38,"Tentative",Z$4:Z$38)</f>
        <v>0</v>
      </c>
      <c r="Z68" s="29"/>
      <c r="AA68" s="29"/>
      <c r="AB68" s="29"/>
      <c r="AC68" s="29"/>
      <c r="AD68" s="29"/>
      <c r="AE68" s="32" t="s">
        <v>277</v>
      </c>
      <c r="AF68" s="32" t="s">
        <v>277</v>
      </c>
      <c r="AG68" s="31">
        <f>SUMIF(AG$4:AG$38,"Tentative",AM$4:AM$38)</f>
        <v>0</v>
      </c>
      <c r="AH68" s="31">
        <f>SUMIF(AH$4:AH$38,"Tentative",AM$4:AM$38)</f>
        <v>0</v>
      </c>
      <c r="AI68" s="31">
        <f>SUMIF(AI$4:AI$38,"Tentative",AM$4:AM$38)</f>
        <v>0</v>
      </c>
      <c r="AJ68" s="31"/>
      <c r="AK68" s="31">
        <f>SUMIF(AK$4:AK$38,"Tentative",AM$4:AM$38)</f>
        <v>0</v>
      </c>
      <c r="AL68" s="31">
        <f>SUMIF(AL$4:AL$38,"Tentative",AM$4:AM$38)</f>
        <v>0</v>
      </c>
      <c r="AM68" s="29"/>
      <c r="AN68" s="29"/>
      <c r="AO68" s="29"/>
      <c r="AP68" s="29"/>
      <c r="AQ68" s="29"/>
      <c r="AR68" s="32" t="s">
        <v>277</v>
      </c>
      <c r="AS68" s="32" t="s">
        <v>277</v>
      </c>
      <c r="AT68" s="31">
        <f>SUMIF(AT$4:AT$38,"Tentative",AZ$4:AZ$38)</f>
        <v>0</v>
      </c>
      <c r="AU68" s="31">
        <f>SUMIF(AU$4:AU$38,"Tentative",AZ$4:AZ$38)</f>
        <v>0</v>
      </c>
      <c r="AV68" s="31">
        <f>SUMIF(AV$4:AV$38,"Tentative",AZ$4:AZ$38)</f>
        <v>0</v>
      </c>
      <c r="AW68" s="31"/>
      <c r="AX68" s="31">
        <f>SUMIF(AX$4:AX$38,"Tentative",AZ$4:AZ$38)</f>
        <v>0</v>
      </c>
      <c r="AY68" s="31">
        <f>SUMIF(AY$4:AY$38,"Tentative",AZ$4:AZ$38)</f>
        <v>0</v>
      </c>
      <c r="AZ68" s="29"/>
      <c r="BA68" s="29"/>
      <c r="BB68" s="29"/>
      <c r="BC68" s="29"/>
      <c r="BD68" s="29"/>
      <c r="BE68" s="32" t="s">
        <v>277</v>
      </c>
      <c r="BF68" s="32" t="s">
        <v>277</v>
      </c>
      <c r="BG68" s="31">
        <f>SUMIF(BG$4:BG$38,"Tentative",BM$4:BM$38)</f>
        <v>0</v>
      </c>
      <c r="BH68" s="31">
        <f>SUMIF(BH$4:BH$38,"Tentative",BM$4:BM$38)</f>
        <v>0</v>
      </c>
      <c r="BI68" s="31">
        <f>SUMIF(BI$4:BI$38,"Tentative",BM$4:BM$38)</f>
        <v>0</v>
      </c>
      <c r="BJ68" s="31"/>
      <c r="BK68" s="31">
        <f>SUMIF(BK$4:BK$38,"Tentative",BM$4:BM$38)</f>
        <v>0</v>
      </c>
      <c r="BL68" s="31">
        <f>SUMIF(BL$4:BL$38,"Tentative",BM$4:BM$38)</f>
        <v>0</v>
      </c>
      <c r="BM68" s="29"/>
      <c r="BN68" s="29"/>
      <c r="BO68" s="29"/>
      <c r="BP68" s="29"/>
      <c r="BQ68" s="29"/>
      <c r="BR68" s="32" t="s">
        <v>277</v>
      </c>
      <c r="BS68" s="32" t="s">
        <v>277</v>
      </c>
      <c r="BT68" s="31">
        <f>SUMIF(BT$4:BT$38,"Tentative",BZ$4:BZ$38)</f>
        <v>0</v>
      </c>
      <c r="BU68" s="31">
        <f>SUMIF(BU$4:BU$38,"Tentative",BZ$4:BZ$38)</f>
        <v>0</v>
      </c>
      <c r="BV68" s="31">
        <f>SUMIF(BV$4:BV$38,"Tentative",BZ$4:BZ$38)</f>
        <v>0</v>
      </c>
      <c r="BW68" s="31"/>
      <c r="BX68" s="31">
        <f>SUMIF(BX$4:BX$38,"Tentative",BZ$4:BZ$38)</f>
        <v>0</v>
      </c>
      <c r="BY68" s="31">
        <f>SUMIF(BY$4:BY$38,"Tentative",BZ$4:BZ$38)</f>
        <v>0</v>
      </c>
      <c r="BZ68" s="29"/>
      <c r="CA68" s="29"/>
      <c r="CB68" s="29"/>
      <c r="CC68" s="29"/>
      <c r="CD68" s="29"/>
      <c r="CE68" s="32" t="s">
        <v>277</v>
      </c>
      <c r="CF68" s="32" t="s">
        <v>277</v>
      </c>
      <c r="CG68" s="31">
        <f>SUMIF(CG$4:CG$38,"Tentative",CM$4:CM$38)</f>
        <v>0</v>
      </c>
      <c r="CH68" s="31">
        <f>SUMIF(CH$4:CH$38,"Tentative",CM$4:CM$38)</f>
        <v>0</v>
      </c>
      <c r="CI68" s="31">
        <f>SUMIF(CI$4:CI$38,"Tentative",CM$4:CM$38)</f>
        <v>0</v>
      </c>
      <c r="CJ68" s="31"/>
      <c r="CK68" s="31">
        <f>SUMIF(CK$4:CK$38,"Tentative",CM$4:CM$38)</f>
        <v>0</v>
      </c>
      <c r="CL68" s="31">
        <f>SUMIF(CL$4:CL$38,"Tentative",CM$4:CM$38)</f>
        <v>0</v>
      </c>
      <c r="CM68" s="29"/>
      <c r="CN68" s="29"/>
      <c r="CO68" s="29"/>
      <c r="CP68" s="29"/>
      <c r="CQ68" s="29"/>
      <c r="CR68" s="32" t="s">
        <v>277</v>
      </c>
      <c r="CS68" s="32" t="s">
        <v>277</v>
      </c>
      <c r="CT68" s="31">
        <f>SUMIF(CT$4:CT$37,"Tentative",CZ$4:CZ$37)</f>
        <v>0</v>
      </c>
      <c r="CU68" s="31">
        <f>SUMIF(CU$4:CU$37,"Tentative",CZ$4:CZ$37)</f>
        <v>0</v>
      </c>
      <c r="CV68" s="31">
        <f>SUMIF(CV$4:CV$37,"Tentative",CZ$4:CZ$37)</f>
        <v>0</v>
      </c>
      <c r="CW68" s="31"/>
      <c r="CX68" s="31">
        <f>SUMIF(CX$4:CX$37,"Tentative",CZ$4:CZ$37)</f>
        <v>0</v>
      </c>
      <c r="CY68" s="31">
        <f>SUMIF(CY$4:CY$37,"Tentative",CZ$4:CZ$37)</f>
        <v>0</v>
      </c>
      <c r="CZ68" s="29"/>
      <c r="DA68" s="29"/>
      <c r="DB68" s="29"/>
      <c r="DC68" s="29"/>
      <c r="DD68" s="29"/>
      <c r="DE68" s="32" t="s">
        <v>277</v>
      </c>
      <c r="DF68" s="32" t="s">
        <v>277</v>
      </c>
      <c r="DG68" s="31">
        <f>SUMIF(DG$4:DG$38,"Tentative",DM$4:DM$38)</f>
        <v>0</v>
      </c>
      <c r="DH68" s="31">
        <f>SUMIF(DH$4:DH$38,"Tentative",DM$4:DM$38)</f>
        <v>0</v>
      </c>
      <c r="DI68" s="31">
        <f>SUMIF(DI$4:DI$38,"Tentative",DM$4:DM$38)</f>
        <v>0</v>
      </c>
      <c r="DJ68" s="31"/>
      <c r="DK68" s="31">
        <f>SUMIF(DK$4:DK$38,"Tentative",DM$4:DM$38)</f>
        <v>0</v>
      </c>
      <c r="DL68" s="31">
        <f>SUMIF(DL$4:DL$38,"Tentative",DM$4:DM$38)</f>
        <v>0</v>
      </c>
      <c r="DM68" s="29"/>
      <c r="DN68" s="29"/>
      <c r="DO68" s="29"/>
      <c r="DP68" s="29"/>
      <c r="DQ68" s="29"/>
      <c r="DR68" s="32" t="s">
        <v>277</v>
      </c>
      <c r="DS68" s="32" t="s">
        <v>277</v>
      </c>
      <c r="DT68" s="31">
        <f>SUMIF(DT$4:DT$38,"Tentative",DZ$4:DZ$38)</f>
        <v>0</v>
      </c>
      <c r="DU68" s="31">
        <f>SUMIF(DU$4:DU$38,"Tentative",DZ$4:DZ$38)</f>
        <v>0</v>
      </c>
      <c r="DV68" s="31">
        <f>SUMIF(DV$4:DV$38,"Tentative",DZ$4:DZ$38)</f>
        <v>0</v>
      </c>
      <c r="DW68" s="31"/>
      <c r="DX68" s="31">
        <f>SUMIF(DX$4:DX$38,"Tentative",DZ$4:DZ$38)</f>
        <v>0</v>
      </c>
      <c r="DY68" s="31">
        <f>SUMIF(DY$4:DY$38,"Tentative",DZ$4:DZ$38)</f>
        <v>0</v>
      </c>
      <c r="DZ68" s="29"/>
      <c r="EA68" s="29"/>
      <c r="EB68" s="29"/>
      <c r="EC68" s="29"/>
      <c r="ED68" s="29"/>
      <c r="EE68" s="32" t="s">
        <v>277</v>
      </c>
      <c r="EF68" s="32" t="s">
        <v>277</v>
      </c>
      <c r="EG68" s="31">
        <f>SUMIF(EG$4:EG$38,"Tentative",EM$4:EM$38)</f>
        <v>0</v>
      </c>
      <c r="EH68" s="31">
        <f>SUMIF(EH$4:EH$38,"Tentative",EM$4:EM$38)</f>
        <v>0</v>
      </c>
      <c r="EI68" s="31">
        <f>SUMIF(EI$4:EI$38,"Tentative",EM$4:EM$38)</f>
        <v>0</v>
      </c>
      <c r="EJ68" s="31"/>
      <c r="EK68" s="31">
        <f>SUMIF(EK$4:EK$38,"Tentative",EM$4:EM$38)</f>
        <v>0</v>
      </c>
      <c r="EL68" s="31">
        <f>SUMIF(EL$4:EL$38,"Tentative",EM$4:EM$38)</f>
        <v>0</v>
      </c>
      <c r="EM68" s="29"/>
      <c r="EN68" s="29"/>
      <c r="EO68" s="29"/>
      <c r="EP68" s="29"/>
      <c r="EQ68" s="29"/>
      <c r="ER68" s="32" t="s">
        <v>277</v>
      </c>
      <c r="ES68" s="32" t="s">
        <v>277</v>
      </c>
      <c r="ET68" s="31">
        <f>SUMIF(ET$4:ET$38,"Tentative",EZ$4:EZ$38)</f>
        <v>0</v>
      </c>
      <c r="EU68" s="31">
        <f>SUMIF(EU$4:EU$38,"Tentative",EZ$4:EZ$38)</f>
        <v>0</v>
      </c>
      <c r="EV68" s="31">
        <f>SUMIF(EV$4:EV$38,"Tentative",EZ$4:EZ$38)</f>
        <v>0</v>
      </c>
      <c r="EW68" s="31"/>
      <c r="EX68" s="31">
        <f>SUMIF(EX$4:EX$38,"Tentative",EZ$4:EZ$38)</f>
        <v>0</v>
      </c>
      <c r="EY68" s="31">
        <f>SUMIF(EY$4:EY$38,"Tentative",EZ$4:EZ$38)</f>
        <v>0</v>
      </c>
      <c r="EZ68" s="33"/>
      <c r="FA68" s="33"/>
      <c r="FB68" s="36"/>
      <c r="FC68" s="45">
        <f>SUM(G$46, T$68, AG$68)</f>
        <v>0</v>
      </c>
      <c r="FD68" s="45">
        <f>SUM(H$46, U$68, AH$68)</f>
        <v>0</v>
      </c>
      <c r="FE68" s="45">
        <f>SUM(I$46, V$68, AI$68)</f>
        <v>0</v>
      </c>
      <c r="FF68" s="45">
        <f>SUM(K$46, X$68, AK$68)</f>
        <v>0</v>
      </c>
      <c r="FG68" s="45">
        <f>SUM(L$46, Y$68, AL$68)</f>
        <v>0</v>
      </c>
      <c r="FH68" s="47">
        <f>SUM(AT$68,BG$68,BT$68)</f>
        <v>0</v>
      </c>
      <c r="FI68" s="47">
        <f>SUM(AU$68,BH$68,BU$68)</f>
        <v>0</v>
      </c>
      <c r="FJ68" s="47">
        <f>SUM(AV$68,BI$68,BV$68)</f>
        <v>0</v>
      </c>
      <c r="FK68" s="47">
        <f>SUM(AX$68,BK$68,BX$68)</f>
        <v>0</v>
      </c>
      <c r="FL68" s="47">
        <f>SUM(AY$68,BL$68,BY$68)</f>
        <v>0</v>
      </c>
      <c r="FM68" s="45">
        <f>SUM(CG$68,CT$68,DG$68)</f>
        <v>0</v>
      </c>
      <c r="FN68" s="45">
        <f>SUM(CH$68,CU$68,DH$68)</f>
        <v>0</v>
      </c>
      <c r="FO68" s="45">
        <f>SUM(CI$68,CV$68,DI$68)</f>
        <v>0</v>
      </c>
      <c r="FP68" s="45">
        <f>SUM(CK$68,CX$68,DK$68)</f>
        <v>0</v>
      </c>
      <c r="FQ68" s="45">
        <f>SUM(CL$68,CY$68,DL$68)</f>
        <v>0</v>
      </c>
      <c r="FR68" s="47">
        <f>SUM(DT$68,EG$68,ET$68)</f>
        <v>0</v>
      </c>
      <c r="FS68" s="47">
        <f>SUM(DU$68,EH$68,EU$68)</f>
        <v>0</v>
      </c>
      <c r="FT68" s="47">
        <f>SUM(DV$68,EI$68,EV$68)</f>
        <v>0</v>
      </c>
      <c r="FU68" s="47">
        <f>SUM(DX$68,EK$68,EX$68)</f>
        <v>0</v>
      </c>
      <c r="FV68" s="47">
        <f>SUM(DY$68,EL$68,EY$68)</f>
        <v>0</v>
      </c>
      <c r="FW68" s="36"/>
      <c r="FX68" s="51"/>
      <c r="FY68" s="51"/>
      <c r="FZ68" s="51"/>
      <c r="GA68" s="51"/>
      <c r="GB68" s="36"/>
      <c r="GC68" s="41">
        <f>SUM(FX68:GA68)</f>
        <v>0</v>
      </c>
      <c r="GD68" s="36"/>
      <c r="GE68" s="36"/>
      <c r="GF68" s="36"/>
      <c r="GG68" s="36"/>
      <c r="GH68" s="36"/>
      <c r="GI68" s="36"/>
      <c r="GJ68" s="36"/>
      <c r="GK68" s="36"/>
      <c r="GL68" s="36"/>
      <c r="GM68" s="36"/>
      <c r="GN68" s="36"/>
      <c r="GO68" s="36"/>
      <c r="GP68" s="36"/>
      <c r="GQ68" s="36"/>
      <c r="GR68" s="36"/>
      <c r="GS68" s="36"/>
      <c r="GT68" s="36"/>
      <c r="GU68" s="36"/>
      <c r="GV68" s="36"/>
      <c r="GW68" s="36"/>
      <c r="GX68" s="36"/>
      <c r="GY68" s="36"/>
      <c r="GZ68" s="36"/>
      <c r="HA68" s="36"/>
      <c r="HB68" s="36"/>
      <c r="HC68" s="36"/>
      <c r="HD68" s="36"/>
      <c r="HE68" s="36"/>
      <c r="HF68" s="36"/>
      <c r="HG68" s="36"/>
      <c r="HH68" s="36"/>
      <c r="HI68" s="36"/>
      <c r="HJ68" s="36"/>
      <c r="HK68" s="36"/>
      <c r="HL68" s="36"/>
      <c r="HM68" s="36"/>
      <c r="HN68" s="36"/>
      <c r="HO68" s="36"/>
      <c r="HP68" s="36"/>
      <c r="HQ68" s="36"/>
      <c r="HR68" s="36"/>
      <c r="HS68" s="36"/>
      <c r="HT68" s="36"/>
      <c r="HU68" s="36"/>
      <c r="HV68" s="36"/>
      <c r="HW68" s="36"/>
      <c r="HX68" s="36"/>
      <c r="HY68" s="36"/>
      <c r="HZ68" s="36"/>
      <c r="IA68" s="36"/>
    </row>
    <row r="69" spans="1:235">
      <c r="A69" s="42" t="s">
        <v>1359</v>
      </c>
      <c r="B69" s="28"/>
      <c r="C69" s="29"/>
      <c r="D69" s="29"/>
      <c r="E69" s="28"/>
      <c r="F69" s="28"/>
      <c r="G69" s="28"/>
      <c r="H69" s="28"/>
      <c r="I69" s="28"/>
      <c r="J69" s="28"/>
      <c r="K69" s="28"/>
      <c r="L69" s="28"/>
      <c r="M69" s="31" t="e">
        <f>SUMIF(C$5:C$38,"CEE",M$5:M$38)</f>
        <v>#REF!</v>
      </c>
      <c r="N69" s="34"/>
      <c r="O69" s="29"/>
      <c r="P69" s="29"/>
      <c r="Q69" s="29"/>
      <c r="R69" s="33"/>
      <c r="S69" s="33"/>
      <c r="T69" s="34"/>
      <c r="U69" s="34"/>
      <c r="V69" s="34"/>
      <c r="W69" s="34"/>
      <c r="X69" s="34"/>
      <c r="Y69" s="34"/>
      <c r="Z69" s="31" t="e">
        <f>SUMIF(P$5:P$38,"CEE",Z$5:Z$38)</f>
        <v>#REF!</v>
      </c>
      <c r="AA69" s="34"/>
      <c r="AB69" s="29"/>
      <c r="AC69" s="29"/>
      <c r="AD69" s="29"/>
      <c r="AE69" s="33"/>
      <c r="AF69" s="33"/>
      <c r="AG69" s="34"/>
      <c r="AH69" s="34"/>
      <c r="AI69" s="34"/>
      <c r="AJ69" s="34"/>
      <c r="AK69" s="34"/>
      <c r="AL69" s="34"/>
      <c r="AM69" s="31" t="e">
        <f>SUMIF(AC$5:AC$38,"CEE",AM$5:AM$38)</f>
        <v>#REF!</v>
      </c>
      <c r="AN69" s="34"/>
      <c r="AO69" s="29"/>
      <c r="AP69" s="29"/>
      <c r="AQ69" s="29"/>
      <c r="AR69" s="29"/>
      <c r="AS69" s="29"/>
      <c r="AT69" s="29"/>
      <c r="AU69" s="29"/>
      <c r="AV69" s="29"/>
      <c r="AW69" s="29"/>
      <c r="AX69" s="29"/>
      <c r="AY69" s="34"/>
      <c r="AZ69" s="31">
        <f>SUMIF(AP$5:AP$38,"CEE",AZ$5:AZ$38)</f>
        <v>0</v>
      </c>
      <c r="BA69" s="34"/>
      <c r="BB69" s="29"/>
      <c r="BC69" s="29"/>
      <c r="BD69" s="29"/>
      <c r="BE69" s="29"/>
      <c r="BF69" s="29"/>
      <c r="BG69" s="29"/>
      <c r="BH69" s="29"/>
      <c r="BI69" s="29"/>
      <c r="BJ69" s="29"/>
      <c r="BK69" s="29"/>
      <c r="BL69" s="34"/>
      <c r="BM69" s="31" t="e">
        <f>SUMIF(BC$5:BC$38,"CEE",BM$5:BM$38)</f>
        <v>#REF!</v>
      </c>
      <c r="BN69" s="34"/>
      <c r="BO69" s="29"/>
      <c r="BP69" s="29"/>
      <c r="BQ69" s="29"/>
      <c r="BR69" s="29"/>
      <c r="BS69" s="29"/>
      <c r="BT69" s="29"/>
      <c r="BU69" s="29"/>
      <c r="BV69" s="29"/>
      <c r="BW69" s="29"/>
      <c r="BX69" s="29"/>
      <c r="BY69" s="29"/>
      <c r="BZ69" s="31">
        <f>SUMIF(BP$5:BP$38,"CEE",BZ$5:BZ$38)</f>
        <v>0</v>
      </c>
      <c r="CA69" s="34"/>
      <c r="CB69" s="29"/>
      <c r="CC69" s="29"/>
      <c r="CD69" s="33"/>
      <c r="CE69" s="29"/>
      <c r="CF69" s="29"/>
      <c r="CG69" s="29"/>
      <c r="CH69" s="29"/>
      <c r="CI69" s="29"/>
      <c r="CJ69" s="29"/>
      <c r="CK69" s="29"/>
      <c r="CL69" s="29"/>
      <c r="CM69" s="31" t="e">
        <f>SUMIF(CC$5:CC$38,"CEE",CM$5:CM$38)</f>
        <v>#REF!</v>
      </c>
      <c r="CN69" s="34"/>
      <c r="CO69" s="33"/>
      <c r="CP69" s="33"/>
      <c r="CQ69" s="33"/>
      <c r="CR69" s="29"/>
      <c r="CS69" s="29"/>
      <c r="CT69" s="29"/>
      <c r="CU69" s="29"/>
      <c r="CV69" s="29"/>
      <c r="CW69" s="29"/>
      <c r="CX69" s="29"/>
      <c r="CY69" s="29"/>
      <c r="CZ69" s="31" t="e">
        <f>SUMIF(CP$7:CP$37,"CEE",CZ$7:CZ$37)</f>
        <v>#REF!</v>
      </c>
      <c r="DA69" s="34"/>
      <c r="DB69" s="33"/>
      <c r="DC69" s="33"/>
      <c r="DD69" s="33"/>
      <c r="DE69" s="29"/>
      <c r="DF69" s="29"/>
      <c r="DG69" s="29"/>
      <c r="DH69" s="29"/>
      <c r="DI69" s="29"/>
      <c r="DJ69" s="29"/>
      <c r="DK69" s="29"/>
      <c r="DL69" s="29"/>
      <c r="DM69" s="31">
        <f>SUMIF(DC$5:DC$38,"CEE",DM$5:DM$38)</f>
        <v>0</v>
      </c>
      <c r="DN69" s="34"/>
      <c r="DO69" s="33"/>
      <c r="DP69" s="33"/>
      <c r="DQ69" s="33"/>
      <c r="DR69" s="29"/>
      <c r="DS69" s="29"/>
      <c r="DT69" s="29"/>
      <c r="DU69" s="29"/>
      <c r="DV69" s="29"/>
      <c r="DW69" s="29"/>
      <c r="DX69" s="29"/>
      <c r="DY69" s="29"/>
      <c r="DZ69" s="31" t="e">
        <f>SUMIF(DP$5:DP$38,"CEE",DZ$5:DZ$38)</f>
        <v>#REF!</v>
      </c>
      <c r="EA69" s="34"/>
      <c r="EB69" s="33"/>
      <c r="EC69" s="33"/>
      <c r="ED69" s="33"/>
      <c r="EE69" s="29"/>
      <c r="EF69" s="29"/>
      <c r="EG69" s="29"/>
      <c r="EH69" s="29"/>
      <c r="EI69" s="29"/>
      <c r="EJ69" s="29"/>
      <c r="EK69" s="29"/>
      <c r="EL69" s="29"/>
      <c r="EM69" s="31" t="e">
        <f>SUMIF(EC$5:EC$38,"CEE",EM$5:EM$38)</f>
        <v>#REF!</v>
      </c>
      <c r="EN69" s="34"/>
      <c r="EO69" s="33"/>
      <c r="EP69" s="33"/>
      <c r="EQ69" s="33"/>
      <c r="ER69" s="29"/>
      <c r="ES69" s="29"/>
      <c r="ET69" s="29"/>
      <c r="EU69" s="29"/>
      <c r="EV69" s="29"/>
      <c r="EW69" s="29"/>
      <c r="EX69" s="29"/>
      <c r="EY69" s="29"/>
      <c r="EZ69" s="31" t="e">
        <f>SUMIF(EP$5:EP$38,"CEE",EZ$5:EZ$38)</f>
        <v>#REF!</v>
      </c>
      <c r="FA69" s="34"/>
      <c r="FB69" s="36"/>
      <c r="FC69" s="52">
        <f>SUM(FC65:FC68)</f>
        <v>47</v>
      </c>
      <c r="FD69" s="52">
        <f t="shared" ref="FD69:FV69" si="6">SUM(FD65:FD68)</f>
        <v>0</v>
      </c>
      <c r="FE69" s="52">
        <f t="shared" si="6"/>
        <v>0</v>
      </c>
      <c r="FF69" s="52">
        <f t="shared" si="6"/>
        <v>0</v>
      </c>
      <c r="FG69" s="52">
        <f t="shared" si="6"/>
        <v>0</v>
      </c>
      <c r="FH69" s="52">
        <f t="shared" si="6"/>
        <v>24</v>
      </c>
      <c r="FI69" s="52">
        <f t="shared" si="6"/>
        <v>0</v>
      </c>
      <c r="FJ69" s="52">
        <f t="shared" si="6"/>
        <v>0</v>
      </c>
      <c r="FK69" s="52">
        <f t="shared" si="6"/>
        <v>0</v>
      </c>
      <c r="FL69" s="52">
        <f t="shared" si="6"/>
        <v>0</v>
      </c>
      <c r="FM69" s="52">
        <f>SUM(FM65:FM68)</f>
        <v>37</v>
      </c>
      <c r="FN69" s="52">
        <f t="shared" si="6"/>
        <v>0</v>
      </c>
      <c r="FO69" s="52">
        <f t="shared" si="6"/>
        <v>0</v>
      </c>
      <c r="FP69" s="52">
        <f t="shared" si="6"/>
        <v>0</v>
      </c>
      <c r="FQ69" s="52">
        <f t="shared" si="6"/>
        <v>0</v>
      </c>
      <c r="FR69" s="52">
        <f t="shared" si="6"/>
        <v>74</v>
      </c>
      <c r="FS69" s="52">
        <f t="shared" si="6"/>
        <v>0</v>
      </c>
      <c r="FT69" s="52">
        <f t="shared" si="6"/>
        <v>0</v>
      </c>
      <c r="FU69" s="52">
        <f t="shared" si="6"/>
        <v>0</v>
      </c>
      <c r="FV69" s="52">
        <f t="shared" si="6"/>
        <v>0</v>
      </c>
      <c r="FW69" s="36"/>
      <c r="FX69" s="29" t="e">
        <f t="shared" si="2"/>
        <v>#REF!</v>
      </c>
      <c r="FY69" s="29" t="e">
        <f t="shared" ref="FY69:FY86" si="7">SUM(AZ69,BM69,BZ69)</f>
        <v>#REF!</v>
      </c>
      <c r="FZ69" s="29" t="e">
        <f t="shared" ref="FZ69:FZ86" si="8">SUM(CM69,CZ69,DM69)</f>
        <v>#REF!</v>
      </c>
      <c r="GA69" s="29" t="e">
        <f t="shared" ref="GA69:GA86" si="9">SUM(DZ69,EM69,EZ69)</f>
        <v>#REF!</v>
      </c>
      <c r="GB69" s="36"/>
      <c r="GC69" s="41" t="e">
        <f t="shared" si="0"/>
        <v>#REF!</v>
      </c>
      <c r="GD69" s="36"/>
      <c r="GE69" s="36"/>
      <c r="GF69" s="36"/>
      <c r="GG69" s="36"/>
      <c r="GH69" s="36"/>
      <c r="GI69" s="36"/>
      <c r="GJ69" s="36"/>
      <c r="GK69" s="36"/>
      <c r="GL69" s="36"/>
      <c r="GM69" s="36"/>
      <c r="GN69" s="36"/>
      <c r="GO69" s="36"/>
      <c r="GP69" s="36"/>
      <c r="GQ69" s="36"/>
      <c r="GR69" s="36"/>
      <c r="GS69" s="36"/>
      <c r="GT69" s="36"/>
      <c r="GU69" s="36"/>
      <c r="GV69" s="36"/>
      <c r="GW69" s="36"/>
      <c r="GX69" s="36"/>
      <c r="GY69" s="36"/>
      <c r="GZ69" s="36"/>
      <c r="HA69" s="36"/>
      <c r="HB69" s="36"/>
      <c r="HC69" s="36"/>
      <c r="HD69" s="36"/>
      <c r="HE69" s="36"/>
      <c r="HF69" s="36"/>
      <c r="HG69" s="36"/>
      <c r="HH69" s="36"/>
      <c r="HI69" s="36"/>
      <c r="HJ69" s="36"/>
      <c r="HK69" s="36"/>
      <c r="HL69" s="36"/>
      <c r="HM69" s="36"/>
      <c r="HN69" s="36"/>
      <c r="HO69" s="36"/>
      <c r="HP69" s="36"/>
      <c r="HQ69" s="36"/>
      <c r="HR69" s="36"/>
      <c r="HS69" s="36"/>
      <c r="HT69" s="36"/>
      <c r="HU69" s="36"/>
      <c r="HV69" s="36"/>
      <c r="HW69" s="36"/>
      <c r="HX69" s="36"/>
      <c r="HY69" s="36"/>
      <c r="HZ69" s="36"/>
      <c r="IA69" s="36"/>
    </row>
    <row r="70" spans="1:235">
      <c r="A70" s="42" t="s">
        <v>1360</v>
      </c>
      <c r="B70" s="28"/>
      <c r="C70" s="29"/>
      <c r="D70" s="29"/>
      <c r="E70" s="28"/>
      <c r="F70" s="28"/>
      <c r="G70" s="28"/>
      <c r="H70" s="28"/>
      <c r="I70" s="28"/>
      <c r="J70" s="28"/>
      <c r="K70" s="28"/>
      <c r="L70" s="28"/>
      <c r="M70" s="31">
        <f>SUMIF(C$5:C$38,"CIC China",M$5:M$38)</f>
        <v>0</v>
      </c>
      <c r="N70" s="34"/>
      <c r="O70" s="29"/>
      <c r="P70" s="29"/>
      <c r="Q70" s="29"/>
      <c r="R70" s="33"/>
      <c r="S70" s="33"/>
      <c r="T70" s="34"/>
      <c r="U70" s="34"/>
      <c r="V70" s="34"/>
      <c r="W70" s="34"/>
      <c r="X70" s="34"/>
      <c r="Y70" s="34"/>
      <c r="Z70" s="31">
        <f>SUMIF(P$5:P$38,"CIC China",Z$5:Z$38)</f>
        <v>0</v>
      </c>
      <c r="AA70" s="34"/>
      <c r="AB70" s="29"/>
      <c r="AC70" s="29"/>
      <c r="AD70" s="29"/>
      <c r="AE70" s="33"/>
      <c r="AF70" s="33"/>
      <c r="AG70" s="34"/>
      <c r="AH70" s="34"/>
      <c r="AI70" s="34"/>
      <c r="AJ70" s="34"/>
      <c r="AK70" s="34"/>
      <c r="AL70" s="34"/>
      <c r="AM70" s="31">
        <f>SUMIF(AC$5:AC$38,"CIC China",AM$5:AM$38)</f>
        <v>0</v>
      </c>
      <c r="AN70" s="34"/>
      <c r="AO70" s="29"/>
      <c r="AP70" s="29"/>
      <c r="AQ70" s="29"/>
      <c r="AR70" s="29"/>
      <c r="AS70" s="29"/>
      <c r="AT70" s="29"/>
      <c r="AU70" s="29"/>
      <c r="AV70" s="29"/>
      <c r="AW70" s="29"/>
      <c r="AX70" s="29"/>
      <c r="AY70" s="34"/>
      <c r="AZ70" s="31">
        <f>SUMIF(AP$5:AP$38,"CIC China",AZ$5:AZ$38)</f>
        <v>0</v>
      </c>
      <c r="BA70" s="34"/>
      <c r="BB70" s="29"/>
      <c r="BC70" s="29"/>
      <c r="BD70" s="29"/>
      <c r="BE70" s="29"/>
      <c r="BF70" s="29"/>
      <c r="BG70" s="29"/>
      <c r="BH70" s="29"/>
      <c r="BI70" s="29"/>
      <c r="BJ70" s="29"/>
      <c r="BK70" s="29"/>
      <c r="BL70" s="34"/>
      <c r="BM70" s="31" t="e">
        <f>SUMIF(BC$5:BC$38,"CIC China",BM$5:BM$38)</f>
        <v>#REF!</v>
      </c>
      <c r="BN70" s="34"/>
      <c r="BO70" s="29"/>
      <c r="BP70" s="29"/>
      <c r="BQ70" s="29"/>
      <c r="BR70" s="29"/>
      <c r="BS70" s="29"/>
      <c r="BT70" s="29"/>
      <c r="BU70" s="29"/>
      <c r="BV70" s="29"/>
      <c r="BW70" s="29"/>
      <c r="BX70" s="29"/>
      <c r="BY70" s="29"/>
      <c r="BZ70" s="31">
        <f>SUMIF(BP$5:BP$38,"CIC China",BZ$5:BZ$38)</f>
        <v>0</v>
      </c>
      <c r="CA70" s="34"/>
      <c r="CB70" s="29"/>
      <c r="CC70" s="29"/>
      <c r="CD70" s="33"/>
      <c r="CE70" s="33"/>
      <c r="CF70" s="33"/>
      <c r="CG70" s="33"/>
      <c r="CH70" s="33"/>
      <c r="CI70" s="33"/>
      <c r="CJ70" s="33"/>
      <c r="CK70" s="33"/>
      <c r="CL70" s="33"/>
      <c r="CM70" s="31" t="e">
        <f>SUMIF(CC$5:CC$38,"CIC China",CM$5:CM$38)</f>
        <v>#REF!</v>
      </c>
      <c r="CN70" s="34"/>
      <c r="CO70" s="33"/>
      <c r="CP70" s="33"/>
      <c r="CQ70" s="33"/>
      <c r="CR70" s="33"/>
      <c r="CS70" s="33"/>
      <c r="CT70" s="33"/>
      <c r="CU70" s="33"/>
      <c r="CV70" s="33"/>
      <c r="CW70" s="33"/>
      <c r="CX70" s="33"/>
      <c r="CY70" s="34"/>
      <c r="CZ70" s="31">
        <f>SUMIF(CP$7:CP$37,"CIC China",CZ$7:CZ$37)</f>
        <v>0</v>
      </c>
      <c r="DA70" s="34"/>
      <c r="DB70" s="33"/>
      <c r="DC70" s="33"/>
      <c r="DD70" s="33"/>
      <c r="DE70" s="33"/>
      <c r="DF70" s="33"/>
      <c r="DG70" s="33"/>
      <c r="DH70" s="33"/>
      <c r="DI70" s="33"/>
      <c r="DJ70" s="33"/>
      <c r="DK70" s="33"/>
      <c r="DL70" s="34"/>
      <c r="DM70" s="31">
        <f>SUMIF(DC$5:DC$38,"CIC China",DM$5:DM$38)</f>
        <v>0</v>
      </c>
      <c r="DN70" s="34"/>
      <c r="DO70" s="33"/>
      <c r="DP70" s="33"/>
      <c r="DQ70" s="33"/>
      <c r="DR70" s="33"/>
      <c r="DS70" s="33"/>
      <c r="DT70" s="33"/>
      <c r="DU70" s="33"/>
      <c r="DV70" s="33"/>
      <c r="DW70" s="33"/>
      <c r="DX70" s="34"/>
      <c r="DY70" s="34"/>
      <c r="DZ70" s="31" t="e">
        <f>SUMIF(DP$5:DP$38,"CIC China",DZ$5:DZ$38)</f>
        <v>#REF!</v>
      </c>
      <c r="EA70" s="34"/>
      <c r="EB70" s="33"/>
      <c r="EC70" s="33"/>
      <c r="ED70" s="33"/>
      <c r="EE70" s="33"/>
      <c r="EF70" s="33"/>
      <c r="EG70" s="33"/>
      <c r="EH70" s="33"/>
      <c r="EI70" s="33"/>
      <c r="EJ70" s="33"/>
      <c r="EK70" s="33"/>
      <c r="EL70" s="34"/>
      <c r="EM70" s="31">
        <f>SUMIF(EC$5:EC$38,"CIC China",EM$5:EM$38)</f>
        <v>0</v>
      </c>
      <c r="EN70" s="34"/>
      <c r="EO70" s="33"/>
      <c r="EP70" s="33"/>
      <c r="EQ70" s="33"/>
      <c r="ER70" s="33"/>
      <c r="ES70" s="33"/>
      <c r="ET70" s="33"/>
      <c r="EU70" s="33"/>
      <c r="EV70" s="33"/>
      <c r="EW70" s="33"/>
      <c r="EX70" s="33"/>
      <c r="EY70" s="34"/>
      <c r="EZ70" s="31">
        <f>SUMIF(EP$5:EP$38,"CIC China",EZ$5:EZ$38)</f>
        <v>0</v>
      </c>
      <c r="FA70" s="34"/>
      <c r="FB70" s="36"/>
      <c r="FC70" s="48"/>
      <c r="FD70" s="48"/>
      <c r="FE70" s="48"/>
      <c r="FF70" s="48"/>
      <c r="FG70" s="48"/>
      <c r="FH70" s="48"/>
      <c r="FI70" s="48"/>
      <c r="FJ70" s="48"/>
      <c r="FK70" s="48"/>
      <c r="FL70" s="48"/>
      <c r="FM70" s="48"/>
      <c r="FN70" s="48"/>
      <c r="FO70" s="48"/>
      <c r="FP70" s="48"/>
      <c r="FQ70" s="48"/>
      <c r="FR70" s="48"/>
      <c r="FS70" s="48"/>
      <c r="FT70" s="48"/>
      <c r="FU70" s="48"/>
      <c r="FV70" s="48"/>
      <c r="FW70" s="36"/>
      <c r="FX70" s="29">
        <f t="shared" si="2"/>
        <v>0</v>
      </c>
      <c r="FY70" s="29" t="e">
        <f t="shared" si="7"/>
        <v>#REF!</v>
      </c>
      <c r="FZ70" s="29" t="e">
        <f t="shared" si="8"/>
        <v>#REF!</v>
      </c>
      <c r="GA70" s="29" t="e">
        <f t="shared" si="9"/>
        <v>#REF!</v>
      </c>
      <c r="GB70" s="36"/>
      <c r="GC70" s="41" t="e">
        <f t="shared" si="0"/>
        <v>#REF!</v>
      </c>
      <c r="GD70" s="36"/>
      <c r="GE70" s="36"/>
      <c r="GF70" s="36"/>
      <c r="GG70" s="36"/>
      <c r="GH70" s="36"/>
      <c r="GI70" s="36"/>
      <c r="GJ70" s="36"/>
      <c r="GK70" s="36"/>
      <c r="GL70" s="36"/>
      <c r="GM70" s="36"/>
      <c r="GN70" s="36"/>
      <c r="GO70" s="36"/>
      <c r="GP70" s="36"/>
      <c r="GQ70" s="36"/>
      <c r="GR70" s="36"/>
      <c r="GS70" s="36"/>
      <c r="GT70" s="36"/>
      <c r="GU70" s="36"/>
      <c r="GV70" s="36"/>
      <c r="GW70" s="36"/>
      <c r="GX70" s="36"/>
      <c r="GY70" s="36"/>
      <c r="GZ70" s="36"/>
      <c r="HA70" s="36"/>
      <c r="HB70" s="36"/>
      <c r="HC70" s="36"/>
      <c r="HD70" s="36"/>
      <c r="HE70" s="36"/>
      <c r="HF70" s="36"/>
      <c r="HG70" s="36"/>
      <c r="HH70" s="36"/>
      <c r="HI70" s="36"/>
      <c r="HJ70" s="36"/>
      <c r="HK70" s="36"/>
      <c r="HL70" s="36"/>
      <c r="HM70" s="36"/>
      <c r="HN70" s="36"/>
      <c r="HO70" s="36"/>
      <c r="HP70" s="36"/>
      <c r="HQ70" s="36"/>
      <c r="HR70" s="36"/>
      <c r="HS70" s="36"/>
      <c r="HT70" s="36"/>
      <c r="HU70" s="36"/>
      <c r="HV70" s="36"/>
      <c r="HW70" s="36"/>
      <c r="HX70" s="36"/>
      <c r="HY70" s="36"/>
      <c r="HZ70" s="36"/>
      <c r="IA70" s="36"/>
    </row>
    <row r="71" spans="1:235">
      <c r="A71" s="42" t="s">
        <v>1361</v>
      </c>
      <c r="B71" s="28"/>
      <c r="C71" s="29"/>
      <c r="D71" s="29"/>
      <c r="E71" s="28"/>
      <c r="F71" s="28"/>
      <c r="G71" s="28"/>
      <c r="H71" s="28"/>
      <c r="I71" s="28"/>
      <c r="J71" s="28"/>
      <c r="K71" s="28"/>
      <c r="L71" s="28"/>
      <c r="M71" s="31" t="e">
        <f>SUMIF(C$5:C$38,"India",M$5:M$38)</f>
        <v>#REF!</v>
      </c>
      <c r="N71" s="34"/>
      <c r="O71" s="29"/>
      <c r="P71" s="29"/>
      <c r="Q71" s="29"/>
      <c r="R71" s="33"/>
      <c r="S71" s="33"/>
      <c r="T71" s="34"/>
      <c r="U71" s="34"/>
      <c r="V71" s="34"/>
      <c r="W71" s="34"/>
      <c r="X71" s="34"/>
      <c r="Y71" s="34"/>
      <c r="Z71" s="31" t="e">
        <f>SUMIF(P$5:P$38,"India",Z$5:Z$38)</f>
        <v>#REF!</v>
      </c>
      <c r="AA71" s="34"/>
      <c r="AB71" s="29"/>
      <c r="AC71" s="29"/>
      <c r="AD71" s="29"/>
      <c r="AE71" s="33"/>
      <c r="AF71" s="33"/>
      <c r="AG71" s="34"/>
      <c r="AH71" s="34"/>
      <c r="AI71" s="34"/>
      <c r="AJ71" s="34"/>
      <c r="AK71" s="34"/>
      <c r="AL71" s="34"/>
      <c r="AM71" s="31" t="e">
        <f>SUMIF(AC$5:AC$38,"India",AM$5:AM$38)</f>
        <v>#REF!</v>
      </c>
      <c r="AN71" s="34"/>
      <c r="AO71" s="29"/>
      <c r="AP71" s="29"/>
      <c r="AQ71" s="29"/>
      <c r="AR71" s="29"/>
      <c r="AS71" s="29"/>
      <c r="AT71" s="29"/>
      <c r="AU71" s="29"/>
      <c r="AV71" s="29"/>
      <c r="AW71" s="29"/>
      <c r="AX71" s="29"/>
      <c r="AY71" s="34"/>
      <c r="AZ71" s="31" t="e">
        <f>SUMIF(AP$5:AP$38,"India",AZ$5:AZ$38)</f>
        <v>#REF!</v>
      </c>
      <c r="BA71" s="34"/>
      <c r="BB71" s="29"/>
      <c r="BC71" s="29"/>
      <c r="BD71" s="29"/>
      <c r="BE71" s="29"/>
      <c r="BF71" s="29"/>
      <c r="BG71" s="29"/>
      <c r="BH71" s="29"/>
      <c r="BI71" s="29"/>
      <c r="BJ71" s="29"/>
      <c r="BK71" s="29"/>
      <c r="BL71" s="34"/>
      <c r="BM71" s="31">
        <f>SUMIF(BC$5:BC$38,"India",BM$5:BM$38)</f>
        <v>0</v>
      </c>
      <c r="BN71" s="34"/>
      <c r="BO71" s="29"/>
      <c r="BP71" s="29"/>
      <c r="BQ71" s="29"/>
      <c r="BR71" s="29"/>
      <c r="BS71" s="29"/>
      <c r="BT71" s="29"/>
      <c r="BU71" s="29"/>
      <c r="BV71" s="29"/>
      <c r="BW71" s="29"/>
      <c r="BX71" s="29"/>
      <c r="BY71" s="29"/>
      <c r="BZ71" s="31">
        <f>SUMIF(BP$5:BP$38,"India",BZ$5:BZ$38)</f>
        <v>0</v>
      </c>
      <c r="CA71" s="34"/>
      <c r="CB71" s="29"/>
      <c r="CC71" s="29"/>
      <c r="CD71" s="33"/>
      <c r="CE71" s="33"/>
      <c r="CF71" s="33"/>
      <c r="CG71" s="33"/>
      <c r="CH71" s="33"/>
      <c r="CI71" s="33"/>
      <c r="CJ71" s="33"/>
      <c r="CK71" s="33"/>
      <c r="CL71" s="33"/>
      <c r="CM71" s="31">
        <f>SUMIF(CC$5:CC$38,"India",CM$5:CM$38)</f>
        <v>0</v>
      </c>
      <c r="CN71" s="34"/>
      <c r="CO71" s="33"/>
      <c r="CP71" s="33"/>
      <c r="CQ71" s="33"/>
      <c r="CR71" s="33"/>
      <c r="CS71" s="33"/>
      <c r="CT71" s="33"/>
      <c r="CU71" s="33"/>
      <c r="CV71" s="33"/>
      <c r="CW71" s="33"/>
      <c r="CX71" s="33"/>
      <c r="CY71" s="34"/>
      <c r="CZ71" s="31" t="e">
        <f>SUMIF(CP$7:CP$37,"India",CZ$7:CZ$37)</f>
        <v>#REF!</v>
      </c>
      <c r="DA71" s="34"/>
      <c r="DB71" s="33"/>
      <c r="DC71" s="33"/>
      <c r="DD71" s="33"/>
      <c r="DE71" s="33"/>
      <c r="DF71" s="33"/>
      <c r="DG71" s="33"/>
      <c r="DH71" s="33"/>
      <c r="DI71" s="33"/>
      <c r="DJ71" s="33"/>
      <c r="DK71" s="33"/>
      <c r="DL71" s="34"/>
      <c r="DM71" s="31" t="e">
        <f>SUMIF(DC$5:DC$38,"India",DM$5:DM$38)</f>
        <v>#REF!</v>
      </c>
      <c r="DN71" s="34"/>
      <c r="DO71" s="33"/>
      <c r="DP71" s="33"/>
      <c r="DQ71" s="33"/>
      <c r="DR71" s="33"/>
      <c r="DS71" s="33"/>
      <c r="DT71" s="33"/>
      <c r="DU71" s="33"/>
      <c r="DV71" s="33"/>
      <c r="DW71" s="33"/>
      <c r="DX71" s="34"/>
      <c r="DY71" s="34"/>
      <c r="DZ71" s="31" t="e">
        <f>SUMIF(DP$5:DP$38,"India",DZ$5:DZ$38)</f>
        <v>#REF!</v>
      </c>
      <c r="EA71" s="34"/>
      <c r="EB71" s="33"/>
      <c r="EC71" s="33"/>
      <c r="ED71" s="33"/>
      <c r="EE71" s="33"/>
      <c r="EF71" s="33"/>
      <c r="EG71" s="33"/>
      <c r="EH71" s="33"/>
      <c r="EI71" s="33"/>
      <c r="EJ71" s="33"/>
      <c r="EK71" s="33"/>
      <c r="EL71" s="34"/>
      <c r="EM71" s="31" t="e">
        <f>SUMIF(EC$5:EC$38,"India",EM$5:EM$38)</f>
        <v>#REF!</v>
      </c>
      <c r="EN71" s="34"/>
      <c r="EO71" s="33"/>
      <c r="EP71" s="33"/>
      <c r="EQ71" s="33"/>
      <c r="ER71" s="33"/>
      <c r="ES71" s="33"/>
      <c r="ET71" s="33"/>
      <c r="EU71" s="33"/>
      <c r="EV71" s="33"/>
      <c r="EW71" s="33"/>
      <c r="EX71" s="33"/>
      <c r="EY71" s="34"/>
      <c r="EZ71" s="31">
        <f>SUMIF(EP$5:EP$38,"India",EZ$5:EZ$38)</f>
        <v>0</v>
      </c>
      <c r="FA71" s="34"/>
      <c r="FB71" s="36"/>
      <c r="FC71" s="48"/>
      <c r="FD71" s="48"/>
      <c r="FE71" s="48"/>
      <c r="FF71" s="48"/>
      <c r="FG71" s="48"/>
      <c r="FH71" s="48"/>
      <c r="FI71" s="48"/>
      <c r="FJ71" s="48"/>
      <c r="FK71" s="48"/>
      <c r="FL71" s="48"/>
      <c r="FM71" s="48"/>
      <c r="FN71" s="48"/>
      <c r="FO71" s="48"/>
      <c r="FP71" s="48"/>
      <c r="FQ71" s="48"/>
      <c r="FR71" s="48"/>
      <c r="FS71" s="48"/>
      <c r="FT71" s="48"/>
      <c r="FU71" s="48"/>
      <c r="FV71" s="48"/>
      <c r="FW71" s="36"/>
      <c r="FX71" s="29" t="e">
        <f t="shared" si="2"/>
        <v>#REF!</v>
      </c>
      <c r="FY71" s="29" t="e">
        <f t="shared" si="7"/>
        <v>#REF!</v>
      </c>
      <c r="FZ71" s="29" t="e">
        <f t="shared" si="8"/>
        <v>#REF!</v>
      </c>
      <c r="GA71" s="29" t="e">
        <f t="shared" si="9"/>
        <v>#REF!</v>
      </c>
      <c r="GB71" s="36"/>
      <c r="GC71" s="41" t="e">
        <f t="shared" si="0"/>
        <v>#REF!</v>
      </c>
      <c r="GD71" s="36"/>
      <c r="GE71" s="36"/>
      <c r="GF71" s="36"/>
      <c r="GG71" s="36"/>
      <c r="GH71" s="36"/>
      <c r="GI71" s="36"/>
      <c r="GJ71" s="36"/>
      <c r="GK71" s="36"/>
      <c r="GL71" s="36"/>
      <c r="GM71" s="36"/>
      <c r="GN71" s="36"/>
      <c r="GO71" s="36"/>
      <c r="GP71" s="36"/>
      <c r="GQ71" s="36"/>
      <c r="GR71" s="36"/>
      <c r="GS71" s="36"/>
      <c r="GT71" s="36"/>
      <c r="GU71" s="36"/>
      <c r="GV71" s="36"/>
      <c r="GW71" s="36"/>
      <c r="GX71" s="36"/>
      <c r="GY71" s="36"/>
      <c r="GZ71" s="36"/>
      <c r="HA71" s="36"/>
      <c r="HB71" s="36"/>
      <c r="HC71" s="36"/>
      <c r="HD71" s="36"/>
      <c r="HE71" s="36"/>
      <c r="HF71" s="36"/>
      <c r="HG71" s="36"/>
      <c r="HH71" s="36"/>
      <c r="HI71" s="36"/>
      <c r="HJ71" s="36"/>
      <c r="HK71" s="36"/>
      <c r="HL71" s="36"/>
      <c r="HM71" s="36"/>
      <c r="HN71" s="36"/>
      <c r="HO71" s="36"/>
      <c r="HP71" s="36"/>
      <c r="HQ71" s="36"/>
      <c r="HR71" s="36"/>
      <c r="HS71" s="36"/>
      <c r="HT71" s="36"/>
      <c r="HU71" s="36"/>
      <c r="HV71" s="36"/>
      <c r="HW71" s="36"/>
      <c r="HX71" s="36"/>
      <c r="HY71" s="36"/>
      <c r="HZ71" s="36"/>
      <c r="IA71" s="36"/>
    </row>
    <row r="72" spans="1:235">
      <c r="A72" s="42" t="s">
        <v>1362</v>
      </c>
      <c r="B72" s="28"/>
      <c r="C72" s="29"/>
      <c r="D72" s="29"/>
      <c r="E72" s="28"/>
      <c r="F72" s="28"/>
      <c r="G72" s="28"/>
      <c r="H72" s="28"/>
      <c r="I72" s="28"/>
      <c r="J72" s="28"/>
      <c r="K72" s="28"/>
      <c r="L72" s="28"/>
      <c r="M72" s="31">
        <f>SUMIF(C$5:C$38,"LA",M$5:M$38)</f>
        <v>0</v>
      </c>
      <c r="N72" s="34"/>
      <c r="O72" s="29"/>
      <c r="P72" s="29"/>
      <c r="Q72" s="29"/>
      <c r="R72" s="33"/>
      <c r="S72" s="33"/>
      <c r="T72" s="34"/>
      <c r="U72" s="34"/>
      <c r="V72" s="34"/>
      <c r="W72" s="34"/>
      <c r="X72" s="34"/>
      <c r="Y72" s="34"/>
      <c r="Z72" s="31">
        <f>SUMIF(P$5:P$38,"LA",Z$5:Z$38)</f>
        <v>0</v>
      </c>
      <c r="AA72" s="34"/>
      <c r="AB72" s="29"/>
      <c r="AC72" s="29"/>
      <c r="AD72" s="29"/>
      <c r="AE72" s="33"/>
      <c r="AF72" s="33"/>
      <c r="AG72" s="34"/>
      <c r="AH72" s="34"/>
      <c r="AI72" s="34"/>
      <c r="AJ72" s="34"/>
      <c r="AK72" s="34"/>
      <c r="AL72" s="34"/>
      <c r="AM72" s="31">
        <f>SUMIF(AC$5:AC$38,"LA",AM$5:AM$38)</f>
        <v>0</v>
      </c>
      <c r="AN72" s="34"/>
      <c r="AO72" s="29"/>
      <c r="AP72" s="29"/>
      <c r="AQ72" s="29"/>
      <c r="AR72" s="29"/>
      <c r="AS72" s="29"/>
      <c r="AT72" s="29"/>
      <c r="AU72" s="29"/>
      <c r="AV72" s="29"/>
      <c r="AW72" s="29"/>
      <c r="AX72" s="29"/>
      <c r="AY72" s="34"/>
      <c r="AZ72" s="31">
        <f>SUMIF(AP$5:AP$38,"LA",AZ$5:AZ$38)</f>
        <v>0</v>
      </c>
      <c r="BA72" s="34"/>
      <c r="BB72" s="29"/>
      <c r="BC72" s="29"/>
      <c r="BD72" s="29"/>
      <c r="BE72" s="29"/>
      <c r="BF72" s="29"/>
      <c r="BG72" s="29"/>
      <c r="BH72" s="29"/>
      <c r="BI72" s="29"/>
      <c r="BJ72" s="29"/>
      <c r="BK72" s="29"/>
      <c r="BL72" s="34"/>
      <c r="BM72" s="31" t="e">
        <f>SUMIF(BC$5:BC$38,"LA",BM$5:BM$38)</f>
        <v>#REF!</v>
      </c>
      <c r="BN72" s="34"/>
      <c r="BO72" s="29"/>
      <c r="BP72" s="29"/>
      <c r="BQ72" s="29"/>
      <c r="BR72" s="29"/>
      <c r="BS72" s="29"/>
      <c r="BT72" s="29"/>
      <c r="BU72" s="29"/>
      <c r="BV72" s="29"/>
      <c r="BW72" s="29"/>
      <c r="BX72" s="29"/>
      <c r="BY72" s="29"/>
      <c r="BZ72" s="31" t="e">
        <f>SUMIF(BP$5:BP$38,"LA",BZ$5:BZ$38)</f>
        <v>#REF!</v>
      </c>
      <c r="CA72" s="34"/>
      <c r="CB72" s="29"/>
      <c r="CC72" s="29"/>
      <c r="CD72" s="33"/>
      <c r="CE72" s="33"/>
      <c r="CF72" s="33"/>
      <c r="CG72" s="33"/>
      <c r="CH72" s="33"/>
      <c r="CI72" s="33"/>
      <c r="CJ72" s="33"/>
      <c r="CK72" s="33"/>
      <c r="CL72" s="33"/>
      <c r="CM72" s="31" t="e">
        <f>SUMIF(CC$5:CC$38,"LA",CM$5:CM$38)</f>
        <v>#REF!</v>
      </c>
      <c r="CN72" s="34"/>
      <c r="CO72" s="33"/>
      <c r="CP72" s="33"/>
      <c r="CQ72" s="33"/>
      <c r="CR72" s="33"/>
      <c r="CS72" s="33"/>
      <c r="CT72" s="33"/>
      <c r="CU72" s="33"/>
      <c r="CV72" s="33"/>
      <c r="CW72" s="33"/>
      <c r="CX72" s="33"/>
      <c r="CY72" s="34"/>
      <c r="CZ72" s="31" t="e">
        <f>SUMIF(CP$7:CP$37,"LA",CZ$7:CZ$37)</f>
        <v>#REF!</v>
      </c>
      <c r="DA72" s="34"/>
      <c r="DB72" s="33"/>
      <c r="DC72" s="33"/>
      <c r="DD72" s="33"/>
      <c r="DE72" s="33"/>
      <c r="DF72" s="33"/>
      <c r="DG72" s="33"/>
      <c r="DH72" s="33"/>
      <c r="DI72" s="33"/>
      <c r="DJ72" s="33"/>
      <c r="DK72" s="33"/>
      <c r="DL72" s="34"/>
      <c r="DM72" s="31" t="e">
        <f>SUMIF(DC$5:DC$38,"LA",DM$5:DM$38)</f>
        <v>#REF!</v>
      </c>
      <c r="DN72" s="34"/>
      <c r="DO72" s="33"/>
      <c r="DP72" s="33"/>
      <c r="DQ72" s="33"/>
      <c r="DR72" s="33"/>
      <c r="DS72" s="33"/>
      <c r="DT72" s="33"/>
      <c r="DU72" s="33"/>
      <c r="DV72" s="33"/>
      <c r="DW72" s="33"/>
      <c r="DX72" s="34"/>
      <c r="DY72" s="34"/>
      <c r="DZ72" s="31" t="e">
        <f>SUMIF(DP$5:DP$38,"LA",DZ$5:DZ$38)</f>
        <v>#REF!</v>
      </c>
      <c r="EA72" s="34"/>
      <c r="EB72" s="33"/>
      <c r="EC72" s="33"/>
      <c r="ED72" s="33"/>
      <c r="EE72" s="33"/>
      <c r="EF72" s="33"/>
      <c r="EG72" s="33"/>
      <c r="EH72" s="33"/>
      <c r="EI72" s="33"/>
      <c r="EJ72" s="33"/>
      <c r="EK72" s="33"/>
      <c r="EL72" s="34"/>
      <c r="EM72" s="31" t="e">
        <f>SUMIF(EC$5:EC$38,"LA",EM$5:EM$38)</f>
        <v>#REF!</v>
      </c>
      <c r="EN72" s="34"/>
      <c r="EO72" s="33"/>
      <c r="EP72" s="33"/>
      <c r="EQ72" s="33"/>
      <c r="ER72" s="33"/>
      <c r="ES72" s="33"/>
      <c r="ET72" s="33"/>
      <c r="EU72" s="33"/>
      <c r="EV72" s="33"/>
      <c r="EW72" s="33"/>
      <c r="EX72" s="33"/>
      <c r="EY72" s="34"/>
      <c r="EZ72" s="31" t="e">
        <f>SUMIF(EP$5:EP$38,"LA",EZ$5:EZ$38)</f>
        <v>#REF!</v>
      </c>
      <c r="FA72" s="34"/>
      <c r="FB72" s="36"/>
      <c r="FC72" s="48"/>
      <c r="FD72" s="48"/>
      <c r="FE72" s="48"/>
      <c r="FF72" s="48"/>
      <c r="FG72" s="48"/>
      <c r="FH72" s="48"/>
      <c r="FI72" s="48"/>
      <c r="FJ72" s="48"/>
      <c r="FK72" s="48"/>
      <c r="FL72" s="48"/>
      <c r="FM72" s="48"/>
      <c r="FN72" s="48"/>
      <c r="FO72" s="48"/>
      <c r="FP72" s="48"/>
      <c r="FQ72" s="48"/>
      <c r="FR72" s="48"/>
      <c r="FS72" s="48"/>
      <c r="FT72" s="48"/>
      <c r="FU72" s="48"/>
      <c r="FV72" s="48"/>
      <c r="FW72" s="36"/>
      <c r="FX72" s="29">
        <f t="shared" si="2"/>
        <v>0</v>
      </c>
      <c r="FY72" s="29" t="e">
        <f t="shared" si="7"/>
        <v>#REF!</v>
      </c>
      <c r="FZ72" s="29" t="e">
        <f t="shared" si="8"/>
        <v>#REF!</v>
      </c>
      <c r="GA72" s="29" t="e">
        <f t="shared" si="9"/>
        <v>#REF!</v>
      </c>
      <c r="GB72" s="36"/>
      <c r="GC72" s="41" t="e">
        <f t="shared" si="0"/>
        <v>#REF!</v>
      </c>
      <c r="GD72" s="36"/>
      <c r="GE72" s="36"/>
      <c r="GF72" s="36"/>
      <c r="GG72" s="36"/>
      <c r="GH72" s="36"/>
      <c r="GI72" s="36"/>
      <c r="GJ72" s="36"/>
      <c r="GK72" s="36"/>
      <c r="GL72" s="36"/>
      <c r="GM72" s="36"/>
      <c r="GN72" s="36"/>
      <c r="GO72" s="36"/>
      <c r="GP72" s="36"/>
      <c r="GQ72" s="36"/>
      <c r="GR72" s="36"/>
      <c r="GS72" s="36"/>
      <c r="GT72" s="36"/>
      <c r="GU72" s="36"/>
      <c r="GV72" s="36"/>
      <c r="GW72" s="36"/>
      <c r="GX72" s="36"/>
      <c r="GY72" s="36"/>
      <c r="GZ72" s="36"/>
      <c r="HA72" s="36"/>
      <c r="HB72" s="36"/>
      <c r="HC72" s="36"/>
      <c r="HD72" s="36"/>
      <c r="HE72" s="36"/>
      <c r="HF72" s="36"/>
      <c r="HG72" s="36"/>
      <c r="HH72" s="36"/>
      <c r="HI72" s="36"/>
      <c r="HJ72" s="36"/>
      <c r="HK72" s="36"/>
      <c r="HL72" s="36"/>
      <c r="HM72" s="36"/>
      <c r="HN72" s="36"/>
      <c r="HO72" s="36"/>
      <c r="HP72" s="36"/>
      <c r="HQ72" s="36"/>
      <c r="HR72" s="36"/>
      <c r="HS72" s="36"/>
      <c r="HT72" s="36"/>
      <c r="HU72" s="36"/>
      <c r="HV72" s="36"/>
      <c r="HW72" s="36"/>
      <c r="HX72" s="36"/>
      <c r="HY72" s="36"/>
      <c r="HZ72" s="36"/>
      <c r="IA72" s="36"/>
    </row>
    <row r="73" spans="1:235">
      <c r="A73" s="42" t="s">
        <v>1363</v>
      </c>
      <c r="B73" s="28"/>
      <c r="C73" s="29"/>
      <c r="D73" s="29"/>
      <c r="E73" s="28"/>
      <c r="F73" s="28"/>
      <c r="G73" s="28"/>
      <c r="H73" s="28"/>
      <c r="I73" s="28"/>
      <c r="J73" s="28"/>
      <c r="K73" s="28"/>
      <c r="L73" s="28"/>
      <c r="M73" s="31">
        <f>SUMIF(C$5:C$38,"CIC MEA",M$5:M$38)</f>
        <v>0</v>
      </c>
      <c r="N73" s="34"/>
      <c r="O73" s="29"/>
      <c r="P73" s="29"/>
      <c r="Q73" s="29"/>
      <c r="R73" s="33"/>
      <c r="S73" s="33"/>
      <c r="T73" s="34"/>
      <c r="U73" s="34"/>
      <c r="V73" s="34"/>
      <c r="W73" s="34"/>
      <c r="X73" s="34"/>
      <c r="Y73" s="34"/>
      <c r="Z73" s="31">
        <f>SUMIF(P$5:P$38,"CIC MEA",Z$5:Z$38)</f>
        <v>0</v>
      </c>
      <c r="AA73" s="34"/>
      <c r="AB73" s="29"/>
      <c r="AC73" s="29"/>
      <c r="AD73" s="29"/>
      <c r="AE73" s="33"/>
      <c r="AF73" s="33"/>
      <c r="AG73" s="34"/>
      <c r="AH73" s="34"/>
      <c r="AI73" s="34"/>
      <c r="AJ73" s="34"/>
      <c r="AK73" s="34"/>
      <c r="AL73" s="34"/>
      <c r="AM73" s="31">
        <f>SUMIF(AC$5:AC$38,"CIC MEA",AM$5:AM$38)</f>
        <v>0</v>
      </c>
      <c r="AN73" s="34"/>
      <c r="AO73" s="29"/>
      <c r="AP73" s="29"/>
      <c r="AQ73" s="29"/>
      <c r="AR73" s="29"/>
      <c r="AS73" s="29"/>
      <c r="AT73" s="29"/>
      <c r="AU73" s="29"/>
      <c r="AV73" s="29"/>
      <c r="AW73" s="29"/>
      <c r="AX73" s="29"/>
      <c r="AY73" s="34"/>
      <c r="AZ73" s="31">
        <f>SUMIF(AP$5:AP$38,"CIC MEA",AZ$5:AZ$38)</f>
        <v>0</v>
      </c>
      <c r="BA73" s="34"/>
      <c r="BB73" s="29"/>
      <c r="BC73" s="29"/>
      <c r="BD73" s="29"/>
      <c r="BE73" s="29"/>
      <c r="BF73" s="29"/>
      <c r="BG73" s="29"/>
      <c r="BH73" s="29"/>
      <c r="BI73" s="29"/>
      <c r="BJ73" s="29"/>
      <c r="BK73" s="29"/>
      <c r="BL73" s="34"/>
      <c r="BM73" s="31">
        <f>SUMIF(BC$5:BC$38,"CIC MEA",BM$5:BM$38)</f>
        <v>0</v>
      </c>
      <c r="BN73" s="34"/>
      <c r="BO73" s="29"/>
      <c r="BP73" s="29"/>
      <c r="BQ73" s="29"/>
      <c r="BR73" s="29"/>
      <c r="BS73" s="29"/>
      <c r="BT73" s="29"/>
      <c r="BU73" s="29"/>
      <c r="BV73" s="29"/>
      <c r="BW73" s="29"/>
      <c r="BX73" s="29"/>
      <c r="BY73" s="29"/>
      <c r="BZ73" s="31">
        <f>SUMIF(BP$5:BP$38,"CIC MEA",BZ$5:BZ$38)</f>
        <v>0</v>
      </c>
      <c r="CA73" s="34"/>
      <c r="CB73" s="29"/>
      <c r="CC73" s="29"/>
      <c r="CD73" s="33"/>
      <c r="CE73" s="33"/>
      <c r="CF73" s="33"/>
      <c r="CG73" s="33"/>
      <c r="CH73" s="33"/>
      <c r="CI73" s="33"/>
      <c r="CJ73" s="33"/>
      <c r="CK73" s="33"/>
      <c r="CL73" s="33"/>
      <c r="CM73" s="31">
        <f>SUMIF(CC$5:CC$38,"CIC MEA",CM$5:CM$38)</f>
        <v>0</v>
      </c>
      <c r="CN73" s="34"/>
      <c r="CO73" s="33"/>
      <c r="CP73" s="33"/>
      <c r="CQ73" s="33"/>
      <c r="CR73" s="33"/>
      <c r="CS73" s="33"/>
      <c r="CT73" s="33"/>
      <c r="CU73" s="33"/>
      <c r="CV73" s="33"/>
      <c r="CW73" s="33"/>
      <c r="CX73" s="33"/>
      <c r="CY73" s="34"/>
      <c r="CZ73" s="31">
        <f>SUMIF(CP$7:CP$37,"CIC MEA",CZ$7:CZ$37)</f>
        <v>0</v>
      </c>
      <c r="DA73" s="34"/>
      <c r="DB73" s="33"/>
      <c r="DC73" s="33"/>
      <c r="DD73" s="33"/>
      <c r="DE73" s="33"/>
      <c r="DF73" s="33"/>
      <c r="DG73" s="33"/>
      <c r="DH73" s="33"/>
      <c r="DI73" s="33"/>
      <c r="DJ73" s="33"/>
      <c r="DK73" s="33"/>
      <c r="DL73" s="34"/>
      <c r="DM73" s="31" t="e">
        <f>SUMIF(DC$5:DC$38,"CIC MEA",DM$5:DM$38)</f>
        <v>#REF!</v>
      </c>
      <c r="DN73" s="34"/>
      <c r="DO73" s="33"/>
      <c r="DP73" s="33"/>
      <c r="DQ73" s="33"/>
      <c r="DR73" s="33"/>
      <c r="DS73" s="33"/>
      <c r="DT73" s="33"/>
      <c r="DU73" s="33"/>
      <c r="DV73" s="33"/>
      <c r="DW73" s="33"/>
      <c r="DX73" s="34"/>
      <c r="DY73" s="34"/>
      <c r="DZ73" s="31">
        <f>SUMIF(DP$5:DP$38,"CIC MEA",DZ$5:DZ$38)</f>
        <v>0</v>
      </c>
      <c r="EA73" s="34"/>
      <c r="EB73" s="33"/>
      <c r="EC73" s="33"/>
      <c r="ED73" s="33"/>
      <c r="EE73" s="33"/>
      <c r="EF73" s="33"/>
      <c r="EG73" s="33"/>
      <c r="EH73" s="33"/>
      <c r="EI73" s="33"/>
      <c r="EJ73" s="33"/>
      <c r="EK73" s="33"/>
      <c r="EL73" s="34"/>
      <c r="EM73" s="31" t="e">
        <f>SUMIF(EC$5:EC$38,"CIC MEA",EM$5:EM$38)</f>
        <v>#REF!</v>
      </c>
      <c r="EN73" s="34"/>
      <c r="EO73" s="33"/>
      <c r="EP73" s="33"/>
      <c r="EQ73" s="33"/>
      <c r="ER73" s="33"/>
      <c r="ES73" s="33"/>
      <c r="ET73" s="33"/>
      <c r="EU73" s="33"/>
      <c r="EV73" s="33"/>
      <c r="EW73" s="33"/>
      <c r="EX73" s="33"/>
      <c r="EY73" s="34"/>
      <c r="EZ73" s="31" t="e">
        <f>SUMIF(EP$5:EP$38,"CIC MEA",EZ$5:EZ$38)</f>
        <v>#REF!</v>
      </c>
      <c r="FA73" s="34"/>
      <c r="FB73" s="36"/>
      <c r="FC73" s="48"/>
      <c r="FD73" s="48"/>
      <c r="FE73" s="48"/>
      <c r="FF73" s="48"/>
      <c r="FG73" s="48"/>
      <c r="FH73" s="48"/>
      <c r="FI73" s="48"/>
      <c r="FJ73" s="48"/>
      <c r="FK73" s="48"/>
      <c r="FL73" s="48"/>
      <c r="FM73" s="48"/>
      <c r="FN73" s="48"/>
      <c r="FO73" s="48"/>
      <c r="FP73" s="48"/>
      <c r="FQ73" s="48"/>
      <c r="FR73" s="48"/>
      <c r="FS73" s="48"/>
      <c r="FT73" s="48"/>
      <c r="FU73" s="48"/>
      <c r="FV73" s="48"/>
      <c r="FW73" s="36"/>
      <c r="FX73" s="29">
        <f t="shared" si="2"/>
        <v>0</v>
      </c>
      <c r="FY73" s="29">
        <f t="shared" si="7"/>
        <v>0</v>
      </c>
      <c r="FZ73" s="29" t="e">
        <f t="shared" si="8"/>
        <v>#REF!</v>
      </c>
      <c r="GA73" s="29" t="e">
        <f t="shared" si="9"/>
        <v>#REF!</v>
      </c>
      <c r="GB73" s="36"/>
      <c r="GC73" s="41" t="e">
        <f t="shared" si="0"/>
        <v>#REF!</v>
      </c>
      <c r="GD73" s="36"/>
      <c r="GE73" s="36"/>
      <c r="GF73" s="36"/>
      <c r="GG73" s="36"/>
      <c r="GH73" s="36"/>
      <c r="GI73" s="36"/>
      <c r="GJ73" s="36"/>
      <c r="GK73" s="36"/>
      <c r="GL73" s="36"/>
      <c r="GM73" s="36"/>
      <c r="GN73" s="36"/>
      <c r="GO73" s="36"/>
      <c r="GP73" s="36"/>
      <c r="GQ73" s="36"/>
      <c r="GR73" s="36"/>
      <c r="GS73" s="36"/>
      <c r="GT73" s="36"/>
      <c r="GU73" s="36"/>
      <c r="GV73" s="36"/>
      <c r="GW73" s="36"/>
      <c r="GX73" s="36"/>
      <c r="GY73" s="36"/>
      <c r="GZ73" s="36"/>
      <c r="HA73" s="36"/>
      <c r="HB73" s="36"/>
      <c r="HC73" s="36"/>
      <c r="HD73" s="36"/>
      <c r="HE73" s="36"/>
      <c r="HF73" s="36"/>
      <c r="HG73" s="36"/>
      <c r="HH73" s="36"/>
      <c r="HI73" s="36"/>
      <c r="HJ73" s="36"/>
      <c r="HK73" s="36"/>
      <c r="HL73" s="36"/>
      <c r="HM73" s="36"/>
      <c r="HN73" s="36"/>
      <c r="HO73" s="36"/>
      <c r="HP73" s="36"/>
      <c r="HQ73" s="36"/>
      <c r="HR73" s="36"/>
      <c r="HS73" s="36"/>
      <c r="HT73" s="36"/>
      <c r="HU73" s="36"/>
      <c r="HV73" s="36"/>
      <c r="HW73" s="36"/>
      <c r="HX73" s="36"/>
      <c r="HY73" s="36"/>
      <c r="HZ73" s="36"/>
      <c r="IA73" s="36"/>
    </row>
    <row r="74" spans="1:235">
      <c r="A74" s="42" t="s">
        <v>1364</v>
      </c>
      <c r="B74" s="28"/>
      <c r="C74" s="29"/>
      <c r="D74" s="29"/>
      <c r="E74" s="28"/>
      <c r="F74" s="28"/>
      <c r="G74" s="28"/>
      <c r="H74" s="28"/>
      <c r="I74" s="28"/>
      <c r="J74" s="28"/>
      <c r="K74" s="28"/>
      <c r="L74" s="28"/>
      <c r="M74" s="31" t="e">
        <f>SUMIF(C$5:C$38,"CIC NA",M$5:M$38)</f>
        <v>#REF!</v>
      </c>
      <c r="N74" s="34"/>
      <c r="O74" s="29"/>
      <c r="P74" s="29"/>
      <c r="Q74" s="29"/>
      <c r="R74" s="33"/>
      <c r="S74" s="33"/>
      <c r="T74" s="34"/>
      <c r="U74" s="34"/>
      <c r="V74" s="34"/>
      <c r="W74" s="34"/>
      <c r="X74" s="34"/>
      <c r="Y74" s="34"/>
      <c r="Z74" s="31" t="e">
        <f>SUMIF(P$5:P$38,"CIC NA",Z$5:Z$38)</f>
        <v>#REF!</v>
      </c>
      <c r="AA74" s="34"/>
      <c r="AB74" s="29"/>
      <c r="AC74" s="29"/>
      <c r="AD74" s="29"/>
      <c r="AE74" s="33"/>
      <c r="AF74" s="33"/>
      <c r="AG74" s="34"/>
      <c r="AH74" s="34"/>
      <c r="AI74" s="34"/>
      <c r="AJ74" s="34"/>
      <c r="AK74" s="34"/>
      <c r="AL74" s="34"/>
      <c r="AM74" s="31">
        <f>SUMIF(AC$5:AC$38,"CIC NA",AM$5:AM$38)</f>
        <v>0</v>
      </c>
      <c r="AN74" s="34"/>
      <c r="AO74" s="29"/>
      <c r="AP74" s="29"/>
      <c r="AQ74" s="29"/>
      <c r="AR74" s="29"/>
      <c r="AS74" s="29"/>
      <c r="AT74" s="29"/>
      <c r="AU74" s="29"/>
      <c r="AV74" s="29"/>
      <c r="AW74" s="29"/>
      <c r="AX74" s="29"/>
      <c r="AY74" s="34"/>
      <c r="AZ74" s="31" t="e">
        <f>SUMIF(AP$5:AP$38,"CIC NA",AZ$5:AZ$38)</f>
        <v>#REF!</v>
      </c>
      <c r="BA74" s="34"/>
      <c r="BB74" s="29"/>
      <c r="BC74" s="29"/>
      <c r="BD74" s="29"/>
      <c r="BE74" s="29"/>
      <c r="BF74" s="29"/>
      <c r="BG74" s="29"/>
      <c r="BH74" s="29"/>
      <c r="BI74" s="29"/>
      <c r="BJ74" s="29"/>
      <c r="BK74" s="29"/>
      <c r="BL74" s="34"/>
      <c r="BM74" s="31">
        <f>SUMIF(BC$5:BC$38,"CIC NA",BM$5:BM$38)</f>
        <v>0</v>
      </c>
      <c r="BN74" s="34"/>
      <c r="BO74" s="29"/>
      <c r="BP74" s="29"/>
      <c r="BQ74" s="29"/>
      <c r="BR74" s="29"/>
      <c r="BS74" s="29"/>
      <c r="BT74" s="29"/>
      <c r="BU74" s="29"/>
      <c r="BV74" s="29"/>
      <c r="BW74" s="29"/>
      <c r="BX74" s="29"/>
      <c r="BY74" s="29"/>
      <c r="BZ74" s="31">
        <f>SUMIF(BP$5:BP$38,"CIC NA",BZ$5:BZ$38)</f>
        <v>0</v>
      </c>
      <c r="CA74" s="34"/>
      <c r="CB74" s="29"/>
      <c r="CC74" s="29"/>
      <c r="CD74" s="33"/>
      <c r="CE74" s="33"/>
      <c r="CF74" s="33"/>
      <c r="CG74" s="33"/>
      <c r="CH74" s="33"/>
      <c r="CI74" s="33"/>
      <c r="CJ74" s="33"/>
      <c r="CK74" s="33"/>
      <c r="CL74" s="33"/>
      <c r="CM74" s="31" t="e">
        <f>SUMIF(CC$5:CC$38,"CIC NA",CM$5:CM$38)</f>
        <v>#REF!</v>
      </c>
      <c r="CN74" s="34"/>
      <c r="CO74" s="33"/>
      <c r="CP74" s="33"/>
      <c r="CQ74" s="33"/>
      <c r="CR74" s="33"/>
      <c r="CS74" s="33"/>
      <c r="CT74" s="33"/>
      <c r="CU74" s="33"/>
      <c r="CV74" s="33"/>
      <c r="CW74" s="33"/>
      <c r="CX74" s="33"/>
      <c r="CY74" s="34"/>
      <c r="CZ74" s="31">
        <f>SUMIF(CP$7:CP$37,"CIC NA",CZ$7:CZ$37)</f>
        <v>0</v>
      </c>
      <c r="DA74" s="34"/>
      <c r="DB74" s="33"/>
      <c r="DC74" s="33"/>
      <c r="DD74" s="33"/>
      <c r="DE74" s="33"/>
      <c r="DF74" s="33"/>
      <c r="DG74" s="33"/>
      <c r="DH74" s="33"/>
      <c r="DI74" s="33"/>
      <c r="DJ74" s="33"/>
      <c r="DK74" s="33"/>
      <c r="DL74" s="34"/>
      <c r="DM74" s="31" t="e">
        <f>SUMIF(DC$5:DC$38,"CIC NA",DM$5:DM$38)</f>
        <v>#REF!</v>
      </c>
      <c r="DN74" s="34"/>
      <c r="DO74" s="33"/>
      <c r="DP74" s="33"/>
      <c r="DQ74" s="33"/>
      <c r="DR74" s="33"/>
      <c r="DS74" s="33"/>
      <c r="DT74" s="33"/>
      <c r="DU74" s="33"/>
      <c r="DV74" s="33"/>
      <c r="DW74" s="33"/>
      <c r="DX74" s="34"/>
      <c r="DY74" s="34"/>
      <c r="DZ74" s="31">
        <f>SUMIF(DP$5:DP$38,"CIC NA",DZ$5:DZ$38)</f>
        <v>0</v>
      </c>
      <c r="EA74" s="34"/>
      <c r="EB74" s="33"/>
      <c r="EC74" s="33"/>
      <c r="ED74" s="33"/>
      <c r="EE74" s="33"/>
      <c r="EF74" s="33"/>
      <c r="EG74" s="33"/>
      <c r="EH74" s="33"/>
      <c r="EI74" s="33"/>
      <c r="EJ74" s="33"/>
      <c r="EK74" s="33"/>
      <c r="EL74" s="34"/>
      <c r="EM74" s="31">
        <f>SUMIF(EC$5:EC$38,"CIC NA",EM$5:EM$38)</f>
        <v>0</v>
      </c>
      <c r="EN74" s="34"/>
      <c r="EO74" s="33"/>
      <c r="EP74" s="33"/>
      <c r="EQ74" s="33"/>
      <c r="ER74" s="33"/>
      <c r="ES74" s="33"/>
      <c r="ET74" s="33"/>
      <c r="EU74" s="33"/>
      <c r="EV74" s="33"/>
      <c r="EW74" s="33"/>
      <c r="EX74" s="33"/>
      <c r="EY74" s="34"/>
      <c r="EZ74" s="31">
        <f>SUMIF(EP$5:EP$38,"CIC NA",EZ$5:EZ$38)</f>
        <v>0</v>
      </c>
      <c r="FA74" s="34"/>
      <c r="FB74" s="36"/>
      <c r="FC74" s="48"/>
      <c r="FD74" s="48"/>
      <c r="FE74" s="48"/>
      <c r="FF74" s="48"/>
      <c r="FG74" s="48"/>
      <c r="FH74" s="48"/>
      <c r="FI74" s="48"/>
      <c r="FJ74" s="48"/>
      <c r="FK74" s="48"/>
      <c r="FL74" s="48"/>
      <c r="FM74" s="48"/>
      <c r="FN74" s="48"/>
      <c r="FO74" s="48"/>
      <c r="FP74" s="48"/>
      <c r="FQ74" s="48"/>
      <c r="FR74" s="48"/>
      <c r="FS74" s="48"/>
      <c r="FT74" s="48"/>
      <c r="FU74" s="48"/>
      <c r="FV74" s="48"/>
      <c r="FW74" s="36"/>
      <c r="FX74" s="29" t="e">
        <f t="shared" si="2"/>
        <v>#REF!</v>
      </c>
      <c r="FY74" s="29" t="e">
        <f t="shared" si="7"/>
        <v>#REF!</v>
      </c>
      <c r="FZ74" s="29" t="e">
        <f t="shared" si="8"/>
        <v>#REF!</v>
      </c>
      <c r="GA74" s="29">
        <f t="shared" si="9"/>
        <v>0</v>
      </c>
      <c r="GB74" s="36"/>
      <c r="GC74" s="41" t="e">
        <f t="shared" si="0"/>
        <v>#REF!</v>
      </c>
      <c r="GD74" s="36"/>
      <c r="GE74" s="36"/>
      <c r="GF74" s="36"/>
      <c r="GG74" s="36"/>
      <c r="GH74" s="36"/>
      <c r="GI74" s="36"/>
      <c r="GJ74" s="36"/>
      <c r="GK74" s="36"/>
      <c r="GL74" s="36"/>
      <c r="GM74" s="36"/>
      <c r="GN74" s="36"/>
      <c r="GO74" s="36"/>
      <c r="GP74" s="36"/>
      <c r="GQ74" s="36"/>
      <c r="GR74" s="36"/>
      <c r="GS74" s="36"/>
      <c r="GT74" s="36"/>
      <c r="GU74" s="36"/>
      <c r="GV74" s="36"/>
      <c r="GW74" s="36"/>
      <c r="GX74" s="36"/>
      <c r="GY74" s="36"/>
      <c r="GZ74" s="36"/>
      <c r="HA74" s="36"/>
      <c r="HB74" s="36"/>
      <c r="HC74" s="36"/>
      <c r="HD74" s="36"/>
      <c r="HE74" s="36"/>
      <c r="HF74" s="36"/>
      <c r="HG74" s="36"/>
      <c r="HH74" s="36"/>
      <c r="HI74" s="36"/>
      <c r="HJ74" s="36"/>
      <c r="HK74" s="36"/>
      <c r="HL74" s="36"/>
      <c r="HM74" s="36"/>
      <c r="HN74" s="36"/>
      <c r="HO74" s="36"/>
      <c r="HP74" s="36"/>
      <c r="HQ74" s="36"/>
      <c r="HR74" s="36"/>
      <c r="HS74" s="36"/>
      <c r="HT74" s="36"/>
      <c r="HU74" s="36"/>
      <c r="HV74" s="36"/>
      <c r="HW74" s="36"/>
      <c r="HX74" s="36"/>
      <c r="HY74" s="36"/>
      <c r="HZ74" s="36"/>
      <c r="IA74" s="36"/>
    </row>
    <row r="75" spans="1:235">
      <c r="A75" s="42" t="s">
        <v>1365</v>
      </c>
      <c r="B75" s="28"/>
      <c r="C75" s="29"/>
      <c r="D75" s="29"/>
      <c r="E75" s="28"/>
      <c r="F75" s="28"/>
      <c r="G75" s="28"/>
      <c r="H75" s="28"/>
      <c r="I75" s="28"/>
      <c r="J75" s="28"/>
      <c r="K75" s="28"/>
      <c r="L75" s="28"/>
      <c r="M75" s="31">
        <f>SUMIF(C$5:C$38,"PH",M$5:M$38)</f>
        <v>0</v>
      </c>
      <c r="N75" s="34"/>
      <c r="O75" s="29"/>
      <c r="P75" s="29"/>
      <c r="Q75" s="29"/>
      <c r="R75" s="33"/>
      <c r="S75" s="33"/>
      <c r="T75" s="34"/>
      <c r="U75" s="34"/>
      <c r="V75" s="34"/>
      <c r="W75" s="34"/>
      <c r="X75" s="34"/>
      <c r="Y75" s="34"/>
      <c r="Z75" s="31">
        <f>SUMIF(P$5:P$38,"PH",Z$5:Z$38)</f>
        <v>0</v>
      </c>
      <c r="AA75" s="34"/>
      <c r="AB75" s="29"/>
      <c r="AC75" s="29"/>
      <c r="AD75" s="29"/>
      <c r="AE75" s="33"/>
      <c r="AF75" s="33"/>
      <c r="AG75" s="34"/>
      <c r="AH75" s="34"/>
      <c r="AI75" s="34"/>
      <c r="AJ75" s="34"/>
      <c r="AK75" s="34"/>
      <c r="AL75" s="34"/>
      <c r="AM75" s="31">
        <f>SUMIF(AC$5:AC$38,"PH",AM$5:AM$38)</f>
        <v>0</v>
      </c>
      <c r="AN75" s="34"/>
      <c r="AO75" s="29"/>
      <c r="AP75" s="29"/>
      <c r="AQ75" s="29"/>
      <c r="AR75" s="29"/>
      <c r="AS75" s="29"/>
      <c r="AT75" s="29"/>
      <c r="AU75" s="29"/>
      <c r="AV75" s="29"/>
      <c r="AW75" s="29"/>
      <c r="AX75" s="29"/>
      <c r="AY75" s="34"/>
      <c r="AZ75" s="31">
        <f>SUMIF(AP$5:AP$38,"PH",AZ$5:AZ$38)</f>
        <v>0</v>
      </c>
      <c r="BA75" s="34"/>
      <c r="BB75" s="29"/>
      <c r="BC75" s="29"/>
      <c r="BD75" s="29"/>
      <c r="BE75" s="29"/>
      <c r="BF75" s="29"/>
      <c r="BG75" s="29"/>
      <c r="BH75" s="29"/>
      <c r="BI75" s="29"/>
      <c r="BJ75" s="29"/>
      <c r="BK75" s="29"/>
      <c r="BL75" s="34"/>
      <c r="BM75" s="31">
        <f>SUMIF(BC$5:BC$38,"PH",BM$5:BM$38)</f>
        <v>0</v>
      </c>
      <c r="BN75" s="34"/>
      <c r="BO75" s="29"/>
      <c r="BP75" s="29"/>
      <c r="BQ75" s="29"/>
      <c r="BR75" s="29"/>
      <c r="BS75" s="29"/>
      <c r="BT75" s="29"/>
      <c r="BU75" s="29"/>
      <c r="BV75" s="29"/>
      <c r="BW75" s="29"/>
      <c r="BX75" s="29"/>
      <c r="BY75" s="29"/>
      <c r="BZ75" s="31">
        <f>SUMIF(BP$5:BP$38,"PH",BZ$5:BZ$38)</f>
        <v>0</v>
      </c>
      <c r="CA75" s="34"/>
      <c r="CB75" s="29"/>
      <c r="CC75" s="29"/>
      <c r="CD75" s="33"/>
      <c r="CE75" s="33"/>
      <c r="CF75" s="33"/>
      <c r="CG75" s="33"/>
      <c r="CH75" s="33"/>
      <c r="CI75" s="33"/>
      <c r="CJ75" s="33"/>
      <c r="CK75" s="33"/>
      <c r="CL75" s="33"/>
      <c r="CM75" s="31">
        <f>SUMIF(CC$5:CC$38,"PH",CM$5:CM$38)</f>
        <v>0</v>
      </c>
      <c r="CN75" s="34"/>
      <c r="CO75" s="33"/>
      <c r="CP75" s="33"/>
      <c r="CQ75" s="33"/>
      <c r="CR75" s="33"/>
      <c r="CS75" s="33"/>
      <c r="CT75" s="33"/>
      <c r="CU75" s="33"/>
      <c r="CV75" s="33"/>
      <c r="CW75" s="33"/>
      <c r="CX75" s="33"/>
      <c r="CY75" s="34"/>
      <c r="CZ75" s="31" t="e">
        <f>SUMIF(CP$7:CP$37,"PH",CZ$7:CZ$37)</f>
        <v>#REF!</v>
      </c>
      <c r="DA75" s="34"/>
      <c r="DB75" s="33"/>
      <c r="DC75" s="33"/>
      <c r="DD75" s="33"/>
      <c r="DE75" s="33"/>
      <c r="DF75" s="33"/>
      <c r="DG75" s="33"/>
      <c r="DH75" s="33"/>
      <c r="DI75" s="33"/>
      <c r="DJ75" s="33"/>
      <c r="DK75" s="33"/>
      <c r="DL75" s="34"/>
      <c r="DM75" s="31">
        <f>SUMIF(DC$5:DC$38,"PH",DM$5:DM$38)</f>
        <v>0</v>
      </c>
      <c r="DN75" s="34"/>
      <c r="DO75" s="33"/>
      <c r="DP75" s="33"/>
      <c r="DQ75" s="33"/>
      <c r="DR75" s="33"/>
      <c r="DS75" s="33"/>
      <c r="DT75" s="33"/>
      <c r="DU75" s="33"/>
      <c r="DV75" s="33"/>
      <c r="DW75" s="33"/>
      <c r="DX75" s="34"/>
      <c r="DY75" s="34"/>
      <c r="DZ75" s="31" t="e">
        <f>SUMIF(DP$5:DP$38,"PH",DZ$5:DZ$38)</f>
        <v>#REF!</v>
      </c>
      <c r="EA75" s="34"/>
      <c r="EB75" s="33"/>
      <c r="EC75" s="33"/>
      <c r="ED75" s="33"/>
      <c r="EE75" s="33"/>
      <c r="EF75" s="33"/>
      <c r="EG75" s="33"/>
      <c r="EH75" s="33"/>
      <c r="EI75" s="33"/>
      <c r="EJ75" s="33"/>
      <c r="EK75" s="33"/>
      <c r="EL75" s="34"/>
      <c r="EM75" s="31">
        <f>SUMIF(EC$5:EC$38,"PH",EM$5:EM$38)</f>
        <v>0</v>
      </c>
      <c r="EN75" s="34"/>
      <c r="EO75" s="33"/>
      <c r="EP75" s="33"/>
      <c r="EQ75" s="33"/>
      <c r="ER75" s="33"/>
      <c r="ES75" s="33"/>
      <c r="ET75" s="33"/>
      <c r="EU75" s="33"/>
      <c r="EV75" s="33"/>
      <c r="EW75" s="33"/>
      <c r="EX75" s="33"/>
      <c r="EY75" s="34"/>
      <c r="EZ75" s="31">
        <f>SUMIF(EP$5:EP$38,"PH",EZ$5:EZ$38)</f>
        <v>0</v>
      </c>
      <c r="FA75" s="34"/>
      <c r="FB75" s="36"/>
      <c r="FC75" s="48"/>
      <c r="FD75" s="48"/>
      <c r="FE75" s="48"/>
      <c r="FF75" s="48"/>
      <c r="FG75" s="48"/>
      <c r="FH75" s="48"/>
      <c r="FI75" s="48"/>
      <c r="FJ75" s="48"/>
      <c r="FK75" s="48"/>
      <c r="FL75" s="48"/>
      <c r="FM75" s="48"/>
      <c r="FN75" s="48"/>
      <c r="FO75" s="48"/>
      <c r="FP75" s="48"/>
      <c r="FQ75" s="48"/>
      <c r="FR75" s="48"/>
      <c r="FS75" s="48"/>
      <c r="FT75" s="48"/>
      <c r="FU75" s="48"/>
      <c r="FV75" s="48"/>
      <c r="FW75" s="36"/>
      <c r="FX75" s="29">
        <f t="shared" si="2"/>
        <v>0</v>
      </c>
      <c r="FY75" s="29">
        <f t="shared" si="7"/>
        <v>0</v>
      </c>
      <c r="FZ75" s="29" t="e">
        <f t="shared" si="8"/>
        <v>#REF!</v>
      </c>
      <c r="GA75" s="29" t="e">
        <f t="shared" si="9"/>
        <v>#REF!</v>
      </c>
      <c r="GB75" s="36"/>
      <c r="GC75" s="41" t="e">
        <f t="shared" si="0"/>
        <v>#REF!</v>
      </c>
      <c r="GD75" s="36"/>
      <c r="GE75" s="36"/>
      <c r="GF75" s="36"/>
      <c r="GG75" s="36"/>
      <c r="GH75" s="36"/>
      <c r="GI75" s="36"/>
      <c r="GJ75" s="36"/>
      <c r="GK75" s="36"/>
      <c r="GL75" s="36"/>
      <c r="GM75" s="36"/>
      <c r="GN75" s="36"/>
      <c r="GO75" s="36"/>
      <c r="GP75" s="36"/>
      <c r="GQ75" s="36"/>
      <c r="GR75" s="36"/>
      <c r="GS75" s="36"/>
      <c r="GT75" s="36"/>
      <c r="GU75" s="36"/>
      <c r="GV75" s="36"/>
      <c r="GW75" s="36"/>
      <c r="GX75" s="36"/>
      <c r="GY75" s="36"/>
      <c r="GZ75" s="36"/>
      <c r="HA75" s="36"/>
      <c r="HB75" s="36"/>
      <c r="HC75" s="36"/>
      <c r="HD75" s="36"/>
      <c r="HE75" s="36"/>
      <c r="HF75" s="36"/>
      <c r="HG75" s="36"/>
      <c r="HH75" s="36"/>
      <c r="HI75" s="36"/>
      <c r="HJ75" s="36"/>
      <c r="HK75" s="36"/>
      <c r="HL75" s="36"/>
      <c r="HM75" s="36"/>
      <c r="HN75" s="36"/>
      <c r="HO75" s="36"/>
      <c r="HP75" s="36"/>
      <c r="HQ75" s="36"/>
      <c r="HR75" s="36"/>
      <c r="HS75" s="36"/>
      <c r="HT75" s="36"/>
      <c r="HU75" s="36"/>
      <c r="HV75" s="36"/>
      <c r="HW75" s="36"/>
      <c r="HX75" s="36"/>
      <c r="HY75" s="36"/>
      <c r="HZ75" s="36"/>
      <c r="IA75" s="36"/>
    </row>
    <row r="76" spans="1:235">
      <c r="A76" s="42" t="s">
        <v>1366</v>
      </c>
      <c r="B76" s="28"/>
      <c r="C76" s="29"/>
      <c r="D76" s="29"/>
      <c r="E76" s="28"/>
      <c r="F76" s="28"/>
      <c r="G76" s="28"/>
      <c r="H76" s="28"/>
      <c r="I76" s="28"/>
      <c r="J76" s="28"/>
      <c r="K76" s="28"/>
      <c r="L76" s="28"/>
      <c r="M76" s="31">
        <f>SUMIF(C$5:C$38,"CIC WE",M$5:M$38)</f>
        <v>0</v>
      </c>
      <c r="N76" s="34"/>
      <c r="O76" s="29"/>
      <c r="P76" s="29"/>
      <c r="Q76" s="29"/>
      <c r="R76" s="33"/>
      <c r="S76" s="33"/>
      <c r="T76" s="34"/>
      <c r="U76" s="34"/>
      <c r="V76" s="34"/>
      <c r="W76" s="34"/>
      <c r="X76" s="34"/>
      <c r="Y76" s="34"/>
      <c r="Z76" s="31" t="e">
        <f>SUMIF(P$5:P$38,"CIC WE",Z$5:Z$38)</f>
        <v>#REF!</v>
      </c>
      <c r="AA76" s="34"/>
      <c r="AB76" s="29"/>
      <c r="AC76" s="29"/>
      <c r="AD76" s="29"/>
      <c r="AE76" s="33"/>
      <c r="AF76" s="33"/>
      <c r="AG76" s="34"/>
      <c r="AH76" s="34"/>
      <c r="AI76" s="34"/>
      <c r="AJ76" s="34"/>
      <c r="AK76" s="34"/>
      <c r="AL76" s="34"/>
      <c r="AM76" s="31">
        <f>SUMIF(AC$5:AC$38,"CIC WE",AM$5:AM$38)</f>
        <v>0</v>
      </c>
      <c r="AN76" s="34"/>
      <c r="AO76" s="29"/>
      <c r="AP76" s="29"/>
      <c r="AQ76" s="29"/>
      <c r="AR76" s="29"/>
      <c r="AS76" s="29"/>
      <c r="AT76" s="29"/>
      <c r="AU76" s="29"/>
      <c r="AV76" s="29"/>
      <c r="AW76" s="29"/>
      <c r="AX76" s="29"/>
      <c r="AY76" s="34"/>
      <c r="AZ76" s="31">
        <f>SUMIF(AP$5:AP$38,"CIC WE",AZ$5:AZ$38)</f>
        <v>0</v>
      </c>
      <c r="BA76" s="34"/>
      <c r="BB76" s="29"/>
      <c r="BC76" s="29"/>
      <c r="BD76" s="29"/>
      <c r="BE76" s="29"/>
      <c r="BF76" s="29"/>
      <c r="BG76" s="29"/>
      <c r="BH76" s="29"/>
      <c r="BI76" s="29"/>
      <c r="BJ76" s="29"/>
      <c r="BK76" s="29"/>
      <c r="BL76" s="34"/>
      <c r="BM76" s="31">
        <f>SUMIF(BC$5:BC$38,"CIC WE",BM$5:BM$38)</f>
        <v>0</v>
      </c>
      <c r="BN76" s="34"/>
      <c r="BO76" s="29"/>
      <c r="BP76" s="29"/>
      <c r="BQ76" s="29"/>
      <c r="BR76" s="29"/>
      <c r="BS76" s="29"/>
      <c r="BT76" s="29"/>
      <c r="BU76" s="29"/>
      <c r="BV76" s="29"/>
      <c r="BW76" s="29"/>
      <c r="BX76" s="29"/>
      <c r="BY76" s="29"/>
      <c r="BZ76" s="31" t="e">
        <f>SUMIF(BP$5:BP$38,"CIC WE",BZ$5:BZ$38)</f>
        <v>#REF!</v>
      </c>
      <c r="CA76" s="34"/>
      <c r="CB76" s="29"/>
      <c r="CC76" s="29"/>
      <c r="CD76" s="33"/>
      <c r="CE76" s="33"/>
      <c r="CF76" s="33"/>
      <c r="CG76" s="33"/>
      <c r="CH76" s="33"/>
      <c r="CI76" s="33"/>
      <c r="CJ76" s="33"/>
      <c r="CK76" s="33"/>
      <c r="CL76" s="33"/>
      <c r="CM76" s="31">
        <f>SUMIF(CC$5:CC$38,"CIC WE",CM$5:CM$38)</f>
        <v>0</v>
      </c>
      <c r="CN76" s="34"/>
      <c r="CO76" s="33"/>
      <c r="CP76" s="33"/>
      <c r="CQ76" s="33"/>
      <c r="CR76" s="33"/>
      <c r="CS76" s="33"/>
      <c r="CT76" s="33"/>
      <c r="CU76" s="33"/>
      <c r="CV76" s="33"/>
      <c r="CW76" s="33"/>
      <c r="CX76" s="33"/>
      <c r="CY76" s="34"/>
      <c r="CZ76" s="31">
        <f>SUMIF(CP$7:CP$37,"CIC WE",CZ$7:CZ$37)</f>
        <v>0</v>
      </c>
      <c r="DA76" s="34"/>
      <c r="DB76" s="33"/>
      <c r="DC76" s="33"/>
      <c r="DD76" s="33"/>
      <c r="DE76" s="33"/>
      <c r="DF76" s="33"/>
      <c r="DG76" s="33"/>
      <c r="DH76" s="33"/>
      <c r="DI76" s="33"/>
      <c r="DJ76" s="33"/>
      <c r="DK76" s="33"/>
      <c r="DL76" s="34"/>
      <c r="DM76" s="31" t="e">
        <f>SUMIF(DC$5:DC$38,"CIC WE",DM$5:DM$38)</f>
        <v>#REF!</v>
      </c>
      <c r="DN76" s="34"/>
      <c r="DO76" s="33"/>
      <c r="DP76" s="33"/>
      <c r="DQ76" s="33"/>
      <c r="DR76" s="33"/>
      <c r="DS76" s="33"/>
      <c r="DT76" s="33"/>
      <c r="DU76" s="33"/>
      <c r="DV76" s="33"/>
      <c r="DW76" s="33"/>
      <c r="DX76" s="34"/>
      <c r="DY76" s="34"/>
      <c r="DZ76" s="31" t="e">
        <f>SUMIF(DP$5:DP$38,"CIC WE",DZ$5:DZ$38)</f>
        <v>#REF!</v>
      </c>
      <c r="EA76" s="34"/>
      <c r="EB76" s="33"/>
      <c r="EC76" s="33"/>
      <c r="ED76" s="33"/>
      <c r="EE76" s="33"/>
      <c r="EF76" s="33"/>
      <c r="EG76" s="33"/>
      <c r="EH76" s="33"/>
      <c r="EI76" s="33"/>
      <c r="EJ76" s="33"/>
      <c r="EK76" s="33"/>
      <c r="EL76" s="34"/>
      <c r="EM76" s="31">
        <f>SUMIF(EC$5:EC$38,"CIC WE",EM$5:EM$38)</f>
        <v>0</v>
      </c>
      <c r="EN76" s="34"/>
      <c r="EO76" s="33"/>
      <c r="EP76" s="33"/>
      <c r="EQ76" s="33"/>
      <c r="ER76" s="33"/>
      <c r="ES76" s="33"/>
      <c r="ET76" s="33"/>
      <c r="EU76" s="33"/>
      <c r="EV76" s="33"/>
      <c r="EW76" s="33"/>
      <c r="EX76" s="33"/>
      <c r="EY76" s="34"/>
      <c r="EZ76" s="31">
        <f>SUMIF(EP$5:EP$38,"CIC WE",EZ$5:EZ$38)</f>
        <v>0</v>
      </c>
      <c r="FA76" s="34"/>
      <c r="FB76" s="36"/>
      <c r="FC76" s="48"/>
      <c r="FD76" s="48"/>
      <c r="FE76" s="48"/>
      <c r="FF76" s="48"/>
      <c r="FG76" s="48"/>
      <c r="FH76" s="48"/>
      <c r="FI76" s="48"/>
      <c r="FJ76" s="48"/>
      <c r="FK76" s="48"/>
      <c r="FL76" s="48"/>
      <c r="FM76" s="48"/>
      <c r="FN76" s="48"/>
      <c r="FO76" s="48"/>
      <c r="FP76" s="48"/>
      <c r="FQ76" s="48"/>
      <c r="FR76" s="48"/>
      <c r="FS76" s="48"/>
      <c r="FT76" s="48"/>
      <c r="FU76" s="48"/>
      <c r="FV76" s="48"/>
      <c r="FW76" s="36"/>
      <c r="FX76" s="29" t="e">
        <f t="shared" si="2"/>
        <v>#REF!</v>
      </c>
      <c r="FY76" s="29" t="e">
        <f t="shared" si="7"/>
        <v>#REF!</v>
      </c>
      <c r="FZ76" s="29" t="e">
        <f t="shared" si="8"/>
        <v>#REF!</v>
      </c>
      <c r="GA76" s="29" t="e">
        <f t="shared" si="9"/>
        <v>#REF!</v>
      </c>
      <c r="GB76" s="36"/>
      <c r="GC76" s="41" t="e">
        <f t="shared" si="0"/>
        <v>#REF!</v>
      </c>
      <c r="GD76" s="36"/>
      <c r="GE76" s="36"/>
      <c r="GF76" s="36"/>
      <c r="GG76" s="36"/>
      <c r="GH76" s="36"/>
      <c r="GI76" s="36"/>
      <c r="GJ76" s="36"/>
      <c r="GK76" s="36"/>
      <c r="GL76" s="36"/>
      <c r="GM76" s="36"/>
      <c r="GN76" s="36"/>
      <c r="GO76" s="36"/>
      <c r="GP76" s="36"/>
      <c r="GQ76" s="36"/>
      <c r="GR76" s="36"/>
      <c r="GS76" s="36"/>
      <c r="GT76" s="36"/>
      <c r="GU76" s="36"/>
      <c r="GV76" s="36"/>
      <c r="GW76" s="36"/>
      <c r="GX76" s="36"/>
      <c r="GY76" s="36"/>
      <c r="GZ76" s="36"/>
      <c r="HA76" s="36"/>
      <c r="HB76" s="36"/>
      <c r="HC76" s="36"/>
      <c r="HD76" s="36"/>
      <c r="HE76" s="36"/>
      <c r="HF76" s="36"/>
      <c r="HG76" s="36"/>
      <c r="HH76" s="36"/>
      <c r="HI76" s="36"/>
      <c r="HJ76" s="36"/>
      <c r="HK76" s="36"/>
      <c r="HL76" s="36"/>
      <c r="HM76" s="36"/>
      <c r="HN76" s="36"/>
      <c r="HO76" s="36"/>
      <c r="HP76" s="36"/>
      <c r="HQ76" s="36"/>
      <c r="HR76" s="36"/>
      <c r="HS76" s="36"/>
      <c r="HT76" s="36"/>
      <c r="HU76" s="36"/>
      <c r="HV76" s="36"/>
      <c r="HW76" s="36"/>
      <c r="HX76" s="36"/>
      <c r="HY76" s="36"/>
      <c r="HZ76" s="36"/>
      <c r="IA76" s="36"/>
    </row>
    <row r="77" spans="1:235">
      <c r="A77" s="42" t="s">
        <v>1367</v>
      </c>
      <c r="B77" s="28"/>
      <c r="C77" s="29"/>
      <c r="D77" s="29"/>
      <c r="E77" s="28"/>
      <c r="F77" s="28"/>
      <c r="G77" s="28"/>
      <c r="H77" s="28"/>
      <c r="I77" s="28"/>
      <c r="J77" s="28"/>
      <c r="K77" s="28"/>
      <c r="L77" s="28"/>
      <c r="M77" s="31" t="e">
        <f>SUMIF(C$5:C$38,"AP",M$5:M$38)</f>
        <v>#REF!</v>
      </c>
      <c r="N77" s="34"/>
      <c r="O77" s="29"/>
      <c r="P77" s="29"/>
      <c r="Q77" s="29"/>
      <c r="R77" s="33"/>
      <c r="S77" s="33"/>
      <c r="T77" s="34"/>
      <c r="U77" s="34"/>
      <c r="V77" s="34"/>
      <c r="W77" s="34"/>
      <c r="X77" s="34"/>
      <c r="Y77" s="34"/>
      <c r="Z77" s="31" t="e">
        <f>SUMIF(P$5:P$38,"AP",Z$5:Z$38)</f>
        <v>#REF!</v>
      </c>
      <c r="AA77" s="34"/>
      <c r="AB77" s="29"/>
      <c r="AC77" s="29"/>
      <c r="AD77" s="29"/>
      <c r="AE77" s="33"/>
      <c r="AF77" s="33"/>
      <c r="AG77" s="34"/>
      <c r="AH77" s="34"/>
      <c r="AI77" s="34"/>
      <c r="AJ77" s="34"/>
      <c r="AK77" s="34"/>
      <c r="AL77" s="34"/>
      <c r="AM77" s="31">
        <f>SUMIF(AC$5:AC$38,"AP",AM$5:AM$38)</f>
        <v>0</v>
      </c>
      <c r="AN77" s="34"/>
      <c r="AO77" s="29"/>
      <c r="AP77" s="29"/>
      <c r="AQ77" s="29"/>
      <c r="AR77" s="29"/>
      <c r="AS77" s="29"/>
      <c r="AT77" s="29"/>
      <c r="AU77" s="29"/>
      <c r="AV77" s="29"/>
      <c r="AW77" s="29"/>
      <c r="AX77" s="29"/>
      <c r="AY77" s="34"/>
      <c r="AZ77" s="31">
        <f>SUMIF(AP$5:AP$38,"AP",AZ$5:AZ$38)</f>
        <v>0</v>
      </c>
      <c r="BA77" s="34"/>
      <c r="BB77" s="29"/>
      <c r="BC77" s="29"/>
      <c r="BD77" s="29"/>
      <c r="BE77" s="29"/>
      <c r="BF77" s="29"/>
      <c r="BG77" s="29"/>
      <c r="BH77" s="29"/>
      <c r="BI77" s="29"/>
      <c r="BJ77" s="29"/>
      <c r="BK77" s="29"/>
      <c r="BL77" s="34"/>
      <c r="BM77" s="31">
        <f>SUMIF(BC$5:BC$38,"AP",BM$5:BM$38)</f>
        <v>0</v>
      </c>
      <c r="BN77" s="34"/>
      <c r="BO77" s="29"/>
      <c r="BP77" s="29"/>
      <c r="BQ77" s="29"/>
      <c r="BR77" s="29"/>
      <c r="BS77" s="29"/>
      <c r="BT77" s="29"/>
      <c r="BU77" s="29"/>
      <c r="BV77" s="29"/>
      <c r="BW77" s="29"/>
      <c r="BX77" s="29"/>
      <c r="BY77" s="29"/>
      <c r="BZ77" s="31">
        <f>SUMIF(BP$5:BP$38,"AP",BZ$5:BZ$38)</f>
        <v>0</v>
      </c>
      <c r="CA77" s="34"/>
      <c r="CB77" s="29"/>
      <c r="CC77" s="29"/>
      <c r="CD77" s="33"/>
      <c r="CE77" s="33"/>
      <c r="CF77" s="33"/>
      <c r="CG77" s="33"/>
      <c r="CH77" s="33"/>
      <c r="CI77" s="33"/>
      <c r="CJ77" s="33"/>
      <c r="CK77" s="33"/>
      <c r="CL77" s="33"/>
      <c r="CM77" s="31" t="e">
        <f>SUMIF(CC$5:CC$38,"AP",CM$5:CM$38)</f>
        <v>#REF!</v>
      </c>
      <c r="CN77" s="34"/>
      <c r="CO77" s="33"/>
      <c r="CP77" s="33"/>
      <c r="CQ77" s="33"/>
      <c r="CR77" s="33"/>
      <c r="CS77" s="33"/>
      <c r="CT77" s="33"/>
      <c r="CU77" s="33"/>
      <c r="CV77" s="33"/>
      <c r="CW77" s="33"/>
      <c r="CX77" s="33"/>
      <c r="CY77" s="34"/>
      <c r="CZ77" s="31" t="e">
        <f>SUMIF(CP$4:CP$37,"AP",CZ$4:CZ$37)</f>
        <v>#REF!</v>
      </c>
      <c r="DA77" s="34"/>
      <c r="DB77" s="33"/>
      <c r="DC77" s="33"/>
      <c r="DD77" s="33"/>
      <c r="DE77" s="33"/>
      <c r="DF77" s="33"/>
      <c r="DG77" s="33"/>
      <c r="DH77" s="33"/>
      <c r="DI77" s="33"/>
      <c r="DJ77" s="33"/>
      <c r="DK77" s="33"/>
      <c r="DL77" s="34"/>
      <c r="DM77" s="31" t="e">
        <f>SUMIF(DC$5:DC$38,"AP",DM$5:DM$38)</f>
        <v>#REF!</v>
      </c>
      <c r="DN77" s="34"/>
      <c r="DO77" s="33"/>
      <c r="DP77" s="33"/>
      <c r="DQ77" s="33"/>
      <c r="DR77" s="33"/>
      <c r="DS77" s="33"/>
      <c r="DT77" s="33"/>
      <c r="DU77" s="33"/>
      <c r="DV77" s="33"/>
      <c r="DW77" s="33"/>
      <c r="DX77" s="34"/>
      <c r="DY77" s="34"/>
      <c r="DZ77" s="31" t="e">
        <f>SUMIF(DP$5:DP$38,"AP",DZ$5:DZ$38)</f>
        <v>#REF!</v>
      </c>
      <c r="EA77" s="34"/>
      <c r="EB77" s="33"/>
      <c r="EC77" s="33"/>
      <c r="ED77" s="33"/>
      <c r="EE77" s="33"/>
      <c r="EF77" s="33"/>
      <c r="EG77" s="33"/>
      <c r="EH77" s="33"/>
      <c r="EI77" s="33"/>
      <c r="EJ77" s="33"/>
      <c r="EK77" s="33"/>
      <c r="EL77" s="34"/>
      <c r="EM77" s="31">
        <f>SUMIF(EC$5:EC$38,"AP",EM$5:EM$38)</f>
        <v>0</v>
      </c>
      <c r="EN77" s="34"/>
      <c r="EO77" s="33"/>
      <c r="EP77" s="33"/>
      <c r="EQ77" s="33"/>
      <c r="ER77" s="33"/>
      <c r="ES77" s="33"/>
      <c r="ET77" s="33"/>
      <c r="EU77" s="33"/>
      <c r="EV77" s="33"/>
      <c r="EW77" s="33"/>
      <c r="EX77" s="33"/>
      <c r="EY77" s="34"/>
      <c r="EZ77" s="31">
        <f>SUMIF(EP$5:EP$38,"AP",EZ$5:EZ$38)</f>
        <v>0</v>
      </c>
      <c r="FA77" s="34"/>
      <c r="FB77" s="36"/>
      <c r="FC77" s="48"/>
      <c r="FD77" s="48"/>
      <c r="FE77" s="48"/>
      <c r="FF77" s="48"/>
      <c r="FG77" s="48"/>
      <c r="FH77" s="48"/>
      <c r="FI77" s="48"/>
      <c r="FJ77" s="48"/>
      <c r="FK77" s="48"/>
      <c r="FL77" s="48"/>
      <c r="FM77" s="48"/>
      <c r="FN77" s="48"/>
      <c r="FO77" s="48"/>
      <c r="FP77" s="48"/>
      <c r="FQ77" s="48"/>
      <c r="FR77" s="48"/>
      <c r="FS77" s="48"/>
      <c r="FT77" s="48"/>
      <c r="FU77" s="48"/>
      <c r="FV77" s="48"/>
      <c r="FW77" s="36"/>
      <c r="FX77" s="29" t="e">
        <f t="shared" si="2"/>
        <v>#REF!</v>
      </c>
      <c r="FY77" s="29">
        <f t="shared" si="7"/>
        <v>0</v>
      </c>
      <c r="FZ77" s="29" t="e">
        <f t="shared" si="8"/>
        <v>#REF!</v>
      </c>
      <c r="GA77" s="29" t="e">
        <f t="shared" si="9"/>
        <v>#REF!</v>
      </c>
      <c r="GB77" s="36"/>
      <c r="GC77" s="41" t="e">
        <f t="shared" si="0"/>
        <v>#REF!</v>
      </c>
      <c r="GD77" s="36"/>
      <c r="GE77" s="36"/>
      <c r="GF77" s="36"/>
      <c r="GG77" s="36"/>
      <c r="GH77" s="36"/>
      <c r="GI77" s="36"/>
      <c r="GJ77" s="36"/>
      <c r="GK77" s="36"/>
      <c r="GL77" s="36"/>
      <c r="GM77" s="36"/>
      <c r="GN77" s="36"/>
      <c r="GO77" s="36"/>
      <c r="GP77" s="36"/>
      <c r="GQ77" s="36"/>
      <c r="GR77" s="36"/>
      <c r="GS77" s="36"/>
      <c r="GT77" s="36"/>
      <c r="GU77" s="36"/>
      <c r="GV77" s="36"/>
      <c r="GW77" s="36"/>
      <c r="GX77" s="36"/>
      <c r="GY77" s="36"/>
      <c r="GZ77" s="36"/>
      <c r="HA77" s="36"/>
      <c r="HB77" s="36"/>
      <c r="HC77" s="36"/>
      <c r="HD77" s="36"/>
      <c r="HE77" s="36"/>
      <c r="HF77" s="36"/>
      <c r="HG77" s="36"/>
      <c r="HH77" s="36"/>
      <c r="HI77" s="36"/>
      <c r="HJ77" s="36"/>
      <c r="HK77" s="36"/>
      <c r="HL77" s="36"/>
      <c r="HM77" s="36"/>
      <c r="HN77" s="36"/>
      <c r="HO77" s="36"/>
      <c r="HP77" s="36"/>
      <c r="HQ77" s="36"/>
      <c r="HR77" s="36"/>
      <c r="HS77" s="36"/>
      <c r="HT77" s="36"/>
      <c r="HU77" s="36"/>
      <c r="HV77" s="36"/>
      <c r="HW77" s="36"/>
      <c r="HX77" s="36"/>
      <c r="HY77" s="36"/>
      <c r="HZ77" s="36"/>
      <c r="IA77" s="36"/>
    </row>
    <row r="78" spans="1:235">
      <c r="A78" s="42" t="s">
        <v>1368</v>
      </c>
      <c r="B78" s="28"/>
      <c r="C78" s="29"/>
      <c r="D78" s="29"/>
      <c r="E78" s="28"/>
      <c r="F78" s="28"/>
      <c r="G78" s="28"/>
      <c r="H78" s="28"/>
      <c r="I78" s="28"/>
      <c r="J78" s="28"/>
      <c r="K78" s="28"/>
      <c r="L78" s="28"/>
      <c r="M78" s="31">
        <f>SUMIF(C$5:C$38,"Geo China",M$5:M$38)</f>
        <v>0</v>
      </c>
      <c r="N78" s="34"/>
      <c r="O78" s="29"/>
      <c r="P78" s="29"/>
      <c r="Q78" s="29"/>
      <c r="R78" s="33"/>
      <c r="S78" s="33"/>
      <c r="T78" s="34"/>
      <c r="U78" s="34"/>
      <c r="V78" s="34"/>
      <c r="W78" s="34"/>
      <c r="X78" s="34"/>
      <c r="Y78" s="34"/>
      <c r="Z78" s="31">
        <f>SUMIF(P$5:P$38,"Geo China",Z$5:Z$38)</f>
        <v>0</v>
      </c>
      <c r="AA78" s="34"/>
      <c r="AB78" s="29"/>
      <c r="AC78" s="29"/>
      <c r="AD78" s="29"/>
      <c r="AE78" s="33"/>
      <c r="AF78" s="33"/>
      <c r="AG78" s="34"/>
      <c r="AH78" s="34"/>
      <c r="AI78" s="34"/>
      <c r="AJ78" s="34"/>
      <c r="AK78" s="34"/>
      <c r="AL78" s="34"/>
      <c r="AM78" s="31">
        <f>SUMIF(AC$5:AC$38,"Geo China",AM$5:AM$38)</f>
        <v>0</v>
      </c>
      <c r="AN78" s="34"/>
      <c r="AO78" s="29"/>
      <c r="AP78" s="29"/>
      <c r="AQ78" s="29"/>
      <c r="AR78" s="29"/>
      <c r="AS78" s="29"/>
      <c r="AT78" s="29"/>
      <c r="AU78" s="29"/>
      <c r="AV78" s="29"/>
      <c r="AW78" s="29"/>
      <c r="AX78" s="29"/>
      <c r="AY78" s="34"/>
      <c r="AZ78" s="31">
        <f>SUMIF(AP$5:AP$38,"Geo China",AZ$5:AZ$38)</f>
        <v>0</v>
      </c>
      <c r="BA78" s="34"/>
      <c r="BB78" s="29"/>
      <c r="BC78" s="29"/>
      <c r="BD78" s="29"/>
      <c r="BE78" s="29"/>
      <c r="BF78" s="29"/>
      <c r="BG78" s="29"/>
      <c r="BH78" s="29"/>
      <c r="BI78" s="29"/>
      <c r="BJ78" s="29"/>
      <c r="BK78" s="29"/>
      <c r="BL78" s="34"/>
      <c r="BM78" s="31" t="e">
        <f>SUMIF(BC$5:BC$38,"Geo China",BM$5:BM$38)</f>
        <v>#REF!</v>
      </c>
      <c r="BN78" s="34"/>
      <c r="BO78" s="29"/>
      <c r="BP78" s="29"/>
      <c r="BQ78" s="29"/>
      <c r="BR78" s="29"/>
      <c r="BS78" s="29"/>
      <c r="BT78" s="29"/>
      <c r="BU78" s="29"/>
      <c r="BV78" s="29"/>
      <c r="BW78" s="29"/>
      <c r="BX78" s="29"/>
      <c r="BY78" s="29"/>
      <c r="BZ78" s="31">
        <f>SUMIF(BP$5:BP$38,"Geo China",BZ$5:BZ$38)</f>
        <v>0</v>
      </c>
      <c r="CA78" s="34"/>
      <c r="CB78" s="29"/>
      <c r="CC78" s="29"/>
      <c r="CD78" s="33"/>
      <c r="CE78" s="33"/>
      <c r="CF78" s="33"/>
      <c r="CG78" s="33"/>
      <c r="CH78" s="33"/>
      <c r="CI78" s="33"/>
      <c r="CJ78" s="33"/>
      <c r="CK78" s="33"/>
      <c r="CL78" s="33"/>
      <c r="CM78" s="31" t="e">
        <f>SUMIF(CC$5:CC$38,"Geo China",CM$5:CM$38)</f>
        <v>#REF!</v>
      </c>
      <c r="CN78" s="34"/>
      <c r="CO78" s="33"/>
      <c r="CP78" s="33"/>
      <c r="CQ78" s="33"/>
      <c r="CR78" s="33"/>
      <c r="CS78" s="33"/>
      <c r="CT78" s="33"/>
      <c r="CU78" s="33"/>
      <c r="CV78" s="33"/>
      <c r="CW78" s="33"/>
      <c r="CX78" s="33"/>
      <c r="CY78" s="34"/>
      <c r="CZ78" s="31" t="e">
        <f>SUMIF(CP$7:CP$37,"Geo China",CZ$7:CZ$37)</f>
        <v>#REF!</v>
      </c>
      <c r="DA78" s="34"/>
      <c r="DB78" s="33"/>
      <c r="DC78" s="33"/>
      <c r="DD78" s="33"/>
      <c r="DE78" s="33"/>
      <c r="DF78" s="33"/>
      <c r="DG78" s="33"/>
      <c r="DH78" s="33"/>
      <c r="DI78" s="33"/>
      <c r="DJ78" s="33"/>
      <c r="DK78" s="33"/>
      <c r="DL78" s="34"/>
      <c r="DM78" s="31">
        <f>SUMIF(DC$5:DC$38,"Geo China",DM$5:DM$38)</f>
        <v>0</v>
      </c>
      <c r="DN78" s="34"/>
      <c r="DO78" s="33"/>
      <c r="DP78" s="33"/>
      <c r="DQ78" s="33"/>
      <c r="DR78" s="33"/>
      <c r="DS78" s="33"/>
      <c r="DT78" s="33"/>
      <c r="DU78" s="33"/>
      <c r="DV78" s="33"/>
      <c r="DW78" s="33"/>
      <c r="DX78" s="34"/>
      <c r="DY78" s="34"/>
      <c r="DZ78" s="31">
        <f>SUMIF(DP$5:DP$38,"Geo China",DZ$5:DZ$38)</f>
        <v>0</v>
      </c>
      <c r="EA78" s="34"/>
      <c r="EB78" s="33"/>
      <c r="EC78" s="33"/>
      <c r="ED78" s="33"/>
      <c r="EE78" s="33"/>
      <c r="EF78" s="33"/>
      <c r="EG78" s="33"/>
      <c r="EH78" s="33"/>
      <c r="EI78" s="33"/>
      <c r="EJ78" s="33"/>
      <c r="EK78" s="33"/>
      <c r="EL78" s="34"/>
      <c r="EM78" s="31">
        <f>SUMIF(EC$5:EC$38,"Geo China",EM$5:EM$38)</f>
        <v>0</v>
      </c>
      <c r="EN78" s="34"/>
      <c r="EO78" s="33"/>
      <c r="EP78" s="33"/>
      <c r="EQ78" s="33"/>
      <c r="ER78" s="33"/>
      <c r="ES78" s="33"/>
      <c r="ET78" s="33"/>
      <c r="EU78" s="33"/>
      <c r="EV78" s="33"/>
      <c r="EW78" s="33"/>
      <c r="EX78" s="33"/>
      <c r="EY78" s="34"/>
      <c r="EZ78" s="31">
        <f>SUMIF(EP$5:EP$38,"Geo China",EZ$5:EZ$38)</f>
        <v>0</v>
      </c>
      <c r="FA78" s="34"/>
      <c r="FB78" s="36"/>
      <c r="FC78" s="48"/>
      <c r="FD78" s="48"/>
      <c r="FE78" s="48"/>
      <c r="FF78" s="48"/>
      <c r="FG78" s="48"/>
      <c r="FH78" s="48"/>
      <c r="FI78" s="48"/>
      <c r="FJ78" s="48"/>
      <c r="FK78" s="48"/>
      <c r="FL78" s="48"/>
      <c r="FM78" s="48"/>
      <c r="FN78" s="48"/>
      <c r="FO78" s="48"/>
      <c r="FP78" s="48"/>
      <c r="FQ78" s="48"/>
      <c r="FR78" s="48"/>
      <c r="FS78" s="48"/>
      <c r="FT78" s="48"/>
      <c r="FU78" s="48"/>
      <c r="FV78" s="48"/>
      <c r="FW78" s="36"/>
      <c r="FX78" s="29">
        <f t="shared" si="2"/>
        <v>0</v>
      </c>
      <c r="FY78" s="29" t="e">
        <f t="shared" si="7"/>
        <v>#REF!</v>
      </c>
      <c r="FZ78" s="29" t="e">
        <f t="shared" si="8"/>
        <v>#REF!</v>
      </c>
      <c r="GA78" s="29">
        <f t="shared" si="9"/>
        <v>0</v>
      </c>
      <c r="GB78" s="36"/>
      <c r="GC78" s="41" t="e">
        <f t="shared" si="0"/>
        <v>#REF!</v>
      </c>
      <c r="GD78" s="36"/>
      <c r="GE78" s="36"/>
      <c r="GF78" s="36"/>
      <c r="GG78" s="36"/>
      <c r="GH78" s="36"/>
      <c r="GI78" s="36"/>
      <c r="GJ78" s="36"/>
      <c r="GK78" s="36"/>
      <c r="GL78" s="36"/>
      <c r="GM78" s="36"/>
      <c r="GN78" s="36"/>
      <c r="GO78" s="36"/>
      <c r="GP78" s="36"/>
      <c r="GQ78" s="36"/>
      <c r="GR78" s="36"/>
      <c r="GS78" s="36"/>
      <c r="GT78" s="36"/>
      <c r="GU78" s="36"/>
      <c r="GV78" s="36"/>
      <c r="GW78" s="36"/>
      <c r="GX78" s="36"/>
      <c r="GY78" s="36"/>
      <c r="GZ78" s="36"/>
      <c r="HA78" s="36"/>
      <c r="HB78" s="36"/>
      <c r="HC78" s="36"/>
      <c r="HD78" s="36"/>
      <c r="HE78" s="36"/>
      <c r="HF78" s="36"/>
      <c r="HG78" s="36"/>
      <c r="HH78" s="36"/>
      <c r="HI78" s="36"/>
      <c r="HJ78" s="36"/>
      <c r="HK78" s="36"/>
      <c r="HL78" s="36"/>
      <c r="HM78" s="36"/>
      <c r="HN78" s="36"/>
      <c r="HO78" s="36"/>
      <c r="HP78" s="36"/>
      <c r="HQ78" s="36"/>
      <c r="HR78" s="36"/>
      <c r="HS78" s="36"/>
      <c r="HT78" s="36"/>
      <c r="HU78" s="36"/>
      <c r="HV78" s="36"/>
      <c r="HW78" s="36"/>
      <c r="HX78" s="36"/>
      <c r="HY78" s="36"/>
      <c r="HZ78" s="36"/>
      <c r="IA78" s="36"/>
    </row>
    <row r="79" spans="1:235">
      <c r="A79" s="42" t="s">
        <v>1369</v>
      </c>
      <c r="B79" s="28"/>
      <c r="C79" s="29"/>
      <c r="D79" s="29"/>
      <c r="E79" s="28"/>
      <c r="F79" s="28"/>
      <c r="G79" s="28"/>
      <c r="H79" s="28"/>
      <c r="I79" s="28"/>
      <c r="J79" s="28"/>
      <c r="K79" s="28"/>
      <c r="L79" s="28"/>
      <c r="M79" s="31">
        <f>SUMIF(C$5:C$38,"Japan",M$5:M$38)</f>
        <v>0</v>
      </c>
      <c r="N79" s="34"/>
      <c r="O79" s="29"/>
      <c r="P79" s="29"/>
      <c r="Q79" s="29"/>
      <c r="R79" s="33"/>
      <c r="S79" s="33"/>
      <c r="T79" s="34"/>
      <c r="U79" s="34"/>
      <c r="V79" s="34"/>
      <c r="W79" s="34"/>
      <c r="X79" s="34"/>
      <c r="Y79" s="34"/>
      <c r="Z79" s="31">
        <f>SUMIF(P$5:P$38,"Japan",Z$5:Z$38)</f>
        <v>0</v>
      </c>
      <c r="AA79" s="34"/>
      <c r="AB79" s="29"/>
      <c r="AC79" s="29"/>
      <c r="AD79" s="29"/>
      <c r="AE79" s="33"/>
      <c r="AF79" s="33"/>
      <c r="AG79" s="34"/>
      <c r="AH79" s="34"/>
      <c r="AI79" s="34"/>
      <c r="AJ79" s="34"/>
      <c r="AK79" s="34"/>
      <c r="AL79" s="34"/>
      <c r="AM79" s="31">
        <f>SUMIF(AC$5:AC$38,"Japan",AM$5:AM$38)</f>
        <v>0</v>
      </c>
      <c r="AN79" s="34"/>
      <c r="AO79" s="29"/>
      <c r="AP79" s="29"/>
      <c r="AQ79" s="29"/>
      <c r="AR79" s="29"/>
      <c r="AS79" s="29"/>
      <c r="AT79" s="29"/>
      <c r="AU79" s="29"/>
      <c r="AV79" s="29"/>
      <c r="AW79" s="29"/>
      <c r="AX79" s="29"/>
      <c r="AY79" s="34"/>
      <c r="AZ79" s="31" t="e">
        <f>SUMIF(AP$5:AP$38,"Japan",AZ$5:AZ$38)</f>
        <v>#REF!</v>
      </c>
      <c r="BA79" s="34"/>
      <c r="BB79" s="29"/>
      <c r="BC79" s="29"/>
      <c r="BD79" s="29"/>
      <c r="BE79" s="29"/>
      <c r="BF79" s="29"/>
      <c r="BG79" s="29"/>
      <c r="BH79" s="29"/>
      <c r="BI79" s="29"/>
      <c r="BJ79" s="29"/>
      <c r="BK79" s="29"/>
      <c r="BL79" s="34"/>
      <c r="BM79" s="31">
        <f>SUMIF(BC$5:BC$38,"Japan",BM$5:BM$38)</f>
        <v>0</v>
      </c>
      <c r="BN79" s="34"/>
      <c r="BO79" s="29"/>
      <c r="BP79" s="29"/>
      <c r="BQ79" s="29"/>
      <c r="BR79" s="29"/>
      <c r="BS79" s="29"/>
      <c r="BT79" s="29"/>
      <c r="BU79" s="29"/>
      <c r="BV79" s="29"/>
      <c r="BW79" s="29"/>
      <c r="BX79" s="29"/>
      <c r="BY79" s="29"/>
      <c r="BZ79" s="31">
        <f>SUMIF(BP$5:BP$38,"Japan",BZ$5:BZ$38)</f>
        <v>0</v>
      </c>
      <c r="CA79" s="34"/>
      <c r="CB79" s="29"/>
      <c r="CC79" s="29"/>
      <c r="CD79" s="33"/>
      <c r="CE79" s="33"/>
      <c r="CF79" s="33"/>
      <c r="CG79" s="33"/>
      <c r="CH79" s="33"/>
      <c r="CI79" s="33"/>
      <c r="CJ79" s="33"/>
      <c r="CK79" s="33"/>
      <c r="CL79" s="33"/>
      <c r="CM79" s="31">
        <f>SUMIF(CC$5:CC$38,"Japan",CM$5:CM$38)</f>
        <v>0</v>
      </c>
      <c r="CN79" s="34"/>
      <c r="CO79" s="33"/>
      <c r="CP79" s="33"/>
      <c r="CQ79" s="33"/>
      <c r="CR79" s="33"/>
      <c r="CS79" s="33"/>
      <c r="CT79" s="33"/>
      <c r="CU79" s="33"/>
      <c r="CV79" s="33"/>
      <c r="CW79" s="33"/>
      <c r="CX79" s="33"/>
      <c r="CY79" s="34"/>
      <c r="CZ79" s="31">
        <f>SUMIF(CP$7:CP$37,"Japan",CZ$7:CZ$37)</f>
        <v>0</v>
      </c>
      <c r="DA79" s="34"/>
      <c r="DB79" s="33"/>
      <c r="DC79" s="33"/>
      <c r="DD79" s="33"/>
      <c r="DE79" s="33"/>
      <c r="DF79" s="33"/>
      <c r="DG79" s="33"/>
      <c r="DH79" s="33"/>
      <c r="DI79" s="33"/>
      <c r="DJ79" s="33"/>
      <c r="DK79" s="33"/>
      <c r="DL79" s="34"/>
      <c r="DM79" s="31">
        <f>SUMIF(DC$5:DC$38,"Japan",DM$5:DM$38)</f>
        <v>0</v>
      </c>
      <c r="DN79" s="34"/>
      <c r="DO79" s="33"/>
      <c r="DP79" s="33"/>
      <c r="DQ79" s="33"/>
      <c r="DR79" s="33"/>
      <c r="DS79" s="33"/>
      <c r="DT79" s="33"/>
      <c r="DU79" s="33"/>
      <c r="DV79" s="33"/>
      <c r="DW79" s="33"/>
      <c r="DX79" s="34"/>
      <c r="DY79" s="34"/>
      <c r="DZ79" s="31" t="e">
        <f>SUMIF(DP$5:DP$38,"Japan",DZ$5:DZ$38)</f>
        <v>#REF!</v>
      </c>
      <c r="EA79" s="34"/>
      <c r="EB79" s="33"/>
      <c r="EC79" s="33"/>
      <c r="ED79" s="33"/>
      <c r="EE79" s="33"/>
      <c r="EF79" s="33"/>
      <c r="EG79" s="33"/>
      <c r="EH79" s="33"/>
      <c r="EI79" s="33"/>
      <c r="EJ79" s="33"/>
      <c r="EK79" s="33"/>
      <c r="EL79" s="34"/>
      <c r="EM79" s="31">
        <f>SUMIF(EC$5:EC$38,"Japan",EM$5:EM$38)</f>
        <v>0</v>
      </c>
      <c r="EN79" s="34"/>
      <c r="EO79" s="33"/>
      <c r="EP79" s="33"/>
      <c r="EQ79" s="33"/>
      <c r="ER79" s="33"/>
      <c r="ES79" s="33"/>
      <c r="ET79" s="33"/>
      <c r="EU79" s="33"/>
      <c r="EV79" s="33"/>
      <c r="EW79" s="33"/>
      <c r="EX79" s="33"/>
      <c r="EY79" s="34"/>
      <c r="EZ79" s="31">
        <f>SUMIF(EP$5:EP$38,"Japan",EZ$5:EZ$38)</f>
        <v>0</v>
      </c>
      <c r="FA79" s="34"/>
      <c r="FB79" s="36"/>
      <c r="FC79" s="48"/>
      <c r="FD79" s="48"/>
      <c r="FE79" s="48"/>
      <c r="FF79" s="48"/>
      <c r="FG79" s="48"/>
      <c r="FH79" s="48"/>
      <c r="FI79" s="48"/>
      <c r="FJ79" s="48"/>
      <c r="FK79" s="48"/>
      <c r="FL79" s="48"/>
      <c r="FM79" s="48"/>
      <c r="FN79" s="48"/>
      <c r="FO79" s="48"/>
      <c r="FP79" s="48"/>
      <c r="FQ79" s="48"/>
      <c r="FR79" s="48"/>
      <c r="FS79" s="48"/>
      <c r="FT79" s="48"/>
      <c r="FU79" s="48"/>
      <c r="FV79" s="48"/>
      <c r="FW79" s="36"/>
      <c r="FX79" s="29">
        <f t="shared" si="2"/>
        <v>0</v>
      </c>
      <c r="FY79" s="29" t="e">
        <f t="shared" si="7"/>
        <v>#REF!</v>
      </c>
      <c r="FZ79" s="29">
        <f t="shared" si="8"/>
        <v>0</v>
      </c>
      <c r="GA79" s="29" t="e">
        <f t="shared" si="9"/>
        <v>#REF!</v>
      </c>
      <c r="GB79" s="36"/>
      <c r="GC79" s="41" t="e">
        <f t="shared" si="0"/>
        <v>#REF!</v>
      </c>
      <c r="GD79" s="36"/>
      <c r="GE79" s="36"/>
      <c r="GF79" s="36"/>
      <c r="GG79" s="36"/>
      <c r="GH79" s="36"/>
      <c r="GI79" s="36"/>
      <c r="GJ79" s="36"/>
      <c r="GK79" s="36"/>
      <c r="GL79" s="36"/>
      <c r="GM79" s="36"/>
      <c r="GN79" s="36"/>
      <c r="GO79" s="36"/>
      <c r="GP79" s="36"/>
      <c r="GQ79" s="36"/>
      <c r="GR79" s="36"/>
      <c r="GS79" s="36"/>
      <c r="GT79" s="36"/>
      <c r="GU79" s="36"/>
      <c r="GV79" s="36"/>
      <c r="GW79" s="36"/>
      <c r="GX79" s="36"/>
      <c r="GY79" s="36"/>
      <c r="GZ79" s="36"/>
      <c r="HA79" s="36"/>
      <c r="HB79" s="36"/>
      <c r="HC79" s="36"/>
      <c r="HD79" s="36"/>
      <c r="HE79" s="36"/>
      <c r="HF79" s="36"/>
      <c r="HG79" s="36"/>
      <c r="HH79" s="36"/>
      <c r="HI79" s="36"/>
      <c r="HJ79" s="36"/>
      <c r="HK79" s="36"/>
      <c r="HL79" s="36"/>
      <c r="HM79" s="36"/>
      <c r="HN79" s="36"/>
      <c r="HO79" s="36"/>
      <c r="HP79" s="36"/>
      <c r="HQ79" s="36"/>
      <c r="HR79" s="36"/>
      <c r="HS79" s="36"/>
      <c r="HT79" s="36"/>
      <c r="HU79" s="36"/>
      <c r="HV79" s="36"/>
      <c r="HW79" s="36"/>
      <c r="HX79" s="36"/>
      <c r="HY79" s="36"/>
      <c r="HZ79" s="36"/>
      <c r="IA79" s="36"/>
    </row>
    <row r="80" spans="1:235">
      <c r="A80" s="42" t="s">
        <v>1370</v>
      </c>
      <c r="B80" s="28"/>
      <c r="C80" s="29"/>
      <c r="D80" s="29"/>
      <c r="E80" s="28"/>
      <c r="F80" s="28"/>
      <c r="G80" s="28"/>
      <c r="H80" s="28"/>
      <c r="I80" s="28"/>
      <c r="J80" s="28"/>
      <c r="K80" s="28"/>
      <c r="L80" s="28"/>
      <c r="M80" s="31">
        <f>SUMIF(C$5:C$38,"Geo MEA",M$5:M$38)</f>
        <v>0</v>
      </c>
      <c r="N80" s="34"/>
      <c r="O80" s="29"/>
      <c r="P80" s="29"/>
      <c r="Q80" s="29"/>
      <c r="R80" s="33"/>
      <c r="S80" s="33"/>
      <c r="T80" s="34"/>
      <c r="U80" s="34"/>
      <c r="V80" s="34"/>
      <c r="W80" s="34"/>
      <c r="X80" s="34"/>
      <c r="Y80" s="34"/>
      <c r="Z80" s="31">
        <f>SUMIF(P$5:P$38,"Geo MEA",Z$5:Z$38)</f>
        <v>0</v>
      </c>
      <c r="AA80" s="34"/>
      <c r="AB80" s="29"/>
      <c r="AC80" s="29"/>
      <c r="AD80" s="29"/>
      <c r="AE80" s="33"/>
      <c r="AF80" s="33"/>
      <c r="AG80" s="34"/>
      <c r="AH80" s="34"/>
      <c r="AI80" s="34"/>
      <c r="AJ80" s="34"/>
      <c r="AK80" s="34"/>
      <c r="AL80" s="34"/>
      <c r="AM80" s="31">
        <f>SUMIF(AC$5:AC$38,"Geo MEA",AM$5:AM$38)</f>
        <v>0</v>
      </c>
      <c r="AN80" s="34"/>
      <c r="AO80" s="29"/>
      <c r="AP80" s="29"/>
      <c r="AQ80" s="29"/>
      <c r="AR80" s="29"/>
      <c r="AS80" s="29"/>
      <c r="AT80" s="29"/>
      <c r="AU80" s="29"/>
      <c r="AV80" s="29"/>
      <c r="AW80" s="29"/>
      <c r="AX80" s="29"/>
      <c r="AY80" s="34"/>
      <c r="AZ80" s="31">
        <f>SUMIF(AP$5:AP$38,"Geo MEA",AZ$5:AZ$38)</f>
        <v>0</v>
      </c>
      <c r="BA80" s="34"/>
      <c r="BB80" s="29"/>
      <c r="BC80" s="29"/>
      <c r="BD80" s="29"/>
      <c r="BE80" s="29"/>
      <c r="BF80" s="29"/>
      <c r="BG80" s="29"/>
      <c r="BH80" s="29"/>
      <c r="BI80" s="29"/>
      <c r="BJ80" s="29"/>
      <c r="BK80" s="29"/>
      <c r="BL80" s="34"/>
      <c r="BM80" s="31">
        <f>SUMIF(BC$5:BC$38,"Geo MEA",BM$5:BM$38)</f>
        <v>0</v>
      </c>
      <c r="BN80" s="34"/>
      <c r="BO80" s="29"/>
      <c r="BP80" s="29"/>
      <c r="BQ80" s="29"/>
      <c r="BR80" s="29"/>
      <c r="BS80" s="29"/>
      <c r="BT80" s="29"/>
      <c r="BU80" s="29"/>
      <c r="BV80" s="29"/>
      <c r="BW80" s="29"/>
      <c r="BX80" s="29"/>
      <c r="BY80" s="29"/>
      <c r="BZ80" s="31">
        <f>SUMIF(BP$5:BP$38,"Geo MEA",BZ$5:BZ$38)</f>
        <v>0</v>
      </c>
      <c r="CA80" s="34"/>
      <c r="CB80" s="29"/>
      <c r="CC80" s="29"/>
      <c r="CD80" s="33"/>
      <c r="CE80" s="33"/>
      <c r="CF80" s="33"/>
      <c r="CG80" s="33"/>
      <c r="CH80" s="33"/>
      <c r="CI80" s="33"/>
      <c r="CJ80" s="33"/>
      <c r="CK80" s="33"/>
      <c r="CL80" s="33"/>
      <c r="CM80" s="31">
        <f>SUMIF(CC$5:CC$38,"Geo MEA",CM$5:CM$38)</f>
        <v>0</v>
      </c>
      <c r="CN80" s="34"/>
      <c r="CO80" s="33"/>
      <c r="CP80" s="33"/>
      <c r="CQ80" s="33"/>
      <c r="CR80" s="33"/>
      <c r="CS80" s="33"/>
      <c r="CT80" s="33"/>
      <c r="CU80" s="33"/>
      <c r="CV80" s="33"/>
      <c r="CW80" s="33"/>
      <c r="CX80" s="33"/>
      <c r="CY80" s="34"/>
      <c r="CZ80" s="31" t="e">
        <f>SUMIF(CP$7:CP$37,"Geo MEA",CZ$7:CZ$37)</f>
        <v>#REF!</v>
      </c>
      <c r="DA80" s="34"/>
      <c r="DB80" s="33"/>
      <c r="DC80" s="33"/>
      <c r="DD80" s="33"/>
      <c r="DE80" s="33"/>
      <c r="DF80" s="33"/>
      <c r="DG80" s="33"/>
      <c r="DH80" s="33"/>
      <c r="DI80" s="33"/>
      <c r="DJ80" s="33"/>
      <c r="DK80" s="33"/>
      <c r="DL80" s="34"/>
      <c r="DM80" s="31">
        <f>SUMIF(DC$5:DC$38,"Geo MEA",DM$5:DM$38)</f>
        <v>0</v>
      </c>
      <c r="DN80" s="34"/>
      <c r="DO80" s="33"/>
      <c r="DP80" s="33"/>
      <c r="DQ80" s="33"/>
      <c r="DR80" s="33"/>
      <c r="DS80" s="33"/>
      <c r="DT80" s="33"/>
      <c r="DU80" s="33"/>
      <c r="DV80" s="33"/>
      <c r="DW80" s="33"/>
      <c r="DX80" s="34"/>
      <c r="DY80" s="34"/>
      <c r="DZ80" s="31">
        <f>SUMIF(DP$5:DP$38,"Geo MEA",DZ$5:DZ$38)</f>
        <v>0</v>
      </c>
      <c r="EA80" s="34"/>
      <c r="EB80" s="33"/>
      <c r="EC80" s="33"/>
      <c r="ED80" s="33"/>
      <c r="EE80" s="33"/>
      <c r="EF80" s="33"/>
      <c r="EG80" s="33"/>
      <c r="EH80" s="33"/>
      <c r="EI80" s="33"/>
      <c r="EJ80" s="33"/>
      <c r="EK80" s="33"/>
      <c r="EL80" s="34"/>
      <c r="EM80" s="31">
        <f>SUMIF(EC$5:EC$38,"Geo MEA",EM$5:EM$38)</f>
        <v>0</v>
      </c>
      <c r="EN80" s="34"/>
      <c r="EO80" s="33"/>
      <c r="EP80" s="33"/>
      <c r="EQ80" s="33"/>
      <c r="ER80" s="33"/>
      <c r="ES80" s="33"/>
      <c r="ET80" s="33"/>
      <c r="EU80" s="33"/>
      <c r="EV80" s="33"/>
      <c r="EW80" s="33"/>
      <c r="EX80" s="33"/>
      <c r="EY80" s="34"/>
      <c r="EZ80" s="31">
        <f>SUMIF(EP$5:EP$38,"Geo MEA",EZ$5:EZ$38)</f>
        <v>0</v>
      </c>
      <c r="FA80" s="34"/>
      <c r="FB80" s="36"/>
      <c r="FC80" s="48"/>
      <c r="FD80" s="48"/>
      <c r="FE80" s="48"/>
      <c r="FF80" s="48"/>
      <c r="FG80" s="48"/>
      <c r="FH80" s="48"/>
      <c r="FI80" s="48"/>
      <c r="FJ80" s="48"/>
      <c r="FK80" s="48"/>
      <c r="FL80" s="48"/>
      <c r="FM80" s="48"/>
      <c r="FN80" s="48"/>
      <c r="FO80" s="48"/>
      <c r="FP80" s="48"/>
      <c r="FQ80" s="48"/>
      <c r="FR80" s="48"/>
      <c r="FS80" s="48"/>
      <c r="FT80" s="48"/>
      <c r="FU80" s="48"/>
      <c r="FV80" s="48"/>
      <c r="FW80" s="36"/>
      <c r="FX80" s="29">
        <f t="shared" si="2"/>
        <v>0</v>
      </c>
      <c r="FY80" s="29">
        <f t="shared" si="7"/>
        <v>0</v>
      </c>
      <c r="FZ80" s="29" t="e">
        <f t="shared" si="8"/>
        <v>#REF!</v>
      </c>
      <c r="GA80" s="29">
        <f t="shared" si="9"/>
        <v>0</v>
      </c>
      <c r="GB80" s="36"/>
      <c r="GC80" s="41" t="e">
        <f t="shared" si="0"/>
        <v>#REF!</v>
      </c>
      <c r="GD80" s="36"/>
      <c r="GE80" s="36"/>
      <c r="GF80" s="36"/>
      <c r="GG80" s="36"/>
      <c r="GH80" s="36"/>
      <c r="GI80" s="36"/>
      <c r="GJ80" s="36"/>
      <c r="GK80" s="36"/>
      <c r="GL80" s="36"/>
      <c r="GM80" s="36"/>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row>
    <row r="81" spans="1:235">
      <c r="A81" s="42" t="s">
        <v>1371</v>
      </c>
      <c r="B81" s="28"/>
      <c r="C81" s="29"/>
      <c r="D81" s="29"/>
      <c r="E81" s="28"/>
      <c r="F81" s="28"/>
      <c r="G81" s="28"/>
      <c r="H81" s="28"/>
      <c r="I81" s="28"/>
      <c r="J81" s="28"/>
      <c r="K81" s="28"/>
      <c r="L81" s="28"/>
      <c r="M81" s="31">
        <f>SUMIF(C$5:C$38,"Geo NA Canada",M$5:M$38)</f>
        <v>0</v>
      </c>
      <c r="N81" s="34"/>
      <c r="O81" s="29"/>
      <c r="P81" s="29"/>
      <c r="Q81" s="29"/>
      <c r="R81" s="33"/>
      <c r="S81" s="33"/>
      <c r="T81" s="34"/>
      <c r="U81" s="34"/>
      <c r="V81" s="34"/>
      <c r="W81" s="34"/>
      <c r="X81" s="34"/>
      <c r="Y81" s="34"/>
      <c r="Z81" s="31">
        <f>SUMIF(P$5:P$38,"Geo NA Canada",Z$5:Z$38)</f>
        <v>47</v>
      </c>
      <c r="AA81" s="34"/>
      <c r="AB81" s="29"/>
      <c r="AC81" s="29"/>
      <c r="AD81" s="29"/>
      <c r="AE81" s="33"/>
      <c r="AF81" s="33"/>
      <c r="AG81" s="34"/>
      <c r="AH81" s="34"/>
      <c r="AI81" s="34"/>
      <c r="AJ81" s="34"/>
      <c r="AK81" s="34"/>
      <c r="AL81" s="34"/>
      <c r="AM81" s="31">
        <f>SUMIF(AC$5:AC$38,"Geo NA Canada",AM$5:AM$38)</f>
        <v>2</v>
      </c>
      <c r="AN81" s="34"/>
      <c r="AO81" s="29"/>
      <c r="AP81" s="29"/>
      <c r="AQ81" s="29"/>
      <c r="AR81" s="29"/>
      <c r="AS81" s="29"/>
      <c r="AT81" s="29"/>
      <c r="AU81" s="29"/>
      <c r="AV81" s="29"/>
      <c r="AW81" s="29"/>
      <c r="AX81" s="29"/>
      <c r="AY81" s="34"/>
      <c r="AZ81" s="31">
        <f>SUMIF(AP$5:AP$38,"Geo NA Canada",AZ$5:AZ$38)</f>
        <v>24</v>
      </c>
      <c r="BA81" s="34"/>
      <c r="BB81" s="29"/>
      <c r="BC81" s="29"/>
      <c r="BD81" s="29"/>
      <c r="BE81" s="29"/>
      <c r="BF81" s="29"/>
      <c r="BG81" s="29"/>
      <c r="BH81" s="29"/>
      <c r="BI81" s="29"/>
      <c r="BJ81" s="29"/>
      <c r="BK81" s="29"/>
      <c r="BL81" s="34"/>
      <c r="BM81" s="31">
        <f>SUMIF(BC$5:BC$38,"Geo NA Canada",BM$5:BM$38)</f>
        <v>0</v>
      </c>
      <c r="BN81" s="34"/>
      <c r="BO81" s="29"/>
      <c r="BP81" s="29"/>
      <c r="BQ81" s="29"/>
      <c r="BR81" s="29"/>
      <c r="BS81" s="29"/>
      <c r="BT81" s="29"/>
      <c r="BU81" s="29"/>
      <c r="BV81" s="29"/>
      <c r="BW81" s="29"/>
      <c r="BX81" s="29"/>
      <c r="BY81" s="29"/>
      <c r="BZ81" s="31">
        <f>SUMIF(BP$5:BP$38,"Geo NA Canada",BZ$5:BZ$38)</f>
        <v>0</v>
      </c>
      <c r="CA81" s="34"/>
      <c r="CB81" s="29"/>
      <c r="CC81" s="29"/>
      <c r="CD81" s="33"/>
      <c r="CE81" s="33"/>
      <c r="CF81" s="33"/>
      <c r="CG81" s="33"/>
      <c r="CH81" s="33"/>
      <c r="CI81" s="33"/>
      <c r="CJ81" s="33"/>
      <c r="CK81" s="33"/>
      <c r="CL81" s="33"/>
      <c r="CM81" s="31">
        <f>SUMIF(CC$5:CC$38,"Geo NA Canada",CM$5:CM$38)</f>
        <v>2</v>
      </c>
      <c r="CN81" s="34"/>
      <c r="CO81" s="33"/>
      <c r="CP81" s="33"/>
      <c r="CQ81" s="33"/>
      <c r="CR81" s="33"/>
      <c r="CS81" s="33"/>
      <c r="CT81" s="33"/>
      <c r="CU81" s="33"/>
      <c r="CV81" s="33"/>
      <c r="CW81" s="33"/>
      <c r="CX81" s="33"/>
      <c r="CY81" s="34"/>
      <c r="CZ81" s="31" t="e">
        <f>SUMIF(CP$7:CP$37,"Geo NA Canada",CZ$7:CZ$37)</f>
        <v>#REF!</v>
      </c>
      <c r="DA81" s="34"/>
      <c r="DB81" s="33"/>
      <c r="DC81" s="33"/>
      <c r="DD81" s="33"/>
      <c r="DE81" s="33"/>
      <c r="DF81" s="33"/>
      <c r="DG81" s="33"/>
      <c r="DH81" s="33"/>
      <c r="DI81" s="33"/>
      <c r="DJ81" s="33"/>
      <c r="DK81" s="33"/>
      <c r="DL81" s="34"/>
      <c r="DM81" s="31">
        <f>SUMIF(DC$5:DC$38,"Geo NA Canada",DM$5:DM$38)</f>
        <v>0</v>
      </c>
      <c r="DN81" s="34"/>
      <c r="DO81" s="33"/>
      <c r="DP81" s="33"/>
      <c r="DQ81" s="33"/>
      <c r="DR81" s="33"/>
      <c r="DS81" s="33"/>
      <c r="DT81" s="33"/>
      <c r="DU81" s="33"/>
      <c r="DV81" s="33"/>
      <c r="DW81" s="33"/>
      <c r="DX81" s="34"/>
      <c r="DY81" s="34"/>
      <c r="DZ81" s="31">
        <f>SUMIF(DP$5:DP$38,"Geo NA Canada",DZ$5:DZ$38)</f>
        <v>25</v>
      </c>
      <c r="EA81" s="34"/>
      <c r="EB81" s="33"/>
      <c r="EC81" s="33"/>
      <c r="ED81" s="33"/>
      <c r="EE81" s="33"/>
      <c r="EF81" s="33"/>
      <c r="EG81" s="33"/>
      <c r="EH81" s="33"/>
      <c r="EI81" s="33"/>
      <c r="EJ81" s="33"/>
      <c r="EK81" s="33"/>
      <c r="EL81" s="34"/>
      <c r="EM81" s="31">
        <f>SUMIF(EC$5:EC$38,"Geo NA Canada",EM$5:EM$38)</f>
        <v>0</v>
      </c>
      <c r="EN81" s="34"/>
      <c r="EO81" s="33"/>
      <c r="EP81" s="33"/>
      <c r="EQ81" s="33"/>
      <c r="ER81" s="33"/>
      <c r="ES81" s="33"/>
      <c r="ET81" s="33"/>
      <c r="EU81" s="33"/>
      <c r="EV81" s="33"/>
      <c r="EW81" s="33"/>
      <c r="EX81" s="33"/>
      <c r="EY81" s="34"/>
      <c r="EZ81" s="31">
        <f>SUMIF(EP$5:EP$38,"Geo NA Canada",EZ$5:EZ$38)</f>
        <v>0</v>
      </c>
      <c r="FA81" s="34"/>
      <c r="FB81" s="36"/>
      <c r="FC81" s="48"/>
      <c r="FD81" s="48"/>
      <c r="FE81" s="48"/>
      <c r="FF81" s="48"/>
      <c r="FG81" s="48"/>
      <c r="FH81" s="48"/>
      <c r="FI81" s="48"/>
      <c r="FJ81" s="48"/>
      <c r="FK81" s="48"/>
      <c r="FL81" s="48"/>
      <c r="FM81" s="48"/>
      <c r="FN81" s="48"/>
      <c r="FO81" s="48"/>
      <c r="FP81" s="48"/>
      <c r="FQ81" s="48"/>
      <c r="FR81" s="48"/>
      <c r="FS81" s="48"/>
      <c r="FT81" s="48"/>
      <c r="FU81" s="48"/>
      <c r="FV81" s="48"/>
      <c r="FW81" s="36"/>
      <c r="FX81" s="29">
        <f t="shared" si="2"/>
        <v>49</v>
      </c>
      <c r="FY81" s="29">
        <f t="shared" si="7"/>
        <v>24</v>
      </c>
      <c r="FZ81" s="29" t="e">
        <f t="shared" si="8"/>
        <v>#REF!</v>
      </c>
      <c r="GA81" s="29">
        <f t="shared" si="9"/>
        <v>25</v>
      </c>
      <c r="GB81" s="36"/>
      <c r="GC81" s="41" t="e">
        <f t="shared" si="0"/>
        <v>#REF!</v>
      </c>
      <c r="GD81" s="36"/>
      <c r="GE81" s="36"/>
      <c r="GF81" s="36"/>
      <c r="GG81" s="36"/>
      <c r="GH81" s="36"/>
      <c r="GI81" s="36"/>
      <c r="GJ81" s="36"/>
      <c r="GK81" s="36"/>
      <c r="GL81" s="36"/>
      <c r="GM81" s="36"/>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row>
    <row r="82" spans="1:235">
      <c r="A82" s="42" t="s">
        <v>1372</v>
      </c>
      <c r="B82" s="28"/>
      <c r="C82" s="29"/>
      <c r="D82" s="29"/>
      <c r="E82" s="28"/>
      <c r="F82" s="28"/>
      <c r="G82" s="28"/>
      <c r="H82" s="28"/>
      <c r="I82" s="28"/>
      <c r="J82" s="28"/>
      <c r="K82" s="28"/>
      <c r="L82" s="28"/>
      <c r="M82" s="31">
        <f>SUMIF(C$5:C$38,"Geo NA US",M$5:M$38)</f>
        <v>0</v>
      </c>
      <c r="N82" s="34"/>
      <c r="O82" s="29"/>
      <c r="P82" s="29"/>
      <c r="Q82" s="29"/>
      <c r="R82" s="33"/>
      <c r="S82" s="33"/>
      <c r="T82" s="34"/>
      <c r="U82" s="34"/>
      <c r="V82" s="34"/>
      <c r="W82" s="34"/>
      <c r="X82" s="34"/>
      <c r="Y82" s="34"/>
      <c r="Z82" s="31">
        <f>SUMIF(P$5:P$38,"Geo NA US",Z$5:Z$38)</f>
        <v>0</v>
      </c>
      <c r="AA82" s="34"/>
      <c r="AB82" s="29"/>
      <c r="AC82" s="29"/>
      <c r="AD82" s="29"/>
      <c r="AE82" s="33"/>
      <c r="AF82" s="33"/>
      <c r="AG82" s="34"/>
      <c r="AH82" s="34"/>
      <c r="AI82" s="34"/>
      <c r="AJ82" s="34"/>
      <c r="AK82" s="34"/>
      <c r="AL82" s="34"/>
      <c r="AM82" s="31" t="e">
        <f>SUMIF(AC$5:AC$38,"Geo NA US",AM$5:AM$38)</f>
        <v>#REF!</v>
      </c>
      <c r="AN82" s="34"/>
      <c r="AO82" s="29"/>
      <c r="AP82" s="29"/>
      <c r="AQ82" s="29"/>
      <c r="AR82" s="29"/>
      <c r="AS82" s="29"/>
      <c r="AT82" s="29"/>
      <c r="AU82" s="29"/>
      <c r="AV82" s="29"/>
      <c r="AW82" s="29"/>
      <c r="AX82" s="29"/>
      <c r="AY82" s="34"/>
      <c r="AZ82" s="31" t="e">
        <f>SUMIF(AP$5:AP$38,"Geo NA US",AZ$5:AZ$38)</f>
        <v>#REF!</v>
      </c>
      <c r="BA82" s="34"/>
      <c r="BB82" s="29"/>
      <c r="BC82" s="29"/>
      <c r="BD82" s="29"/>
      <c r="BE82" s="29"/>
      <c r="BF82" s="29"/>
      <c r="BG82" s="29"/>
      <c r="BH82" s="29"/>
      <c r="BI82" s="29"/>
      <c r="BJ82" s="29"/>
      <c r="BK82" s="29"/>
      <c r="BL82" s="34"/>
      <c r="BM82" s="31">
        <f>SUMIF(BC$5:BC$38,"Geo NA US",BM$5:BM$38)</f>
        <v>0</v>
      </c>
      <c r="BN82" s="34"/>
      <c r="BO82" s="29"/>
      <c r="BP82" s="29"/>
      <c r="BQ82" s="29"/>
      <c r="BR82" s="29"/>
      <c r="BS82" s="29"/>
      <c r="BT82" s="29"/>
      <c r="BU82" s="29"/>
      <c r="BV82" s="29"/>
      <c r="BW82" s="29"/>
      <c r="BX82" s="29"/>
      <c r="BY82" s="29"/>
      <c r="BZ82" s="31">
        <f>SUMIF(BP$5:BP$38,"Geo NA US",BZ$5:BZ$38)</f>
        <v>0</v>
      </c>
      <c r="CA82" s="34"/>
      <c r="CB82" s="29"/>
      <c r="CC82" s="29"/>
      <c r="CD82" s="33"/>
      <c r="CE82" s="33"/>
      <c r="CF82" s="33"/>
      <c r="CG82" s="33"/>
      <c r="CH82" s="33"/>
      <c r="CI82" s="33"/>
      <c r="CJ82" s="33"/>
      <c r="CK82" s="33"/>
      <c r="CL82" s="33"/>
      <c r="CM82" s="31" t="e">
        <f>SUMIF(CC$5:CC$38,"Geo NA US",CM$5:CM$38)</f>
        <v>#REF!</v>
      </c>
      <c r="CN82" s="34"/>
      <c r="CO82" s="33"/>
      <c r="CP82" s="33"/>
      <c r="CQ82" s="33"/>
      <c r="CR82" s="33"/>
      <c r="CS82" s="33"/>
      <c r="CT82" s="33"/>
      <c r="CU82" s="33"/>
      <c r="CV82" s="33"/>
      <c r="CW82" s="33"/>
      <c r="CX82" s="33"/>
      <c r="CY82" s="34"/>
      <c r="CZ82" s="31" t="e">
        <f>SUMIF(CP$7:CP$37,"Geo NA US",CZ$7:CZ$37)</f>
        <v>#REF!</v>
      </c>
      <c r="DA82" s="34"/>
      <c r="DB82" s="33"/>
      <c r="DC82" s="33"/>
      <c r="DD82" s="33"/>
      <c r="DE82" s="33"/>
      <c r="DF82" s="33"/>
      <c r="DG82" s="33"/>
      <c r="DH82" s="33"/>
      <c r="DI82" s="33"/>
      <c r="DJ82" s="33"/>
      <c r="DK82" s="33"/>
      <c r="DL82" s="34"/>
      <c r="DM82" s="31">
        <f>SUMIF(DC$5:DC$38,"Geo NA US",DM$5:DM$38)</f>
        <v>27</v>
      </c>
      <c r="DN82" s="34"/>
      <c r="DO82" s="33"/>
      <c r="DP82" s="33"/>
      <c r="DQ82" s="33"/>
      <c r="DR82" s="33"/>
      <c r="DS82" s="33"/>
      <c r="DT82" s="33"/>
      <c r="DU82" s="33"/>
      <c r="DV82" s="33"/>
      <c r="DW82" s="33"/>
      <c r="DX82" s="34"/>
      <c r="DY82" s="34"/>
      <c r="DZ82" s="31">
        <f>SUMIF(DP$5:DP$38,"Geo NA US",DZ$5:DZ$38)</f>
        <v>29</v>
      </c>
      <c r="EA82" s="34"/>
      <c r="EB82" s="33"/>
      <c r="EC82" s="33"/>
      <c r="ED82" s="33"/>
      <c r="EE82" s="33"/>
      <c r="EF82" s="33"/>
      <c r="EG82" s="33"/>
      <c r="EH82" s="33"/>
      <c r="EI82" s="33"/>
      <c r="EJ82" s="33"/>
      <c r="EK82" s="33"/>
      <c r="EL82" s="34"/>
      <c r="EM82" s="31">
        <f>SUMIF(EC$5:EC$38,"Geo NA US",EM$5:EM$38)</f>
        <v>20</v>
      </c>
      <c r="EN82" s="34"/>
      <c r="EO82" s="33"/>
      <c r="EP82" s="33"/>
      <c r="EQ82" s="33"/>
      <c r="ER82" s="33"/>
      <c r="ES82" s="33"/>
      <c r="ET82" s="33"/>
      <c r="EU82" s="33"/>
      <c r="EV82" s="33"/>
      <c r="EW82" s="33"/>
      <c r="EX82" s="33"/>
      <c r="EY82" s="34"/>
      <c r="EZ82" s="31">
        <f>SUMIF(EP$5:EP$38,"Geo NA US",EZ$5:EZ$38)</f>
        <v>0</v>
      </c>
      <c r="FA82" s="34"/>
      <c r="FB82" s="36"/>
      <c r="FC82" s="48"/>
      <c r="FD82" s="48"/>
      <c r="FE82" s="48"/>
      <c r="FF82" s="48"/>
      <c r="FG82" s="48"/>
      <c r="FH82" s="48"/>
      <c r="FI82" s="48"/>
      <c r="FJ82" s="48"/>
      <c r="FK82" s="48"/>
      <c r="FL82" s="48"/>
      <c r="FM82" s="48"/>
      <c r="FN82" s="48"/>
      <c r="FO82" s="48"/>
      <c r="FP82" s="48"/>
      <c r="FQ82" s="48"/>
      <c r="FR82" s="48"/>
      <c r="FS82" s="48"/>
      <c r="FT82" s="48"/>
      <c r="FU82" s="48"/>
      <c r="FV82" s="48"/>
      <c r="FW82" s="36"/>
      <c r="FX82" s="29" t="e">
        <f t="shared" si="2"/>
        <v>#REF!</v>
      </c>
      <c r="FY82" s="29" t="e">
        <f t="shared" si="7"/>
        <v>#REF!</v>
      </c>
      <c r="FZ82" s="29" t="e">
        <f t="shared" si="8"/>
        <v>#REF!</v>
      </c>
      <c r="GA82" s="29">
        <f t="shared" si="9"/>
        <v>49</v>
      </c>
      <c r="GB82" s="36"/>
      <c r="GC82" s="41" t="e">
        <f t="shared" si="0"/>
        <v>#REF!</v>
      </c>
      <c r="GD82" s="36"/>
      <c r="GE82" s="36"/>
      <c r="GF82" s="36"/>
      <c r="GG82" s="36"/>
      <c r="GH82" s="36"/>
      <c r="GI82" s="36"/>
      <c r="GJ82" s="36"/>
      <c r="GK82" s="36"/>
      <c r="GL82" s="36"/>
      <c r="GM82" s="36"/>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row>
    <row r="83" spans="1:235">
      <c r="A83" s="42" t="s">
        <v>1373</v>
      </c>
      <c r="B83" s="28"/>
      <c r="C83" s="29"/>
      <c r="D83" s="29"/>
      <c r="E83" s="28"/>
      <c r="F83" s="28"/>
      <c r="G83" s="28"/>
      <c r="H83" s="28"/>
      <c r="I83" s="28"/>
      <c r="J83" s="28"/>
      <c r="K83" s="28"/>
      <c r="L83" s="28"/>
      <c r="M83" s="31">
        <f>SUMIF(C$5:C$38,"Geo WE",M$5:M$38)</f>
        <v>0</v>
      </c>
      <c r="N83" s="34"/>
      <c r="O83" s="29"/>
      <c r="P83" s="29"/>
      <c r="Q83" s="29"/>
      <c r="R83" s="33"/>
      <c r="S83" s="33"/>
      <c r="T83" s="34"/>
      <c r="U83" s="34"/>
      <c r="V83" s="34"/>
      <c r="W83" s="34"/>
      <c r="X83" s="34"/>
      <c r="Y83" s="34"/>
      <c r="Z83" s="31" t="e">
        <f>SUMIF(P$5:P$38,"Geo WE",Z$5:Z$38)</f>
        <v>#REF!</v>
      </c>
      <c r="AA83" s="34"/>
      <c r="AB83" s="29"/>
      <c r="AC83" s="29"/>
      <c r="AD83" s="29"/>
      <c r="AE83" s="33"/>
      <c r="AF83" s="33"/>
      <c r="AG83" s="34"/>
      <c r="AH83" s="34"/>
      <c r="AI83" s="34"/>
      <c r="AJ83" s="34"/>
      <c r="AK83" s="34"/>
      <c r="AL83" s="34"/>
      <c r="AM83" s="31">
        <f>SUMIF(AC$5:AC$38,"Geo WE",AM$5:AM$38)</f>
        <v>0</v>
      </c>
      <c r="AN83" s="34"/>
      <c r="AO83" s="29"/>
      <c r="AP83" s="29"/>
      <c r="AQ83" s="29"/>
      <c r="AR83" s="29"/>
      <c r="AS83" s="29"/>
      <c r="AT83" s="29"/>
      <c r="AU83" s="29"/>
      <c r="AV83" s="29"/>
      <c r="AW83" s="29"/>
      <c r="AX83" s="29"/>
      <c r="AY83" s="34"/>
      <c r="AZ83" s="31" t="e">
        <f>SUMIF(AP$5:AP$38,"Geo WE",AZ$5:AZ$38)</f>
        <v>#REF!</v>
      </c>
      <c r="BA83" s="34"/>
      <c r="BB83" s="29"/>
      <c r="BC83" s="29"/>
      <c r="BD83" s="29"/>
      <c r="BE83" s="29"/>
      <c r="BF83" s="29"/>
      <c r="BG83" s="29"/>
      <c r="BH83" s="29"/>
      <c r="BI83" s="29"/>
      <c r="BJ83" s="29"/>
      <c r="BK83" s="29"/>
      <c r="BL83" s="34"/>
      <c r="BM83" s="31">
        <f>SUMIF(BC$5:BC$38,"Geo WE",BM$5:BM$38)</f>
        <v>0</v>
      </c>
      <c r="BN83" s="34"/>
      <c r="BO83" s="29"/>
      <c r="BP83" s="29"/>
      <c r="BQ83" s="29"/>
      <c r="BR83" s="29"/>
      <c r="BS83" s="29"/>
      <c r="BT83" s="29"/>
      <c r="BU83" s="29"/>
      <c r="BV83" s="29"/>
      <c r="BW83" s="29"/>
      <c r="BX83" s="29"/>
      <c r="BY83" s="29"/>
      <c r="BZ83" s="31">
        <f>SUMIF(BP$5:BP$38,"Geo WE",BZ$5:BZ$38)</f>
        <v>0</v>
      </c>
      <c r="CA83" s="34"/>
      <c r="CB83" s="29"/>
      <c r="CC83" s="29"/>
      <c r="CD83" s="33"/>
      <c r="CE83" s="33"/>
      <c r="CF83" s="33"/>
      <c r="CG83" s="33"/>
      <c r="CH83" s="33"/>
      <c r="CI83" s="33"/>
      <c r="CJ83" s="33"/>
      <c r="CK83" s="33"/>
      <c r="CL83" s="33"/>
      <c r="CM83" s="31">
        <f>SUMIF(CC$5:CC$38,"Geo WE",CM$5:CM$38)</f>
        <v>0</v>
      </c>
      <c r="CN83" s="34"/>
      <c r="CO83" s="33"/>
      <c r="CP83" s="33"/>
      <c r="CQ83" s="33"/>
      <c r="CR83" s="33"/>
      <c r="CS83" s="33"/>
      <c r="CT83" s="33"/>
      <c r="CU83" s="33"/>
      <c r="CV83" s="33"/>
      <c r="CW83" s="33"/>
      <c r="CX83" s="33"/>
      <c r="CY83" s="34"/>
      <c r="CZ83" s="31" t="e">
        <f>SUMIF(CP$7:CP$37,"Geo WE",CZ$7:CZ$37)</f>
        <v>#REF!</v>
      </c>
      <c r="DA83" s="34"/>
      <c r="DB83" s="33"/>
      <c r="DC83" s="33"/>
      <c r="DD83" s="33"/>
      <c r="DE83" s="33"/>
      <c r="DF83" s="33"/>
      <c r="DG83" s="33"/>
      <c r="DH83" s="33"/>
      <c r="DI83" s="33"/>
      <c r="DJ83" s="33"/>
      <c r="DK83" s="33"/>
      <c r="DL83" s="34"/>
      <c r="DM83" s="31" t="e">
        <f>SUMIF(DC$5:DC$38,"Geo WE",DM$5:DM$38)</f>
        <v>#REF!</v>
      </c>
      <c r="DN83" s="34"/>
      <c r="DO83" s="33"/>
      <c r="DP83" s="33"/>
      <c r="DQ83" s="33"/>
      <c r="DR83" s="33"/>
      <c r="DS83" s="33"/>
      <c r="DT83" s="33"/>
      <c r="DU83" s="33"/>
      <c r="DV83" s="33"/>
      <c r="DW83" s="33"/>
      <c r="DX83" s="34"/>
      <c r="DY83" s="34"/>
      <c r="DZ83" s="31" t="e">
        <f>SUMIF(DP$5:DP$38,"Geo WE",DZ$5:DZ$38)</f>
        <v>#REF!</v>
      </c>
      <c r="EA83" s="34"/>
      <c r="EB83" s="33"/>
      <c r="EC83" s="33"/>
      <c r="ED83" s="33"/>
      <c r="EE83" s="33"/>
      <c r="EF83" s="33"/>
      <c r="EG83" s="33"/>
      <c r="EH83" s="33"/>
      <c r="EI83" s="33"/>
      <c r="EJ83" s="33"/>
      <c r="EK83" s="33"/>
      <c r="EL83" s="34"/>
      <c r="EM83" s="31" t="e">
        <f>SUMIF(EC$5:EC$38,"Geo WE",EM$5:EM$38)</f>
        <v>#REF!</v>
      </c>
      <c r="EN83" s="34"/>
      <c r="EO83" s="33"/>
      <c r="EP83" s="33"/>
      <c r="EQ83" s="33"/>
      <c r="ER83" s="33"/>
      <c r="ES83" s="33"/>
      <c r="ET83" s="33"/>
      <c r="EU83" s="33"/>
      <c r="EV83" s="33"/>
      <c r="EW83" s="33"/>
      <c r="EX83" s="33"/>
      <c r="EY83" s="34"/>
      <c r="EZ83" s="31">
        <f>SUMIF(EP$5:EP$38,"Geo WE",EZ$5:EZ$38)</f>
        <v>0</v>
      </c>
      <c r="FA83" s="34"/>
      <c r="FB83" s="36"/>
      <c r="FC83" s="48"/>
      <c r="FD83" s="48"/>
      <c r="FE83" s="48"/>
      <c r="FF83" s="48"/>
      <c r="FG83" s="48"/>
      <c r="FH83" s="48"/>
      <c r="FI83" s="48"/>
      <c r="FJ83" s="48"/>
      <c r="FK83" s="48"/>
      <c r="FL83" s="48"/>
      <c r="FM83" s="48"/>
      <c r="FN83" s="48"/>
      <c r="FO83" s="48"/>
      <c r="FP83" s="48"/>
      <c r="FQ83" s="48"/>
      <c r="FR83" s="48"/>
      <c r="FS83" s="48"/>
      <c r="FT83" s="48"/>
      <c r="FU83" s="48"/>
      <c r="FV83" s="48"/>
      <c r="FW83" s="36"/>
      <c r="FX83" s="29" t="e">
        <f t="shared" si="2"/>
        <v>#REF!</v>
      </c>
      <c r="FY83" s="29" t="e">
        <f t="shared" si="7"/>
        <v>#REF!</v>
      </c>
      <c r="FZ83" s="29" t="e">
        <f t="shared" si="8"/>
        <v>#REF!</v>
      </c>
      <c r="GA83" s="29" t="e">
        <f t="shared" si="9"/>
        <v>#REF!</v>
      </c>
      <c r="GB83" s="36"/>
      <c r="GC83" s="41" t="e">
        <f t="shared" si="0"/>
        <v>#REF!</v>
      </c>
      <c r="GD83" s="36"/>
      <c r="GE83" s="36"/>
      <c r="GF83" s="36"/>
      <c r="GG83" s="36"/>
      <c r="GH83" s="36"/>
      <c r="GI83" s="36"/>
      <c r="GJ83" s="36"/>
      <c r="GK83" s="36"/>
      <c r="GL83" s="36"/>
      <c r="GM83" s="36"/>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row>
    <row r="84" spans="1:235">
      <c r="A84" s="28" t="s">
        <v>1374</v>
      </c>
      <c r="B84" s="28"/>
      <c r="C84" s="29"/>
      <c r="D84" s="29"/>
      <c r="E84" s="33"/>
      <c r="F84" s="33"/>
      <c r="G84" s="34"/>
      <c r="H84" s="34"/>
      <c r="I84" s="34"/>
      <c r="J84" s="34"/>
      <c r="K84" s="34"/>
      <c r="L84" s="34"/>
      <c r="M84" s="23" t="e">
        <f>SUMIFS(M3:M38, B3:B38, "=CIC")</f>
        <v>#REF!</v>
      </c>
      <c r="N84" s="29"/>
      <c r="O84" s="29"/>
      <c r="P84" s="29"/>
      <c r="Q84" s="29"/>
      <c r="R84" s="33"/>
      <c r="S84" s="33"/>
      <c r="T84" s="34"/>
      <c r="U84" s="34"/>
      <c r="V84" s="34"/>
      <c r="W84" s="34"/>
      <c r="X84" s="34"/>
      <c r="Y84" s="34"/>
      <c r="Z84" s="23" t="e">
        <f>SUMIFS(Z3:Z38, O3:O38, "=CIC")</f>
        <v>#REF!</v>
      </c>
      <c r="AA84" s="29"/>
      <c r="AB84" s="29"/>
      <c r="AC84" s="29"/>
      <c r="AD84" s="29"/>
      <c r="AE84" s="33"/>
      <c r="AF84" s="33"/>
      <c r="AG84" s="34"/>
      <c r="AH84" s="34"/>
      <c r="AI84" s="34"/>
      <c r="AJ84" s="34"/>
      <c r="AK84" s="34"/>
      <c r="AL84" s="34"/>
      <c r="AM84" s="23" t="e">
        <f>SUMIFS(AM3:AM38, AB3:AB38, "=CIC")</f>
        <v>#REF!</v>
      </c>
      <c r="AN84" s="29"/>
      <c r="AO84" s="29"/>
      <c r="AP84" s="29"/>
      <c r="AQ84" s="29"/>
      <c r="AR84" s="29"/>
      <c r="AS84" s="29"/>
      <c r="AT84" s="29"/>
      <c r="AU84" s="29"/>
      <c r="AV84" s="29"/>
      <c r="AW84" s="29"/>
      <c r="AX84" s="29"/>
      <c r="AY84" s="29"/>
      <c r="AZ84" s="23" t="e">
        <f>SUMIFS(AZ4:AZ38, AO4:AO38, "=CIC")</f>
        <v>#REF!</v>
      </c>
      <c r="BA84" s="29"/>
      <c r="BB84" s="29"/>
      <c r="BC84" s="29"/>
      <c r="BD84" s="29"/>
      <c r="BE84" s="29"/>
      <c r="BF84" s="29"/>
      <c r="BG84" s="29"/>
      <c r="BH84" s="29"/>
      <c r="BI84" s="29"/>
      <c r="BJ84" s="29"/>
      <c r="BK84" s="29"/>
      <c r="BL84" s="29"/>
      <c r="BM84" s="23" t="e">
        <f>SUMIFS(BM3:BM38, BB3:BB38, "=CIC")</f>
        <v>#REF!</v>
      </c>
      <c r="BN84" s="29"/>
      <c r="BO84" s="29"/>
      <c r="BP84" s="29"/>
      <c r="BQ84" s="29"/>
      <c r="BR84" s="29"/>
      <c r="BS84" s="29"/>
      <c r="BT84" s="29"/>
      <c r="BU84" s="29"/>
      <c r="BV84" s="29"/>
      <c r="BW84" s="29"/>
      <c r="BX84" s="29"/>
      <c r="BY84" s="29"/>
      <c r="BZ84" s="23" t="e">
        <f>SUMIFS(BZ3:BZ38, BO3:BO38, "=CIC")</f>
        <v>#REF!</v>
      </c>
      <c r="CA84" s="29"/>
      <c r="CB84" s="29"/>
      <c r="CC84" s="29"/>
      <c r="CD84" s="33"/>
      <c r="CE84" s="33"/>
      <c r="CF84" s="33"/>
      <c r="CG84" s="33"/>
      <c r="CH84" s="33"/>
      <c r="CI84" s="33"/>
      <c r="CJ84" s="33"/>
      <c r="CK84" s="33"/>
      <c r="CL84" s="33"/>
      <c r="CM84" s="23" t="e">
        <f>SUMIFS(CM4:CM38, CB4:CB38, "=CIC")</f>
        <v>#REF!</v>
      </c>
      <c r="CN84" s="29"/>
      <c r="CO84" s="33"/>
      <c r="CP84" s="33"/>
      <c r="CQ84" s="33"/>
      <c r="CR84" s="33"/>
      <c r="CS84" s="33"/>
      <c r="CT84" s="33"/>
      <c r="CU84" s="33"/>
      <c r="CV84" s="33"/>
      <c r="CW84" s="33"/>
      <c r="CX84" s="33"/>
      <c r="CY84" s="33"/>
      <c r="CZ84" s="23" t="e">
        <f>SUMIFS(CZ3:CZ37, CO3:CO37, "=CIC")</f>
        <v>#REF!</v>
      </c>
      <c r="DA84" s="29"/>
      <c r="DB84" s="33"/>
      <c r="DC84" s="33"/>
      <c r="DD84" s="33"/>
      <c r="DE84" s="33"/>
      <c r="DF84" s="33"/>
      <c r="DG84" s="33"/>
      <c r="DH84" s="33"/>
      <c r="DI84" s="33"/>
      <c r="DJ84" s="33"/>
      <c r="DK84" s="33"/>
      <c r="DL84" s="33"/>
      <c r="DM84" s="23" t="e">
        <f>SUMIFS(DM5:DM38, DB5:DB38, "=CIC")</f>
        <v>#REF!</v>
      </c>
      <c r="DN84" s="29"/>
      <c r="DO84" s="33"/>
      <c r="DP84" s="33"/>
      <c r="DQ84" s="33"/>
      <c r="DR84" s="33"/>
      <c r="DS84" s="33"/>
      <c r="DT84" s="33"/>
      <c r="DU84" s="33"/>
      <c r="DV84" s="33"/>
      <c r="DW84" s="33"/>
      <c r="DX84" s="34"/>
      <c r="DY84" s="34"/>
      <c r="DZ84" s="23" t="e">
        <f>SUMIFS(DZ5:DZ38, DO5:DO38, "=CIC")</f>
        <v>#REF!</v>
      </c>
      <c r="EA84" s="29"/>
      <c r="EB84" s="33"/>
      <c r="EC84" s="33"/>
      <c r="ED84" s="33"/>
      <c r="EE84" s="33"/>
      <c r="EF84" s="33"/>
      <c r="EG84" s="33"/>
      <c r="EH84" s="33"/>
      <c r="EI84" s="33"/>
      <c r="EJ84" s="33"/>
      <c r="EK84" s="33"/>
      <c r="EL84" s="33"/>
      <c r="EM84" s="23" t="e">
        <f>SUMIFS(EM4:EM38, EB4:EB38, "=CIC")</f>
        <v>#REF!</v>
      </c>
      <c r="EN84" s="29"/>
      <c r="EO84" s="33"/>
      <c r="EP84" s="33"/>
      <c r="EQ84" s="33"/>
      <c r="ER84" s="33"/>
      <c r="ES84" s="33"/>
      <c r="ET84" s="33"/>
      <c r="EU84" s="33"/>
      <c r="EV84" s="33"/>
      <c r="EW84" s="33"/>
      <c r="EX84" s="33"/>
      <c r="EY84" s="33"/>
      <c r="EZ84" s="23" t="e">
        <f>SUMIFS(EZ3:EZ38, EO3:EO38, "=CIC")</f>
        <v>#REF!</v>
      </c>
      <c r="FA84" s="29"/>
      <c r="FC84" s="48"/>
      <c r="FD84" s="48"/>
      <c r="FE84" s="48"/>
      <c r="FF84" s="48"/>
      <c r="FG84" s="48"/>
      <c r="FH84" s="48"/>
      <c r="FI84" s="48"/>
      <c r="FJ84" s="48"/>
      <c r="FK84" s="48"/>
      <c r="FL84" s="48"/>
      <c r="FM84" s="48"/>
      <c r="FN84" s="48"/>
      <c r="FO84" s="48"/>
      <c r="FP84" s="48"/>
      <c r="FQ84" s="48"/>
      <c r="FR84" s="48"/>
      <c r="FS84" s="48"/>
      <c r="FT84" s="48"/>
      <c r="FU84" s="48"/>
      <c r="FV84" s="48"/>
      <c r="FX84" s="29" t="e">
        <f t="shared" si="2"/>
        <v>#REF!</v>
      </c>
      <c r="FY84" s="29" t="e">
        <f t="shared" si="7"/>
        <v>#REF!</v>
      </c>
      <c r="FZ84" s="29" t="e">
        <f t="shared" si="8"/>
        <v>#REF!</v>
      </c>
      <c r="GA84" s="29" t="e">
        <f t="shared" si="9"/>
        <v>#REF!</v>
      </c>
      <c r="GB84" s="36"/>
      <c r="GC84" s="43" t="e">
        <f>SUM(FX84:GA84)</f>
        <v>#REF!</v>
      </c>
    </row>
    <row r="85" spans="1:235">
      <c r="A85" s="28" t="s">
        <v>1375</v>
      </c>
      <c r="B85" s="28"/>
      <c r="C85" s="29"/>
      <c r="D85" s="29"/>
      <c r="E85" s="33"/>
      <c r="F85" s="33"/>
      <c r="G85" s="34"/>
      <c r="H85" s="34"/>
      <c r="I85" s="34"/>
      <c r="J85" s="34"/>
      <c r="K85" s="34"/>
      <c r="L85" s="34"/>
      <c r="M85" s="23" t="e">
        <f>SUMIFS(M3:M38, B3:B38, "=Geo")</f>
        <v>#REF!</v>
      </c>
      <c r="N85" s="29"/>
      <c r="O85" s="29"/>
      <c r="P85" s="29"/>
      <c r="Q85" s="29"/>
      <c r="R85" s="33"/>
      <c r="S85" s="33"/>
      <c r="T85" s="34"/>
      <c r="U85" s="34"/>
      <c r="V85" s="34"/>
      <c r="W85" s="34"/>
      <c r="X85" s="34"/>
      <c r="Y85" s="34"/>
      <c r="Z85" s="23" t="e">
        <f>SUMIFS(Z3:Z38, O3:O38, "=Geo")</f>
        <v>#REF!</v>
      </c>
      <c r="AA85" s="29"/>
      <c r="AB85" s="29"/>
      <c r="AC85" s="29"/>
      <c r="AD85" s="29"/>
      <c r="AE85" s="33"/>
      <c r="AF85" s="33"/>
      <c r="AG85" s="34"/>
      <c r="AH85" s="34"/>
      <c r="AI85" s="34"/>
      <c r="AJ85" s="34"/>
      <c r="AK85" s="34"/>
      <c r="AL85" s="34"/>
      <c r="AM85" s="23" t="e">
        <f>SUMIFS(AM3:AM38, AB3:AB38, "=Geo")</f>
        <v>#REF!</v>
      </c>
      <c r="AN85" s="29"/>
      <c r="AO85" s="29"/>
      <c r="AP85" s="29"/>
      <c r="AQ85" s="29"/>
      <c r="AR85" s="29"/>
      <c r="AS85" s="29"/>
      <c r="AT85" s="29"/>
      <c r="AU85" s="29"/>
      <c r="AV85" s="29"/>
      <c r="AW85" s="29"/>
      <c r="AX85" s="29"/>
      <c r="AY85" s="29"/>
      <c r="AZ85" s="23" t="e">
        <f>SUMIFS(AZ4:AZ38, AO4:AO38, "=Geo")</f>
        <v>#REF!</v>
      </c>
      <c r="BA85" s="29"/>
      <c r="BB85" s="29"/>
      <c r="BC85" s="29"/>
      <c r="BD85" s="29"/>
      <c r="BE85" s="29"/>
      <c r="BF85" s="29"/>
      <c r="BG85" s="29"/>
      <c r="BH85" s="29"/>
      <c r="BI85" s="29"/>
      <c r="BJ85" s="29"/>
      <c r="BK85" s="29"/>
      <c r="BL85" s="29"/>
      <c r="BM85" s="23" t="e">
        <f>SUMIFS(BM3:BM38, BB3:BB38, "=Geo")</f>
        <v>#REF!</v>
      </c>
      <c r="BN85" s="29"/>
      <c r="BO85" s="29"/>
      <c r="BP85" s="29"/>
      <c r="BQ85" s="29"/>
      <c r="BR85" s="29"/>
      <c r="BS85" s="29"/>
      <c r="BT85" s="29"/>
      <c r="BU85" s="29"/>
      <c r="BV85" s="29"/>
      <c r="BW85" s="29"/>
      <c r="BX85" s="29"/>
      <c r="BY85" s="29"/>
      <c r="BZ85" s="23">
        <f>SUMIFS(BZ3:BZ38, BO3:BO38, "=Geo")</f>
        <v>0</v>
      </c>
      <c r="CA85" s="29"/>
      <c r="CB85" s="29"/>
      <c r="CC85" s="29"/>
      <c r="CD85" s="33"/>
      <c r="CE85" s="33"/>
      <c r="CF85" s="33"/>
      <c r="CG85" s="33"/>
      <c r="CH85" s="33"/>
      <c r="CI85" s="33"/>
      <c r="CJ85" s="33"/>
      <c r="CK85" s="33"/>
      <c r="CL85" s="33"/>
      <c r="CM85" s="23" t="e">
        <f>SUMIFS(CM4:CM38, CB4:CB38, "=Geo")</f>
        <v>#REF!</v>
      </c>
      <c r="CN85" s="29"/>
      <c r="CO85" s="33"/>
      <c r="CP85" s="33"/>
      <c r="CQ85" s="33"/>
      <c r="CR85" s="33"/>
      <c r="CS85" s="33"/>
      <c r="CT85" s="33"/>
      <c r="CU85" s="33"/>
      <c r="CV85" s="33"/>
      <c r="CW85" s="33"/>
      <c r="CX85" s="33"/>
      <c r="CY85" s="33"/>
      <c r="CZ85" s="23" t="e">
        <f>SUMIFS(CZ3:CZ37, CO3:CO37, "=Geo")</f>
        <v>#REF!</v>
      </c>
      <c r="DA85" s="29"/>
      <c r="DB85" s="33"/>
      <c r="DC85" s="33"/>
      <c r="DD85" s="33"/>
      <c r="DE85" s="33"/>
      <c r="DF85" s="33"/>
      <c r="DG85" s="33"/>
      <c r="DH85" s="33"/>
      <c r="DI85" s="33"/>
      <c r="DJ85" s="33"/>
      <c r="DK85" s="33"/>
      <c r="DL85" s="33"/>
      <c r="DM85" s="23" t="e">
        <f>SUMIFS(DM4:DM38, DB4:DB38, "=Geo")</f>
        <v>#REF!</v>
      </c>
      <c r="DN85" s="29"/>
      <c r="DO85" s="33"/>
      <c r="DP85" s="33"/>
      <c r="DQ85" s="33"/>
      <c r="DR85" s="33"/>
      <c r="DS85" s="33"/>
      <c r="DT85" s="33"/>
      <c r="DU85" s="33"/>
      <c r="DV85" s="33"/>
      <c r="DW85" s="33"/>
      <c r="DX85" s="33"/>
      <c r="DY85" s="33"/>
      <c r="DZ85" s="23" t="e">
        <f>SUMIFS(DZ4:DZ38, DO4:DO38, "=Geo")</f>
        <v>#REF!</v>
      </c>
      <c r="EA85" s="29"/>
      <c r="EB85" s="33"/>
      <c r="EC85" s="33"/>
      <c r="ED85" s="33"/>
      <c r="EE85" s="33"/>
      <c r="EF85" s="33"/>
      <c r="EG85" s="33"/>
      <c r="EH85" s="33"/>
      <c r="EI85" s="33"/>
      <c r="EJ85" s="33"/>
      <c r="EK85" s="33"/>
      <c r="EL85" s="33"/>
      <c r="EM85" s="23" t="e">
        <f>SUMIFS(EM4:EM38, EB4:EB38, "=Geo")</f>
        <v>#REF!</v>
      </c>
      <c r="EN85" s="29"/>
      <c r="EO85" s="33"/>
      <c r="EP85" s="33"/>
      <c r="EQ85" s="33"/>
      <c r="ER85" s="33"/>
      <c r="ES85" s="33"/>
      <c r="ET85" s="33"/>
      <c r="EU85" s="33"/>
      <c r="EV85" s="33"/>
      <c r="EW85" s="33"/>
      <c r="EX85" s="33"/>
      <c r="EY85" s="33"/>
      <c r="EZ85" s="23">
        <f>SUMIFS(EZ3:EZ38, EO3:EO38, "=Geo")</f>
        <v>0</v>
      </c>
      <c r="FA85" s="29"/>
      <c r="FC85" s="48"/>
      <c r="FD85" s="48"/>
      <c r="FE85" s="48"/>
      <c r="FF85" s="48"/>
      <c r="FG85" s="48"/>
      <c r="FH85" s="48"/>
      <c r="FI85" s="48"/>
      <c r="FJ85" s="48"/>
      <c r="FK85" s="48"/>
      <c r="FL85" s="48"/>
      <c r="FM85" s="48"/>
      <c r="FN85" s="48"/>
      <c r="FO85" s="48"/>
      <c r="FP85" s="48"/>
      <c r="FQ85" s="48"/>
      <c r="FR85" s="48"/>
      <c r="FS85" s="48"/>
      <c r="FT85" s="48"/>
      <c r="FU85" s="48"/>
      <c r="FV85" s="48"/>
      <c r="FX85" s="29" t="e">
        <f>SUM(M85,Z85,AM85)</f>
        <v>#REF!</v>
      </c>
      <c r="FY85" s="29" t="e">
        <f t="shared" si="7"/>
        <v>#REF!</v>
      </c>
      <c r="FZ85" s="29" t="e">
        <f t="shared" si="8"/>
        <v>#REF!</v>
      </c>
      <c r="GA85" s="29" t="e">
        <f t="shared" si="9"/>
        <v>#REF!</v>
      </c>
      <c r="GC85" s="43" t="e">
        <f t="shared" si="0"/>
        <v>#REF!</v>
      </c>
    </row>
    <row r="86" spans="1:235" s="36" customFormat="1">
      <c r="A86" s="28" t="s">
        <v>1376</v>
      </c>
      <c r="B86" s="28"/>
      <c r="C86" s="29"/>
      <c r="D86" s="29"/>
      <c r="E86" s="33"/>
      <c r="F86" s="33"/>
      <c r="G86" s="34"/>
      <c r="H86" s="34"/>
      <c r="I86" s="34"/>
      <c r="J86" s="34"/>
      <c r="K86" s="34"/>
      <c r="L86" s="34"/>
      <c r="M86" s="29" t="e">
        <f>SUM(M3:M28)</f>
        <v>#REF!</v>
      </c>
      <c r="N86" s="29"/>
      <c r="O86" s="29"/>
      <c r="P86" s="29"/>
      <c r="Q86" s="29"/>
      <c r="R86" s="33"/>
      <c r="S86" s="33"/>
      <c r="T86" s="34"/>
      <c r="U86" s="34"/>
      <c r="V86" s="34"/>
      <c r="W86" s="34"/>
      <c r="X86" s="34"/>
      <c r="Y86" s="34"/>
      <c r="Z86" s="29" t="e">
        <f>SUM(Z3:Z38)</f>
        <v>#REF!</v>
      </c>
      <c r="AA86" s="29"/>
      <c r="AB86" s="29"/>
      <c r="AC86" s="29"/>
      <c r="AD86" s="29"/>
      <c r="AE86" s="33"/>
      <c r="AF86" s="33"/>
      <c r="AG86" s="34"/>
      <c r="AH86" s="34"/>
      <c r="AI86" s="34"/>
      <c r="AJ86" s="34"/>
      <c r="AK86" s="34"/>
      <c r="AL86" s="34"/>
      <c r="AM86" s="29" t="e">
        <f>SUM(AM3:AM28)</f>
        <v>#REF!</v>
      </c>
      <c r="AN86" s="29"/>
      <c r="AO86" s="29"/>
      <c r="AP86" s="29"/>
      <c r="AQ86" s="29"/>
      <c r="AR86" s="29"/>
      <c r="AS86" s="29"/>
      <c r="AT86" s="29"/>
      <c r="AU86" s="29"/>
      <c r="AV86" s="29"/>
      <c r="AW86" s="29"/>
      <c r="AX86" s="29"/>
      <c r="AY86" s="29"/>
      <c r="AZ86" s="29" t="e">
        <f>SUM(AZ3:AZ31)</f>
        <v>#REF!</v>
      </c>
      <c r="BA86" s="29"/>
      <c r="BB86" s="29"/>
      <c r="BC86" s="29"/>
      <c r="BD86" s="29"/>
      <c r="BE86" s="29"/>
      <c r="BF86" s="29"/>
      <c r="BG86" s="29"/>
      <c r="BH86" s="29"/>
      <c r="BI86" s="29"/>
      <c r="BJ86" s="29"/>
      <c r="BK86" s="29"/>
      <c r="BL86" s="29"/>
      <c r="BM86" s="29" t="e">
        <f>SUM(BM3:BM28)</f>
        <v>#REF!</v>
      </c>
      <c r="BN86" s="29"/>
      <c r="BO86" s="29"/>
      <c r="BP86" s="29"/>
      <c r="BQ86" s="29"/>
      <c r="BR86" s="29"/>
      <c r="BS86" s="29"/>
      <c r="BT86" s="29"/>
      <c r="BU86" s="29"/>
      <c r="BV86" s="29"/>
      <c r="BW86" s="29"/>
      <c r="BX86" s="29"/>
      <c r="BY86" s="29"/>
      <c r="BZ86" s="29" t="e">
        <f>SUM(BZ3:BZ28)</f>
        <v>#REF!</v>
      </c>
      <c r="CA86" s="29"/>
      <c r="CB86" s="29"/>
      <c r="CC86" s="29"/>
      <c r="CD86" s="33"/>
      <c r="CE86" s="33"/>
      <c r="CF86" s="33"/>
      <c r="CG86" s="33"/>
      <c r="CH86" s="33"/>
      <c r="CI86" s="33"/>
      <c r="CJ86" s="33"/>
      <c r="CK86" s="33"/>
      <c r="CL86" s="33"/>
      <c r="CM86" s="29" t="e">
        <f>SUM(CM3:CM32)</f>
        <v>#REF!</v>
      </c>
      <c r="CN86" s="29"/>
      <c r="CO86" s="33"/>
      <c r="CP86" s="33"/>
      <c r="CQ86" s="33"/>
      <c r="CR86" s="33"/>
      <c r="CS86" s="33"/>
      <c r="CT86" s="33"/>
      <c r="CU86" s="33"/>
      <c r="CV86" s="33"/>
      <c r="CW86" s="33"/>
      <c r="CX86" s="33"/>
      <c r="CY86" s="33"/>
      <c r="CZ86" s="29" t="e">
        <f>SUM(CZ3:CZ37)</f>
        <v>#REF!</v>
      </c>
      <c r="DA86" s="29"/>
      <c r="DB86" s="33"/>
      <c r="DC86" s="33"/>
      <c r="DD86" s="33"/>
      <c r="DE86" s="33"/>
      <c r="DF86" s="33"/>
      <c r="DG86" s="33"/>
      <c r="DH86" s="33"/>
      <c r="DI86" s="33"/>
      <c r="DJ86" s="33"/>
      <c r="DK86" s="33"/>
      <c r="DL86" s="33"/>
      <c r="DM86" s="29" t="e">
        <f>SUM(DM3:DM38)</f>
        <v>#REF!</v>
      </c>
      <c r="DN86" s="29"/>
      <c r="DO86" s="33"/>
      <c r="DP86" s="33"/>
      <c r="DQ86" s="33"/>
      <c r="DR86" s="33"/>
      <c r="DS86" s="33"/>
      <c r="DT86" s="33"/>
      <c r="DU86" s="33"/>
      <c r="DV86" s="33"/>
      <c r="DW86" s="33"/>
      <c r="DX86" s="33"/>
      <c r="DY86" s="33"/>
      <c r="DZ86" s="29" t="e">
        <f>SUM(DZ4:DZ38)</f>
        <v>#REF!</v>
      </c>
      <c r="EA86" s="29"/>
      <c r="EB86" s="33"/>
      <c r="EC86" s="33"/>
      <c r="ED86" s="33"/>
      <c r="EE86" s="33"/>
      <c r="EF86" s="33"/>
      <c r="EG86" s="33"/>
      <c r="EH86" s="33"/>
      <c r="EI86" s="33"/>
      <c r="EJ86" s="33"/>
      <c r="EK86" s="33"/>
      <c r="EL86" s="33"/>
      <c r="EM86" s="29" t="e">
        <f>SUM(EM4:EM18)</f>
        <v>#REF!</v>
      </c>
      <c r="EN86" s="29"/>
      <c r="EO86" s="33"/>
      <c r="EP86" s="33"/>
      <c r="EQ86" s="33"/>
      <c r="ER86" s="33"/>
      <c r="ES86" s="33"/>
      <c r="ET86" s="33"/>
      <c r="EU86" s="33"/>
      <c r="EV86" s="33"/>
      <c r="EW86" s="33"/>
      <c r="EX86" s="33"/>
      <c r="EY86" s="33"/>
      <c r="EZ86" s="29" t="e">
        <f>SUM(EZ3:EZ28)</f>
        <v>#REF!</v>
      </c>
      <c r="FA86" s="29"/>
      <c r="FC86" s="48"/>
      <c r="FD86" s="48"/>
      <c r="FE86" s="48"/>
      <c r="FF86" s="48"/>
      <c r="FG86" s="48"/>
      <c r="FH86" s="48"/>
      <c r="FI86" s="48"/>
      <c r="FJ86" s="48"/>
      <c r="FK86" s="48"/>
      <c r="FL86" s="48"/>
      <c r="FM86" s="48"/>
      <c r="FN86" s="48"/>
      <c r="FO86" s="48"/>
      <c r="FP86" s="48"/>
      <c r="FQ86" s="48"/>
      <c r="FR86" s="48"/>
      <c r="FS86" s="48"/>
      <c r="FT86" s="48"/>
      <c r="FU86" s="48"/>
      <c r="FV86" s="48"/>
      <c r="FX86" s="29" t="e">
        <f>SUM(M86,Z86,AM86)</f>
        <v>#REF!</v>
      </c>
      <c r="FY86" s="29" t="e">
        <f t="shared" si="7"/>
        <v>#REF!</v>
      </c>
      <c r="FZ86" s="29" t="e">
        <f t="shared" si="8"/>
        <v>#REF!</v>
      </c>
      <c r="GA86" s="29" t="e">
        <f t="shared" si="9"/>
        <v>#REF!</v>
      </c>
      <c r="GB86" s="26"/>
      <c r="GC86" s="41" t="e">
        <f>SUM(FX86:GA86)</f>
        <v>#REF!</v>
      </c>
    </row>
    <row r="87" spans="1:235" s="36" customFormat="1">
      <c r="A87" s="37"/>
      <c r="B87" s="37"/>
      <c r="C87" s="35"/>
      <c r="D87" s="35"/>
      <c r="G87" s="38"/>
      <c r="H87" s="38"/>
      <c r="I87" s="38"/>
      <c r="J87" s="38"/>
      <c r="K87" s="38"/>
      <c r="L87" s="38"/>
      <c r="M87" s="35"/>
      <c r="N87" s="35"/>
      <c r="O87" s="35"/>
      <c r="P87" s="35"/>
      <c r="Q87" s="35"/>
      <c r="T87" s="38"/>
      <c r="U87" s="38"/>
      <c r="V87" s="38"/>
      <c r="W87" s="38"/>
      <c r="X87" s="38"/>
      <c r="Y87" s="38"/>
      <c r="Z87" s="35"/>
      <c r="AA87" s="35"/>
      <c r="AB87" s="35"/>
      <c r="AC87" s="35"/>
      <c r="AD87" s="35"/>
      <c r="AG87" s="38"/>
      <c r="AH87" s="38"/>
      <c r="AI87" s="38"/>
      <c r="AJ87" s="38"/>
      <c r="AK87" s="38"/>
      <c r="AL87" s="38"/>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FC87" s="48"/>
      <c r="FD87" s="48"/>
      <c r="FE87" s="48"/>
      <c r="FF87" s="48"/>
      <c r="FG87" s="48"/>
      <c r="FH87" s="48"/>
      <c r="FI87" s="48"/>
      <c r="FJ87" s="48"/>
      <c r="FK87" s="48"/>
      <c r="FL87" s="48"/>
      <c r="FM87" s="48"/>
      <c r="FN87" s="48"/>
      <c r="FO87" s="48"/>
      <c r="FP87" s="48"/>
      <c r="FQ87" s="48"/>
      <c r="FR87" s="48"/>
      <c r="FS87" s="48"/>
      <c r="FT87" s="48"/>
      <c r="FU87" s="48"/>
      <c r="FV87" s="48"/>
      <c r="FX87" s="33"/>
      <c r="FY87" s="33"/>
      <c r="FZ87" s="33"/>
      <c r="GA87" s="33"/>
      <c r="GC87" s="40"/>
    </row>
    <row r="88" spans="1:235" s="36" customFormat="1">
      <c r="A88" s="39"/>
      <c r="B88" s="39"/>
      <c r="FC88" s="44"/>
      <c r="FD88" s="44"/>
      <c r="FE88" s="44"/>
      <c r="FF88" s="44"/>
      <c r="FG88" s="44"/>
      <c r="FH88" s="46"/>
      <c r="FI88" s="46"/>
      <c r="FJ88" s="46"/>
      <c r="FK88" s="46"/>
      <c r="FL88" s="46"/>
      <c r="FM88" s="44"/>
      <c r="FN88" s="44"/>
      <c r="FO88" s="44"/>
      <c r="FP88" s="44"/>
      <c r="FQ88" s="44"/>
      <c r="FR88" s="46"/>
      <c r="FS88" s="46"/>
      <c r="FT88" s="46"/>
      <c r="FU88" s="46"/>
      <c r="FV88" s="46"/>
      <c r="FX88" s="33"/>
      <c r="FY88" s="33"/>
      <c r="FZ88" s="33"/>
      <c r="GA88" s="33"/>
      <c r="GC88" s="40"/>
    </row>
    <row r="89" spans="1:235" s="36" customFormat="1">
      <c r="A89" s="39"/>
      <c r="B89" s="39"/>
      <c r="FC89" s="44"/>
      <c r="FD89" s="44"/>
      <c r="FE89" s="44"/>
      <c r="FF89" s="44"/>
      <c r="FG89" s="44"/>
      <c r="FH89" s="46"/>
      <c r="FI89" s="46"/>
      <c r="FJ89" s="46"/>
      <c r="FK89" s="46"/>
      <c r="FL89" s="46"/>
      <c r="FM89" s="44"/>
      <c r="FN89" s="44"/>
      <c r="FO89" s="44"/>
      <c r="FP89" s="44"/>
      <c r="FQ89" s="44"/>
      <c r="FR89" s="46"/>
      <c r="FS89" s="46"/>
      <c r="FT89" s="46"/>
      <c r="FU89" s="46"/>
      <c r="FV89" s="46"/>
      <c r="FX89" s="33"/>
      <c r="FY89" s="33"/>
      <c r="FZ89" s="33"/>
      <c r="GA89" s="33"/>
      <c r="GC89" s="40"/>
    </row>
    <row r="90" spans="1:235" s="36" customFormat="1">
      <c r="A90" s="39"/>
      <c r="B90" s="39"/>
      <c r="FC90" s="44"/>
      <c r="FD90" s="44"/>
      <c r="FE90" s="44"/>
      <c r="FF90" s="44"/>
      <c r="FG90" s="44"/>
      <c r="FH90" s="46"/>
      <c r="FI90" s="46"/>
      <c r="FJ90" s="46"/>
      <c r="FK90" s="46"/>
      <c r="FL90" s="46"/>
      <c r="FM90" s="44"/>
      <c r="FN90" s="44"/>
      <c r="FO90" s="44"/>
      <c r="FP90" s="44"/>
      <c r="FQ90" s="44"/>
      <c r="FR90" s="46"/>
      <c r="FS90" s="46"/>
      <c r="FT90" s="46"/>
      <c r="FU90" s="46"/>
      <c r="FV90" s="46"/>
      <c r="FX90" s="33"/>
      <c r="FY90" s="33"/>
      <c r="FZ90" s="33"/>
      <c r="GA90" s="33"/>
      <c r="GC90" s="40"/>
    </row>
    <row r="91" spans="1:235" s="36" customFormat="1">
      <c r="A91" s="39"/>
      <c r="B91" s="39"/>
      <c r="FC91" s="44"/>
      <c r="FD91" s="44"/>
      <c r="FE91" s="44"/>
      <c r="FF91" s="44"/>
      <c r="FG91" s="44"/>
      <c r="FH91" s="46"/>
      <c r="FI91" s="46"/>
      <c r="FJ91" s="46"/>
      <c r="FK91" s="46"/>
      <c r="FL91" s="46"/>
      <c r="FM91" s="44"/>
      <c r="FN91" s="44"/>
      <c r="FO91" s="44"/>
      <c r="FP91" s="44"/>
      <c r="FQ91" s="44"/>
      <c r="FR91" s="46"/>
      <c r="FS91" s="46"/>
      <c r="FT91" s="46"/>
      <c r="FU91" s="46"/>
      <c r="FV91" s="46"/>
      <c r="FX91" s="33"/>
      <c r="FY91" s="33"/>
      <c r="FZ91" s="33"/>
      <c r="GA91" s="33"/>
      <c r="GC91" s="40"/>
    </row>
    <row r="92" spans="1:235" s="36" customFormat="1">
      <c r="A92" s="39"/>
      <c r="B92" s="39"/>
      <c r="FC92" s="44"/>
      <c r="FD92" s="44"/>
      <c r="FE92" s="44"/>
      <c r="FF92" s="44"/>
      <c r="FG92" s="44"/>
      <c r="FH92" s="46"/>
      <c r="FI92" s="46"/>
      <c r="FJ92" s="46"/>
      <c r="FK92" s="46"/>
      <c r="FL92" s="46"/>
      <c r="FM92" s="44"/>
      <c r="FN92" s="44"/>
      <c r="FO92" s="44"/>
      <c r="FP92" s="44"/>
      <c r="FQ92" s="44"/>
      <c r="FR92" s="46"/>
      <c r="FS92" s="46"/>
      <c r="FT92" s="46"/>
      <c r="FU92" s="46"/>
      <c r="FV92" s="46"/>
      <c r="FX92" s="33"/>
      <c r="FY92" s="33"/>
      <c r="FZ92" s="33"/>
      <c r="GA92" s="33"/>
      <c r="GC92" s="40"/>
    </row>
    <row r="93" spans="1:235" s="36" customFormat="1">
      <c r="A93" s="39"/>
      <c r="B93" s="39"/>
      <c r="FC93" s="44"/>
      <c r="FD93" s="44"/>
      <c r="FE93" s="44"/>
      <c r="FF93" s="44"/>
      <c r="FG93" s="44"/>
      <c r="FH93" s="46"/>
      <c r="FI93" s="46"/>
      <c r="FJ93" s="46"/>
      <c r="FK93" s="46"/>
      <c r="FL93" s="46"/>
      <c r="FM93" s="44"/>
      <c r="FN93" s="44"/>
      <c r="FO93" s="44"/>
      <c r="FP93" s="44"/>
      <c r="FQ93" s="44"/>
      <c r="FR93" s="46"/>
      <c r="FS93" s="46"/>
      <c r="FT93" s="46"/>
      <c r="FU93" s="46"/>
      <c r="FV93" s="46"/>
      <c r="FX93" s="33"/>
      <c r="FY93" s="33"/>
      <c r="FZ93" s="33"/>
      <c r="GA93" s="33"/>
      <c r="GC93" s="40"/>
    </row>
    <row r="94" spans="1:235" s="36" customFormat="1" hidden="1">
      <c r="A94" s="39"/>
      <c r="B94" s="39"/>
      <c r="FC94" s="44"/>
      <c r="FD94" s="44"/>
      <c r="FE94" s="44"/>
      <c r="FF94" s="44"/>
      <c r="FG94" s="44"/>
      <c r="FH94" s="46"/>
      <c r="FI94" s="46"/>
      <c r="FJ94" s="46"/>
      <c r="FK94" s="46"/>
      <c r="FL94" s="46"/>
      <c r="FM94" s="44"/>
      <c r="FN94" s="44"/>
      <c r="FO94" s="44"/>
      <c r="FP94" s="44"/>
      <c r="FQ94" s="44"/>
      <c r="FR94" s="46"/>
      <c r="FS94" s="46"/>
      <c r="FT94" s="46"/>
      <c r="FU94" s="46"/>
      <c r="FV94" s="46"/>
      <c r="FX94" s="33"/>
      <c r="FY94" s="33"/>
      <c r="FZ94" s="33"/>
      <c r="GA94" s="33"/>
      <c r="GC94" s="40"/>
    </row>
    <row r="95" spans="1:235" ht="15" hidden="1" thickBot="1">
      <c r="A95" s="39"/>
      <c r="B95" s="39"/>
      <c r="C95" s="618" t="s">
        <v>1158</v>
      </c>
      <c r="D95" s="618"/>
      <c r="E95" s="618"/>
      <c r="F95" s="618"/>
      <c r="G95" s="618"/>
      <c r="H95" s="618"/>
      <c r="I95" s="618"/>
      <c r="J95" s="618"/>
      <c r="K95" s="618"/>
      <c r="L95" s="618"/>
      <c r="M95" s="618"/>
      <c r="N95" s="618"/>
      <c r="O95" s="618"/>
      <c r="P95" s="618"/>
      <c r="Q95" s="618"/>
      <c r="R95" s="618"/>
      <c r="S95" s="618"/>
      <c r="T95" s="618"/>
      <c r="U95" s="618"/>
      <c r="V95" s="36"/>
      <c r="W95" s="36"/>
      <c r="X95" s="633" t="s">
        <v>1158</v>
      </c>
      <c r="Y95" s="634"/>
      <c r="Z95" s="634"/>
      <c r="AA95" s="634"/>
      <c r="AB95" s="634"/>
      <c r="AC95" s="634"/>
      <c r="AD95" s="634"/>
      <c r="AE95" s="634"/>
      <c r="AF95" s="634"/>
      <c r="AG95" s="634"/>
      <c r="AH95" s="634"/>
      <c r="AI95" s="634"/>
      <c r="AJ95" s="634"/>
      <c r="AK95" s="634"/>
      <c r="AL95" s="634"/>
      <c r="AM95" s="634"/>
      <c r="AN95" s="634"/>
      <c r="AO95" s="634"/>
      <c r="AP95" s="634"/>
      <c r="AQ95" s="634"/>
      <c r="AR95" s="634"/>
      <c r="AS95" s="634"/>
      <c r="AT95" s="634"/>
      <c r="AU95" s="634"/>
      <c r="AV95" s="635"/>
      <c r="AW95" s="36"/>
      <c r="AX95" s="36"/>
      <c r="AY95" s="36"/>
      <c r="AZ95" s="36"/>
      <c r="BA95" s="36"/>
      <c r="BB95" s="36"/>
      <c r="BC95" s="36"/>
      <c r="BD95" s="36"/>
      <c r="BE95" s="36"/>
      <c r="BF95" s="36"/>
      <c r="BG95" s="36"/>
      <c r="BH95" s="36"/>
      <c r="BI95" s="36"/>
      <c r="BJ95" s="36"/>
      <c r="BK95" s="36"/>
      <c r="BL95" s="36"/>
      <c r="BM95" s="36"/>
      <c r="BN95" s="36"/>
      <c r="BO95" s="36"/>
      <c r="BP95" s="36"/>
      <c r="BQ95" s="36"/>
      <c r="BR95" s="36"/>
      <c r="BS95" s="36"/>
      <c r="BT95" s="36"/>
      <c r="BU95" s="36"/>
      <c r="BV95" s="36"/>
      <c r="BW95" s="36"/>
      <c r="BX95" s="36"/>
      <c r="BY95" s="36"/>
      <c r="BZ95" s="36"/>
      <c r="CA95" s="36"/>
      <c r="CB95" s="36"/>
      <c r="CC95" s="36"/>
      <c r="CD95" s="36"/>
      <c r="CE95" s="36"/>
      <c r="CF95" s="36"/>
      <c r="CG95" s="36"/>
      <c r="CH95" s="36"/>
      <c r="CI95" s="36"/>
      <c r="CJ95" s="36"/>
      <c r="CK95" s="36"/>
      <c r="CL95" s="36"/>
      <c r="CM95" s="36"/>
      <c r="CN95" s="36"/>
      <c r="CQ95" s="36"/>
      <c r="CR95" s="36"/>
      <c r="CS95" s="36"/>
      <c r="CT95" s="36"/>
      <c r="CU95" s="36"/>
      <c r="CV95" s="36"/>
      <c r="CW95" s="36"/>
      <c r="CX95" s="36"/>
      <c r="CY95" s="36"/>
      <c r="CZ95" s="36"/>
      <c r="DA95" s="36"/>
      <c r="DB95" s="36"/>
      <c r="DC95" s="36"/>
      <c r="DD95" s="36"/>
      <c r="DE95" s="36"/>
      <c r="DF95" s="36"/>
      <c r="DG95" s="36"/>
      <c r="DH95" s="36"/>
      <c r="DI95" s="36"/>
      <c r="DJ95" s="36"/>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s="36"/>
      <c r="EP95" s="36"/>
      <c r="EQ95" s="36"/>
      <c r="ER95" s="36"/>
      <c r="ES95" s="36"/>
      <c r="ET95" s="36"/>
      <c r="EU95" s="36"/>
      <c r="EV95" s="36"/>
      <c r="EW95" s="36"/>
      <c r="EX95" s="36"/>
      <c r="EY95" s="36"/>
      <c r="EZ95" s="36"/>
      <c r="FA95" s="36"/>
      <c r="GB95" s="36"/>
    </row>
    <row r="96" spans="1:235" ht="15" hidden="1" thickBot="1">
      <c r="C96" s="622" t="s">
        <v>1159</v>
      </c>
      <c r="D96" s="619" t="s">
        <v>47</v>
      </c>
      <c r="E96" s="620"/>
      <c r="F96" s="620"/>
      <c r="G96" s="620"/>
      <c r="H96" s="620"/>
      <c r="I96" s="620"/>
      <c r="J96" s="620"/>
      <c r="K96" s="620"/>
      <c r="L96" s="625"/>
      <c r="M96" s="626" t="s">
        <v>78</v>
      </c>
      <c r="N96" s="627"/>
      <c r="O96" s="627"/>
      <c r="P96" s="627"/>
      <c r="Q96" s="627"/>
      <c r="R96" s="627"/>
      <c r="S96" s="627"/>
      <c r="T96" s="627"/>
      <c r="U96" s="628"/>
      <c r="X96" s="640" t="s">
        <v>1159</v>
      </c>
      <c r="Y96" s="637" t="s">
        <v>99</v>
      </c>
      <c r="Z96" s="638"/>
      <c r="AA96" s="638"/>
      <c r="AB96" s="638"/>
      <c r="AC96" s="638"/>
      <c r="AD96" s="638"/>
      <c r="AE96" s="638"/>
      <c r="AF96" s="638"/>
      <c r="AG96" s="638"/>
      <c r="AH96" s="638"/>
      <c r="AI96" s="638"/>
      <c r="AJ96" s="639"/>
      <c r="AK96" s="636" t="s">
        <v>121</v>
      </c>
      <c r="AL96" s="636"/>
      <c r="AM96" s="636"/>
      <c r="AN96" s="636"/>
      <c r="AO96" s="636"/>
      <c r="AP96" s="636"/>
      <c r="AQ96" s="636"/>
      <c r="AR96" s="636"/>
      <c r="AS96" s="636"/>
      <c r="AT96" s="636"/>
      <c r="AU96" s="636"/>
      <c r="AV96" s="636"/>
    </row>
    <row r="97" spans="3:48" ht="15" hidden="1" thickBot="1">
      <c r="C97" s="623"/>
      <c r="D97" s="619" t="s">
        <v>1160</v>
      </c>
      <c r="E97" s="620"/>
      <c r="F97" s="621"/>
      <c r="G97" s="619" t="s">
        <v>269</v>
      </c>
      <c r="H97" s="620"/>
      <c r="I97" s="621"/>
      <c r="J97" s="619" t="s">
        <v>1161</v>
      </c>
      <c r="K97" s="620"/>
      <c r="L97" s="621"/>
      <c r="M97" s="629" t="s">
        <v>1160</v>
      </c>
      <c r="N97" s="630"/>
      <c r="O97" s="631"/>
      <c r="P97" s="629" t="s">
        <v>269</v>
      </c>
      <c r="Q97" s="630"/>
      <c r="R97" s="631"/>
      <c r="S97" s="629" t="s">
        <v>1161</v>
      </c>
      <c r="T97" s="630"/>
      <c r="U97" s="632"/>
      <c r="X97" s="640"/>
      <c r="Y97" s="641" t="s">
        <v>1160</v>
      </c>
      <c r="Z97" s="641"/>
      <c r="AA97" s="641"/>
      <c r="AB97" s="641"/>
      <c r="AC97" s="641" t="s">
        <v>269</v>
      </c>
      <c r="AD97" s="641"/>
      <c r="AE97" s="641"/>
      <c r="AF97" s="641"/>
      <c r="AG97" s="641" t="s">
        <v>1161</v>
      </c>
      <c r="AH97" s="641"/>
      <c r="AI97" s="641"/>
      <c r="AJ97" s="641"/>
      <c r="AK97" s="636" t="s">
        <v>1160</v>
      </c>
      <c r="AL97" s="636"/>
      <c r="AM97" s="636"/>
      <c r="AN97" s="636"/>
      <c r="AO97" s="636" t="s">
        <v>269</v>
      </c>
      <c r="AP97" s="636"/>
      <c r="AQ97" s="636"/>
      <c r="AR97" s="636"/>
      <c r="AS97" s="636" t="s">
        <v>1161</v>
      </c>
      <c r="AT97" s="636"/>
      <c r="AU97" s="636"/>
      <c r="AV97" s="636"/>
    </row>
    <row r="98" spans="3:48" ht="29.5" hidden="1" thickBot="1">
      <c r="C98" s="624"/>
      <c r="D98" s="59" t="s">
        <v>50</v>
      </c>
      <c r="E98" s="59" t="s">
        <v>51</v>
      </c>
      <c r="F98" s="59" t="s">
        <v>52</v>
      </c>
      <c r="G98" s="59" t="s">
        <v>50</v>
      </c>
      <c r="H98" s="59" t="s">
        <v>51</v>
      </c>
      <c r="I98" s="59" t="s">
        <v>52</v>
      </c>
      <c r="J98" s="59" t="s">
        <v>50</v>
      </c>
      <c r="K98" s="59" t="s">
        <v>51</v>
      </c>
      <c r="L98" s="59" t="s">
        <v>52</v>
      </c>
      <c r="M98" s="60" t="s">
        <v>50</v>
      </c>
      <c r="N98" s="60" t="s">
        <v>51</v>
      </c>
      <c r="O98" s="60" t="s">
        <v>52</v>
      </c>
      <c r="P98" s="60" t="s">
        <v>50</v>
      </c>
      <c r="Q98" s="60" t="s">
        <v>51</v>
      </c>
      <c r="R98" s="60" t="s">
        <v>52</v>
      </c>
      <c r="S98" s="60" t="s">
        <v>50</v>
      </c>
      <c r="T98" s="60" t="s">
        <v>51</v>
      </c>
      <c r="U98" s="60" t="s">
        <v>52</v>
      </c>
      <c r="X98" s="640"/>
      <c r="Y98" s="61" t="s">
        <v>50</v>
      </c>
      <c r="Z98" s="61" t="s">
        <v>51</v>
      </c>
      <c r="AA98" s="61" t="s">
        <v>52</v>
      </c>
      <c r="AB98" s="61" t="s">
        <v>539</v>
      </c>
      <c r="AC98" s="61" t="s">
        <v>50</v>
      </c>
      <c r="AD98" s="61" t="s">
        <v>51</v>
      </c>
      <c r="AE98" s="61" t="s">
        <v>52</v>
      </c>
      <c r="AF98" s="61" t="s">
        <v>539</v>
      </c>
      <c r="AG98" s="61" t="s">
        <v>50</v>
      </c>
      <c r="AH98" s="61" t="s">
        <v>51</v>
      </c>
      <c r="AI98" s="61" t="s">
        <v>52</v>
      </c>
      <c r="AJ98" s="61" t="s">
        <v>539</v>
      </c>
      <c r="AK98" s="62" t="s">
        <v>50</v>
      </c>
      <c r="AL98" s="62" t="s">
        <v>51</v>
      </c>
      <c r="AM98" s="62" t="s">
        <v>52</v>
      </c>
      <c r="AN98" s="62" t="s">
        <v>539</v>
      </c>
      <c r="AO98" s="62" t="s">
        <v>50</v>
      </c>
      <c r="AP98" s="62" t="s">
        <v>51</v>
      </c>
      <c r="AQ98" s="62" t="s">
        <v>52</v>
      </c>
      <c r="AR98" s="62" t="s">
        <v>539</v>
      </c>
      <c r="AS98" s="62" t="s">
        <v>50</v>
      </c>
      <c r="AT98" s="62" t="s">
        <v>51</v>
      </c>
      <c r="AU98" s="62" t="s">
        <v>52</v>
      </c>
      <c r="AV98" s="62" t="s">
        <v>539</v>
      </c>
    </row>
    <row r="99" spans="3:48" ht="15" hidden="1" thickBot="1">
      <c r="C99" s="63" t="s">
        <v>270</v>
      </c>
      <c r="D99" s="59">
        <f>SUMIFS('Status of Curriculum Completion'!$M$4:$M$38,'Status of Curriculum Completion'!$C$4:$C$38,"CEE",'Status of Curriculum Completion'!$G$4:$G$38,"Complete")+SUMIFS('Status of Curriculum Completion'!$Z$4:$Z$38,'Status of Curriculum Completion'!$P$4:$P$38,"CEE",'Status of Curriculum Completion'!$T$4:$T$38,"Complete")+SUMIFS('Status of Curriculum Completion'!$AM$4:$AM$38,'Status of Curriculum Completion'!$AC$4:$AC$38,"CEE",'Status of Curriculum Completion'!$AG$4:$AG$38,"Complete")</f>
        <v>0</v>
      </c>
      <c r="E99" s="59">
        <f>SUMIFS('Status of Curriculum Completion'!$M$4:$M$38,'Status of Curriculum Completion'!$C$4:$C$38,"CEE",'Status of Curriculum Completion'!$G$4:$G$38,"In progress")+SUMIFS('Status of Curriculum Completion'!$Z$4:$Z$38,'Status of Curriculum Completion'!$P$4:$P$38,"CEE",'Status of Curriculum Completion'!$T$4:$T$38,"In progress")+SUMIFS('Status of Curriculum Completion'!$AM$4:$AM$38,'Status of Curriculum Completion'!$AC$4:$AC$38,"CEE",'Status of Curriculum Completion'!$AG$4:$AG$38,"In progress")</f>
        <v>0</v>
      </c>
      <c r="F99"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G99" s="59">
        <f>SUMIFS('Status of Curriculum Completion'!$M$4:$M$38,'Status of Curriculum Completion'!$C$4:$C$38,"CEE",'Status of Curriculum Completion'!$H$4:$H$38,"Complete")+SUMIFS('Status of Curriculum Completion'!$Z$4:$Z$38,'Status of Curriculum Completion'!$P$4:$P$38,"CEE",'Status of Curriculum Completion'!$U$4:$U$38,"Complete")+SUMIFS('Status of Curriculum Completion'!$AM$4:$AM$38,'Status of Curriculum Completion'!$AC$4:$AC$38,"CEE",'Status of Curriculum Completion'!$AH$4:$AH$38,"Complete")</f>
        <v>0</v>
      </c>
      <c r="H99" s="59">
        <f>SUMIFS('Status of Curriculum Completion'!$M$4:$M$38,'Status of Curriculum Completion'!$C$4:$C$38,"CEE",'Status of Curriculum Completion'!$H$4:$H$38,"In Progress")+SUMIFS('Status of Curriculum Completion'!$Z$4:$Z$38,'Status of Curriculum Completion'!$P$4:$P$38,"CEE",'Status of Curriculum Completion'!$U$4:$U$38,"In Progress")+SUMIFS('Status of Curriculum Completion'!$AM$4:$AM$38,'Status of Curriculum Completion'!$AC$4:$AC$38,"CEE",'Status of Curriculum Completion'!$AH$4:$AH$38,"In Progress")</f>
        <v>0</v>
      </c>
      <c r="I99" s="59">
        <f>SUMIFS('Status of Curriculum Completion'!$M$4:$M$38,'Status of Curriculum Completion'!$C$4:$C$38,"CEE",'Status of Curriculum Completion'!$H$4:$H$38,"Planned")+SUMIFS('Status of Curriculum Completion'!$Z$4:$Z$38,'Status of Curriculum Completion'!$P$4:$P$38,"CEE",'Status of Curriculum Completion'!$U$4:$U$38,"Planned")+SUMIFS('Status of Curriculum Completion'!$AM$4:$AM$38,'Status of Curriculum Completion'!$AC$4:$AC$38,"CEE",'Status of Curriculum Completion'!$AH$4:$AH$38,"Planned")</f>
        <v>0</v>
      </c>
      <c r="J99" s="59">
        <f>SUMIFS('Status of Curriculum Completion'!$M$4:$M$38,'Status of Curriculum Completion'!$C$4:$C$38,"CEE",'Status of Curriculum Completion'!$I$4:$I$38,"Complete")+SUMIFS('Status of Curriculum Completion'!$Z$4:$Z$38,'Status of Curriculum Completion'!$P$4:$P$38,"CEE",'Status of Curriculum Completion'!$V$4:$V$38,"Complete")+SUMIFS('Status of Curriculum Completion'!$AM$4:$AM$38,'Status of Curriculum Completion'!$AC$4:$AC$38,"CEE",'Status of Curriculum Completion'!$AI$4:$AI$38,"Complete")</f>
        <v>0</v>
      </c>
      <c r="K99" s="59">
        <f>SUMIFS('Status of Curriculum Completion'!$M$4:$M$38,'Status of Curriculum Completion'!$C$4:$C$38,"CEE",'Status of Curriculum Completion'!$I$4:$I$38,"In Progress")+SUMIFS('Status of Curriculum Completion'!$Z$4:$Z$38,'Status of Curriculum Completion'!$P$4:$P$38,"CEE",'Status of Curriculum Completion'!$V$4:$V$38,"In Progress")+SUMIFS('Status of Curriculum Completion'!$AM$4:$AM$38,'Status of Curriculum Completion'!$AC$4:$AC$38,"CEE",'Status of Curriculum Completion'!$AI$4:$AI$38,"In Progress")</f>
        <v>0</v>
      </c>
      <c r="L99" s="59">
        <f>SUMIFS('Status of Curriculum Completion'!$M$4:$M$38,'Status of Curriculum Completion'!$C$4:$C$38,"CEE",'Status of Curriculum Completion'!$I$4:$I$38,"Planned")+SUMIFS('Status of Curriculum Completion'!$Z$4:$Z$38,'Status of Curriculum Completion'!$P$4:$P$38,"CEE",'Status of Curriculum Completion'!$V$4:$V$38,"Planned")+SUMIFS('Status of Curriculum Completion'!$AM$4:$AM$38,'Status of Curriculum Completion'!$AC$4:$AC$38,"CEE",'Status of Curriculum Completion'!$AI$4:$AI$38,"Planned")</f>
        <v>0</v>
      </c>
      <c r="M99" s="60">
        <f>SUMIFS('Status of Curriculum Completion'!$AZ$4:$AZ$38,'Status of Curriculum Completion'!$AP$4:$AP$38,"CEE",'Status of Curriculum Completion'!$AT$4:$AT$38,"Complete")+SUMIFS('Status of Curriculum Completion'!$BM$4:$BM$38,'Status of Curriculum Completion'!$BC$4:$BC$38,"CEE",'Status of Curriculum Completion'!$BG$4:$BG$38,"Complete")+SUMIFS('Status of Curriculum Completion'!$BZ$4:$BZ$38,'Status of Curriculum Completion'!$BP$4:$BP$38,"CEE",'Status of Curriculum Completion'!$BT$4:$BT$38,"Complete")</f>
        <v>0</v>
      </c>
      <c r="N99" s="60">
        <f>SUMIFS('Status of Curriculum Completion'!$AZ$4:$AZ$38,'Status of Curriculum Completion'!$AP$4:$AP$38,"CEE",'Status of Curriculum Completion'!$AT$4:$AT$38,"In Progress")+SUMIFS('Status of Curriculum Completion'!$BM$4:$BM$38,'Status of Curriculum Completion'!$BC$4:$BC$38,"CEE",'Status of Curriculum Completion'!$BG$4:$BG$38,"In Progress")+SUMIFS('Status of Curriculum Completion'!$BZ$4:$BZ$38,'Status of Curriculum Completion'!$BP$4:$BP$38,"CEE",'Status of Curriculum Completion'!$BT$4:$BT$38,"In Progress")</f>
        <v>0</v>
      </c>
      <c r="O99" s="60">
        <f>SUMIFS('Status of Curriculum Completion'!$AZ$4:$AZ$38,'Status of Curriculum Completion'!$AP$4:$AP$38,"CEE",'Status of Curriculum Completion'!$AT$4:$AT$38,"Planned")+SUMIFS('Status of Curriculum Completion'!$BM$4:$BM$38,'Status of Curriculum Completion'!$BC$4:$BC$38,"CEE",'Status of Curriculum Completion'!$BG$4:$BG$38,"Planned")+SUMIFS('Status of Curriculum Completion'!$BZ$4:$BZ$38,'Status of Curriculum Completion'!$BP$4:$BP$38,"CEE",'Status of Curriculum Completion'!$BT$4:$BT$38,"Planned")</f>
        <v>0</v>
      </c>
      <c r="P99" s="60">
        <f>SUMIFS('Status of Curriculum Completion'!$AZ$4:$AZ$38,'Status of Curriculum Completion'!$AP$4:$AP$38,"CEE",'Status of Curriculum Completion'!$AU$4:$AU$38,"Complete")+SUMIFS('Status of Curriculum Completion'!$BM$4:$BM$38,'Status of Curriculum Completion'!$BC$4:$BC$38,"CEE",'Status of Curriculum Completion'!$BH$4:$BH$38,"Complete")+SUMIFS('Status of Curriculum Completion'!$BZ$4:$BZ$38,'Status of Curriculum Completion'!$BP$4:$BP$38,"CEE",'Status of Curriculum Completion'!$BU$4:$BU$38,"Complete")</f>
        <v>0</v>
      </c>
      <c r="Q99" s="60">
        <f>SUMIFS('Status of Curriculum Completion'!$AZ$4:$AZ$38,'Status of Curriculum Completion'!$AP$4:$AP$38,"CEE",'Status of Curriculum Completion'!$AU$4:$AU$38,"In Progress")+SUMIFS('Status of Curriculum Completion'!$BM$4:$BM$38,'Status of Curriculum Completion'!$BC$4:$BC$38,"CEE",'Status of Curriculum Completion'!$BH$4:$BH$38,"In Progress")+SUMIFS('Status of Curriculum Completion'!$BZ$4:$BZ$38,'Status of Curriculum Completion'!$BP$4:$BP$38,"CEE",'Status of Curriculum Completion'!$BU$4:$BU$38,"In Progress")</f>
        <v>0</v>
      </c>
      <c r="R99" s="60">
        <f>SUMIFS('Status of Curriculum Completion'!$AZ$4:$AZ$38,'Status of Curriculum Completion'!$AP$4:$AP$38,"CEE",'Status of Curriculum Completion'!$AU$4:$AU$38,"Planned")+SUMIFS('Status of Curriculum Completion'!$BM$4:$BM$38,'Status of Curriculum Completion'!$BC$4:$BC$38,"CEE",'Status of Curriculum Completion'!$BH$4:$BH$38,"Planned")+SUMIFS('Status of Curriculum Completion'!$BZ$4:$BZ$38,'Status of Curriculum Completion'!$BP$4:$BP$38,"CEE",'Status of Curriculum Completion'!$BU$4:$BU$38,"Planned")</f>
        <v>0</v>
      </c>
      <c r="S99" s="60">
        <f>SUMIFS('Status of Curriculum Completion'!$AZ$4:$AZ$38,'Status of Curriculum Completion'!$AP$4:$AP$38,"CEE",'Status of Curriculum Completion'!$AV$4:$AV$38,"Complete")+SUMIFS('Status of Curriculum Completion'!$BM$4:$BM$38,'Status of Curriculum Completion'!$BC$4:$BC$38,"CEE",'Status of Curriculum Completion'!$BI$4:$BI$38,"Complete")+SUMIFS('Status of Curriculum Completion'!$BZ$4:$BZ$38,'Status of Curriculum Completion'!$BP$4:$BP$38,"CEE",'Status of Curriculum Completion'!$BV$4:$BV$38,"Complete")</f>
        <v>0</v>
      </c>
      <c r="T99" s="60">
        <f>SUMIFS('Status of Curriculum Completion'!$AZ$4:$AZ$38,'Status of Curriculum Completion'!$AP$4:$AP$38,"CEE",'Status of Curriculum Completion'!$AV$4:$AV$38,"In Progress")+SUMIFS('Status of Curriculum Completion'!$BM$4:$BM$38,'Status of Curriculum Completion'!$BC$4:$BC$38,"CEE",'Status of Curriculum Completion'!$BI$4:$BI$38,"In Progress")+SUMIFS('Status of Curriculum Completion'!$BZ$4:$BZ$38,'Status of Curriculum Completion'!$BP$4:$BP$38,"CEE",'Status of Curriculum Completion'!$BV$4:$BV$38,"In Progress")</f>
        <v>0</v>
      </c>
      <c r="U99" s="60">
        <f>SUMIFS('Status of Curriculum Completion'!$AZ$4:$AZ$38,'Status of Curriculum Completion'!$AP$4:$AP$38,"CEE",'Status of Curriculum Completion'!$AV$4:$AV$38,"Planned")+SUMIFS('Status of Curriculum Completion'!$BM$4:$BM$38,'Status of Curriculum Completion'!$BC$4:$BC$38,"CEE",'Status of Curriculum Completion'!$BI$4:$BI$38,"Planned")+SUMIFS('Status of Curriculum Completion'!$BZ$4:$BZ$38,'Status of Curriculum Completion'!$BP$4:$BP$38,"CEE",'Status of Curriculum Completion'!$BV$4:$BV$38,"Planned")</f>
        <v>0</v>
      </c>
      <c r="X99" s="63" t="s">
        <v>270</v>
      </c>
      <c r="Y99" s="61">
        <f>SUMIFS('Status of Curriculum Completion'!$CM$4:$CM$38,'Status of Curriculum Completion'!$CC$4:$CC$38,"CEE",'Status of Curriculum Completion'!$CG$4:$CG$38,"Complete")+SUMIFS('Status of Curriculum Completion'!$CZ$4:$CZ$38,'Status of Curriculum Completion'!$CP$4:$CP$38,"CEE",'Status of Curriculum Completion'!$CT$4:$CT$38,"Complete")+SUMIFS('Status of Curriculum Completion'!$DM$4:$DM$38,'Status of Curriculum Completion'!$DC$4:$DC$38,"CEE",'Status of Curriculum Completion'!$DG$4:$DG$38,"Complete")</f>
        <v>0</v>
      </c>
      <c r="Z99" s="61">
        <f>SUMIFS('Status of Curriculum Completion'!$CM$4:$CM$38,'Status of Curriculum Completion'!$CC$4:$CC$38,"CEE",'Status of Curriculum Completion'!$CG$4:$CG$38,"In Progress")+SUMIFS('Status of Curriculum Completion'!$CZ$4:$CZ$38,'Status of Curriculum Completion'!$CP$4:$CP$38,"CEE",'Status of Curriculum Completion'!$CT$4:$CT$38,"In Progress")+SUMIFS('Status of Curriculum Completion'!$DM$4:$DM$38,'Status of Curriculum Completion'!$DC$4:$DC$38,"CEE",'Status of Curriculum Completion'!$DG$4:$DG$38,"In Progress")</f>
        <v>0</v>
      </c>
      <c r="AA99" s="61">
        <f>SUMIFS('Status of Curriculum Completion'!$CM$4:$CM$38,'Status of Curriculum Completion'!$CC$4:$CC$38,"CEE",'Status of Curriculum Completion'!$CG$4:$CG$38,"Planned")+SUMIFS('Status of Curriculum Completion'!$CZ$4:$CZ$38,'Status of Curriculum Completion'!$CP$4:$CP$38,"CEE",'Status of Curriculum Completion'!$CT$4:$CT$38,"Planned")+SUMIFS('Status of Curriculum Completion'!$DM$4:$DM$38,'Status of Curriculum Completion'!$DC$4:$DC$38,"CEE",'Status of Curriculum Completion'!$DG$4:$DG$38,"Planned")</f>
        <v>0</v>
      </c>
      <c r="AB99" s="61">
        <f>SUMIFS('Status of Curriculum Completion'!$CM$4:$CM$38,'Status of Curriculum Completion'!$CC$4:$CC$38,"CEE",'Status of Curriculum Completion'!$CG$4:$CG$38,"Tentative")+SUMIFS('Status of Curriculum Completion'!$CZ$4:$CZ$38,'Status of Curriculum Completion'!$CP$4:$CP$38,"CEE",'Status of Curriculum Completion'!$CT$4:$CT$38,"Tentative")+SUMIFS('Status of Curriculum Completion'!$DM$4:$DM$38,'Status of Curriculum Completion'!$DC$4:$DC$38,"CEE",'Status of Curriculum Completion'!$DG$4:$DG$38,"Tentative")</f>
        <v>0</v>
      </c>
      <c r="AC99" s="61">
        <f>SUMIFS('Status of Curriculum Completion'!$CM$4:$CM$38,'Status of Curriculum Completion'!$CC$4:$CC$38,"CEE",'Status of Curriculum Completion'!$CH$4:$CH$38,"Complete")+SUMIFS('Status of Curriculum Completion'!$CZ$4:$CZ$38,'Status of Curriculum Completion'!$CP$4:$CP$38,"CEE",'Status of Curriculum Completion'!$CU$4:$CU$38,"Complete")+SUMIFS('Status of Curriculum Completion'!$DM$4:$DM$38,'Status of Curriculum Completion'!$DC$4:$DC$38,"CEE",'Status of Curriculum Completion'!$DH$4:$DH$38,"Complete")</f>
        <v>0</v>
      </c>
      <c r="AD99" s="61">
        <f>SUMIFS('Status of Curriculum Completion'!$CM$4:$CM$38,'Status of Curriculum Completion'!$CC$4:$CC$38,"CEE",'Status of Curriculum Completion'!$CH$4:$CH$38,"In Progress")+SUMIFS('Status of Curriculum Completion'!$CZ$4:$CZ$38,'Status of Curriculum Completion'!$CP$4:$CP$38,"CEE",'Status of Curriculum Completion'!$CU$4:$CU$38,"In Progress")+SUMIFS('Status of Curriculum Completion'!$DM$4:$DM$38,'Status of Curriculum Completion'!$DC$4:$DC$38,"CEE",'Status of Curriculum Completion'!$DH$4:$DH$38,"In Progress")</f>
        <v>0</v>
      </c>
      <c r="AE99" s="61">
        <f>SUMIFS('Status of Curriculum Completion'!$CM$4:$CM$38,'Status of Curriculum Completion'!$CC$4:$CC$38,"CEE",'Status of Curriculum Completion'!$CH$4:$CH$38,"Planned")+SUMIFS('Status of Curriculum Completion'!$CZ$4:$CZ$38,'Status of Curriculum Completion'!$CP$4:$CP$38,"CEE",'Status of Curriculum Completion'!$CU$4:$CU$38,"Planned")+SUMIFS('Status of Curriculum Completion'!$DM$4:$DM$38,'Status of Curriculum Completion'!$DC$4:$DC$38,"CEE",'Status of Curriculum Completion'!$DH$4:$DH$38,"Planned")</f>
        <v>0</v>
      </c>
      <c r="AF99" s="61">
        <f>SUMIFS('Status of Curriculum Completion'!$CM$4:$CM$38,'Status of Curriculum Completion'!$CC$4:$CC$38,"CEE",'Status of Curriculum Completion'!$CH$4:$CH$38,"Tentative")+SUMIFS('Status of Curriculum Completion'!$CZ$4:$CZ$38,'Status of Curriculum Completion'!$CP$4:$CP$38,"CEE",'Status of Curriculum Completion'!$CU$4:$CU$38,"Tentative")+SUMIFS('Status of Curriculum Completion'!$DM$4:$DM$38,'Status of Curriculum Completion'!$DC$4:$DC$38,"CEE",'Status of Curriculum Completion'!$DH$4:$DH$38,"Tentative")</f>
        <v>0</v>
      </c>
      <c r="AG99" s="61">
        <f>SUMIFS('Status of Curriculum Completion'!$CM$4:$CM$38,'Status of Curriculum Completion'!$CC$4:$CC$38,"CEE",'Status of Curriculum Completion'!$CI$4:$CI$38,"Complete")+SUMIFS('Status of Curriculum Completion'!$CZ$4:$CZ$38,'Status of Curriculum Completion'!$CP$4:$CP$38,"CEE",'Status of Curriculum Completion'!$CV$4:$CV$38,"Complete")+SUMIFS('Status of Curriculum Completion'!$DM$4:$DM$38,'Status of Curriculum Completion'!$DC$4:$DC$38,"CEE",'Status of Curriculum Completion'!$DI$4:$DI$38,"Complete")</f>
        <v>0</v>
      </c>
      <c r="AH99" s="61">
        <f>SUMIFS('Status of Curriculum Completion'!$CM$4:$CM$38,'Status of Curriculum Completion'!$CC$4:$CC$38,"CEE",'Status of Curriculum Completion'!$CI$4:$CI$38,"In Progress")+SUMIFS('Status of Curriculum Completion'!$CZ$4:$CZ$38,'Status of Curriculum Completion'!$CP$4:$CP$38,"CEE",'Status of Curriculum Completion'!$CV$4:$CV$38,"In Progress")+SUMIFS('Status of Curriculum Completion'!$DM$4:$DM$38,'Status of Curriculum Completion'!$DC$4:$DC$38,"CEE",'Status of Curriculum Completion'!$DI$4:$DI$38,"In Progress")</f>
        <v>0</v>
      </c>
      <c r="AI99" s="61">
        <f>SUMIFS('Status of Curriculum Completion'!$CM$4:$CM$38,'Status of Curriculum Completion'!$CC$4:$CC$38,"CEE",'Status of Curriculum Completion'!$CI$4:$CI$38,"Planned")+SUMIFS('Status of Curriculum Completion'!$CZ$4:$CZ$38,'Status of Curriculum Completion'!$CP$4:$CP$38,"CEE",'Status of Curriculum Completion'!$CV$4:$CV$38,"Planned")+SUMIFS('Status of Curriculum Completion'!$DM$4:$DM$38,'Status of Curriculum Completion'!$DC$4:$DC$38,"CEE",'Status of Curriculum Completion'!$DI$4:$DI$38,"Planned")</f>
        <v>0</v>
      </c>
      <c r="AJ99" s="61">
        <f>SUMIFS('Status of Curriculum Completion'!$CM$4:$CM$38,'Status of Curriculum Completion'!$CC$4:$CC$38,"CEE",'Status of Curriculum Completion'!$CI$4:$CI$38,"Tentative")+SUMIFS('Status of Curriculum Completion'!$CZ$4:$CZ$38,'Status of Curriculum Completion'!$CP$4:$CP$38,"CEE",'Status of Curriculum Completion'!$CV$4:$CV$38,"Tentative")+SUMIFS('Status of Curriculum Completion'!$DM$4:$DM$38,'Status of Curriculum Completion'!$DC$4:$DC$38,"CEE",'Status of Curriculum Completion'!$DI$4:$DI$38,"Tentative")</f>
        <v>0</v>
      </c>
      <c r="AK99" s="62">
        <f>SUMIFS('Status of Curriculum Completion'!$DZ$4:$DZ$38,'Status of Curriculum Completion'!$DP$4:$DP$38,"CEE",'Status of Curriculum Completion'!$DT$4:$DT$38,"Complete")+SUMIFS('Status of Curriculum Completion'!$EM$4:$EM$38,'Status of Curriculum Completion'!$EC$4:$EC$38,"CEE",'Status of Curriculum Completion'!$EG$4:$EG$38,"Complete")+SUMIFS('Status of Curriculum Completion'!$EZ$4:$EZ$38,'Status of Curriculum Completion'!$EP$4:$EP$38,"CEE",'Status of Curriculum Completion'!$ET$4:$ET$38,"Complete")</f>
        <v>0</v>
      </c>
      <c r="AL99" s="62">
        <f>SUMIFS('Status of Curriculum Completion'!$DZ$4:$DZ$38,'Status of Curriculum Completion'!$DP$4:$DP$38,"CEE",'Status of Curriculum Completion'!$DT$4:$DT$38,"In Progress")+SUMIFS('Status of Curriculum Completion'!$EM$4:$EM$38,'Status of Curriculum Completion'!$EC$4:$EC$38,"CEE",'Status of Curriculum Completion'!$EG$4:$EG$38,"In Progress")+SUMIFS('Status of Curriculum Completion'!$EZ$4:$EZ$38,'Status of Curriculum Completion'!$EP$4:$EP$38,"CEE",'Status of Curriculum Completion'!$ET$4:$ET$38,"In Progress")</f>
        <v>0</v>
      </c>
      <c r="AM99" s="62">
        <f>SUMIFS('Status of Curriculum Completion'!$DZ$4:$DZ$38,'Status of Curriculum Completion'!$DP$4:$DP$38,"CEE",'Status of Curriculum Completion'!$DT$4:$DT$38,"Planned")+SUMIFS('Status of Curriculum Completion'!$EM$4:$EM$38,'Status of Curriculum Completion'!$EC$4:$EC$38,"CEE",'Status of Curriculum Completion'!$EG$4:$EG$38,"Planned")+SUMIFS('Status of Curriculum Completion'!$EZ$4:$EZ$38,'Status of Curriculum Completion'!$EP$4:$EP$38,"CEE",'Status of Curriculum Completion'!$ET$4:$ET$38,"Planned")</f>
        <v>0</v>
      </c>
      <c r="AN99" s="62">
        <f>SUMIFS('Status of Curriculum Completion'!$DZ$4:$DZ$38,'Status of Curriculum Completion'!$DP$4:$DP$38,"CEE",'Status of Curriculum Completion'!$DT$4:$DT$38,"Tentative")+SUMIFS('Status of Curriculum Completion'!$EM$4:$EM$38,'Status of Curriculum Completion'!$EC$4:$EC$38,"CEE",'Status of Curriculum Completion'!$EG$4:$EG$38,"Tentative")+SUMIFS('Status of Curriculum Completion'!$EZ$4:$EZ$38,'Status of Curriculum Completion'!$EP$4:$EP$38,"CEE",'Status of Curriculum Completion'!$ET$4:$ET$38,"Tentative")</f>
        <v>0</v>
      </c>
      <c r="AO99" s="62">
        <f>SUMIFS('Status of Curriculum Completion'!$DZ$4:$DZ$38,'Status of Curriculum Completion'!$DP$4:$DP$38,"CEE",'Status of Curriculum Completion'!$DU$4:$DU$38,"Complete")+SUMIFS('Status of Curriculum Completion'!$EM$4:$EM$38,'Status of Curriculum Completion'!$EC$4:$EC$38,"CEE",'Status of Curriculum Completion'!$EH$4:$EH$38,"Complete")+SUMIFS('Status of Curriculum Completion'!$EZ$4:$EZ$38,'Status of Curriculum Completion'!$EP$4:$EP$38,"CEE",'Status of Curriculum Completion'!$EU$4:$EU$38,"Complete")</f>
        <v>0</v>
      </c>
      <c r="AP99" s="62">
        <f>SUMIFS('Status of Curriculum Completion'!$DZ$4:$DZ$38,'Status of Curriculum Completion'!$DP$4:$DP$38,"CEE",'Status of Curriculum Completion'!$DU$4:$DU$38,"In Progress")+SUMIFS('Status of Curriculum Completion'!$EM$4:$EM$38,'Status of Curriculum Completion'!$EC$4:$EC$38,"CEE",'Status of Curriculum Completion'!$EH$4:$EH$38,"In Progress")+SUMIFS('Status of Curriculum Completion'!$EZ$4:$EZ$38,'Status of Curriculum Completion'!$EP$4:$EP$38,"CEE",'Status of Curriculum Completion'!$EU$4:$EU$38,"In Progress")</f>
        <v>0</v>
      </c>
      <c r="AQ99" s="62">
        <f>SUMIFS('Status of Curriculum Completion'!$DZ$4:$DZ$38,'Status of Curriculum Completion'!$DP$4:$DP$38,"CEE",'Status of Curriculum Completion'!$DU$4:$DU$38,"Planned")+SUMIFS('Status of Curriculum Completion'!$EM$4:$EM$38,'Status of Curriculum Completion'!$EC$4:$EC$38,"CEE",'Status of Curriculum Completion'!$EH$4:$EH$38,"Planned")+SUMIFS('Status of Curriculum Completion'!$EZ$4:$EZ$38,'Status of Curriculum Completion'!$EP$4:$EP$38,"CEE",'Status of Curriculum Completion'!$EU$4:$EU$38,"Planned")</f>
        <v>0</v>
      </c>
      <c r="AR99" s="62">
        <f>SUMIFS('Status of Curriculum Completion'!$DZ$4:$DZ$38,'Status of Curriculum Completion'!$DP$4:$DP$38,"CEE",'Status of Curriculum Completion'!$DU$4:$DU$38,"Tentative")+SUMIFS('Status of Curriculum Completion'!$EM$4:$EM$38,'Status of Curriculum Completion'!$EC$4:$EC$38,"CEE",'Status of Curriculum Completion'!$EH$4:$EH$38,"Tentative")+SUMIFS('Status of Curriculum Completion'!$EZ$4:$EZ$38,'Status of Curriculum Completion'!$EP$4:$EP$38,"CEE",'Status of Curriculum Completion'!$EU$4:$EU$38,"Tentative")</f>
        <v>0</v>
      </c>
      <c r="AS99" s="62">
        <f>SUMIFS('Status of Curriculum Completion'!$DZ$4:$DZ$38,'Status of Curriculum Completion'!$DP$4:$DP$38,"CEE",'Status of Curriculum Completion'!$DV$4:$DV$38,"Complete")+SUMIFS('Status of Curriculum Completion'!$EM$4:$EM$38,'Status of Curriculum Completion'!$EC$4:$EC$38,"CEE",'Status of Curriculum Completion'!$EI$4:$EI$38,"Complete")+SUMIFS('Status of Curriculum Completion'!$EZ$4:$EZ$38,'Status of Curriculum Completion'!$EP$4:$EP$38,"CEE",'Status of Curriculum Completion'!$EV$4:$EV$38,"Complete")</f>
        <v>0</v>
      </c>
      <c r="AT99" s="62">
        <f>SUMIFS('Status of Curriculum Completion'!$DZ$4:$DZ$38,'Status of Curriculum Completion'!$DP$4:$DP$38,"CEE",'Status of Curriculum Completion'!$DV$4:$DV$38,"In Progress")+SUMIFS('Status of Curriculum Completion'!$EM$4:$EM$38,'Status of Curriculum Completion'!$EC$4:$EC$38,"CEE",'Status of Curriculum Completion'!$EI$4:$EI$38,"In Progress")+SUMIFS('Status of Curriculum Completion'!$EZ$4:$EZ$38,'Status of Curriculum Completion'!$EP$4:$EP$38,"CEE",'Status of Curriculum Completion'!$EV$4:$EV$38,"In Progress")</f>
        <v>0</v>
      </c>
      <c r="AU99" s="62">
        <f>SUMIFS('Status of Curriculum Completion'!$DZ$4:$DZ$38,'Status of Curriculum Completion'!$DP$4:$DP$38,"CEE",'Status of Curriculum Completion'!$DV$4:$DV$38,"Planned")+SUMIFS('Status of Curriculum Completion'!$EM$4:$EM$38,'Status of Curriculum Completion'!$EC$4:$EC$38,"CEE",'Status of Curriculum Completion'!$EI$4:$EI$38,"Planned")+SUMIFS('Status of Curriculum Completion'!$EZ$4:$EZ$38,'Status of Curriculum Completion'!$EP$4:$EP$38,"CEE",'Status of Curriculum Completion'!$EV$4:$EV$38,"Planned")</f>
        <v>0</v>
      </c>
      <c r="AV99" s="62">
        <f>SUMIFS('Status of Curriculum Completion'!$DZ$4:$DZ$38,'Status of Curriculum Completion'!$DP$4:$DP$38,"CEE",'Status of Curriculum Completion'!$DV$4:$DV$38,"Tentative")+SUMIFS('Status of Curriculum Completion'!$EM$4:$EM$38,'Status of Curriculum Completion'!$EC$4:$EC$38,"CEE",'Status of Curriculum Completion'!$EI$4:$EI$38,"Tentative")+SUMIFS('Status of Curriculum Completion'!$EZ$4:$EZ$38,'Status of Curriculum Completion'!$EP$4:$EP$38,"CEE",'Status of Curriculum Completion'!$EV$4:$EV$38,"Tentative")</f>
        <v>0</v>
      </c>
    </row>
    <row r="100" spans="3:48" ht="29.5" hidden="1" thickBot="1">
      <c r="C100" s="63" t="s">
        <v>1162</v>
      </c>
      <c r="D100" s="59">
        <f>SUMIFS('Status of Curriculum Completion'!$M$4:$M$38,'Status of Curriculum Completion'!$C$4:$C$38,"CIC China",'Status of Curriculum Completion'!$G$4:$G$38,"Complete")+SUMIFS('Status of Curriculum Completion'!$Z$4:$Z$38,'Status of Curriculum Completion'!$P$4:$P$38,"CIC China",'Status of Curriculum Completion'!$T$4:$T$38,"Complete")+SUMIFS('Status of Curriculum Completion'!$AM$4:$AM$38,'Status of Curriculum Completion'!$AC$4:$AC$38,"CIC China",'Status of Curriculum Completion'!$AG$4:$AG$38,"Complete")</f>
        <v>0</v>
      </c>
      <c r="E100" s="59">
        <f>SUMIFS('Status of Curriculum Completion'!$M$4:$M$38,'Status of Curriculum Completion'!$C$4:$C$38,"CIC China",'Status of Curriculum Completion'!$G$4:$G$38,"In progress")+SUMIFS('Status of Curriculum Completion'!$Z$4:$Z$38,'Status of Curriculum Completion'!$P$4:$P$38,"CIC China",'Status of Curriculum Completion'!$T$4:$T$38,"In progress")+SUMIFS('Status of Curriculum Completion'!$AM$4:$AM$38,'Status of Curriculum Completion'!$AC$4:$AC$38,"CIC China",'Status of Curriculum Completion'!$AG$4:$AG$38,"In progress")</f>
        <v>0</v>
      </c>
      <c r="F100" s="59">
        <f>SUMIFS('Status of Curriculum Completion'!$M$4:$M$38,'Status of Curriculum Completion'!$C$4:$C$38,"CIC China",'Status of Curriculum Completion'!$G$4:$G$38,"Planned")+SUMIFS('Status of Curriculum Completion'!$Z$4:$Z$38,'Status of Curriculum Completion'!$P$4:$P$38,"CIC China",'Status of Curriculum Completion'!$T$4:$T$38,"Planned")+SUMIFS('Status of Curriculum Completion'!$AM$4:$AM$38,'Status of Curriculum Completion'!$AC$4:$AC$38,"CIC China",'Status of Curriculum Completion'!$AG$4:$AG$38,"Planned")</f>
        <v>0</v>
      </c>
      <c r="G100" s="59">
        <f>SUMIFS('Status of Curriculum Completion'!$M$4:$M$38,'Status of Curriculum Completion'!$C$4:$C$38,"CIC China",'Status of Curriculum Completion'!$H$4:$H$38,"Complete")+SUMIFS('Status of Curriculum Completion'!$Z$4:$Z$38,'Status of Curriculum Completion'!$P$4:$P$38,"CIC China",'Status of Curriculum Completion'!$U$4:$U$38,"Complete")+SUMIFS('Status of Curriculum Completion'!$AM$4:$AM$38,'Status of Curriculum Completion'!$AC$4:$AC$38,"CIC China",'Status of Curriculum Completion'!$AH$4:$AH$38,"Complete")</f>
        <v>0</v>
      </c>
      <c r="H100" s="59">
        <f>SUMIFS('Status of Curriculum Completion'!$M$4:$M$38,'Status of Curriculum Completion'!$C$4:$C$38,"CIC China",'Status of Curriculum Completion'!$H$4:$H$38,"In Progress")+SUMIFS('Status of Curriculum Completion'!$Z$4:$Z$38,'Status of Curriculum Completion'!$P$4:$P$38,"CIC China",'Status of Curriculum Completion'!$U$4:$U$38,"In Progress")+SUMIFS('Status of Curriculum Completion'!$AM$4:$AM$38,'Status of Curriculum Completion'!$AC$4:$AC$38,"CIC China",'Status of Curriculum Completion'!$AH$4:$AH$38,"In Progress")</f>
        <v>0</v>
      </c>
      <c r="I100" s="59">
        <f>SUMIFS('Status of Curriculum Completion'!$M$4:$M$38,'Status of Curriculum Completion'!$C$4:$C$38,"CIC China",'Status of Curriculum Completion'!$H$4:$H$38,"Planned")+SUMIFS('Status of Curriculum Completion'!$Z$4:$Z$38,'Status of Curriculum Completion'!$P$4:$P$38,"CIC China",'Status of Curriculum Completion'!$U$4:$U$38,"Planned")+SUMIFS('Status of Curriculum Completion'!$AM$4:$AM$38,'Status of Curriculum Completion'!$AC$4:$AC$38,"CIC China",'Status of Curriculum Completion'!$AH$4:$AH$38,"Planned")</f>
        <v>0</v>
      </c>
      <c r="J100" s="59">
        <f>SUMIFS('Status of Curriculum Completion'!$M$4:$M$38,'Status of Curriculum Completion'!$C$4:$C$38,"CIC China",'Status of Curriculum Completion'!$I$4:$I$38,"Complete")+SUMIFS('Status of Curriculum Completion'!$Z$4:$Z$38,'Status of Curriculum Completion'!$P$4:$P$38,"CIC China",'Status of Curriculum Completion'!$V$4:$V$38,"Complete")+SUMIFS('Status of Curriculum Completion'!$AM$4:$AM$38,'Status of Curriculum Completion'!$AC$4:$AC$38,"CIC China",'Status of Curriculum Completion'!$AI$4:$AI$38,"Complete")</f>
        <v>0</v>
      </c>
      <c r="K100" s="59">
        <f>SUMIFS('Status of Curriculum Completion'!$M$4:$M$38,'Status of Curriculum Completion'!$C$4:$C$38,"CIC China",'Status of Curriculum Completion'!$I$4:$I$38,"In Progress")+SUMIFS('Status of Curriculum Completion'!$Z$4:$Z$38,'Status of Curriculum Completion'!$P$4:$P$38,"CIC China",'Status of Curriculum Completion'!$V$4:$V$38,"In Progress")+SUMIFS('Status of Curriculum Completion'!$AM$4:$AM$38,'Status of Curriculum Completion'!$AC$4:$AC$38,"CIC China",'Status of Curriculum Completion'!$AI$4:$AI$38,"In Progress")</f>
        <v>0</v>
      </c>
      <c r="L100" s="59">
        <f>SUMIFS('Status of Curriculum Completion'!$M$4:$M$38,'Status of Curriculum Completion'!$C$4:$C$38,"CIC China",'Status of Curriculum Completion'!$I$4:$I$38,"Planned")+SUMIFS('Status of Curriculum Completion'!$Z$4:$Z$38,'Status of Curriculum Completion'!$P$4:$P$38,"CIC China",'Status of Curriculum Completion'!$V$4:$V$38,"Planned")+SUMIFS('Status of Curriculum Completion'!$AM$4:$AM$38,'Status of Curriculum Completion'!$AC$4:$AC$38,"CIC China",'Status of Curriculum Completion'!$AI$4:$AI$38,"Planned")</f>
        <v>0</v>
      </c>
      <c r="M100" s="60">
        <f>SUMIFS('Status of Curriculum Completion'!$AZ$4:$AZ$38,'Status of Curriculum Completion'!$AP$4:$AP$38,"CIC China",'Status of Curriculum Completion'!$AT$4:$AT$38,"Complete")+SUMIFS('Status of Curriculum Completion'!$BM$4:$BM$38,'Status of Curriculum Completion'!$BC$4:$BC$38,"CIC China",'Status of Curriculum Completion'!$BG$4:$BG$38,"Complete")+SUMIFS('Status of Curriculum Completion'!$BZ$4:$BZ$38,'Status of Curriculum Completion'!$BP$4:$BP$38,"CIC China",'Status of Curriculum Completion'!$BT$4:$BT$38,"Complete")</f>
        <v>0</v>
      </c>
      <c r="N100" s="60">
        <f>SUMIFS('Status of Curriculum Completion'!$AZ$4:$AZ$38,'Status of Curriculum Completion'!$AP$4:$AP$38,"CIC China",'Status of Curriculum Completion'!$AT$4:$AT$38,"In Progress")+SUMIFS('Status of Curriculum Completion'!$BM$4:$BM$38,'Status of Curriculum Completion'!$BC$4:$BC$38,"CIC China",'Status of Curriculum Completion'!$BG$4:$BG$38,"In Progress")+SUMIFS('Status of Curriculum Completion'!$BZ$4:$BZ$38,'Status of Curriculum Completion'!$BP$4:$BP$38,"CIC China",'Status of Curriculum Completion'!$BT$4:$BT$38,"In Progress")</f>
        <v>0</v>
      </c>
      <c r="O100" s="60">
        <f>SUMIFS('Status of Curriculum Completion'!$AZ$4:$AZ$38,'Status of Curriculum Completion'!$AP$4:$AP$38,"CIC China",'Status of Curriculum Completion'!$AT$4:$AT$38,"Planned")+SUMIFS('Status of Curriculum Completion'!$BM$4:$BM$38,'Status of Curriculum Completion'!$BC$4:$BC$38,"CIC China",'Status of Curriculum Completion'!$BG$4:$BG$38,"Planned")+SUMIFS('Status of Curriculum Completion'!$BZ$4:$BZ$38,'Status of Curriculum Completion'!$BP$4:$BP$38,"CIC China",'Status of Curriculum Completion'!$BT$4:$BT$38,"Planned")</f>
        <v>0</v>
      </c>
      <c r="P100" s="60">
        <f>SUMIFS('Status of Curriculum Completion'!$AZ$4:$AZ$38,'Status of Curriculum Completion'!$AP$4:$AP$38,"CIC China",'Status of Curriculum Completion'!$AU$4:$AU$38,"Complete")+SUMIFS('Status of Curriculum Completion'!$BM$4:$BM$38,'Status of Curriculum Completion'!$BC$4:$BC$38,"CIC China",'Status of Curriculum Completion'!$BH$4:$BH$38,"Complete")+SUMIFS('Status of Curriculum Completion'!$BZ$4:$BZ$38,'Status of Curriculum Completion'!$BP$4:$BP$38,"CIC China",'Status of Curriculum Completion'!$BU$4:$BU$38,"Complete")</f>
        <v>0</v>
      </c>
      <c r="Q100" s="60">
        <f>SUMIFS('Status of Curriculum Completion'!$AZ$4:$AZ$38,'Status of Curriculum Completion'!$AP$4:$AP$38,"CIC China",'Status of Curriculum Completion'!$AU$4:$AU$38,"In Progress")+SUMIFS('Status of Curriculum Completion'!$BM$4:$BM$38,'Status of Curriculum Completion'!$BC$4:$BC$38,"CIC China",'Status of Curriculum Completion'!$BH$4:$BH$38,"In Progress")+SUMIFS('Status of Curriculum Completion'!$BZ$4:$BZ$38,'Status of Curriculum Completion'!$BP$4:$BP$38,"CIC China",'Status of Curriculum Completion'!$BU$4:$BU$38,"In Progress")</f>
        <v>0</v>
      </c>
      <c r="R100" s="60">
        <f>SUMIFS('Status of Curriculum Completion'!$AZ$4:$AZ$38,'Status of Curriculum Completion'!$AP$4:$AP$38,"CIC China",'Status of Curriculum Completion'!$AU$4:$AU$38,"Planned")+SUMIFS('Status of Curriculum Completion'!$BM$4:$BM$38,'Status of Curriculum Completion'!$BC$4:$BC$38,"CIC China",'Status of Curriculum Completion'!$BH$4:$BH$38,"Planned")+SUMIFS('Status of Curriculum Completion'!$BZ$4:$BZ$38,'Status of Curriculum Completion'!$BP$4:$BP$38,"CIC China",'Status of Curriculum Completion'!$BU$4:$BU$38,"Planned")</f>
        <v>0</v>
      </c>
      <c r="S100" s="60">
        <f>SUMIFS('Status of Curriculum Completion'!$AZ$4:$AZ$38,'Status of Curriculum Completion'!$AP$4:$AP$38,"CIC China",'Status of Curriculum Completion'!$AV$4:$AV$38,"Complete")+SUMIFS('Status of Curriculum Completion'!$BM$4:$BM$38,'Status of Curriculum Completion'!$BC$4:$BC$38,"CIC China",'Status of Curriculum Completion'!$BI$4:$BI$38,"Complete")+SUMIFS('Status of Curriculum Completion'!$BZ$4:$BZ$38,'Status of Curriculum Completion'!$BP$4:$BP$38,"CIC China",'Status of Curriculum Completion'!$BV$4:$BV$38,"Complete")</f>
        <v>0</v>
      </c>
      <c r="T100" s="60">
        <f>SUMIFS('Status of Curriculum Completion'!$AZ$4:$AZ$38,'Status of Curriculum Completion'!$AP$4:$AP$38,"CIC China",'Status of Curriculum Completion'!$AV$4:$AV$38,"In Progress")+SUMIFS('Status of Curriculum Completion'!$BM$4:$BM$38,'Status of Curriculum Completion'!$BC$4:$BC$38,"CIC China",'Status of Curriculum Completion'!$BI$4:$BI$38,"In Progress")+SUMIFS('Status of Curriculum Completion'!$BZ$4:$BZ$38,'Status of Curriculum Completion'!$BP$4:$BP$38,"CIC China",'Status of Curriculum Completion'!$BV$4:$BV$38,"In Progress")</f>
        <v>0</v>
      </c>
      <c r="U100" s="60">
        <f>SUMIFS('Status of Curriculum Completion'!$AZ$4:$AZ$38,'Status of Curriculum Completion'!$AP$4:$AP$38,"CIC China",'Status of Curriculum Completion'!$AV$4:$AV$38,"Planned")+SUMIFS('Status of Curriculum Completion'!$BM$4:$BM$38,'Status of Curriculum Completion'!$BC$4:$BC$38,"CIC China",'Status of Curriculum Completion'!$BI$4:$BI$38,"Planned")+SUMIFS('Status of Curriculum Completion'!$BZ$4:$BZ$38,'Status of Curriculum Completion'!$BP$4:$BP$38,"CIC China",'Status of Curriculum Completion'!$BV$4:$BV$38,"Planned")</f>
        <v>0</v>
      </c>
      <c r="X100" s="63" t="s">
        <v>1162</v>
      </c>
      <c r="Y100" s="61">
        <f>SUMIFS('Status of Curriculum Completion'!$CM$4:$CM$38,'Status of Curriculum Completion'!$CC$4:$CC$38,"CIC China",'Status of Curriculum Completion'!$CG$4:$CG$38,"Complete")+SUMIFS('Status of Curriculum Completion'!$CZ$4:$CZ$38,'Status of Curriculum Completion'!$CP$4:$CP$38,"CIC China",'Status of Curriculum Completion'!$CT$4:$CT$38,"Complete")+SUMIFS('Status of Curriculum Completion'!$DM$4:$DM$38,'Status of Curriculum Completion'!$DC$4:$DC$38,"CIC China",'Status of Curriculum Completion'!$DG$4:$DG$38,"Complete")</f>
        <v>0</v>
      </c>
      <c r="Z100" s="61">
        <f>SUMIFS('Status of Curriculum Completion'!$CM$4:$CM$38,'Status of Curriculum Completion'!$CC$4:$CC$38,"CIC China",'Status of Curriculum Completion'!$CG$4:$CG$38,"In Progress")+SUMIFS('Status of Curriculum Completion'!$CZ$4:$CZ$38,'Status of Curriculum Completion'!$CP$4:$CP$38,"CIC China",'Status of Curriculum Completion'!$CT$4:$CT$38,"In Progress")+SUMIFS('Status of Curriculum Completion'!$DM$4:$DM$38,'Status of Curriculum Completion'!$DC$4:$DC$38,"CIC China",'Status of Curriculum Completion'!$DG$4:$DG$38,"In Progress")</f>
        <v>0</v>
      </c>
      <c r="AA100" s="61">
        <f>SUMIFS('Status of Curriculum Completion'!$CM$4:$CM$38,'Status of Curriculum Completion'!$CC$4:$CC$38,"CIC China",'Status of Curriculum Completion'!$CG$4:$CG$38,"Planned")+SUMIFS('Status of Curriculum Completion'!$CZ$4:$CZ$38,'Status of Curriculum Completion'!$CP$4:$CP$38,"CIC China",'Status of Curriculum Completion'!$CT$4:$CT$38,"Planned")+SUMIFS('Status of Curriculum Completion'!$DM$4:$DM$38,'Status of Curriculum Completion'!$DC$4:$DC$38,"CIC China",'Status of Curriculum Completion'!$DG$4:$DG$38,"Planned")</f>
        <v>0</v>
      </c>
      <c r="AB100" s="61">
        <f>SUMIFS('Status of Curriculum Completion'!$CM$4:$CM$38,'Status of Curriculum Completion'!$CC$4:$CC$38,"CIC China",'Status of Curriculum Completion'!$CG$4:$CG$38,"Tentative")+SUMIFS('Status of Curriculum Completion'!$CZ$4:$CZ$38,'Status of Curriculum Completion'!$CP$4:$CP$38,"CIC China",'Status of Curriculum Completion'!$CT$4:$CT$38,"Tentative")+SUMIFS('Status of Curriculum Completion'!$DM$4:$DM$38,'Status of Curriculum Completion'!$DC$4:$DC$38,"CIC China",'Status of Curriculum Completion'!$DG$4:$DG$38,"Tentative")</f>
        <v>0</v>
      </c>
      <c r="AC100" s="61">
        <f>SUMIFS('Status of Curriculum Completion'!$CM$4:$CM$38,'Status of Curriculum Completion'!$CC$4:$CC$38,"CIC China",'Status of Curriculum Completion'!$CH$4:$CH$38,"Complete")+SUMIFS('Status of Curriculum Completion'!$CZ$4:$CZ$38,'Status of Curriculum Completion'!$CP$4:$CP$38,"CIC China",'Status of Curriculum Completion'!$CU$4:$CU$38,"Complete")+SUMIFS('Status of Curriculum Completion'!$DM$4:$DM$38,'Status of Curriculum Completion'!$DC$4:$DC$38,"CIC China",'Status of Curriculum Completion'!$DH$4:$DH$38,"Complete")</f>
        <v>0</v>
      </c>
      <c r="AD100" s="61">
        <f>SUMIFS('Status of Curriculum Completion'!$CM$4:$CM$38,'Status of Curriculum Completion'!$CC$4:$CC$38,"CIC China",'Status of Curriculum Completion'!$CH$4:$CH$38,"In Progress")+SUMIFS('Status of Curriculum Completion'!$CZ$4:$CZ$38,'Status of Curriculum Completion'!$CP$4:$CP$38,"CIC China",'Status of Curriculum Completion'!$CU$4:$CU$38,"In Progress")+SUMIFS('Status of Curriculum Completion'!$DM$4:$DM$38,'Status of Curriculum Completion'!$DC$4:$DC$38,"CIC China",'Status of Curriculum Completion'!$DH$4:$DH$38,"In Progress")</f>
        <v>0</v>
      </c>
      <c r="AE100" s="61">
        <f>SUMIFS('Status of Curriculum Completion'!$CM$4:$CM$38,'Status of Curriculum Completion'!$CC$4:$CC$38,"CIC China",'Status of Curriculum Completion'!$CH$4:$CH$38,"Planned")+SUMIFS('Status of Curriculum Completion'!$CZ$4:$CZ$38,'Status of Curriculum Completion'!$CP$4:$CP$38,"CIC China",'Status of Curriculum Completion'!$CU$4:$CU$38,"Planned")+SUMIFS('Status of Curriculum Completion'!$DM$4:$DM$38,'Status of Curriculum Completion'!$DC$4:$DC$38,"CIC China",'Status of Curriculum Completion'!$DH$4:$DH$38,"Planned")</f>
        <v>0</v>
      </c>
      <c r="AF100" s="61">
        <f>SUMIFS('Status of Curriculum Completion'!$CM$4:$CM$38,'Status of Curriculum Completion'!$CC$4:$CC$38,"CIC China",'Status of Curriculum Completion'!$CH$4:$CH$38,"Tentative")+SUMIFS('Status of Curriculum Completion'!$CZ$4:$CZ$38,'Status of Curriculum Completion'!$CP$4:$CP$38,"CIC China",'Status of Curriculum Completion'!$CU$4:$CU$38,"Tentative")+SUMIFS('Status of Curriculum Completion'!$DM$4:$DM$38,'Status of Curriculum Completion'!$DC$4:$DC$38,"CIC China",'Status of Curriculum Completion'!$DH$4:$DH$38,"Tentative")</f>
        <v>0</v>
      </c>
      <c r="AG100" s="61">
        <f>SUMIFS('Status of Curriculum Completion'!$CM$4:$CM$38,'Status of Curriculum Completion'!$CC$4:$CC$38,"CIC China",'Status of Curriculum Completion'!$CI$4:$CI$38,"Complete")+SUMIFS('Status of Curriculum Completion'!$CZ$4:$CZ$38,'Status of Curriculum Completion'!$CP$4:$CP$38,"CIC China",'Status of Curriculum Completion'!$CV$4:$CV$38,"Complete")+SUMIFS('Status of Curriculum Completion'!$DM$4:$DM$38,'Status of Curriculum Completion'!$DC$4:$DC$38,"CIC China",'Status of Curriculum Completion'!$DI$4:$DI$38,"Complete")</f>
        <v>0</v>
      </c>
      <c r="AH100" s="61">
        <f>SUMIFS('Status of Curriculum Completion'!$CM$4:$CM$38,'Status of Curriculum Completion'!$CC$4:$CC$38,"CIC China",'Status of Curriculum Completion'!$CI$4:$CI$38,"In Progress")+SUMIFS('Status of Curriculum Completion'!$CZ$4:$CZ$38,'Status of Curriculum Completion'!$CP$4:$CP$38,"CIC China",'Status of Curriculum Completion'!$CV$4:$CV$38,"In Progress")+SUMIFS('Status of Curriculum Completion'!$DM$4:$DM$38,'Status of Curriculum Completion'!$DC$4:$DC$38,"CIC China",'Status of Curriculum Completion'!$DI$4:$DI$38,"In Progress")</f>
        <v>0</v>
      </c>
      <c r="AI100" s="61">
        <f>SUMIFS('Status of Curriculum Completion'!$CM$4:$CM$38,'Status of Curriculum Completion'!$CC$4:$CC$38,"CIC China",'Status of Curriculum Completion'!$CI$4:$CI$38,"Planned")+SUMIFS('Status of Curriculum Completion'!$CZ$4:$CZ$38,'Status of Curriculum Completion'!$CP$4:$CP$38,"CIC China",'Status of Curriculum Completion'!$CV$4:$CV$38,"Planned")+SUMIFS('Status of Curriculum Completion'!$DM$4:$DM$38,'Status of Curriculum Completion'!$DC$4:$DC$38,"CIC China",'Status of Curriculum Completion'!$DI$4:$DI$38,"Planned")</f>
        <v>0</v>
      </c>
      <c r="AJ100" s="61">
        <f>SUMIFS('Status of Curriculum Completion'!$CM$4:$CM$38,'Status of Curriculum Completion'!$CC$4:$CC$38,"CIC China",'Status of Curriculum Completion'!$CI$4:$CI$38,"Tentative")+SUMIFS('Status of Curriculum Completion'!$CZ$4:$CZ$38,'Status of Curriculum Completion'!$CP$4:$CP$38,"CIC China",'Status of Curriculum Completion'!$CV$4:$CV$38,"Tentative")+SUMIFS('Status of Curriculum Completion'!$DM$4:$DM$38,'Status of Curriculum Completion'!$DC$4:$DC$38,"CIC China",'Status of Curriculum Completion'!$DI$4:$DI$38,"Tentative")</f>
        <v>0</v>
      </c>
      <c r="AK100" s="62">
        <f>SUMIFS('Status of Curriculum Completion'!$DZ$4:$DZ$38,'Status of Curriculum Completion'!$DP$4:$DP$38,"CIC China",'Status of Curriculum Completion'!$DT$4:$DT$38,"Complete")+SUMIFS('Status of Curriculum Completion'!$EM$4:$EM$38,'Status of Curriculum Completion'!$EC$4:$EC$38,"CIC China",'Status of Curriculum Completion'!$EG$4:$EG$38,"Complete")+SUMIFS('Status of Curriculum Completion'!$EZ$4:$EZ$38,'Status of Curriculum Completion'!$EP$4:$EP$38,"CIC China",'Status of Curriculum Completion'!$ET$4:$ET$38,"Complete")</f>
        <v>0</v>
      </c>
      <c r="AL100" s="62">
        <f>SUMIFS('Status of Curriculum Completion'!$DZ$4:$DZ$38,'Status of Curriculum Completion'!$DP$4:$DP$38,"CIC China",'Status of Curriculum Completion'!$DT$4:$DT$38,"In Progress")+SUMIFS('Status of Curriculum Completion'!$EM$4:$EM$38,'Status of Curriculum Completion'!$EC$4:$EC$38,"CIC China",'Status of Curriculum Completion'!$EG$4:$EG$38,"In Progress")+SUMIFS('Status of Curriculum Completion'!$EZ$4:$EZ$38,'Status of Curriculum Completion'!$EP$4:$EP$38,"CIC China",'Status of Curriculum Completion'!$ET$4:$ET$38,"In Progress")</f>
        <v>0</v>
      </c>
      <c r="AM100" s="62">
        <f>SUMIFS('Status of Curriculum Completion'!$DZ$4:$DZ$38,'Status of Curriculum Completion'!$DP$4:$DP$38,"CIC China",'Status of Curriculum Completion'!$DT$4:$DT$38,"Planned")+SUMIFS('Status of Curriculum Completion'!$EM$4:$EM$38,'Status of Curriculum Completion'!$EC$4:$EC$38,"CIC China",'Status of Curriculum Completion'!$EG$4:$EG$38,"Planned")+SUMIFS('Status of Curriculum Completion'!$EZ$4:$EZ$38,'Status of Curriculum Completion'!$EP$4:$EP$38,"CIC China",'Status of Curriculum Completion'!$ET$4:$ET$38,"Planned")</f>
        <v>0</v>
      </c>
      <c r="AN100" s="62">
        <f>SUMIFS('Status of Curriculum Completion'!$DZ$4:$DZ$38,'Status of Curriculum Completion'!$DP$4:$DP$38,"CIC China",'Status of Curriculum Completion'!$DT$4:$DT$38,"Tentative")+SUMIFS('Status of Curriculum Completion'!$EM$4:$EM$38,'Status of Curriculum Completion'!$EC$4:$EC$38,"CIC China",'Status of Curriculum Completion'!$EG$4:$EG$38,"Tentative")+SUMIFS('Status of Curriculum Completion'!$EZ$4:$EZ$38,'Status of Curriculum Completion'!$EP$4:$EP$38,"CIC China",'Status of Curriculum Completion'!$ET$4:$ET$38,"Tentative")</f>
        <v>0</v>
      </c>
      <c r="AO100" s="62">
        <f>SUMIFS('Status of Curriculum Completion'!$DZ$4:$DZ$38,'Status of Curriculum Completion'!$DP$4:$DP$38,"CIC China",'Status of Curriculum Completion'!$DU$4:$DU$38,"Complete")+SUMIFS('Status of Curriculum Completion'!$EM$4:$EM$38,'Status of Curriculum Completion'!$EC$4:$EC$38,"CIC China",'Status of Curriculum Completion'!$EH$4:$EH$38,"Complete")+SUMIFS('Status of Curriculum Completion'!$EZ$4:$EZ$38,'Status of Curriculum Completion'!$EP$4:$EP$38,"CIC China",'Status of Curriculum Completion'!$EU$4:$EU$38,"Complete")</f>
        <v>0</v>
      </c>
      <c r="AP100" s="62">
        <f>SUMIFS('Status of Curriculum Completion'!$DZ$4:$DZ$38,'Status of Curriculum Completion'!$DP$4:$DP$38,"CIC China",'Status of Curriculum Completion'!$DU$4:$DU$38,"In Progress")+SUMIFS('Status of Curriculum Completion'!$EM$4:$EM$38,'Status of Curriculum Completion'!$EC$4:$EC$38,"CIC China",'Status of Curriculum Completion'!$EH$4:$EH$38,"In Progress")+SUMIFS('Status of Curriculum Completion'!$EZ$4:$EZ$38,'Status of Curriculum Completion'!$EP$4:$EP$38,"CIC China",'Status of Curriculum Completion'!$EU$4:$EU$38,"In Progress")</f>
        <v>0</v>
      </c>
      <c r="AQ100" s="62">
        <f>SUMIFS('Status of Curriculum Completion'!$DZ$4:$DZ$38,'Status of Curriculum Completion'!$DP$4:$DP$38,"CIC China",'Status of Curriculum Completion'!$DU$4:$DU$38,"Planned")+SUMIFS('Status of Curriculum Completion'!$EM$4:$EM$38,'Status of Curriculum Completion'!$EC$4:$EC$38,"CIC China",'Status of Curriculum Completion'!$EH$4:$EH$38,"Planned")+SUMIFS('Status of Curriculum Completion'!$EZ$4:$EZ$38,'Status of Curriculum Completion'!$EP$4:$EP$38,"CIC China",'Status of Curriculum Completion'!$EU$4:$EU$38,"Planned")</f>
        <v>0</v>
      </c>
      <c r="AR100" s="62">
        <f>SUMIFS('Status of Curriculum Completion'!$DZ$4:$DZ$38,'Status of Curriculum Completion'!$DP$4:$DP$38,"CIC China",'Status of Curriculum Completion'!$DU$4:$DU$38,"Tentative")+SUMIFS('Status of Curriculum Completion'!$EM$4:$EM$38,'Status of Curriculum Completion'!$EC$4:$EC$38,"CIC China",'Status of Curriculum Completion'!$EH$4:$EH$38,"Tentative")+SUMIFS('Status of Curriculum Completion'!$EZ$4:$EZ$38,'Status of Curriculum Completion'!$EP$4:$EP$38,"CIC China",'Status of Curriculum Completion'!$EU$4:$EU$38,"Tentative")</f>
        <v>0</v>
      </c>
      <c r="AS100" s="62">
        <f>SUMIFS('Status of Curriculum Completion'!$DZ$4:$DZ$38,'Status of Curriculum Completion'!$DP$4:$DP$38,"CIC China",'Status of Curriculum Completion'!$DV$4:$DV$38,"Complete")+SUMIFS('Status of Curriculum Completion'!$EM$4:$EM$38,'Status of Curriculum Completion'!$EC$4:$EC$38,"CIC China",'Status of Curriculum Completion'!$EI$4:$EI$38,"Complete")+SUMIFS('Status of Curriculum Completion'!$EZ$4:$EZ$38,'Status of Curriculum Completion'!$EP$4:$EP$38,"CIC China",'Status of Curriculum Completion'!$EV$4:$EV$38,"Complete")</f>
        <v>0</v>
      </c>
      <c r="AT100" s="62">
        <f>SUMIFS('Status of Curriculum Completion'!$DZ$4:$DZ$38,'Status of Curriculum Completion'!$DP$4:$DP$38,"CIC China",'Status of Curriculum Completion'!$DV$4:$DV$38,"In Progress")+SUMIFS('Status of Curriculum Completion'!$EM$4:$EM$38,'Status of Curriculum Completion'!$EC$4:$EC$38,"CIC China",'Status of Curriculum Completion'!$EI$4:$EI$38,"In Progress")+SUMIFS('Status of Curriculum Completion'!$EZ$4:$EZ$38,'Status of Curriculum Completion'!$EP$4:$EP$38,"CIC China",'Status of Curriculum Completion'!$EV$4:$EV$38,"In Progress")</f>
        <v>0</v>
      </c>
      <c r="AU100" s="62">
        <f>SUMIFS('Status of Curriculum Completion'!$DZ$4:$DZ$38,'Status of Curriculum Completion'!$DP$4:$DP$38,"CIC China",'Status of Curriculum Completion'!$DV$4:$DV$38,"Planned")+SUMIFS('Status of Curriculum Completion'!$EM$4:$EM$38,'Status of Curriculum Completion'!$EC$4:$EC$38,"CIC China",'Status of Curriculum Completion'!$EI$4:$EI$38,"Planned")+SUMIFS('Status of Curriculum Completion'!$EZ$4:$EZ$38,'Status of Curriculum Completion'!$EP$4:$EP$38,"CIC China",'Status of Curriculum Completion'!$EV$4:$EV$38,"Planned")</f>
        <v>0</v>
      </c>
      <c r="AV100" s="62">
        <f>SUMIFS('Status of Curriculum Completion'!$DZ$4:$DZ$38,'Status of Curriculum Completion'!$DP$4:$DP$38,"CIC China",'Status of Curriculum Completion'!$DV$4:$DV$38,"Tentative")+SUMIFS('Status of Curriculum Completion'!$EM$4:$EM$38,'Status of Curriculum Completion'!$EC$4:$EC$38,"CIC China",'Status of Curriculum Completion'!$EI$4:$EI$38,"Tentative")+SUMIFS('Status of Curriculum Completion'!$EZ$4:$EZ$38,'Status of Curriculum Completion'!$EP$4:$EP$38,"CIC China",'Status of Curriculum Completion'!$EV$4:$EV$38,"Tentative")</f>
        <v>0</v>
      </c>
    </row>
    <row r="101" spans="3:48" ht="29.5" hidden="1" thickBot="1">
      <c r="C101" s="63" t="s">
        <v>1163</v>
      </c>
      <c r="D101" s="59">
        <f>SUMIFS('Status of Curriculum Completion'!$M$4:$M$38,'Status of Curriculum Completion'!$C$4:$C$38,"India",'Status of Curriculum Completion'!$G$4:$G$38,"Complete")+SUMIFS('Status of Curriculum Completion'!$Z$4:$Z$38,'Status of Curriculum Completion'!$P$4:$P$38,"India",'Status of Curriculum Completion'!$T$4:$T$38,"Complete")+SUMIFS('Status of Curriculum Completion'!$AM$4:$AM$38,'Status of Curriculum Completion'!$AC$4:$AC$38,"India",'Status of Curriculum Completion'!$AG$4:$AG$38,"Complete")</f>
        <v>0</v>
      </c>
      <c r="E101" s="59">
        <f>SUMIFS('Status of Curriculum Completion'!$M$4:$M$38,'Status of Curriculum Completion'!$C$4:$C$38,"India",'Status of Curriculum Completion'!$G$4:$G$38,"In progress")+SUMIFS('Status of Curriculum Completion'!$Z$4:$Z$38,'Status of Curriculum Completion'!$P$4:$P$38,"India",'Status of Curriculum Completion'!$T$4:$T$38,"In progress")+SUMIFS('Status of Curriculum Completion'!$AM$4:$AM$38,'Status of Curriculum Completion'!$AC$4:$AC$38,"India",'Status of Curriculum Completion'!$AG$4:$AG$38,"In progress")</f>
        <v>0</v>
      </c>
      <c r="F101" s="59">
        <f>SUMIFS('Status of Curriculum Completion'!$M$4:$M$38,'Status of Curriculum Completion'!$C$4:$C$38,"India",'Status of Curriculum Completion'!$G$4:$G$38,"Planned")+SUMIFS('Status of Curriculum Completion'!$Z$4:$Z$38,'Status of Curriculum Completion'!$P$4:$P$38,"India",'Status of Curriculum Completion'!$T$4:$T$38,"Planned")+SUMIFS('Status of Curriculum Completion'!$AM$4:$AM$38,'Status of Curriculum Completion'!$AC$4:$AC$38,"India",'Status of Curriculum Completion'!$AG$4:$AG$38,"Planned")</f>
        <v>0</v>
      </c>
      <c r="G101" s="59">
        <f>SUMIFS('Status of Curriculum Completion'!$M$4:$M$38,'Status of Curriculum Completion'!$C$4:$C$38,"India",'Status of Curriculum Completion'!$H$4:$H$38,"Complete")+SUMIFS('Status of Curriculum Completion'!$Z$4:$Z$38,'Status of Curriculum Completion'!$P$4:$P$38,"India",'Status of Curriculum Completion'!$U$4:$U$38,"Complete")+SUMIFS('Status of Curriculum Completion'!$AM$4:$AM$38,'Status of Curriculum Completion'!$AC$4:$AC$38,"India",'Status of Curriculum Completion'!$AH$4:$AH$38,"Complete")</f>
        <v>0</v>
      </c>
      <c r="H101" s="59">
        <f>SUMIFS('Status of Curriculum Completion'!$M$4:$M$38,'Status of Curriculum Completion'!$C$4:$C$38,"India",'Status of Curriculum Completion'!$H$4:$H$38,"In Progress")+SUMIFS('Status of Curriculum Completion'!$Z$4:$Z$38,'Status of Curriculum Completion'!$P$4:$P$38,"India",'Status of Curriculum Completion'!$U$4:$U$38,"In Progress")+SUMIFS('Status of Curriculum Completion'!$AM$4:$AM$38,'Status of Curriculum Completion'!$AC$4:$AC$38,"India",'Status of Curriculum Completion'!$AH$4:$AH$38,"In Progress")</f>
        <v>0</v>
      </c>
      <c r="I101" s="59">
        <f>SUMIFS('Status of Curriculum Completion'!$M$4:$M$38,'Status of Curriculum Completion'!$C$4:$C$38,"India",'Status of Curriculum Completion'!$H$4:$H$38,"Planned")+SUMIFS('Status of Curriculum Completion'!$Z$4:$Z$38,'Status of Curriculum Completion'!$P$4:$P$38,"India",'Status of Curriculum Completion'!$U$4:$U$38,"Planned")+SUMIFS('Status of Curriculum Completion'!$AM$4:$AM$38,'Status of Curriculum Completion'!$AC$4:$AC$38,"India",'Status of Curriculum Completion'!$AH$4:$AH$38,"Planned")</f>
        <v>0</v>
      </c>
      <c r="J101" s="59">
        <f>SUMIFS('Status of Curriculum Completion'!$M$4:$M$38,'Status of Curriculum Completion'!$C$4:$C$38,"India",'Status of Curriculum Completion'!$I$4:$I$38,"Complete")+SUMIFS('Status of Curriculum Completion'!$Z$4:$Z$38,'Status of Curriculum Completion'!$P$4:$P$38,"India",'Status of Curriculum Completion'!$V$4:$V$38,"Complete")+SUMIFS('Status of Curriculum Completion'!$AM$4:$AM$38,'Status of Curriculum Completion'!$AC$4:$AC$38,"India",'Status of Curriculum Completion'!$AI$4:$AI$38,"Complete")</f>
        <v>0</v>
      </c>
      <c r="K101" s="59">
        <f>SUMIFS('Status of Curriculum Completion'!$M$4:$M$38,'Status of Curriculum Completion'!$C$4:$C$38,"India",'Status of Curriculum Completion'!$I$4:$I$38,"In Progress")+SUMIFS('Status of Curriculum Completion'!$Z$4:$Z$38,'Status of Curriculum Completion'!$P$4:$P$38,"India",'Status of Curriculum Completion'!$V$4:$V$38,"In Progress")+SUMIFS('Status of Curriculum Completion'!$AM$4:$AM$38,'Status of Curriculum Completion'!$AC$4:$AC$38,"India",'Status of Curriculum Completion'!$AI$4:$AI$38,"In Progress")</f>
        <v>0</v>
      </c>
      <c r="L101" s="59">
        <f>SUMIFS('Status of Curriculum Completion'!$M$4:$M$38,'Status of Curriculum Completion'!$C$4:$C$38,"India",'Status of Curriculum Completion'!$I$4:$I$38,"Planned")+SUMIFS('Status of Curriculum Completion'!$Z$4:$Z$38,'Status of Curriculum Completion'!$P$4:$P$38,"India",'Status of Curriculum Completion'!$V$4:$V$38,"Planned")+SUMIFS('Status of Curriculum Completion'!$AM$4:$AM$38,'Status of Curriculum Completion'!$AC$4:$AC$38,"India",'Status of Curriculum Completion'!$AI$4:$AI$38,"Planned")</f>
        <v>0</v>
      </c>
      <c r="M101" s="60">
        <f>SUMIFS('Status of Curriculum Completion'!$AZ$4:$AZ$38,'Status of Curriculum Completion'!$AP$4:$AP$38,"India",'Status of Curriculum Completion'!$AT$4:$AT$38,"Complete")+SUMIFS('Status of Curriculum Completion'!$BM$4:$BM$38,'Status of Curriculum Completion'!$BC$4:$BC$38,"India",'Status of Curriculum Completion'!$BG$4:$BG$38,"Complete")+SUMIFS('Status of Curriculum Completion'!$BZ$4:$BZ$38,'Status of Curriculum Completion'!$BP$4:$BP$38,"India",'Status of Curriculum Completion'!$BT$4:$BT$38,"Complete")</f>
        <v>0</v>
      </c>
      <c r="N101" s="60">
        <f>SUMIFS('Status of Curriculum Completion'!$AZ$4:$AZ$38,'Status of Curriculum Completion'!$AP$4:$AP$38,"India",'Status of Curriculum Completion'!$AT$4:$AT$38,"In Progress")+SUMIFS('Status of Curriculum Completion'!$BM$4:$BM$38,'Status of Curriculum Completion'!$BC$4:$BC$38,"India",'Status of Curriculum Completion'!$BG$4:$BG$38,"In Progress")+SUMIFS('Status of Curriculum Completion'!$BZ$4:$BZ$38,'Status of Curriculum Completion'!$BP$4:$BP$38,"India",'Status of Curriculum Completion'!$BT$4:$BT$38,"In Progress")</f>
        <v>0</v>
      </c>
      <c r="O101" s="60">
        <f>SUMIFS('Status of Curriculum Completion'!$AZ$4:$AZ$38,'Status of Curriculum Completion'!$AP$4:$AP$38,"India",'Status of Curriculum Completion'!$AT$4:$AT$38,"Planned")+SUMIFS('Status of Curriculum Completion'!$BM$4:$BM$38,'Status of Curriculum Completion'!$BC$4:$BC$38,"India",'Status of Curriculum Completion'!$BG$4:$BG$38,"Planned")+SUMIFS('Status of Curriculum Completion'!$BZ$4:$BZ$38,'Status of Curriculum Completion'!$BP$4:$BP$38,"India",'Status of Curriculum Completion'!$BT$4:$BT$38,"Planned")</f>
        <v>0</v>
      </c>
      <c r="P101" s="60">
        <f>SUMIFS('Status of Curriculum Completion'!$AZ$4:$AZ$38,'Status of Curriculum Completion'!$AP$4:$AP$38,"India",'Status of Curriculum Completion'!$AU$4:$AU$38,"Complete")+SUMIFS('Status of Curriculum Completion'!$BM$4:$BM$38,'Status of Curriculum Completion'!$BC$4:$BC$38,"India",'Status of Curriculum Completion'!$BH$4:$BH$38,"Complete")+SUMIFS('Status of Curriculum Completion'!$BZ$4:$BZ$38,'Status of Curriculum Completion'!$BP$4:$BP$38,"India",'Status of Curriculum Completion'!$BU$4:$BU$38,"Complete")</f>
        <v>0</v>
      </c>
      <c r="Q101" s="60">
        <f>SUMIFS('Status of Curriculum Completion'!$AZ$4:$AZ$38,'Status of Curriculum Completion'!$AP$4:$AP$38,"India",'Status of Curriculum Completion'!$AU$4:$AU$38,"In Progress")+SUMIFS('Status of Curriculum Completion'!$BM$4:$BM$38,'Status of Curriculum Completion'!$BC$4:$BC$38,"India",'Status of Curriculum Completion'!$BH$4:$BH$38,"In Progress")+SUMIFS('Status of Curriculum Completion'!$BZ$4:$BZ$38,'Status of Curriculum Completion'!$BP$4:$BP$38,"India",'Status of Curriculum Completion'!$BU$4:$BU$38,"In Progress")</f>
        <v>0</v>
      </c>
      <c r="R101" s="60">
        <f>SUMIFS('Status of Curriculum Completion'!$AZ$4:$AZ$38,'Status of Curriculum Completion'!$AP$4:$AP$38,"India",'Status of Curriculum Completion'!$AU$4:$AU$38,"Planned")+SUMIFS('Status of Curriculum Completion'!$BM$4:$BM$38,'Status of Curriculum Completion'!$BC$4:$BC$38,"India",'Status of Curriculum Completion'!$BH$4:$BH$38,"Planned")+SUMIFS('Status of Curriculum Completion'!$BZ$4:$BZ$38,'Status of Curriculum Completion'!$BP$4:$BP$38,"India",'Status of Curriculum Completion'!$BU$4:$BU$38,"Planned")</f>
        <v>0</v>
      </c>
      <c r="S101" s="60">
        <f>SUMIFS('Status of Curriculum Completion'!$AZ$4:$AZ$38,'Status of Curriculum Completion'!$AP$4:$AP$38,"India",'Status of Curriculum Completion'!$AV$4:$AV$38,"Complete")+SUMIFS('Status of Curriculum Completion'!$BM$4:$BM$38,'Status of Curriculum Completion'!$BC$4:$BC$38,"India",'Status of Curriculum Completion'!$BI$4:$BI$38,"Complete")+SUMIFS('Status of Curriculum Completion'!$BZ$4:$BZ$38,'Status of Curriculum Completion'!$BP$4:$BP$38,"India",'Status of Curriculum Completion'!$BV$4:$BV$38,"Complete")</f>
        <v>0</v>
      </c>
      <c r="T101" s="60">
        <f>SUMIFS('Status of Curriculum Completion'!$AZ$4:$AZ$38,'Status of Curriculum Completion'!$AP$4:$AP$38,"India",'Status of Curriculum Completion'!$AV$4:$AV$38,"In Progress")+SUMIFS('Status of Curriculum Completion'!$BM$4:$BM$38,'Status of Curriculum Completion'!$BC$4:$BC$38,"India",'Status of Curriculum Completion'!$BI$4:$BI$38,"In Progress")+SUMIFS('Status of Curriculum Completion'!$BZ$4:$BZ$38,'Status of Curriculum Completion'!$BP$4:$BP$38,"India",'Status of Curriculum Completion'!$BV$4:$BV$38,"In Progress")</f>
        <v>0</v>
      </c>
      <c r="U101" s="60">
        <f>SUMIFS('Status of Curriculum Completion'!$AZ$4:$AZ$38,'Status of Curriculum Completion'!$AP$4:$AP$38,"India",'Status of Curriculum Completion'!$AV$4:$AV$38,"Planned")+SUMIFS('Status of Curriculum Completion'!$BM$4:$BM$38,'Status of Curriculum Completion'!$BC$4:$BC$38,"India",'Status of Curriculum Completion'!$BI$4:$BI$38,"Planned")+SUMIFS('Status of Curriculum Completion'!$BZ$4:$BZ$38,'Status of Curriculum Completion'!$BP$4:$BP$38,"India",'Status of Curriculum Completion'!$BV$4:$BV$38,"Planned")</f>
        <v>0</v>
      </c>
      <c r="X101" s="63" t="s">
        <v>1163</v>
      </c>
      <c r="Y101" s="61">
        <f>SUMIFS('Status of Curriculum Completion'!$CM$4:$CM$38,'Status of Curriculum Completion'!$CC$4:$CC$38,"India",'Status of Curriculum Completion'!$CG$4:$CG$38,"Complete")+SUMIFS('Status of Curriculum Completion'!$CZ$4:$CZ$38,'Status of Curriculum Completion'!$CP$4:$CP$38,"India",'Status of Curriculum Completion'!$CT$4:$CT$38,"Complete")+SUMIFS('Status of Curriculum Completion'!$DM$4:$DM$38,'Status of Curriculum Completion'!$DC$4:$DC$38,"India",'Status of Curriculum Completion'!$DG$4:$DG$38,"Complete")</f>
        <v>0</v>
      </c>
      <c r="Z101" s="61">
        <f>SUMIFS('Status of Curriculum Completion'!$CM$4:$CM$38,'Status of Curriculum Completion'!$CC$4:$CC$38,"India",'Status of Curriculum Completion'!$CG$4:$CG$38,"In Progress")+SUMIFS('Status of Curriculum Completion'!$CZ$4:$CZ$38,'Status of Curriculum Completion'!$CP$4:$CP$38,"India",'Status of Curriculum Completion'!$CT$4:$CT$38,"In Progress")+SUMIFS('Status of Curriculum Completion'!$DM$4:$DM$38,'Status of Curriculum Completion'!$DC$4:$DC$38,"India",'Status of Curriculum Completion'!$DG$4:$DG$38,"In Progress")</f>
        <v>0</v>
      </c>
      <c r="AA101" s="61">
        <f>SUMIFS('Status of Curriculum Completion'!$CM$4:$CM$38,'Status of Curriculum Completion'!$CC$4:$CC$38,"India",'Status of Curriculum Completion'!$CG$4:$CG$38,"Planned")+SUMIFS('Status of Curriculum Completion'!$CZ$4:$CZ$38,'Status of Curriculum Completion'!$CP$4:$CP$38,"India",'Status of Curriculum Completion'!$CT$4:$CT$38,"Planned")+SUMIFS('Status of Curriculum Completion'!$DM$4:$DM$38,'Status of Curriculum Completion'!$DC$4:$DC$38,"India",'Status of Curriculum Completion'!$DG$4:$DG$38,"Planned")</f>
        <v>0</v>
      </c>
      <c r="AB101" s="61">
        <f>SUMIFS('Status of Curriculum Completion'!$CM$4:$CM$38,'Status of Curriculum Completion'!$CC$4:$CC$38,"India",'Status of Curriculum Completion'!$CG$4:$CG$38,"Tentative")+SUMIFS('Status of Curriculum Completion'!$CZ$4:$CZ$38,'Status of Curriculum Completion'!$CP$4:$CP$38,"India",'Status of Curriculum Completion'!$CT$4:$CT$38,"Tentative")+SUMIFS('Status of Curriculum Completion'!$DM$4:$DM$38,'Status of Curriculum Completion'!$DC$4:$DC$38,"India",'Status of Curriculum Completion'!$DG$4:$DG$38,"Tentative")</f>
        <v>0</v>
      </c>
      <c r="AC101" s="61">
        <f>SUMIFS('Status of Curriculum Completion'!$CM$4:$CM$38,'Status of Curriculum Completion'!$CC$4:$CC$38,"India",'Status of Curriculum Completion'!$CH$4:$CH$38,"Complete")+SUMIFS('Status of Curriculum Completion'!$CZ$4:$CZ$38,'Status of Curriculum Completion'!$CP$4:$CP$38,"India",'Status of Curriculum Completion'!$CU$4:$CU$38,"Complete")+SUMIFS('Status of Curriculum Completion'!$DM$4:$DM$38,'Status of Curriculum Completion'!$DC$4:$DC$38,"India",'Status of Curriculum Completion'!$DH$4:$DH$38,"Complete")</f>
        <v>0</v>
      </c>
      <c r="AD101" s="61">
        <f>SUMIFS('Status of Curriculum Completion'!$CM$4:$CM$38,'Status of Curriculum Completion'!$CC$4:$CC$38,"India",'Status of Curriculum Completion'!$CH$4:$CH$38,"In Progress")+SUMIFS('Status of Curriculum Completion'!$CZ$4:$CZ$38,'Status of Curriculum Completion'!$CP$4:$CP$38,"India",'Status of Curriculum Completion'!$CU$4:$CU$38,"In Progress")+SUMIFS('Status of Curriculum Completion'!$DM$4:$DM$38,'Status of Curriculum Completion'!$DC$4:$DC$38,"India",'Status of Curriculum Completion'!$DH$4:$DH$38,"In Progress")</f>
        <v>0</v>
      </c>
      <c r="AE101" s="61">
        <f>SUMIFS('Status of Curriculum Completion'!$CM$4:$CM$38,'Status of Curriculum Completion'!$CC$4:$CC$38,"India",'Status of Curriculum Completion'!$CH$4:$CH$38,"Planned")+SUMIFS('Status of Curriculum Completion'!$CZ$4:$CZ$38,'Status of Curriculum Completion'!$CP$4:$CP$38,"India",'Status of Curriculum Completion'!$CU$4:$CU$38,"Planned")+SUMIFS('Status of Curriculum Completion'!$DM$4:$DM$38,'Status of Curriculum Completion'!$DC$4:$DC$38,"India",'Status of Curriculum Completion'!$DH$4:$DH$38,"Planned")</f>
        <v>0</v>
      </c>
      <c r="AF101" s="61">
        <f>SUMIFS('Status of Curriculum Completion'!$CM$4:$CM$38,'Status of Curriculum Completion'!$CC$4:$CC$38,"India",'Status of Curriculum Completion'!$CH$4:$CH$38,"Tentative")+SUMIFS('Status of Curriculum Completion'!$CZ$4:$CZ$38,'Status of Curriculum Completion'!$CP$4:$CP$38,"India",'Status of Curriculum Completion'!$CU$4:$CU$38,"Tentative")+SUMIFS('Status of Curriculum Completion'!$DM$4:$DM$38,'Status of Curriculum Completion'!$DC$4:$DC$38,"India",'Status of Curriculum Completion'!$DH$4:$DH$38,"Tentative")</f>
        <v>0</v>
      </c>
      <c r="AG101" s="61">
        <f>SUMIFS('Status of Curriculum Completion'!$CM$4:$CM$38,'Status of Curriculum Completion'!$CC$4:$CC$38,"India",'Status of Curriculum Completion'!$CI$4:$CI$38,"Complete")+SUMIFS('Status of Curriculum Completion'!$CZ$4:$CZ$38,'Status of Curriculum Completion'!$CP$4:$CP$38,"India",'Status of Curriculum Completion'!$CV$4:$CV$38,"Complete")+SUMIFS('Status of Curriculum Completion'!$DM$4:$DM$38,'Status of Curriculum Completion'!$DC$4:$DC$38,"India",'Status of Curriculum Completion'!$DI$4:$DI$38,"Complete")</f>
        <v>0</v>
      </c>
      <c r="AH101" s="61">
        <f>SUMIFS('Status of Curriculum Completion'!$CM$4:$CM$38,'Status of Curriculum Completion'!$CC$4:$CC$38,"India",'Status of Curriculum Completion'!$CI$4:$CI$38,"In Progress")+SUMIFS('Status of Curriculum Completion'!$CZ$4:$CZ$38,'Status of Curriculum Completion'!$CP$4:$CP$38,"India",'Status of Curriculum Completion'!$CV$4:$CV$38,"In Progress")+SUMIFS('Status of Curriculum Completion'!$DM$4:$DM$38,'Status of Curriculum Completion'!$DC$4:$DC$38,"India",'Status of Curriculum Completion'!$DI$4:$DI$38,"In Progress")</f>
        <v>0</v>
      </c>
      <c r="AI101" s="61">
        <f>SUMIFS('Status of Curriculum Completion'!$CM$4:$CM$38,'Status of Curriculum Completion'!$CC$4:$CC$38,"India",'Status of Curriculum Completion'!$CI$4:$CI$38,"Planned")+SUMIFS('Status of Curriculum Completion'!$CZ$4:$CZ$38,'Status of Curriculum Completion'!$CP$4:$CP$38,"India",'Status of Curriculum Completion'!$CV$4:$CV$38,"Planned")+SUMIFS('Status of Curriculum Completion'!$DM$4:$DM$38,'Status of Curriculum Completion'!$DC$4:$DC$38,"India",'Status of Curriculum Completion'!$DI$4:$DI$38,"Planned")</f>
        <v>0</v>
      </c>
      <c r="AJ101" s="61">
        <f>SUMIFS('Status of Curriculum Completion'!$CM$4:$CM$38,'Status of Curriculum Completion'!$CC$4:$CC$38,"India",'Status of Curriculum Completion'!$CI$4:$CI$38,"Tentative")+SUMIFS('Status of Curriculum Completion'!$CZ$4:$CZ$38,'Status of Curriculum Completion'!$CP$4:$CP$38,"India",'Status of Curriculum Completion'!$CV$4:$CV$38,"Tentative")+SUMIFS('Status of Curriculum Completion'!$DM$4:$DM$38,'Status of Curriculum Completion'!$DC$4:$DC$38,"India",'Status of Curriculum Completion'!$DI$4:$DI$38,"Tentative")</f>
        <v>0</v>
      </c>
      <c r="AK101" s="62">
        <f>SUMIFS('Status of Curriculum Completion'!$DZ$4:$DZ$38,'Status of Curriculum Completion'!$DP$4:$DP$38,"India",'Status of Curriculum Completion'!$DT$4:$DT$38,"Complete")+SUMIFS('Status of Curriculum Completion'!$EM$4:$EM$38,'Status of Curriculum Completion'!$EC$4:$EC$38,"India",'Status of Curriculum Completion'!$EG$4:$EG$38,"Complete")+SUMIFS('Status of Curriculum Completion'!$EZ$4:$EZ$38,'Status of Curriculum Completion'!$EP$4:$EP$38,"India",'Status of Curriculum Completion'!$ET$4:$ET$38,"Complete")</f>
        <v>0</v>
      </c>
      <c r="AL101" s="62">
        <f>SUMIFS('Status of Curriculum Completion'!$DZ$4:$DZ$38,'Status of Curriculum Completion'!$DP$4:$DP$38,"India",'Status of Curriculum Completion'!$DT$4:$DT$38,"In Progress")+SUMIFS('Status of Curriculum Completion'!$EM$4:$EM$38,'Status of Curriculum Completion'!$EC$4:$EC$38,"India",'Status of Curriculum Completion'!$EG$4:$EG$38,"In Progress")+SUMIFS('Status of Curriculum Completion'!$EZ$4:$EZ$38,'Status of Curriculum Completion'!$EP$4:$EP$38,"India",'Status of Curriculum Completion'!$ET$4:$ET$38,"In Progress")</f>
        <v>0</v>
      </c>
      <c r="AM101" s="62">
        <f>SUMIFS('Status of Curriculum Completion'!$DZ$4:$DZ$38,'Status of Curriculum Completion'!$DP$4:$DP$38,"India",'Status of Curriculum Completion'!$DT$4:$DT$38,"Planned")+SUMIFS('Status of Curriculum Completion'!$EM$4:$EM$38,'Status of Curriculum Completion'!$EC$4:$EC$38,"India",'Status of Curriculum Completion'!$EG$4:$EG$38,"Planned")+SUMIFS('Status of Curriculum Completion'!$EZ$4:$EZ$38,'Status of Curriculum Completion'!$EP$4:$EP$38,"India",'Status of Curriculum Completion'!$ET$4:$ET$38,"Planned")</f>
        <v>0</v>
      </c>
      <c r="AN101" s="62">
        <f>SUMIFS('Status of Curriculum Completion'!$DZ$4:$DZ$38,'Status of Curriculum Completion'!$DP$4:$DP$38,"India",'Status of Curriculum Completion'!$DT$4:$DT$38,"Tentative")+SUMIFS('Status of Curriculum Completion'!$EM$4:$EM$38,'Status of Curriculum Completion'!$EC$4:$EC$38,"India",'Status of Curriculum Completion'!$EG$4:$EG$38,"Tentative")+SUMIFS('Status of Curriculum Completion'!$EZ$4:$EZ$38,'Status of Curriculum Completion'!$EP$4:$EP$38,"India",'Status of Curriculum Completion'!$ET$4:$ET$38,"Tentative")</f>
        <v>0</v>
      </c>
      <c r="AO101" s="62">
        <f>SUMIFS('Status of Curriculum Completion'!$DZ$4:$DZ$38,'Status of Curriculum Completion'!$DP$4:$DP$38,"India",'Status of Curriculum Completion'!$DU$4:$DU$38,"Complete")+SUMIFS('Status of Curriculum Completion'!$EM$4:$EM$38,'Status of Curriculum Completion'!$EC$4:$EC$38,"India",'Status of Curriculum Completion'!$EH$4:$EH$38,"Complete")+SUMIFS('Status of Curriculum Completion'!$EZ$4:$EZ$38,'Status of Curriculum Completion'!$EP$4:$EP$38,"India",'Status of Curriculum Completion'!$EU$4:$EU$38,"Complete")</f>
        <v>0</v>
      </c>
      <c r="AP101" s="62">
        <f>SUMIFS('Status of Curriculum Completion'!$DZ$4:$DZ$38,'Status of Curriculum Completion'!$DP$4:$DP$38,"India",'Status of Curriculum Completion'!$DU$4:$DU$38,"In Progress")+SUMIFS('Status of Curriculum Completion'!$EM$4:$EM$38,'Status of Curriculum Completion'!$EC$4:$EC$38,"India",'Status of Curriculum Completion'!$EH$4:$EH$38,"In Progress")+SUMIFS('Status of Curriculum Completion'!$EZ$4:$EZ$38,'Status of Curriculum Completion'!$EP$4:$EP$38,"India",'Status of Curriculum Completion'!$EU$4:$EU$38,"In Progress")</f>
        <v>0</v>
      </c>
      <c r="AQ101" s="62">
        <f>SUMIFS('Status of Curriculum Completion'!$DZ$4:$DZ$38,'Status of Curriculum Completion'!$DP$4:$DP$38,"India",'Status of Curriculum Completion'!$DU$4:$DU$38,"Planned")+SUMIFS('Status of Curriculum Completion'!$EM$4:$EM$38,'Status of Curriculum Completion'!$EC$4:$EC$38,"India",'Status of Curriculum Completion'!$EH$4:$EH$38,"Planned")+SUMIFS('Status of Curriculum Completion'!$EZ$4:$EZ$38,'Status of Curriculum Completion'!$EP$4:$EP$38,"India",'Status of Curriculum Completion'!$EU$4:$EU$38,"Planned")</f>
        <v>0</v>
      </c>
      <c r="AR101" s="62">
        <f>SUMIFS('Status of Curriculum Completion'!$DZ$4:$DZ$38,'Status of Curriculum Completion'!$DP$4:$DP$38,"India",'Status of Curriculum Completion'!$DU$4:$DU$38,"Tentative")+SUMIFS('Status of Curriculum Completion'!$EM$4:$EM$38,'Status of Curriculum Completion'!$EC$4:$EC$38,"India",'Status of Curriculum Completion'!$EH$4:$EH$38,"Tentative")+SUMIFS('Status of Curriculum Completion'!$EZ$4:$EZ$38,'Status of Curriculum Completion'!$EP$4:$EP$38,"India",'Status of Curriculum Completion'!$EU$4:$EU$38,"Tentative")</f>
        <v>0</v>
      </c>
      <c r="AS101" s="62">
        <f>SUMIFS('Status of Curriculum Completion'!$DZ$4:$DZ$38,'Status of Curriculum Completion'!$DP$4:$DP$38,"India",'Status of Curriculum Completion'!$DV$4:$DV$38,"Complete")+SUMIFS('Status of Curriculum Completion'!$EM$4:$EM$38,'Status of Curriculum Completion'!$EC$4:$EC$38,"India",'Status of Curriculum Completion'!$EI$4:$EI$38,"Complete")+SUMIFS('Status of Curriculum Completion'!$EZ$4:$EZ$38,'Status of Curriculum Completion'!$EP$4:$EP$38,"India",'Status of Curriculum Completion'!$EV$4:$EV$38,"Complete")</f>
        <v>0</v>
      </c>
      <c r="AT101" s="62">
        <f>SUMIFS('Status of Curriculum Completion'!$DZ$4:$DZ$38,'Status of Curriculum Completion'!$DP$4:$DP$38,"India",'Status of Curriculum Completion'!$DV$4:$DV$38,"In Progress")+SUMIFS('Status of Curriculum Completion'!$EM$4:$EM$38,'Status of Curriculum Completion'!$EC$4:$EC$38,"India",'Status of Curriculum Completion'!$EI$4:$EI$38,"In Progress")+SUMIFS('Status of Curriculum Completion'!$EZ$4:$EZ$38,'Status of Curriculum Completion'!$EP$4:$EP$38,"India",'Status of Curriculum Completion'!$EV$4:$EV$38,"In Progress")</f>
        <v>0</v>
      </c>
      <c r="AU101" s="62">
        <f>SUMIFS('Status of Curriculum Completion'!$DZ$4:$DZ$38,'Status of Curriculum Completion'!$DP$4:$DP$38,"India",'Status of Curriculum Completion'!$DV$4:$DV$38,"Planned")+SUMIFS('Status of Curriculum Completion'!$EM$4:$EM$38,'Status of Curriculum Completion'!$EC$4:$EC$38,"India",'Status of Curriculum Completion'!$EI$4:$EI$38,"Planned")+SUMIFS('Status of Curriculum Completion'!$EZ$4:$EZ$38,'Status of Curriculum Completion'!$EP$4:$EP$38,"India",'Status of Curriculum Completion'!$EV$4:$EV$38,"Planned")</f>
        <v>0</v>
      </c>
      <c r="AV101" s="62">
        <f>SUMIFS('Status of Curriculum Completion'!$DZ$4:$DZ$38,'Status of Curriculum Completion'!$DP$4:$DP$38,"India",'Status of Curriculum Completion'!$DV$4:$DV$38,"Tentative")+SUMIFS('Status of Curriculum Completion'!$EM$4:$EM$38,'Status of Curriculum Completion'!$EC$4:$EC$38,"India",'Status of Curriculum Completion'!$EI$4:$EI$38,"Tentative")+SUMIFS('Status of Curriculum Completion'!$EZ$4:$EZ$38,'Status of Curriculum Completion'!$EP$4:$EP$38,"India",'Status of Curriculum Completion'!$EV$4:$EV$38,"Tentative")</f>
        <v>0</v>
      </c>
    </row>
    <row r="102" spans="3:48" ht="15" hidden="1" customHeight="1" thickBot="1">
      <c r="C102" s="63" t="s">
        <v>1164</v>
      </c>
      <c r="D102" s="59">
        <f>SUMIFS('Status of Curriculum Completion'!$M$4:$M$38,'Status of Curriculum Completion'!$C$4:$C$38,"LA",'Status of Curriculum Completion'!$G$4:$G$38,"Complete")+SUMIFS('Status of Curriculum Completion'!$Z$4:$Z$38,'Status of Curriculum Completion'!$P$4:$P$38,"LA",'Status of Curriculum Completion'!$T$4:$T$38,"Complete")+SUMIFS('Status of Curriculum Completion'!$AM$4:$AM$38,'Status of Curriculum Completion'!$AC$4:$AC$38,"LA",'Status of Curriculum Completion'!$AG$4:$AG$38,"Complete")</f>
        <v>0</v>
      </c>
      <c r="E102" s="59">
        <f>SUMIFS('Status of Curriculum Completion'!$M$4:$M$38,'Status of Curriculum Completion'!$C$4:$C$38,"LA",'Status of Curriculum Completion'!$G$4:$G$38,"In progress")+SUMIFS('Status of Curriculum Completion'!$Z$4:$Z$38,'Status of Curriculum Completion'!$P$4:$P$38,"LA",'Status of Curriculum Completion'!$T$4:$T$38,"In progress")+SUMIFS('Status of Curriculum Completion'!$AM$4:$AM$38,'Status of Curriculum Completion'!$AC$4:$AC$38,"LA",'Status of Curriculum Completion'!$AG$4:$AG$38,"In progress")</f>
        <v>0</v>
      </c>
      <c r="F102" s="59">
        <f>SUMIFS('Status of Curriculum Completion'!$M$4:$M$38,'Status of Curriculum Completion'!$C$4:$C$38,"LA",'Status of Curriculum Completion'!$G$4:$G$38,"Planned")+SUMIFS('Status of Curriculum Completion'!$Z$4:$Z$38,'Status of Curriculum Completion'!$P$4:$P$38,"LA",'Status of Curriculum Completion'!$T$4:$T$38,"Planned")+SUMIFS('Status of Curriculum Completion'!$AM$4:$AM$38,'Status of Curriculum Completion'!$AC$4:$AC$38,"LA",'Status of Curriculum Completion'!$AG$4:$AG$38,"Planned")</f>
        <v>0</v>
      </c>
      <c r="G102" s="59">
        <f>SUMIFS('Status of Curriculum Completion'!$M$4:$M$38,'Status of Curriculum Completion'!$C$4:$C$38,"LA",'Status of Curriculum Completion'!$H$4:$H$38,"Complete")+SUMIFS('Status of Curriculum Completion'!$Z$4:$Z$38,'Status of Curriculum Completion'!$P$4:$P$38,"LA",'Status of Curriculum Completion'!$U$4:$U$38,"Complete")+SUMIFS('Status of Curriculum Completion'!$AM$4:$AM$38,'Status of Curriculum Completion'!$AC$4:$AC$38,"LA",'Status of Curriculum Completion'!$AH$4:$AH$38,"Complete")</f>
        <v>0</v>
      </c>
      <c r="H102" s="59">
        <f>SUMIFS('Status of Curriculum Completion'!$M$4:$M$38,'Status of Curriculum Completion'!$C$4:$C$38,"LA",'Status of Curriculum Completion'!$H$4:$H$38,"In Progress")+SUMIFS('Status of Curriculum Completion'!$Z$4:$Z$38,'Status of Curriculum Completion'!$P$4:$P$38,"LA",'Status of Curriculum Completion'!$U$4:$U$38,"In Progress")+SUMIFS('Status of Curriculum Completion'!$AM$4:$AM$38,'Status of Curriculum Completion'!$AC$4:$AC$38,"LA",'Status of Curriculum Completion'!$AH$4:$AH$38,"In Progress")</f>
        <v>0</v>
      </c>
      <c r="I102" s="59">
        <f>SUMIFS('Status of Curriculum Completion'!$M$4:$M$38,'Status of Curriculum Completion'!$C$4:$C$38,"LA",'Status of Curriculum Completion'!$H$4:$H$38,"Planned")+SUMIFS('Status of Curriculum Completion'!$Z$4:$Z$38,'Status of Curriculum Completion'!$P$4:$P$38,"LA",'Status of Curriculum Completion'!$U$4:$U$38,"Planned")+SUMIFS('Status of Curriculum Completion'!$AM$4:$AM$38,'Status of Curriculum Completion'!$AC$4:$AC$38,"LA",'Status of Curriculum Completion'!$AH$4:$AH$38,"Planned")</f>
        <v>0</v>
      </c>
      <c r="J102" s="59">
        <f>SUMIFS('Status of Curriculum Completion'!$M$4:$M$38,'Status of Curriculum Completion'!$C$4:$C$38,"LA",'Status of Curriculum Completion'!$I$4:$I$38,"Complete")+SUMIFS('Status of Curriculum Completion'!$Z$4:$Z$38,'Status of Curriculum Completion'!$P$4:$P$38,"LA",'Status of Curriculum Completion'!$V$4:$V$38,"Complete")+SUMIFS('Status of Curriculum Completion'!$AM$4:$AM$38,'Status of Curriculum Completion'!$AC$4:$AC$38,"LA",'Status of Curriculum Completion'!$AI$4:$AI$38,"Complete")</f>
        <v>0</v>
      </c>
      <c r="K102" s="59">
        <f>SUMIFS('Status of Curriculum Completion'!$M$4:$M$38,'Status of Curriculum Completion'!$C$4:$C$38,"LA",'Status of Curriculum Completion'!$I$4:$I$38,"In Progress")+SUMIFS('Status of Curriculum Completion'!$Z$4:$Z$38,'Status of Curriculum Completion'!$P$4:$P$38,"LA",'Status of Curriculum Completion'!$V$4:$V$38,"In Progress")+SUMIFS('Status of Curriculum Completion'!$AM$4:$AM$38,'Status of Curriculum Completion'!$AC$4:$AC$38,"LA",'Status of Curriculum Completion'!$AI$4:$AI$38,"In Progress")</f>
        <v>0</v>
      </c>
      <c r="L102" s="59">
        <f>SUMIFS('Status of Curriculum Completion'!$M$4:$M$38,'Status of Curriculum Completion'!$C$4:$C$38,"LA",'Status of Curriculum Completion'!$I$4:$I$38,"Planned")+SUMIFS('Status of Curriculum Completion'!$Z$4:$Z$38,'Status of Curriculum Completion'!$P$4:$P$38,"LA",'Status of Curriculum Completion'!$V$4:$V$38,"Planned")+SUMIFS('Status of Curriculum Completion'!$AM$4:$AM$38,'Status of Curriculum Completion'!$AC$4:$AC$38,"LA",'Status of Curriculum Completion'!$AI$4:$AI$38,"Planned")</f>
        <v>0</v>
      </c>
      <c r="M102" s="60">
        <f>SUMIFS('Status of Curriculum Completion'!$AZ$4:$AZ$38,'Status of Curriculum Completion'!$AP$4:$AP$38,"LA",'Status of Curriculum Completion'!$AT$4:$AT$38,"Complete")+SUMIFS('Status of Curriculum Completion'!$BM$4:$BM$38,'Status of Curriculum Completion'!$BC$4:$BC$38,"LA",'Status of Curriculum Completion'!$BG$4:$BG$38,"Complete")+SUMIFS('Status of Curriculum Completion'!$BZ$4:$BZ$38,'Status of Curriculum Completion'!$BP$4:$BP$38,"LA",'Status of Curriculum Completion'!$BT$4:$BT$38,"Complete")</f>
        <v>0</v>
      </c>
      <c r="N102" s="60">
        <f>SUMIFS('Status of Curriculum Completion'!$AZ$4:$AZ$38,'Status of Curriculum Completion'!$AP$4:$AP$38,"LA",'Status of Curriculum Completion'!$AT$4:$AT$38,"In Progress")+SUMIFS('Status of Curriculum Completion'!$BM$4:$BM$38,'Status of Curriculum Completion'!$BC$4:$BC$38,"LA",'Status of Curriculum Completion'!$BG$4:$BG$38,"In Progress")+SUMIFS('Status of Curriculum Completion'!$BZ$4:$BZ$38,'Status of Curriculum Completion'!$BP$4:$BP$38,"LA",'Status of Curriculum Completion'!$BT$4:$BT$38,"In Progress")</f>
        <v>0</v>
      </c>
      <c r="O102" s="60">
        <f>SUMIFS('Status of Curriculum Completion'!$AZ$4:$AZ$38,'Status of Curriculum Completion'!$AP$4:$AP$38,"LA",'Status of Curriculum Completion'!$AT$4:$AT$38,"Planned")+SUMIFS('Status of Curriculum Completion'!$BM$4:$BM$38,'Status of Curriculum Completion'!$BC$4:$BC$38,"LA",'Status of Curriculum Completion'!$BG$4:$BG$38,"Planned")+SUMIFS('Status of Curriculum Completion'!$BZ$4:$BZ$38,'Status of Curriculum Completion'!$BP$4:$BP$38,"LA",'Status of Curriculum Completion'!$BT$4:$BT$38,"Planned")</f>
        <v>0</v>
      </c>
      <c r="P102" s="60">
        <f>SUMIFS('Status of Curriculum Completion'!$AZ$4:$AZ$38,'Status of Curriculum Completion'!$AP$4:$AP$38,"LA",'Status of Curriculum Completion'!$AU$4:$AU$38,"Complete")+SUMIFS('Status of Curriculum Completion'!$BM$4:$BM$38,'Status of Curriculum Completion'!$BC$4:$BC$38,"LA",'Status of Curriculum Completion'!$BH$4:$BH$38,"Complete")+SUMIFS('Status of Curriculum Completion'!$BZ$4:$BZ$38,'Status of Curriculum Completion'!$BP$4:$BP$38,"LA",'Status of Curriculum Completion'!$BU$4:$BU$38,"Complete")</f>
        <v>0</v>
      </c>
      <c r="Q102" s="60">
        <f>SUMIFS('Status of Curriculum Completion'!$AZ$4:$AZ$38,'Status of Curriculum Completion'!$AP$4:$AP$38,"LA",'Status of Curriculum Completion'!$AU$4:$AU$38,"In Progress")+SUMIFS('Status of Curriculum Completion'!$BM$4:$BM$38,'Status of Curriculum Completion'!$BC$4:$BC$38,"LA",'Status of Curriculum Completion'!$BH$4:$BH$38,"In Progress")+SUMIFS('Status of Curriculum Completion'!$BZ$4:$BZ$38,'Status of Curriculum Completion'!$BP$4:$BP$38,"LA",'Status of Curriculum Completion'!$BU$4:$BU$38,"In Progress")</f>
        <v>0</v>
      </c>
      <c r="R102" s="60">
        <f>SUMIFS('Status of Curriculum Completion'!$AZ$4:$AZ$38,'Status of Curriculum Completion'!$AP$4:$AP$38,"LA",'Status of Curriculum Completion'!$AU$4:$AU$38,"Planned")+SUMIFS('Status of Curriculum Completion'!$BM$4:$BM$38,'Status of Curriculum Completion'!$BC$4:$BC$38,"LA",'Status of Curriculum Completion'!$BH$4:$BH$38,"Planned")+SUMIFS('Status of Curriculum Completion'!$BZ$4:$BZ$38,'Status of Curriculum Completion'!$BP$4:$BP$38,"LA",'Status of Curriculum Completion'!$BU$4:$BU$38,"Planned")</f>
        <v>0</v>
      </c>
      <c r="S102" s="60">
        <f>SUMIFS('Status of Curriculum Completion'!$AZ$4:$AZ$38,'Status of Curriculum Completion'!$AP$4:$AP$38,"LA",'Status of Curriculum Completion'!$AV$4:$AV$38,"Complete")+SUMIFS('Status of Curriculum Completion'!$BM$4:$BM$38,'Status of Curriculum Completion'!$BC$4:$BC$38,"LA",'Status of Curriculum Completion'!$BI$4:$BI$38,"Complete")+SUMIFS('Status of Curriculum Completion'!$BZ$4:$BZ$38,'Status of Curriculum Completion'!$BP$4:$BP$38,"LA",'Status of Curriculum Completion'!$BV$4:$BV$38,"Complete")</f>
        <v>0</v>
      </c>
      <c r="T102" s="60">
        <f>SUMIFS('Status of Curriculum Completion'!$AZ$4:$AZ$38,'Status of Curriculum Completion'!$AP$4:$AP$38,"LA",'Status of Curriculum Completion'!$AV$4:$AV$38,"In Progress")+SUMIFS('Status of Curriculum Completion'!$BM$4:$BM$38,'Status of Curriculum Completion'!$BC$4:$BC$38,"LA",'Status of Curriculum Completion'!$BI$4:$BI$38,"In Progress")+SUMIFS('Status of Curriculum Completion'!$BZ$4:$BZ$38,'Status of Curriculum Completion'!$BP$4:$BP$38,"LA",'Status of Curriculum Completion'!$BV$4:$BV$38,"In Progress")</f>
        <v>0</v>
      </c>
      <c r="U102" s="60">
        <f>SUMIFS('Status of Curriculum Completion'!$AZ$4:$AZ$38,'Status of Curriculum Completion'!$AP$4:$AP$38,"LA",'Status of Curriculum Completion'!$AV$4:$AV$38,"Planned")+SUMIFS('Status of Curriculum Completion'!$BM$4:$BM$38,'Status of Curriculum Completion'!$BC$4:$BC$38,"LA",'Status of Curriculum Completion'!$BI$4:$BI$38,"Planned")+SUMIFS('Status of Curriculum Completion'!$BZ$4:$BZ$38,'Status of Curriculum Completion'!$BP$4:$BP$38,"LA",'Status of Curriculum Completion'!$BV$4:$BV$38,"Planned")</f>
        <v>0</v>
      </c>
      <c r="V102"/>
      <c r="W102"/>
      <c r="X102" s="63" t="s">
        <v>1164</v>
      </c>
      <c r="Y102" s="61">
        <f>SUMIFS('Status of Curriculum Completion'!$CM$4:$CM$38,'Status of Curriculum Completion'!$CC$4:$CC$38,"LA",'Status of Curriculum Completion'!$CG$4:$CG$38,"Complete")+SUMIFS('Status of Curriculum Completion'!$CZ$4:$CZ$38,'Status of Curriculum Completion'!$CP$4:$CP$38,"LA",'Status of Curriculum Completion'!$CT$4:$CT$38,"Complete")+SUMIFS('Status of Curriculum Completion'!$DM$4:$DM$38,'Status of Curriculum Completion'!$DC$4:$DC$38,"LA",'Status of Curriculum Completion'!$DG$4:$DG$38,"Complete")</f>
        <v>0</v>
      </c>
      <c r="Z102" s="61">
        <f>SUMIFS('Status of Curriculum Completion'!$CM$4:$CM$38,'Status of Curriculum Completion'!$CC$4:$CC$38,"LA",'Status of Curriculum Completion'!$CG$4:$CG$38,"In Progress")+SUMIFS('Status of Curriculum Completion'!$CZ$4:$CZ$38,'Status of Curriculum Completion'!$CP$4:$CP$38,"LA",'Status of Curriculum Completion'!$CT$4:$CT$38,"In Progress")+SUMIFS('Status of Curriculum Completion'!$DM$4:$DM$38,'Status of Curriculum Completion'!$DC$4:$DC$38,"LA",'Status of Curriculum Completion'!$DG$4:$DG$38,"In Progress")</f>
        <v>0</v>
      </c>
      <c r="AA102" s="61">
        <f>SUMIFS('Status of Curriculum Completion'!$CM$4:$CM$38,'Status of Curriculum Completion'!$CC$4:$CC$38,"LA",'Status of Curriculum Completion'!$CG$4:$CG$38,"Planned")+SUMIFS('Status of Curriculum Completion'!$CZ$4:$CZ$38,'Status of Curriculum Completion'!$CP$4:$CP$38,"LA",'Status of Curriculum Completion'!$CT$4:$CT$38,"Planned")+SUMIFS('Status of Curriculum Completion'!$DM$4:$DM$38,'Status of Curriculum Completion'!$DC$4:$DC$38,"LA",'Status of Curriculum Completion'!$DG$4:$DG$38,"Planned")</f>
        <v>0</v>
      </c>
      <c r="AB102" s="61">
        <f>SUMIFS('Status of Curriculum Completion'!$CM$4:$CM$38,'Status of Curriculum Completion'!$CC$4:$CC$38,"LA",'Status of Curriculum Completion'!$CG$4:$CG$38,"Tentative")+SUMIFS('Status of Curriculum Completion'!$CZ$4:$CZ$38,'Status of Curriculum Completion'!$CP$4:$CP$38,"LA",'Status of Curriculum Completion'!$CT$4:$CT$38,"Tentative")+SUMIFS('Status of Curriculum Completion'!$DM$4:$DM$38,'Status of Curriculum Completion'!$DC$4:$DC$38,"LA",'Status of Curriculum Completion'!$DG$4:$DG$38,"Tentative")</f>
        <v>0</v>
      </c>
      <c r="AC102" s="61">
        <f>SUMIFS('Status of Curriculum Completion'!$CM$4:$CM$38,'Status of Curriculum Completion'!$CC$4:$CC$38,"LA",'Status of Curriculum Completion'!$CH$4:$CH$38,"Complete")+SUMIFS('Status of Curriculum Completion'!$CZ$4:$CZ$38,'Status of Curriculum Completion'!$CP$4:$CP$38,"LA",'Status of Curriculum Completion'!$CU$4:$CU$38,"Complete")+SUMIFS('Status of Curriculum Completion'!$DM$4:$DM$38,'Status of Curriculum Completion'!$DC$4:$DC$38,"LA",'Status of Curriculum Completion'!$DH$4:$DH$38,"Complete")</f>
        <v>0</v>
      </c>
      <c r="AD102" s="61">
        <f>SUMIFS('Status of Curriculum Completion'!$CM$4:$CM$38,'Status of Curriculum Completion'!$CC$4:$CC$38,"LA",'Status of Curriculum Completion'!$CH$4:$CH$38,"In Progress")+SUMIFS('Status of Curriculum Completion'!$CZ$4:$CZ$38,'Status of Curriculum Completion'!$CP$4:$CP$38,"LA",'Status of Curriculum Completion'!$CU$4:$CU$38,"In Progress")+SUMIFS('Status of Curriculum Completion'!$DM$4:$DM$38,'Status of Curriculum Completion'!$DC$4:$DC$38,"LA",'Status of Curriculum Completion'!$DH$4:$DH$38,"In Progress")</f>
        <v>0</v>
      </c>
      <c r="AE102" s="61">
        <f>SUMIFS('Status of Curriculum Completion'!$CM$4:$CM$38,'Status of Curriculum Completion'!$CC$4:$CC$38,"LA",'Status of Curriculum Completion'!$CH$4:$CH$38,"Planned")+SUMIFS('Status of Curriculum Completion'!$CZ$4:$CZ$38,'Status of Curriculum Completion'!$CP$4:$CP$38,"LA",'Status of Curriculum Completion'!$CU$4:$CU$38,"Planned")+SUMIFS('Status of Curriculum Completion'!$DM$4:$DM$38,'Status of Curriculum Completion'!$DC$4:$DC$38,"LA",'Status of Curriculum Completion'!$DH$4:$DH$38,"Planned")</f>
        <v>0</v>
      </c>
      <c r="AF102" s="61">
        <f>SUMIFS('Status of Curriculum Completion'!$CM$4:$CM$38,'Status of Curriculum Completion'!$CC$4:$CC$38,"LA",'Status of Curriculum Completion'!$CH$4:$CH$38,"Tentative")+SUMIFS('Status of Curriculum Completion'!$CZ$4:$CZ$38,'Status of Curriculum Completion'!$CP$4:$CP$38,"LA",'Status of Curriculum Completion'!$CU$4:$CU$38,"Tentative")+SUMIFS('Status of Curriculum Completion'!$DM$4:$DM$38,'Status of Curriculum Completion'!$DC$4:$DC$38,"LA",'Status of Curriculum Completion'!$DH$4:$DH$38,"Tentative")</f>
        <v>0</v>
      </c>
      <c r="AG102" s="61">
        <f>SUMIFS('Status of Curriculum Completion'!$CM$4:$CM$38,'Status of Curriculum Completion'!$CC$4:$CC$38,"LA",'Status of Curriculum Completion'!$CI$4:$CI$38,"Complete")+SUMIFS('Status of Curriculum Completion'!$CZ$4:$CZ$38,'Status of Curriculum Completion'!$CP$4:$CP$38,"LA",'Status of Curriculum Completion'!$CV$4:$CV$38,"Complete")+SUMIFS('Status of Curriculum Completion'!$DM$4:$DM$38,'Status of Curriculum Completion'!$DC$4:$DC$38,"LA",'Status of Curriculum Completion'!$DI$4:$DI$38,"Complete")</f>
        <v>0</v>
      </c>
      <c r="AH102" s="61">
        <f>SUMIFS('Status of Curriculum Completion'!$CM$4:$CM$38,'Status of Curriculum Completion'!$CC$4:$CC$38,"LA",'Status of Curriculum Completion'!$CI$4:$CI$38,"In Progress")+SUMIFS('Status of Curriculum Completion'!$CZ$4:$CZ$38,'Status of Curriculum Completion'!$CP$4:$CP$38,"LA",'Status of Curriculum Completion'!$CV$4:$CV$38,"In Progress")+SUMIFS('Status of Curriculum Completion'!$DM$4:$DM$38,'Status of Curriculum Completion'!$DC$4:$DC$38,"LA",'Status of Curriculum Completion'!$DI$4:$DI$38,"In Progress")</f>
        <v>0</v>
      </c>
      <c r="AI102" s="61">
        <f>SUMIFS('Status of Curriculum Completion'!$CM$4:$CM$38,'Status of Curriculum Completion'!$CC$4:$CC$38,"LA",'Status of Curriculum Completion'!$CI$4:$CI$38,"Planned")+SUMIFS('Status of Curriculum Completion'!$CZ$4:$CZ$38,'Status of Curriculum Completion'!$CP$4:$CP$38,"LA",'Status of Curriculum Completion'!$CV$4:$CV$38,"Planned")+SUMIFS('Status of Curriculum Completion'!$DM$4:$DM$38,'Status of Curriculum Completion'!$DC$4:$DC$38,"LA",'Status of Curriculum Completion'!$DI$4:$DI$38,"Planned")</f>
        <v>0</v>
      </c>
      <c r="AJ102" s="61">
        <f>SUMIFS('Status of Curriculum Completion'!$CM$4:$CM$38,'Status of Curriculum Completion'!$CC$4:$CC$38,"LA",'Status of Curriculum Completion'!$CI$4:$CI$38,"Tentative")+SUMIFS('Status of Curriculum Completion'!$CZ$4:$CZ$38,'Status of Curriculum Completion'!$CP$4:$CP$38,"LA",'Status of Curriculum Completion'!$CV$4:$CV$38,"Tentative")+SUMIFS('Status of Curriculum Completion'!$DM$4:$DM$38,'Status of Curriculum Completion'!$DC$4:$DC$38,"LA",'Status of Curriculum Completion'!$DI$4:$DI$38,"Tentative")</f>
        <v>0</v>
      </c>
      <c r="AK102" s="62">
        <f>SUMIFS('Status of Curriculum Completion'!$DZ$4:$DZ$38,'Status of Curriculum Completion'!$DP$4:$DP$38,"LA",'Status of Curriculum Completion'!$DT$4:$DT$38,"Complete")+SUMIFS('Status of Curriculum Completion'!$EM$4:$EM$38,'Status of Curriculum Completion'!$EC$4:$EC$38,"LA",'Status of Curriculum Completion'!$EG$4:$EG$38,"Complete")+SUMIFS('Status of Curriculum Completion'!$EZ$4:$EZ$38,'Status of Curriculum Completion'!$EP$4:$EP$38,"LA",'Status of Curriculum Completion'!$ET$4:$ET$38,"Complete")</f>
        <v>0</v>
      </c>
      <c r="AL102" s="62">
        <f>SUMIFS('Status of Curriculum Completion'!$DZ$4:$DZ$38,'Status of Curriculum Completion'!$DP$4:$DP$38,"LA",'Status of Curriculum Completion'!$DT$4:$DT$38,"In Progress")+SUMIFS('Status of Curriculum Completion'!$EM$4:$EM$38,'Status of Curriculum Completion'!$EC$4:$EC$38,"LA",'Status of Curriculum Completion'!$EG$4:$EG$38,"In Progress")+SUMIFS('Status of Curriculum Completion'!$EZ$4:$EZ$38,'Status of Curriculum Completion'!$EP$4:$EP$38,"LA",'Status of Curriculum Completion'!$ET$4:$ET$38,"In Progress")</f>
        <v>0</v>
      </c>
      <c r="AM102" s="62">
        <f>SUMIFS('Status of Curriculum Completion'!$DZ$4:$DZ$38,'Status of Curriculum Completion'!$DP$4:$DP$38,"LA",'Status of Curriculum Completion'!$DT$4:$DT$38,"Planned")+SUMIFS('Status of Curriculum Completion'!$EM$4:$EM$38,'Status of Curriculum Completion'!$EC$4:$EC$38,"LA",'Status of Curriculum Completion'!$EG$4:$EG$38,"Planned")+SUMIFS('Status of Curriculum Completion'!$EZ$4:$EZ$38,'Status of Curriculum Completion'!$EP$4:$EP$38,"LA",'Status of Curriculum Completion'!$ET$4:$ET$38,"Planned")</f>
        <v>0</v>
      </c>
      <c r="AN102" s="62">
        <f>SUMIFS('Status of Curriculum Completion'!$DZ$4:$DZ$38,'Status of Curriculum Completion'!$DP$4:$DP$38,"LA",'Status of Curriculum Completion'!$DT$4:$DT$38,"Tentative")+SUMIFS('Status of Curriculum Completion'!$EM$4:$EM$38,'Status of Curriculum Completion'!$EC$4:$EC$38,"LA",'Status of Curriculum Completion'!$EG$4:$EG$38,"Tentative")+SUMIFS('Status of Curriculum Completion'!$EZ$4:$EZ$38,'Status of Curriculum Completion'!$EP$4:$EP$38,"LA",'Status of Curriculum Completion'!$ET$4:$ET$38,"Tentative")</f>
        <v>0</v>
      </c>
      <c r="AO102" s="62">
        <f>SUMIFS('Status of Curriculum Completion'!$DZ$4:$DZ$38,'Status of Curriculum Completion'!$DP$4:$DP$38,"LA",'Status of Curriculum Completion'!$DU$4:$DU$38,"Complete")+SUMIFS('Status of Curriculum Completion'!$EM$4:$EM$38,'Status of Curriculum Completion'!$EC$4:$EC$38,"LA",'Status of Curriculum Completion'!$EH$4:$EH$38,"Complete")+SUMIFS('Status of Curriculum Completion'!$EZ$4:$EZ$38,'Status of Curriculum Completion'!$EP$4:$EP$38,"LA",'Status of Curriculum Completion'!$EU$4:$EU$38,"Complete")</f>
        <v>0</v>
      </c>
      <c r="AP102" s="62">
        <f>SUMIFS('Status of Curriculum Completion'!$DZ$4:$DZ$38,'Status of Curriculum Completion'!$DP$4:$DP$38,"LA",'Status of Curriculum Completion'!$DU$4:$DU$38,"In Progress")+SUMIFS('Status of Curriculum Completion'!$EM$4:$EM$38,'Status of Curriculum Completion'!$EC$4:$EC$38,"LA",'Status of Curriculum Completion'!$EH$4:$EH$38,"In Progress")+SUMIFS('Status of Curriculum Completion'!$EZ$4:$EZ$38,'Status of Curriculum Completion'!$EP$4:$EP$38,"LA",'Status of Curriculum Completion'!$EU$4:$EU$38,"In Progress")</f>
        <v>0</v>
      </c>
      <c r="AQ102" s="62">
        <f>SUMIFS('Status of Curriculum Completion'!$DZ$4:$DZ$38,'Status of Curriculum Completion'!$DP$4:$DP$38,"LA",'Status of Curriculum Completion'!$DU$4:$DU$38,"Planned")+SUMIFS('Status of Curriculum Completion'!$EM$4:$EM$38,'Status of Curriculum Completion'!$EC$4:$EC$38,"LA",'Status of Curriculum Completion'!$EH$4:$EH$38,"Planned")+SUMIFS('Status of Curriculum Completion'!$EZ$4:$EZ$38,'Status of Curriculum Completion'!$EP$4:$EP$38,"LA",'Status of Curriculum Completion'!$EU$4:$EU$38,"Planned")</f>
        <v>0</v>
      </c>
      <c r="AR102" s="62">
        <f>SUMIFS('Status of Curriculum Completion'!$DZ$4:$DZ$38,'Status of Curriculum Completion'!$DP$4:$DP$38,"LA",'Status of Curriculum Completion'!$DU$4:$DU$38,"Tentative")+SUMIFS('Status of Curriculum Completion'!$EM$4:$EM$38,'Status of Curriculum Completion'!$EC$4:$EC$38,"LA",'Status of Curriculum Completion'!$EH$4:$EH$38,"Tentative")+SUMIFS('Status of Curriculum Completion'!$EZ$4:$EZ$38,'Status of Curriculum Completion'!$EP$4:$EP$38,"LA",'Status of Curriculum Completion'!$EU$4:$EU$38,"Tentative")</f>
        <v>0</v>
      </c>
      <c r="AS102" s="62">
        <f>SUMIFS('Status of Curriculum Completion'!$DZ$4:$DZ$38,'Status of Curriculum Completion'!$DP$4:$DP$38,"LA",'Status of Curriculum Completion'!$DV$4:$DV$38,"Complete")+SUMIFS('Status of Curriculum Completion'!$EM$4:$EM$38,'Status of Curriculum Completion'!$EC$4:$EC$38,"LA",'Status of Curriculum Completion'!$EI$4:$EI$38,"Complete")+SUMIFS('Status of Curriculum Completion'!$EZ$4:$EZ$38,'Status of Curriculum Completion'!$EP$4:$EP$38,"LA",'Status of Curriculum Completion'!$EV$4:$EV$38,"Complete")</f>
        <v>0</v>
      </c>
      <c r="AT102" s="62">
        <f>SUMIFS('Status of Curriculum Completion'!$DZ$4:$DZ$38,'Status of Curriculum Completion'!$DP$4:$DP$38,"LA",'Status of Curriculum Completion'!$DV$4:$DV$38,"In Progress")+SUMIFS('Status of Curriculum Completion'!$EM$4:$EM$38,'Status of Curriculum Completion'!$EC$4:$EC$38,"LA",'Status of Curriculum Completion'!$EI$4:$EI$38,"In Progress")+SUMIFS('Status of Curriculum Completion'!$EZ$4:$EZ$38,'Status of Curriculum Completion'!$EP$4:$EP$38,"LA",'Status of Curriculum Completion'!$EV$4:$EV$38,"In Progress")</f>
        <v>0</v>
      </c>
      <c r="AU102" s="62">
        <f>SUMIFS('Status of Curriculum Completion'!$DZ$4:$DZ$38,'Status of Curriculum Completion'!$DP$4:$DP$38,"LA",'Status of Curriculum Completion'!$DV$4:$DV$38,"Planned")+SUMIFS('Status of Curriculum Completion'!$EM$4:$EM$38,'Status of Curriculum Completion'!$EC$4:$EC$38,"LA",'Status of Curriculum Completion'!$EI$4:$EI$38,"Planned")+SUMIFS('Status of Curriculum Completion'!$EZ$4:$EZ$38,'Status of Curriculum Completion'!$EP$4:$EP$38,"LA",'Status of Curriculum Completion'!$EV$4:$EV$38,"Planned")</f>
        <v>0</v>
      </c>
      <c r="AV102" s="62">
        <f>SUMIFS('Status of Curriculum Completion'!$DZ$4:$DZ$38,'Status of Curriculum Completion'!$DP$4:$DP$38,"LA",'Status of Curriculum Completion'!$DV$4:$DV$38,"Tentative")+SUMIFS('Status of Curriculum Completion'!$EM$4:$EM$38,'Status of Curriculum Completion'!$EC$4:$EC$38,"LA",'Status of Curriculum Completion'!$EI$4:$EI$38,"Tentative")+SUMIFS('Status of Curriculum Completion'!$EZ$4:$EZ$38,'Status of Curriculum Completion'!$EP$4:$EP$38,"LA",'Status of Curriculum Completion'!$EV$4:$EV$38,"Tentative")</f>
        <v>0</v>
      </c>
    </row>
    <row r="103" spans="3:48" ht="15" hidden="1" thickBot="1">
      <c r="C103" s="63" t="s">
        <v>1165</v>
      </c>
      <c r="D103" s="59">
        <f>SUMIFS('Status of Curriculum Completion'!$M$4:$M$38,'Status of Curriculum Completion'!$C$4:$C$38,"CIC MEA",'Status of Curriculum Completion'!$G$4:$G$38,"Complete")+SUMIFS('Status of Curriculum Completion'!$Z$4:$Z$38,'Status of Curriculum Completion'!$P$4:$P$38,"CIC MEA",'Status of Curriculum Completion'!$T$4:$T$38,"Complete")+SUMIFS('Status of Curriculum Completion'!$AM$4:$AM$38,'Status of Curriculum Completion'!$AC$4:$AC$38,"CIC MEA",'Status of Curriculum Completion'!$AG$4:$AG$38,"Complete")</f>
        <v>0</v>
      </c>
      <c r="E103" s="59">
        <f>SUMIFS('Status of Curriculum Completion'!$M$4:$M$38,'Status of Curriculum Completion'!$C$4:$C$38,"CIC MEA",'Status of Curriculum Completion'!$G$4:$G$38,"In progress")+SUMIFS('Status of Curriculum Completion'!$Z$4:$Z$38,'Status of Curriculum Completion'!$P$4:$P$38,"CIC MEA",'Status of Curriculum Completion'!$T$4:$T$38,"In progress")+SUMIFS('Status of Curriculum Completion'!$AM$4:$AM$38,'Status of Curriculum Completion'!$AC$4:$AC$38,"CIC MEA",'Status of Curriculum Completion'!$AG$4:$AG$38,"In progress")</f>
        <v>0</v>
      </c>
      <c r="F103" s="59">
        <f>SUMIFS('Status of Curriculum Completion'!$M$4:$M$38,'Status of Curriculum Completion'!$C$4:$C$38,"CIC MEA",'Status of Curriculum Completion'!$G$4:$G$38,"Planned")+SUMIFS('Status of Curriculum Completion'!$Z$4:$Z$38,'Status of Curriculum Completion'!$P$4:$P$38,"CIC MEA",'Status of Curriculum Completion'!$T$4:$T$38,"Planned")+SUMIFS('Status of Curriculum Completion'!$AM$4:$AM$38,'Status of Curriculum Completion'!$AC$4:$AC$38,"CIC MEA",'Status of Curriculum Completion'!$AG$4:$AG$38,"Planned")</f>
        <v>0</v>
      </c>
      <c r="G103" s="59">
        <f>SUMIFS('Status of Curriculum Completion'!$M$4:$M$38,'Status of Curriculum Completion'!$C$4:$C$38,"CIC MEA",'Status of Curriculum Completion'!$H$4:$H$38,"Complete")+SUMIFS('Status of Curriculum Completion'!$Z$4:$Z$38,'Status of Curriculum Completion'!$P$4:$P$38,"CIC MEA",'Status of Curriculum Completion'!$U$4:$U$38,"Complete")+SUMIFS('Status of Curriculum Completion'!$AM$4:$AM$38,'Status of Curriculum Completion'!$AC$4:$AC$38,"CIC MEA",'Status of Curriculum Completion'!$AH$4:$AH$38,"Complete")</f>
        <v>0</v>
      </c>
      <c r="H103" s="59">
        <f>SUMIFS('Status of Curriculum Completion'!$M$4:$M$38,'Status of Curriculum Completion'!$C$4:$C$38,"CIC MEA",'Status of Curriculum Completion'!$H$4:$H$38,"In Progress")+SUMIFS('Status of Curriculum Completion'!$Z$4:$Z$38,'Status of Curriculum Completion'!$P$4:$P$38,"CIC MEA",'Status of Curriculum Completion'!$U$4:$U$38,"In Progress")+SUMIFS('Status of Curriculum Completion'!$AM$4:$AM$38,'Status of Curriculum Completion'!$AC$4:$AC$38,"CIC MEA",'Status of Curriculum Completion'!$AH$4:$AH$38,"In Progress")</f>
        <v>0</v>
      </c>
      <c r="I103" s="59">
        <f>SUMIFS('Status of Curriculum Completion'!$M$4:$M$38,'Status of Curriculum Completion'!$C$4:$C$38,"CIC MEA",'Status of Curriculum Completion'!$H$4:$H$38,"Planned")+SUMIFS('Status of Curriculum Completion'!$Z$4:$Z$38,'Status of Curriculum Completion'!$P$4:$P$38,"CIC MEA",'Status of Curriculum Completion'!$U$4:$U$38,"Planned")+SUMIFS('Status of Curriculum Completion'!$AM$4:$AM$38,'Status of Curriculum Completion'!$AC$4:$AC$38,"CIC MEA",'Status of Curriculum Completion'!$AH$4:$AH$38,"Planned")</f>
        <v>0</v>
      </c>
      <c r="J103" s="59">
        <f>SUMIFS('Status of Curriculum Completion'!$M$4:$M$38,'Status of Curriculum Completion'!$C$4:$C$38,"CIC MEA",'Status of Curriculum Completion'!$I$4:$I$38,"Complete")+SUMIFS('Status of Curriculum Completion'!$Z$4:$Z$38,'Status of Curriculum Completion'!$P$4:$P$38,"CIC MEA",'Status of Curriculum Completion'!$V$4:$V$38,"Complete")+SUMIFS('Status of Curriculum Completion'!$AM$4:$AM$38,'Status of Curriculum Completion'!$AC$4:$AC$38,"CIC MEA",'Status of Curriculum Completion'!$AI$4:$AI$38,"Complete")</f>
        <v>0</v>
      </c>
      <c r="K103" s="59">
        <f>SUMIFS('Status of Curriculum Completion'!$M$4:$M$38,'Status of Curriculum Completion'!$C$4:$C$38,"CIC MEA",'Status of Curriculum Completion'!$I$4:$I$38,"In Progress")+SUMIFS('Status of Curriculum Completion'!$Z$4:$Z$38,'Status of Curriculum Completion'!$P$4:$P$38,"CIC MEA",'Status of Curriculum Completion'!$V$4:$V$38,"In Progress")+SUMIFS('Status of Curriculum Completion'!$AM$4:$AM$38,'Status of Curriculum Completion'!$AC$4:$AC$38,"CIC MEA",'Status of Curriculum Completion'!$AI$4:$AI$38,"In Progress")</f>
        <v>0</v>
      </c>
      <c r="L103" s="59">
        <f>SUMIFS('Status of Curriculum Completion'!$M$4:$M$38,'Status of Curriculum Completion'!$C$4:$C$38,"CIC MEA",'Status of Curriculum Completion'!$I$4:$I$38,"Planned")+SUMIFS('Status of Curriculum Completion'!$Z$4:$Z$38,'Status of Curriculum Completion'!$P$4:$P$38,"CIC MEA",'Status of Curriculum Completion'!$V$4:$V$38,"Planned")+SUMIFS('Status of Curriculum Completion'!$AM$4:$AM$38,'Status of Curriculum Completion'!$AC$4:$AC$38,"CIC MEA",'Status of Curriculum Completion'!$AI$4:$AI$38,"Planned")</f>
        <v>0</v>
      </c>
      <c r="M103" s="60">
        <f>SUMIFS('Status of Curriculum Completion'!$AZ$4:$AZ$38,'Status of Curriculum Completion'!$AP$4:$AP$38,"CIC MEA",'Status of Curriculum Completion'!$AT$4:$AT$38,"Complete")+SUMIFS('Status of Curriculum Completion'!$BM$4:$BM$38,'Status of Curriculum Completion'!$BC$4:$BC$38,"CIC MEA",'Status of Curriculum Completion'!$BG$4:$BG$38,"Complete")+SUMIFS('Status of Curriculum Completion'!$BZ$4:$BZ$38,'Status of Curriculum Completion'!$BP$4:$BP$38,"CIC MEA",'Status of Curriculum Completion'!$BT$4:$BT$38,"Complete")</f>
        <v>0</v>
      </c>
      <c r="N103" s="60">
        <f>SUMIFS('Status of Curriculum Completion'!$AZ$4:$AZ$38,'Status of Curriculum Completion'!$AP$4:$AP$38,"CIC MEA",'Status of Curriculum Completion'!$AT$4:$AT$38,"In Progress")+SUMIFS('Status of Curriculum Completion'!$BM$4:$BM$38,'Status of Curriculum Completion'!$BC$4:$BC$38,"CIC MEA",'Status of Curriculum Completion'!$BG$4:$BG$38,"In Progress")+SUMIFS('Status of Curriculum Completion'!$BZ$4:$BZ$38,'Status of Curriculum Completion'!$BP$4:$BP$38,"CIC MEA",'Status of Curriculum Completion'!$BT$4:$BT$38,"In Progress")</f>
        <v>0</v>
      </c>
      <c r="O103" s="60">
        <f>SUMIFS('Status of Curriculum Completion'!$AZ$4:$AZ$38,'Status of Curriculum Completion'!$AP$4:$AP$38,"CIC MEA",'Status of Curriculum Completion'!$AT$4:$AT$38,"Planned")+SUMIFS('Status of Curriculum Completion'!$BM$4:$BM$38,'Status of Curriculum Completion'!$BC$4:$BC$38,"CIC MEA",'Status of Curriculum Completion'!$BG$4:$BG$38,"Planned")+SUMIFS('Status of Curriculum Completion'!$BZ$4:$BZ$38,'Status of Curriculum Completion'!$BP$4:$BP$38,"CIC MEA",'Status of Curriculum Completion'!$BT$4:$BT$38,"Planned")</f>
        <v>0</v>
      </c>
      <c r="P103" s="60">
        <f>SUMIFS('Status of Curriculum Completion'!$AZ$4:$AZ$38,'Status of Curriculum Completion'!$AP$4:$AP$38,"CIC MEA",'Status of Curriculum Completion'!$AU$4:$AU$38,"Complete")+SUMIFS('Status of Curriculum Completion'!$BM$4:$BM$38,'Status of Curriculum Completion'!$BC$4:$BC$38,"CIC MEA",'Status of Curriculum Completion'!$BH$4:$BH$38,"Complete")+SUMIFS('Status of Curriculum Completion'!$BZ$4:$BZ$38,'Status of Curriculum Completion'!$BP$4:$BP$38,"CIC MEA",'Status of Curriculum Completion'!$BU$4:$BU$38,"Complete")</f>
        <v>0</v>
      </c>
      <c r="Q103" s="60">
        <f>SUMIFS('Status of Curriculum Completion'!$AZ$4:$AZ$38,'Status of Curriculum Completion'!$AP$4:$AP$38,"CIC MEA",'Status of Curriculum Completion'!$AU$4:$AU$38,"In Progress")+SUMIFS('Status of Curriculum Completion'!$BM$4:$BM$38,'Status of Curriculum Completion'!$BC$4:$BC$38,"CIC MEA",'Status of Curriculum Completion'!$BH$4:$BH$38,"In Progress")+SUMIFS('Status of Curriculum Completion'!$BZ$4:$BZ$38,'Status of Curriculum Completion'!$BP$4:$BP$38,"CIC MEA",'Status of Curriculum Completion'!$BU$4:$BU$38,"In Progress")</f>
        <v>0</v>
      </c>
      <c r="R103" s="60">
        <f>SUMIFS('Status of Curriculum Completion'!$AZ$4:$AZ$38,'Status of Curriculum Completion'!$AP$4:$AP$38,"CIC MEA",'Status of Curriculum Completion'!$AU$4:$AU$38,"Planned")+SUMIFS('Status of Curriculum Completion'!$BM$4:$BM$38,'Status of Curriculum Completion'!$BC$4:$BC$38,"CIC MEA",'Status of Curriculum Completion'!$BH$4:$BH$38,"Planned")+SUMIFS('Status of Curriculum Completion'!$BZ$4:$BZ$38,'Status of Curriculum Completion'!$BP$4:$BP$38,"CIC MEA",'Status of Curriculum Completion'!$BU$4:$BU$38,"Planned")</f>
        <v>0</v>
      </c>
      <c r="S103" s="60">
        <f>SUMIFS('Status of Curriculum Completion'!$AZ$4:$AZ$38,'Status of Curriculum Completion'!$AP$4:$AP$38,"CIC MEA",'Status of Curriculum Completion'!$AV$4:$AV$38,"Complete")+SUMIFS('Status of Curriculum Completion'!$BM$4:$BM$38,'Status of Curriculum Completion'!$BC$4:$BC$38,"CIC MEA",'Status of Curriculum Completion'!$BI$4:$BI$38,"Complete")+SUMIFS('Status of Curriculum Completion'!$BZ$4:$BZ$38,'Status of Curriculum Completion'!$BP$4:$BP$38,"CIC MEA",'Status of Curriculum Completion'!$BV$4:$BV$38,"Complete")</f>
        <v>0</v>
      </c>
      <c r="T103" s="60">
        <f>SUMIFS('Status of Curriculum Completion'!$AZ$4:$AZ$38,'Status of Curriculum Completion'!$AP$4:$AP$38,"CIC MEA",'Status of Curriculum Completion'!$AV$4:$AV$38,"In Progress")+SUMIFS('Status of Curriculum Completion'!$BM$4:$BM$38,'Status of Curriculum Completion'!$BC$4:$BC$38,"CIC MEA",'Status of Curriculum Completion'!$BI$4:$BI$38,"In Progress")+SUMIFS('Status of Curriculum Completion'!$BZ$4:$BZ$38,'Status of Curriculum Completion'!$BP$4:$BP$38,"CIC MEA",'Status of Curriculum Completion'!$BV$4:$BV$38,"In Progress")</f>
        <v>0</v>
      </c>
      <c r="U103" s="60">
        <f>SUMIFS('Status of Curriculum Completion'!$AZ$4:$AZ$38,'Status of Curriculum Completion'!$AP$4:$AP$38,"CIC MEA",'Status of Curriculum Completion'!$AV$4:$AV$38,"Planned")+SUMIFS('Status of Curriculum Completion'!$BM$4:$BM$38,'Status of Curriculum Completion'!$BC$4:$BC$38,"CIC MEA",'Status of Curriculum Completion'!$BI$4:$BI$38,"Planned")+SUMIFS('Status of Curriculum Completion'!$BZ$4:$BZ$38,'Status of Curriculum Completion'!$BP$4:$BP$38,"CIC MEA",'Status of Curriculum Completion'!$BV$4:$BV$38,"Planned")</f>
        <v>0</v>
      </c>
      <c r="V103" s="58"/>
      <c r="W103"/>
      <c r="X103" s="63" t="s">
        <v>1165</v>
      </c>
      <c r="Y103" s="61">
        <f>SUMIFS('Status of Curriculum Completion'!$CM$4:$CM$38,'Status of Curriculum Completion'!$CC$4:$CC$38,"CIC MEA",'Status of Curriculum Completion'!$CG$4:$CG$38,"Complete")+SUMIFS('Status of Curriculum Completion'!$CZ$4:$CZ$38,'Status of Curriculum Completion'!$CP$4:$CP$38,"CIC MEA",'Status of Curriculum Completion'!$CT$4:$CT$38,"Complete")+SUMIFS('Status of Curriculum Completion'!$DM$4:$DM$38,'Status of Curriculum Completion'!$DC$4:$DC$38,"CIC MEA",'Status of Curriculum Completion'!$DG$4:$DG$38,"Complete")</f>
        <v>0</v>
      </c>
      <c r="Z103" s="61">
        <f>SUMIFS('Status of Curriculum Completion'!$CM$4:$CM$38,'Status of Curriculum Completion'!$CC$4:$CC$38,"CIC MEA",'Status of Curriculum Completion'!$CG$4:$CG$38,"In Progress")+SUMIFS('Status of Curriculum Completion'!$CZ$4:$CZ$38,'Status of Curriculum Completion'!$CP$4:$CP$38,"CIC MEA",'Status of Curriculum Completion'!$CT$4:$CT$38,"In Progress")+SUMIFS('Status of Curriculum Completion'!$DM$4:$DM$38,'Status of Curriculum Completion'!$DC$4:$DC$38,"CIC MEA",'Status of Curriculum Completion'!$DG$4:$DG$38,"In Progress")</f>
        <v>0</v>
      </c>
      <c r="AA103" s="61">
        <f>SUMIFS('Status of Curriculum Completion'!$CM$4:$CM$38,'Status of Curriculum Completion'!$CC$4:$CC$38,"CIC MEA",'Status of Curriculum Completion'!$CG$4:$CG$38,"Planned")+SUMIFS('Status of Curriculum Completion'!$CZ$4:$CZ$38,'Status of Curriculum Completion'!$CP$4:$CP$38,"CIC MEA",'Status of Curriculum Completion'!$CT$4:$CT$38,"Planned")+SUMIFS('Status of Curriculum Completion'!$DM$4:$DM$38,'Status of Curriculum Completion'!$DC$4:$DC$38,"CIC MEA",'Status of Curriculum Completion'!$DG$4:$DG$38,"Planned")</f>
        <v>0</v>
      </c>
      <c r="AB103" s="61">
        <f>SUMIFS('Status of Curriculum Completion'!$CM$4:$CM$38,'Status of Curriculum Completion'!$CC$4:$CC$38,"CIC MEA",'Status of Curriculum Completion'!$CG$4:$CG$38,"Tentative")+SUMIFS('Status of Curriculum Completion'!$CZ$4:$CZ$38,'Status of Curriculum Completion'!$CP$4:$CP$38,"CIC MEA",'Status of Curriculum Completion'!$CT$4:$CT$38,"Tentative")+SUMIFS('Status of Curriculum Completion'!$DM$4:$DM$38,'Status of Curriculum Completion'!$DC$4:$DC$38,"CIC MEA",'Status of Curriculum Completion'!$DG$4:$DG$38,"Tentative")</f>
        <v>0</v>
      </c>
      <c r="AC103" s="61">
        <f>SUMIFS('Status of Curriculum Completion'!$CM$4:$CM$38,'Status of Curriculum Completion'!$CC$4:$CC$38,"CIC MEA",'Status of Curriculum Completion'!$CH$4:$CH$38,"Complete")+SUMIFS('Status of Curriculum Completion'!$CZ$4:$CZ$38,'Status of Curriculum Completion'!$CP$4:$CP$38,"CIC MEA",'Status of Curriculum Completion'!$CU$4:$CU$38,"Complete")+SUMIFS('Status of Curriculum Completion'!$DM$4:$DM$38,'Status of Curriculum Completion'!$DC$4:$DC$38,"CIC MEA",'Status of Curriculum Completion'!$DH$4:$DH$38,"Complete")</f>
        <v>0</v>
      </c>
      <c r="AD103" s="61">
        <f>SUMIFS('Status of Curriculum Completion'!$CM$4:$CM$38,'Status of Curriculum Completion'!$CC$4:$CC$38,"CIC MEA",'Status of Curriculum Completion'!$CH$4:$CH$38,"In Progress")+SUMIFS('Status of Curriculum Completion'!$CZ$4:$CZ$38,'Status of Curriculum Completion'!$CP$4:$CP$38,"CIC MEA",'Status of Curriculum Completion'!$CU$4:$CU$38,"In Progress")+SUMIFS('Status of Curriculum Completion'!$DM$4:$DM$38,'Status of Curriculum Completion'!$DC$4:$DC$38,"CIC MEA",'Status of Curriculum Completion'!$DH$4:$DH$38,"In Progress")</f>
        <v>0</v>
      </c>
      <c r="AE103" s="61">
        <f>SUMIFS('Status of Curriculum Completion'!$CM$4:$CM$38,'Status of Curriculum Completion'!$CC$4:$CC$38,"CIC MEA",'Status of Curriculum Completion'!$CH$4:$CH$38,"Planned")+SUMIFS('Status of Curriculum Completion'!$CZ$4:$CZ$38,'Status of Curriculum Completion'!$CP$4:$CP$38,"CIC MEA",'Status of Curriculum Completion'!$CU$4:$CU$38,"Planned")+SUMIFS('Status of Curriculum Completion'!$DM$4:$DM$38,'Status of Curriculum Completion'!$DC$4:$DC$38,"CIC MEA",'Status of Curriculum Completion'!$DH$4:$DH$38,"Planned")</f>
        <v>0</v>
      </c>
      <c r="AF103" s="61">
        <f>SUMIFS('Status of Curriculum Completion'!$CM$4:$CM$38,'Status of Curriculum Completion'!$CC$4:$CC$38,"CIC MEA",'Status of Curriculum Completion'!$CH$4:$CH$38,"Tentative")+SUMIFS('Status of Curriculum Completion'!$CZ$4:$CZ$38,'Status of Curriculum Completion'!$CP$4:$CP$38,"CIC MEA",'Status of Curriculum Completion'!$CU$4:$CU$38,"Tentative")+SUMIFS('Status of Curriculum Completion'!$DM$4:$DM$38,'Status of Curriculum Completion'!$DC$4:$DC$38,"CIC MEA",'Status of Curriculum Completion'!$DH$4:$DH$38,"Tentative")</f>
        <v>0</v>
      </c>
      <c r="AG103" s="61">
        <f>SUMIFS('Status of Curriculum Completion'!$CM$4:$CM$38,'Status of Curriculum Completion'!$CC$4:$CC$38,"CIC MEA",'Status of Curriculum Completion'!$CI$4:$CI$38,"Complete")+SUMIFS('Status of Curriculum Completion'!$CZ$4:$CZ$38,'Status of Curriculum Completion'!$CP$4:$CP$38,"CIC MEA",'Status of Curriculum Completion'!$CV$4:$CV$38,"Complete")+SUMIFS('Status of Curriculum Completion'!$DM$4:$DM$38,'Status of Curriculum Completion'!$DC$4:$DC$38,"CIC MEA",'Status of Curriculum Completion'!$DI$4:$DI$38,"Complete")</f>
        <v>0</v>
      </c>
      <c r="AH103" s="61">
        <f>SUMIFS('Status of Curriculum Completion'!$CM$4:$CM$38,'Status of Curriculum Completion'!$CC$4:$CC$38,"CIC MEA",'Status of Curriculum Completion'!$CI$4:$CI$38,"In Progress")+SUMIFS('Status of Curriculum Completion'!$CZ$4:$CZ$38,'Status of Curriculum Completion'!$CP$4:$CP$38,"CIC MEA",'Status of Curriculum Completion'!$CV$4:$CV$38,"In Progress")+SUMIFS('Status of Curriculum Completion'!$DM$4:$DM$38,'Status of Curriculum Completion'!$DC$4:$DC$38,"CIC MEA",'Status of Curriculum Completion'!$DI$4:$DI$38,"In Progress")</f>
        <v>0</v>
      </c>
      <c r="AI103" s="61">
        <f>SUMIFS('Status of Curriculum Completion'!$CM$4:$CM$38,'Status of Curriculum Completion'!$CC$4:$CC$38,"CIC MEA",'Status of Curriculum Completion'!$CI$4:$CI$38,"Planned")+SUMIFS('Status of Curriculum Completion'!$CZ$4:$CZ$38,'Status of Curriculum Completion'!$CP$4:$CP$38,"CIC MEA",'Status of Curriculum Completion'!$CV$4:$CV$38,"Planned")+SUMIFS('Status of Curriculum Completion'!$DM$4:$DM$38,'Status of Curriculum Completion'!$DC$4:$DC$38,"CIC MEA",'Status of Curriculum Completion'!$DI$4:$DI$38,"Planned")</f>
        <v>0</v>
      </c>
      <c r="AJ103" s="61">
        <f>SUMIFS('Status of Curriculum Completion'!$CM$4:$CM$38,'Status of Curriculum Completion'!$CC$4:$CC$38,"CIC MEA",'Status of Curriculum Completion'!$CI$4:$CI$38,"Tentative")+SUMIFS('Status of Curriculum Completion'!$CZ$4:$CZ$38,'Status of Curriculum Completion'!$CP$4:$CP$38,"CIC MEA",'Status of Curriculum Completion'!$CV$4:$CV$38,"Tentative")+SUMIFS('Status of Curriculum Completion'!$DM$4:$DM$38,'Status of Curriculum Completion'!$DC$4:$DC$38,"CIC MEA",'Status of Curriculum Completion'!$DI$4:$DI$38,"Tentative")</f>
        <v>0</v>
      </c>
      <c r="AK103" s="62">
        <f>SUMIFS('Status of Curriculum Completion'!$DZ$4:$DZ$38,'Status of Curriculum Completion'!$DP$4:$DP$38,"CIC MEA",'Status of Curriculum Completion'!$DT$4:$DT$38,"Complete")+SUMIFS('Status of Curriculum Completion'!$EM$4:$EM$38,'Status of Curriculum Completion'!$EC$4:$EC$38,"CIC MEA",'Status of Curriculum Completion'!$EG$4:$EG$38,"Complete")+SUMIFS('Status of Curriculum Completion'!$EZ$4:$EZ$38,'Status of Curriculum Completion'!$EP$4:$EP$38,"CIC MEA",'Status of Curriculum Completion'!$ET$4:$ET$38,"Complete")</f>
        <v>0</v>
      </c>
      <c r="AL103" s="62">
        <f>SUMIFS('Status of Curriculum Completion'!$DZ$4:$DZ$38,'Status of Curriculum Completion'!$DP$4:$DP$38,"CIC MEA",'Status of Curriculum Completion'!$DT$4:$DT$38,"In Progress")+SUMIFS('Status of Curriculum Completion'!$EM$4:$EM$38,'Status of Curriculum Completion'!$EC$4:$EC$38,"CIC MEA",'Status of Curriculum Completion'!$EG$4:$EG$38,"In Progress")+SUMIFS('Status of Curriculum Completion'!$EZ$4:$EZ$38,'Status of Curriculum Completion'!$EP$4:$EP$38,"CIC MEA",'Status of Curriculum Completion'!$ET$4:$ET$38,"In Progress")</f>
        <v>0</v>
      </c>
      <c r="AM103" s="62">
        <f>SUMIFS('Status of Curriculum Completion'!$DZ$4:$DZ$38,'Status of Curriculum Completion'!$DP$4:$DP$38,"CIC MEA",'Status of Curriculum Completion'!$DT$4:$DT$38,"Planned")+SUMIFS('Status of Curriculum Completion'!$EM$4:$EM$38,'Status of Curriculum Completion'!$EC$4:$EC$38,"CIC MEA",'Status of Curriculum Completion'!$EG$4:$EG$38,"Planned")+SUMIFS('Status of Curriculum Completion'!$EZ$4:$EZ$38,'Status of Curriculum Completion'!$EP$4:$EP$38,"CIC MEA",'Status of Curriculum Completion'!$ET$4:$ET$38,"Planned")</f>
        <v>0</v>
      </c>
      <c r="AN103" s="62">
        <f>SUMIFS('Status of Curriculum Completion'!$DZ$4:$DZ$38,'Status of Curriculum Completion'!$DP$4:$DP$38,"CIC MEA",'Status of Curriculum Completion'!$DT$4:$DT$38,"Tentative")+SUMIFS('Status of Curriculum Completion'!$EM$4:$EM$38,'Status of Curriculum Completion'!$EC$4:$EC$38,"CIC MEA",'Status of Curriculum Completion'!$EG$4:$EG$38,"Tentative")+SUMIFS('Status of Curriculum Completion'!$EZ$4:$EZ$38,'Status of Curriculum Completion'!$EP$4:$EP$38,"CIC MEA",'Status of Curriculum Completion'!$ET$4:$ET$38,"Tentative")</f>
        <v>0</v>
      </c>
      <c r="AO103" s="62">
        <f>SUMIFS('Status of Curriculum Completion'!$DZ$4:$DZ$38,'Status of Curriculum Completion'!$DP$4:$DP$38,"CIC MEA",'Status of Curriculum Completion'!$DU$4:$DU$38,"Complete")+SUMIFS('Status of Curriculum Completion'!$EM$4:$EM$38,'Status of Curriculum Completion'!$EC$4:$EC$38,"CIC MEA",'Status of Curriculum Completion'!$EH$4:$EH$38,"Complete")+SUMIFS('Status of Curriculum Completion'!$EZ$4:$EZ$38,'Status of Curriculum Completion'!$EP$4:$EP$38,"CIC MEA",'Status of Curriculum Completion'!$EU$4:$EU$38,"Complete")</f>
        <v>0</v>
      </c>
      <c r="AP103" s="62">
        <f>SUMIFS('Status of Curriculum Completion'!$DZ$4:$DZ$38,'Status of Curriculum Completion'!$DP$4:$DP$38,"CIC MEA",'Status of Curriculum Completion'!$DU$4:$DU$38,"In Progress")+SUMIFS('Status of Curriculum Completion'!$EM$4:$EM$38,'Status of Curriculum Completion'!$EC$4:$EC$38,"CIC MEA",'Status of Curriculum Completion'!$EH$4:$EH$38,"In Progress")+SUMIFS('Status of Curriculum Completion'!$EZ$4:$EZ$38,'Status of Curriculum Completion'!$EP$4:$EP$38,"CIC MEA",'Status of Curriculum Completion'!$EU$4:$EU$38,"In Progress")</f>
        <v>0</v>
      </c>
      <c r="AQ103" s="62">
        <f>SUMIFS('Status of Curriculum Completion'!$DZ$4:$DZ$38,'Status of Curriculum Completion'!$DP$4:$DP$38,"CIC MEA",'Status of Curriculum Completion'!$DU$4:$DU$38,"Planned")+SUMIFS('Status of Curriculum Completion'!$EM$4:$EM$38,'Status of Curriculum Completion'!$EC$4:$EC$38,"CIC MEA",'Status of Curriculum Completion'!$EH$4:$EH$38,"Planned")+SUMIFS('Status of Curriculum Completion'!$EZ$4:$EZ$38,'Status of Curriculum Completion'!$EP$4:$EP$38,"CIC MEA",'Status of Curriculum Completion'!$EU$4:$EU$38,"Planned")</f>
        <v>0</v>
      </c>
      <c r="AR103" s="62">
        <f>SUMIFS('Status of Curriculum Completion'!$DZ$4:$DZ$38,'Status of Curriculum Completion'!$DP$4:$DP$38,"CIC MEA",'Status of Curriculum Completion'!$DU$4:$DU$38,"Tentative")+SUMIFS('Status of Curriculum Completion'!$EM$4:$EM$38,'Status of Curriculum Completion'!$EC$4:$EC$38,"CIC MEA",'Status of Curriculum Completion'!$EH$4:$EH$38,"Tentative")+SUMIFS('Status of Curriculum Completion'!$EZ$4:$EZ$38,'Status of Curriculum Completion'!$EP$4:$EP$38,"CIC MEA",'Status of Curriculum Completion'!$EU$4:$EU$38,"Tentative")</f>
        <v>0</v>
      </c>
      <c r="AS103" s="62">
        <f>SUMIFS('Status of Curriculum Completion'!$DZ$4:$DZ$38,'Status of Curriculum Completion'!$DP$4:$DP$38,"CIC MEA",'Status of Curriculum Completion'!$DV$4:$DV$38,"Complete")+SUMIFS('Status of Curriculum Completion'!$EM$4:$EM$38,'Status of Curriculum Completion'!$EC$4:$EC$38,"CIC MEA",'Status of Curriculum Completion'!$EI$4:$EI$38,"Complete")+SUMIFS('Status of Curriculum Completion'!$EZ$4:$EZ$38,'Status of Curriculum Completion'!$EP$4:$EP$38,"CIC MEA",'Status of Curriculum Completion'!$EV$4:$EV$38,"Complete")</f>
        <v>0</v>
      </c>
      <c r="AT103" s="62">
        <f>SUMIFS('Status of Curriculum Completion'!$DZ$4:$DZ$38,'Status of Curriculum Completion'!$DP$4:$DP$38,"CIC MEA",'Status of Curriculum Completion'!$DV$4:$DV$38,"In Progress")+SUMIFS('Status of Curriculum Completion'!$EM$4:$EM$38,'Status of Curriculum Completion'!$EC$4:$EC$38,"CIC MEA",'Status of Curriculum Completion'!$EI$4:$EI$38,"In Progress")+SUMIFS('Status of Curriculum Completion'!$EZ$4:$EZ$38,'Status of Curriculum Completion'!$EP$4:$EP$38,"CIC MEA",'Status of Curriculum Completion'!$EV$4:$EV$38,"In Progress")</f>
        <v>0</v>
      </c>
      <c r="AU103" s="62">
        <f>SUMIFS('Status of Curriculum Completion'!$DZ$4:$DZ$38,'Status of Curriculum Completion'!$DP$4:$DP$38,"CIC MEA",'Status of Curriculum Completion'!$DV$4:$DV$38,"Planned")+SUMIFS('Status of Curriculum Completion'!$EM$4:$EM$38,'Status of Curriculum Completion'!$EC$4:$EC$38,"CIC MEA",'Status of Curriculum Completion'!$EI$4:$EI$38,"Planned")+SUMIFS('Status of Curriculum Completion'!$EZ$4:$EZ$38,'Status of Curriculum Completion'!$EP$4:$EP$38,"CIC MEA",'Status of Curriculum Completion'!$EV$4:$EV$38,"Planned")</f>
        <v>0</v>
      </c>
      <c r="AV103" s="62">
        <f>SUMIFS('Status of Curriculum Completion'!$DZ$4:$DZ$38,'Status of Curriculum Completion'!$DP$4:$DP$38,"CIC MEA",'Status of Curriculum Completion'!$DV$4:$DV$38,"Tentative")+SUMIFS('Status of Curriculum Completion'!$EM$4:$EM$38,'Status of Curriculum Completion'!$EC$4:$EC$38,"CIC MEA",'Status of Curriculum Completion'!$EI$4:$EI$38,"Tentative")+SUMIFS('Status of Curriculum Completion'!$EZ$4:$EZ$38,'Status of Curriculum Completion'!$EP$4:$EP$38,"CIC MEA",'Status of Curriculum Completion'!$EV$4:$EV$38,"Tentative")</f>
        <v>0</v>
      </c>
    </row>
    <row r="104" spans="3:48" ht="56.25" hidden="1" customHeight="1" thickBot="1">
      <c r="C104" s="63" t="s">
        <v>1166</v>
      </c>
      <c r="D104" s="59">
        <f>SUMIFS('Status of Curriculum Completion'!$M$4:$M$38,'Status of Curriculum Completion'!$C$4:$C$38,"CIC NA",'Status of Curriculum Completion'!$G$4:$G$38,"Complete")+SUMIFS('Status of Curriculum Completion'!$Z$4:$Z$38,'Status of Curriculum Completion'!$P$4:$P$38,"CIC NA",'Status of Curriculum Completion'!$T$4:$T$38,"Complete")+SUMIFS('Status of Curriculum Completion'!$AM$4:$AM$38,'Status of Curriculum Completion'!$AC$4:$AC$38,"CIC NA",'Status of Curriculum Completion'!$AG$4:$AG$38,"Complete")</f>
        <v>0</v>
      </c>
      <c r="E104" s="59">
        <f>SUMIFS('Status of Curriculum Completion'!$M$4:$M$38,'Status of Curriculum Completion'!$C$4:$C$38,"CIC NA",'Status of Curriculum Completion'!$G$4:$G$38,"In progress")+SUMIFS('Status of Curriculum Completion'!$Z$4:$Z$38,'Status of Curriculum Completion'!$P$4:$P$38,"CIC NA",'Status of Curriculum Completion'!$T$4:$T$38,"In progress")+SUMIFS('Status of Curriculum Completion'!$AM$4:$AM$38,'Status of Curriculum Completion'!$AC$4:$AC$38,"CIC NA",'Status of Curriculum Completion'!$AG$4:$AG$38,"In progress")</f>
        <v>0</v>
      </c>
      <c r="F104" s="59">
        <f>SUMIFS('Status of Curriculum Completion'!$M$4:$M$38,'Status of Curriculum Completion'!$C$4:$C$38,"CIC NA",'Status of Curriculum Completion'!$G$4:$G$38,"Planned")+SUMIFS('Status of Curriculum Completion'!$Z$4:$Z$38,'Status of Curriculum Completion'!$P$4:$P$38,"CIC NA",'Status of Curriculum Completion'!$T$4:$T$38,"Planned")+SUMIFS('Status of Curriculum Completion'!$AM$4:$AM$38,'Status of Curriculum Completion'!$AC$4:$AC$38,"CIC NA",'Status of Curriculum Completion'!$AG$4:$AG$38,"Planned")</f>
        <v>0</v>
      </c>
      <c r="G104" s="59">
        <f>SUMIFS('Status of Curriculum Completion'!$M$4:$M$38,'Status of Curriculum Completion'!$C$4:$C$38,"CIC NA",'Status of Curriculum Completion'!$H$4:$H$38,"Complete")+SUMIFS('Status of Curriculum Completion'!$Z$4:$Z$38,'Status of Curriculum Completion'!$P$4:$P$38,"CIC NA",'Status of Curriculum Completion'!$U$4:$U$38,"Complete")+SUMIFS('Status of Curriculum Completion'!$AM$4:$AM$38,'Status of Curriculum Completion'!$AC$4:$AC$38,"CIC NA",'Status of Curriculum Completion'!$AH$4:$AH$38,"Complete")</f>
        <v>0</v>
      </c>
      <c r="H104" s="59">
        <f>SUMIFS('Status of Curriculum Completion'!$M$4:$M$38,'Status of Curriculum Completion'!$C$4:$C$38,"CIC NA",'Status of Curriculum Completion'!$H$4:$H$38,"In Progress")+SUMIFS('Status of Curriculum Completion'!$Z$4:$Z$38,'Status of Curriculum Completion'!$P$4:$P$38,"CIC NA",'Status of Curriculum Completion'!$U$4:$U$38,"In Progress")+SUMIFS('Status of Curriculum Completion'!$AM$4:$AM$38,'Status of Curriculum Completion'!$AC$4:$AC$38,"CIC NA",'Status of Curriculum Completion'!$AH$4:$AH$38,"In Progress")</f>
        <v>0</v>
      </c>
      <c r="I104" s="59">
        <f>SUMIFS('Status of Curriculum Completion'!$M$4:$M$38,'Status of Curriculum Completion'!$C$4:$C$38,"CIC NA",'Status of Curriculum Completion'!$H$4:$H$38,"Planned")+SUMIFS('Status of Curriculum Completion'!$Z$4:$Z$38,'Status of Curriculum Completion'!$P$4:$P$38,"CIC NA",'Status of Curriculum Completion'!$U$4:$U$38,"Planned")+SUMIFS('Status of Curriculum Completion'!$AM$4:$AM$38,'Status of Curriculum Completion'!$AC$4:$AC$38,"CIC NA",'Status of Curriculum Completion'!$AH$4:$AH$38,"Planned")</f>
        <v>0</v>
      </c>
      <c r="J104" s="59">
        <f>SUMIFS('Status of Curriculum Completion'!$M$4:$M$38,'Status of Curriculum Completion'!$C$4:$C$38,"CIC NA",'Status of Curriculum Completion'!$I$4:$I$38,"Complete")+SUMIFS('Status of Curriculum Completion'!$Z$4:$Z$38,'Status of Curriculum Completion'!$P$4:$P$38,"CIC NA",'Status of Curriculum Completion'!$V$4:$V$38,"Complete")+SUMIFS('Status of Curriculum Completion'!$AM$4:$AM$38,'Status of Curriculum Completion'!$AC$4:$AC$38,"CIC NA",'Status of Curriculum Completion'!$AI$4:$AI$38,"Complete")</f>
        <v>0</v>
      </c>
      <c r="K104" s="59">
        <f>SUMIFS('Status of Curriculum Completion'!$M$4:$M$38,'Status of Curriculum Completion'!$C$4:$C$38,"CIC NA",'Status of Curriculum Completion'!$I$4:$I$38,"In Progress")+SUMIFS('Status of Curriculum Completion'!$Z$4:$Z$38,'Status of Curriculum Completion'!$P$4:$P$38,"CIC NA",'Status of Curriculum Completion'!$V$4:$V$38,"In Progress")+SUMIFS('Status of Curriculum Completion'!$AM$4:$AM$38,'Status of Curriculum Completion'!$AC$4:$AC$38,"CIC NA",'Status of Curriculum Completion'!$AI$4:$AI$38,"In Progress")</f>
        <v>0</v>
      </c>
      <c r="L104" s="59">
        <f>SUMIFS('Status of Curriculum Completion'!$M$4:$M$38,'Status of Curriculum Completion'!$C$4:$C$38,"CIC NA",'Status of Curriculum Completion'!$I$4:$I$38,"Planned")+SUMIFS('Status of Curriculum Completion'!$Z$4:$Z$38,'Status of Curriculum Completion'!$P$4:$P$38,"CIC NA",'Status of Curriculum Completion'!$V$4:$V$38,"Planned")+SUMIFS('Status of Curriculum Completion'!$AM$4:$AM$38,'Status of Curriculum Completion'!$AC$4:$AC$38,"CIC NA",'Status of Curriculum Completion'!$AI$4:$AI$38,"Planned")</f>
        <v>0</v>
      </c>
      <c r="M104" s="60">
        <f>SUMIFS('Status of Curriculum Completion'!$AZ$4:$AZ$38,'Status of Curriculum Completion'!$AP$4:$AP$38,"CIC NA",'Status of Curriculum Completion'!$AT$4:$AT$38,"Complete")+SUMIFS('Status of Curriculum Completion'!$BM$4:$BM$38,'Status of Curriculum Completion'!$BC$4:$BC$38,"CIC NA",'Status of Curriculum Completion'!$BG$4:$BG$38,"Complete")+SUMIFS('Status of Curriculum Completion'!$BZ$4:$BZ$38,'Status of Curriculum Completion'!$BP$4:$BP$38,"CIC NA",'Status of Curriculum Completion'!$BT$4:$BT$38,"Complete")</f>
        <v>0</v>
      </c>
      <c r="N104" s="60">
        <f>SUMIFS('Status of Curriculum Completion'!$AZ$4:$AZ$38,'Status of Curriculum Completion'!$AP$4:$AP$38,"CIC NA",'Status of Curriculum Completion'!$AT$4:$AT$38,"In Progress")+SUMIFS('Status of Curriculum Completion'!$BM$4:$BM$38,'Status of Curriculum Completion'!$BC$4:$BC$38,"CIC NA",'Status of Curriculum Completion'!$BG$4:$BG$38,"In Progress")+SUMIFS('Status of Curriculum Completion'!$BZ$4:$BZ$38,'Status of Curriculum Completion'!$BP$4:$BP$38,"CIC NA",'Status of Curriculum Completion'!$BT$4:$BT$38,"In Progress")</f>
        <v>0</v>
      </c>
      <c r="O104" s="60">
        <f>SUMIFS('Status of Curriculum Completion'!$AZ$4:$AZ$38,'Status of Curriculum Completion'!$AP$4:$AP$38,"CIC NA",'Status of Curriculum Completion'!$AT$4:$AT$38,"Planned")+SUMIFS('Status of Curriculum Completion'!$BM$4:$BM$38,'Status of Curriculum Completion'!$BC$4:$BC$38,"CIC NA",'Status of Curriculum Completion'!$BG$4:$BG$38,"Planned")+SUMIFS('Status of Curriculum Completion'!$BZ$4:$BZ$38,'Status of Curriculum Completion'!$BP$4:$BP$38,"CIC NA",'Status of Curriculum Completion'!$BT$4:$BT$38,"Planned")</f>
        <v>0</v>
      </c>
      <c r="P104" s="60">
        <f>SUMIFS('Status of Curriculum Completion'!$AZ$4:$AZ$38,'Status of Curriculum Completion'!$AP$4:$AP$38,"CIC NA",'Status of Curriculum Completion'!$AU$4:$AU$38,"Complete")+SUMIFS('Status of Curriculum Completion'!$BM$4:$BM$38,'Status of Curriculum Completion'!$BC$4:$BC$38,"CIC NA",'Status of Curriculum Completion'!$BH$4:$BH$38,"Complete")+SUMIFS('Status of Curriculum Completion'!$BZ$4:$BZ$38,'Status of Curriculum Completion'!$BP$4:$BP$38,"CIC NA",'Status of Curriculum Completion'!$BU$4:$BU$38,"Complete")</f>
        <v>0</v>
      </c>
      <c r="Q104" s="60">
        <f>SUMIFS('Status of Curriculum Completion'!$AZ$4:$AZ$38,'Status of Curriculum Completion'!$AP$4:$AP$38,"CIC NA",'Status of Curriculum Completion'!$AU$4:$AU$38,"In Progress")+SUMIFS('Status of Curriculum Completion'!$BM$4:$BM$38,'Status of Curriculum Completion'!$BC$4:$BC$38,"CIC NA",'Status of Curriculum Completion'!$BH$4:$BH$38,"In Progress")+SUMIFS('Status of Curriculum Completion'!$BZ$4:$BZ$38,'Status of Curriculum Completion'!$BP$4:$BP$38,"CIC NA",'Status of Curriculum Completion'!$BU$4:$BU$38,"In Progress")</f>
        <v>0</v>
      </c>
      <c r="R104" s="60">
        <f>SUMIFS('Status of Curriculum Completion'!$AZ$4:$AZ$38,'Status of Curriculum Completion'!$AP$4:$AP$38,"CIC NA",'Status of Curriculum Completion'!$AU$4:$AU$38,"Planned")+SUMIFS('Status of Curriculum Completion'!$BM$4:$BM$38,'Status of Curriculum Completion'!$BC$4:$BC$38,"CIC NA",'Status of Curriculum Completion'!$BH$4:$BH$38,"Planned")+SUMIFS('Status of Curriculum Completion'!$BZ$4:$BZ$38,'Status of Curriculum Completion'!$BP$4:$BP$38,"CIC NA",'Status of Curriculum Completion'!$BU$4:$BU$38,"Planned")</f>
        <v>0</v>
      </c>
      <c r="S104" s="60">
        <f>SUMIFS('Status of Curriculum Completion'!$AZ$4:$AZ$38,'Status of Curriculum Completion'!$AP$4:$AP$38,"CIC NA",'Status of Curriculum Completion'!$AV$4:$AV$38,"Complete")+SUMIFS('Status of Curriculum Completion'!$BM$4:$BM$38,'Status of Curriculum Completion'!$BC$4:$BC$38,"CIC NA",'Status of Curriculum Completion'!$BI$4:$BI$38,"Complete")+SUMIFS('Status of Curriculum Completion'!$BZ$4:$BZ$38,'Status of Curriculum Completion'!$BP$4:$BP$38,"CIC NA",'Status of Curriculum Completion'!$BV$4:$BV$38,"Complete")</f>
        <v>0</v>
      </c>
      <c r="T104" s="60">
        <f>SUMIFS('Status of Curriculum Completion'!$AZ$4:$AZ$38,'Status of Curriculum Completion'!$AP$4:$AP$38,"CIC NA",'Status of Curriculum Completion'!$AV$4:$AV$38,"In Progress")+SUMIFS('Status of Curriculum Completion'!$BM$4:$BM$38,'Status of Curriculum Completion'!$BC$4:$BC$38,"CIC NA",'Status of Curriculum Completion'!$BI$4:$BI$38,"In Progress")+SUMIFS('Status of Curriculum Completion'!$BZ$4:$BZ$38,'Status of Curriculum Completion'!$BP$4:$BP$38,"CIC NA",'Status of Curriculum Completion'!$BV$4:$BV$38,"In Progress")</f>
        <v>0</v>
      </c>
      <c r="U104" s="60">
        <f>SUMIFS('Status of Curriculum Completion'!$AZ$4:$AZ$38,'Status of Curriculum Completion'!$AP$4:$AP$38,"CIC NA",'Status of Curriculum Completion'!$AV$4:$AV$38,"Planned")+SUMIFS('Status of Curriculum Completion'!$BM$4:$BM$38,'Status of Curriculum Completion'!$BC$4:$BC$38,"CIC NA",'Status of Curriculum Completion'!$BI$4:$BI$38,"Planned")+SUMIFS('Status of Curriculum Completion'!$BZ$4:$BZ$38,'Status of Curriculum Completion'!$BP$4:$BP$38,"CIC NA",'Status of Curriculum Completion'!$BV$4:$BV$38,"Planned")</f>
        <v>0</v>
      </c>
      <c r="V104" s="58"/>
      <c r="W104"/>
      <c r="X104" s="63" t="s">
        <v>1166</v>
      </c>
      <c r="Y104" s="61">
        <f>SUMIFS('Status of Curriculum Completion'!$CM$4:$CM$38,'Status of Curriculum Completion'!$CC$4:$CC$38,"CIC NA",'Status of Curriculum Completion'!$CG$4:$CG$38,"Complete")+SUMIFS('Status of Curriculum Completion'!$CZ$4:$CZ$38,'Status of Curriculum Completion'!$CP$4:$CP$38,"CIC NA",'Status of Curriculum Completion'!$CT$4:$CT$38,"Complete")+SUMIFS('Status of Curriculum Completion'!$DM$4:$DM$38,'Status of Curriculum Completion'!$DC$4:$DC$38,"CIC NA",'Status of Curriculum Completion'!$DG$4:$DG$38,"Complete")</f>
        <v>0</v>
      </c>
      <c r="Z104" s="61">
        <f>SUMIFS('Status of Curriculum Completion'!$CM$4:$CM$38,'Status of Curriculum Completion'!$CC$4:$CC$38,"CIC NA",'Status of Curriculum Completion'!$CG$4:$CG$38,"In Progress")+SUMIFS('Status of Curriculum Completion'!$CZ$4:$CZ$38,'Status of Curriculum Completion'!$CP$4:$CP$38,"CIC NA",'Status of Curriculum Completion'!$CT$4:$CT$38,"In Progress")+SUMIFS('Status of Curriculum Completion'!$DM$4:$DM$38,'Status of Curriculum Completion'!$DC$4:$DC$38,"CIC NA",'Status of Curriculum Completion'!$DG$4:$DG$38,"In Progress")</f>
        <v>0</v>
      </c>
      <c r="AA104" s="61">
        <f>SUMIFS('Status of Curriculum Completion'!$CM$4:$CM$38,'Status of Curriculum Completion'!$CC$4:$CC$38,"CIC NA",'Status of Curriculum Completion'!$CG$4:$CG$38,"Planned")+SUMIFS('Status of Curriculum Completion'!$CZ$4:$CZ$38,'Status of Curriculum Completion'!$CP$4:$CP$38,"CIC NA",'Status of Curriculum Completion'!$CT$4:$CT$38,"Planned")+SUMIFS('Status of Curriculum Completion'!$DM$4:$DM$38,'Status of Curriculum Completion'!$DC$4:$DC$38,"CIC NA",'Status of Curriculum Completion'!$DG$4:$DG$38,"Planned")</f>
        <v>0</v>
      </c>
      <c r="AB104" s="61">
        <f>SUMIFS('Status of Curriculum Completion'!$CM$4:$CM$38,'Status of Curriculum Completion'!$CC$4:$CC$38,"CIC NA",'Status of Curriculum Completion'!$CG$4:$CG$38,"Tentative")+SUMIFS('Status of Curriculum Completion'!$CZ$4:$CZ$38,'Status of Curriculum Completion'!$CP$4:$CP$38,"CIC NA",'Status of Curriculum Completion'!$CT$4:$CT$38,"Tentative")+SUMIFS('Status of Curriculum Completion'!$DM$4:$DM$38,'Status of Curriculum Completion'!$DC$4:$DC$38,"CIC NA",'Status of Curriculum Completion'!$DG$4:$DG$38,"Tentative")</f>
        <v>0</v>
      </c>
      <c r="AC104" s="61">
        <f>SUMIFS('Status of Curriculum Completion'!$CM$4:$CM$38,'Status of Curriculum Completion'!$CC$4:$CC$38,"CIC NA",'Status of Curriculum Completion'!$CH$4:$CH$38,"Complete")+SUMIFS('Status of Curriculum Completion'!$CZ$4:$CZ$38,'Status of Curriculum Completion'!$CP$4:$CP$38,"CIC NA",'Status of Curriculum Completion'!$CU$4:$CU$38,"Complete")+SUMIFS('Status of Curriculum Completion'!$DM$4:$DM$38,'Status of Curriculum Completion'!$DC$4:$DC$38,"CIC NA",'Status of Curriculum Completion'!$DH$4:$DH$38,"Complete")</f>
        <v>0</v>
      </c>
      <c r="AD104" s="61">
        <f>SUMIFS('Status of Curriculum Completion'!$CM$4:$CM$38,'Status of Curriculum Completion'!$CC$4:$CC$38,"CIC NA",'Status of Curriculum Completion'!$CH$4:$CH$38,"In Progress")+SUMIFS('Status of Curriculum Completion'!$CZ$4:$CZ$38,'Status of Curriculum Completion'!$CP$4:$CP$38,"CIC NA",'Status of Curriculum Completion'!$CU$4:$CU$38,"In Progress")+SUMIFS('Status of Curriculum Completion'!$DM$4:$DM$38,'Status of Curriculum Completion'!$DC$4:$DC$38,"CIC NA",'Status of Curriculum Completion'!$DH$4:$DH$38,"In Progress")</f>
        <v>0</v>
      </c>
      <c r="AE104" s="61">
        <f>SUMIFS('Status of Curriculum Completion'!$CM$4:$CM$38,'Status of Curriculum Completion'!$CC$4:$CC$38,"CIC NA",'Status of Curriculum Completion'!$CH$4:$CH$38,"Planned")+SUMIFS('Status of Curriculum Completion'!$CZ$4:$CZ$38,'Status of Curriculum Completion'!$CP$4:$CP$38,"CIC NA",'Status of Curriculum Completion'!$CU$4:$CU$38,"Planned")+SUMIFS('Status of Curriculum Completion'!$DM$4:$DM$38,'Status of Curriculum Completion'!$DC$4:$DC$38,"CIC NA",'Status of Curriculum Completion'!$DH$4:$DH$38,"Planned")</f>
        <v>0</v>
      </c>
      <c r="AF104" s="61">
        <f>SUMIFS('Status of Curriculum Completion'!$CM$4:$CM$38,'Status of Curriculum Completion'!$CC$4:$CC$38,"CIC NA",'Status of Curriculum Completion'!$CH$4:$CH$38,"Tentative")+SUMIFS('Status of Curriculum Completion'!$CZ$4:$CZ$38,'Status of Curriculum Completion'!$CP$4:$CP$38,"CIC NA",'Status of Curriculum Completion'!$CU$4:$CU$38,"Tentative")+SUMIFS('Status of Curriculum Completion'!$DM$4:$DM$38,'Status of Curriculum Completion'!$DC$4:$DC$38,"CIC NA",'Status of Curriculum Completion'!$DH$4:$DH$38,"Tentative")</f>
        <v>0</v>
      </c>
      <c r="AG104" s="61">
        <f>SUMIFS('Status of Curriculum Completion'!$CM$4:$CM$38,'Status of Curriculum Completion'!$CC$4:$CC$38,"CIC NA",'Status of Curriculum Completion'!$CI$4:$CI$38,"Complete")+SUMIFS('Status of Curriculum Completion'!$CZ$4:$CZ$38,'Status of Curriculum Completion'!$CP$4:$CP$38,"CIC NA",'Status of Curriculum Completion'!$CV$4:$CV$38,"Complete")+SUMIFS('Status of Curriculum Completion'!$DM$4:$DM$38,'Status of Curriculum Completion'!$DC$4:$DC$38,"CIC NA",'Status of Curriculum Completion'!$DI$4:$DI$38,"Complete")</f>
        <v>0</v>
      </c>
      <c r="AH104" s="61">
        <f>SUMIFS('Status of Curriculum Completion'!$CM$4:$CM$38,'Status of Curriculum Completion'!$CC$4:$CC$38,"CIC NA",'Status of Curriculum Completion'!$CI$4:$CI$38,"In Progress")+SUMIFS('Status of Curriculum Completion'!$CZ$4:$CZ$38,'Status of Curriculum Completion'!$CP$4:$CP$38,"CIC NA",'Status of Curriculum Completion'!$CV$4:$CV$38,"In Progress")+SUMIFS('Status of Curriculum Completion'!$DM$4:$DM$38,'Status of Curriculum Completion'!$DC$4:$DC$38,"CIC NA",'Status of Curriculum Completion'!$DI$4:$DI$38,"In Progress")</f>
        <v>0</v>
      </c>
      <c r="AI104" s="61">
        <f>SUMIFS('Status of Curriculum Completion'!$CM$4:$CM$38,'Status of Curriculum Completion'!$CC$4:$CC$38,"CIC NA",'Status of Curriculum Completion'!$CI$4:$CI$38,"Planned")+SUMIFS('Status of Curriculum Completion'!$CZ$4:$CZ$38,'Status of Curriculum Completion'!$CP$4:$CP$38,"CIC NA",'Status of Curriculum Completion'!$CV$4:$CV$38,"Planned")+SUMIFS('Status of Curriculum Completion'!$DM$4:$DM$38,'Status of Curriculum Completion'!$DC$4:$DC$38,"CIC NA",'Status of Curriculum Completion'!$DI$4:$DI$38,"Planned")</f>
        <v>0</v>
      </c>
      <c r="AJ104" s="61">
        <f>SUMIFS('Status of Curriculum Completion'!$CM$4:$CM$38,'Status of Curriculum Completion'!$CC$4:$CC$38,"CIC NA",'Status of Curriculum Completion'!$CI$4:$CI$38,"Tentative")+SUMIFS('Status of Curriculum Completion'!$CZ$4:$CZ$38,'Status of Curriculum Completion'!$CP$4:$CP$38,"CIC NA",'Status of Curriculum Completion'!$CV$4:$CV$38,"Tentative")+SUMIFS('Status of Curriculum Completion'!$DM$4:$DM$38,'Status of Curriculum Completion'!$DC$4:$DC$38,"CIC NA",'Status of Curriculum Completion'!$DI$4:$DI$38,"Tentative")</f>
        <v>0</v>
      </c>
      <c r="AK104" s="62">
        <f>SUMIFS('Status of Curriculum Completion'!$DZ$4:$DZ$38,'Status of Curriculum Completion'!$DP$4:$DP$38,"CIC NA",'Status of Curriculum Completion'!$DT$4:$DT$38,"Complete")+SUMIFS('Status of Curriculum Completion'!$EM$4:$EM$38,'Status of Curriculum Completion'!$EC$4:$EC$38,"CIC NA",'Status of Curriculum Completion'!$EG$4:$EG$38,"Complete")+SUMIFS('Status of Curriculum Completion'!$EZ$4:$EZ$38,'Status of Curriculum Completion'!$EP$4:$EP$38,"CIC NA",'Status of Curriculum Completion'!$ET$4:$ET$38,"Complete")</f>
        <v>0</v>
      </c>
      <c r="AL104" s="62">
        <f>SUMIFS('Status of Curriculum Completion'!$DZ$4:$DZ$38,'Status of Curriculum Completion'!$DP$4:$DP$38,"CIC NA",'Status of Curriculum Completion'!$DT$4:$DT$38,"In Progress")+SUMIFS('Status of Curriculum Completion'!$EM$4:$EM$38,'Status of Curriculum Completion'!$EC$4:$EC$38,"CIC NA",'Status of Curriculum Completion'!$EG$4:$EG$38,"In Progress")+SUMIFS('Status of Curriculum Completion'!$EZ$4:$EZ$38,'Status of Curriculum Completion'!$EP$4:$EP$38,"CIC NA",'Status of Curriculum Completion'!$ET$4:$ET$38,"In Progress")</f>
        <v>0</v>
      </c>
      <c r="AM104" s="62">
        <f>SUMIFS('Status of Curriculum Completion'!$DZ$4:$DZ$38,'Status of Curriculum Completion'!$DP$4:$DP$38,"CIC NA",'Status of Curriculum Completion'!$DT$4:$DT$38,"Planned")+SUMIFS('Status of Curriculum Completion'!$EM$4:$EM$38,'Status of Curriculum Completion'!$EC$4:$EC$38,"CIC NA",'Status of Curriculum Completion'!$EG$4:$EG$38,"Planned")+SUMIFS('Status of Curriculum Completion'!$EZ$4:$EZ$38,'Status of Curriculum Completion'!$EP$4:$EP$38,"CIC NA",'Status of Curriculum Completion'!$ET$4:$ET$38,"Planned")</f>
        <v>0</v>
      </c>
      <c r="AN104" s="62">
        <f>SUMIFS('Status of Curriculum Completion'!$DZ$4:$DZ$38,'Status of Curriculum Completion'!$DP$4:$DP$38,"CIC NA",'Status of Curriculum Completion'!$DT$4:$DT$38,"Tentative")+SUMIFS('Status of Curriculum Completion'!$EM$4:$EM$38,'Status of Curriculum Completion'!$EC$4:$EC$38,"CIC NA",'Status of Curriculum Completion'!$EG$4:$EG$38,"Tentative")+SUMIFS('Status of Curriculum Completion'!$EZ$4:$EZ$38,'Status of Curriculum Completion'!$EP$4:$EP$38,"CIC NA",'Status of Curriculum Completion'!$ET$4:$ET$38,"Tentative")</f>
        <v>0</v>
      </c>
      <c r="AO104" s="62">
        <f>SUMIFS('Status of Curriculum Completion'!$DZ$4:$DZ$38,'Status of Curriculum Completion'!$DP$4:$DP$38,"CIC NA",'Status of Curriculum Completion'!$DU$4:$DU$38,"Complete")+SUMIFS('Status of Curriculum Completion'!$EM$4:$EM$38,'Status of Curriculum Completion'!$EC$4:$EC$38,"CIC NA",'Status of Curriculum Completion'!$EH$4:$EH$38,"Complete")+SUMIFS('Status of Curriculum Completion'!$EZ$4:$EZ$38,'Status of Curriculum Completion'!$EP$4:$EP$38,"CIC NA",'Status of Curriculum Completion'!$EU$4:$EU$38,"Complete")</f>
        <v>0</v>
      </c>
      <c r="AP104" s="62">
        <f>SUMIFS('Status of Curriculum Completion'!$DZ$4:$DZ$38,'Status of Curriculum Completion'!$DP$4:$DP$38,"CIC NA",'Status of Curriculum Completion'!$DU$4:$DU$38,"In Progress")+SUMIFS('Status of Curriculum Completion'!$EM$4:$EM$38,'Status of Curriculum Completion'!$EC$4:$EC$38,"CIC NA",'Status of Curriculum Completion'!$EH$4:$EH$38,"In Progress")+SUMIFS('Status of Curriculum Completion'!$EZ$4:$EZ$38,'Status of Curriculum Completion'!$EP$4:$EP$38,"CIC NA",'Status of Curriculum Completion'!$EU$4:$EU$38,"In Progress")</f>
        <v>0</v>
      </c>
      <c r="AQ104" s="62">
        <f>SUMIFS('Status of Curriculum Completion'!$DZ$4:$DZ$38,'Status of Curriculum Completion'!$DP$4:$DP$38,"CIC NA",'Status of Curriculum Completion'!$DU$4:$DU$38,"Planned")+SUMIFS('Status of Curriculum Completion'!$EM$4:$EM$38,'Status of Curriculum Completion'!$EC$4:$EC$38,"CIC NA",'Status of Curriculum Completion'!$EH$4:$EH$38,"Planned")+SUMIFS('Status of Curriculum Completion'!$EZ$4:$EZ$38,'Status of Curriculum Completion'!$EP$4:$EP$38,"CIC NA",'Status of Curriculum Completion'!$EU$4:$EU$38,"Planned")</f>
        <v>0</v>
      </c>
      <c r="AR104" s="62">
        <f>SUMIFS('Status of Curriculum Completion'!$DZ$4:$DZ$38,'Status of Curriculum Completion'!$DP$4:$DP$38,"CIC NA",'Status of Curriculum Completion'!$DU$4:$DU$38,"Tentative")+SUMIFS('Status of Curriculum Completion'!$EM$4:$EM$38,'Status of Curriculum Completion'!$EC$4:$EC$38,"CIC NA",'Status of Curriculum Completion'!$EH$4:$EH$38,"Tentative")+SUMIFS('Status of Curriculum Completion'!$EZ$4:$EZ$38,'Status of Curriculum Completion'!$EP$4:$EP$38,"CIC NA",'Status of Curriculum Completion'!$EU$4:$EU$38,"Tentative")</f>
        <v>0</v>
      </c>
      <c r="AS104" s="62">
        <f>SUMIFS('Status of Curriculum Completion'!$DZ$4:$DZ$38,'Status of Curriculum Completion'!$DP$4:$DP$38,"CIC NA",'Status of Curriculum Completion'!$DV$4:$DV$38,"Complete")+SUMIFS('Status of Curriculum Completion'!$EM$4:$EM$38,'Status of Curriculum Completion'!$EC$4:$EC$38,"CIC NA",'Status of Curriculum Completion'!$EI$4:$EI$38,"Complete")+SUMIFS('Status of Curriculum Completion'!$EZ$4:$EZ$38,'Status of Curriculum Completion'!$EP$4:$EP$38,"CIC NA",'Status of Curriculum Completion'!$EV$4:$EV$38,"Complete")</f>
        <v>0</v>
      </c>
      <c r="AT104" s="62">
        <f>SUMIFS('Status of Curriculum Completion'!$DZ$4:$DZ$38,'Status of Curriculum Completion'!$DP$4:$DP$38,"CIC NA",'Status of Curriculum Completion'!$DV$4:$DV$38,"In Progress")+SUMIFS('Status of Curriculum Completion'!$EM$4:$EM$38,'Status of Curriculum Completion'!$EC$4:$EC$38,"CIC NA",'Status of Curriculum Completion'!$EI$4:$EI$38,"In Progress")+SUMIFS('Status of Curriculum Completion'!$EZ$4:$EZ$38,'Status of Curriculum Completion'!$EP$4:$EP$38,"CIC NA",'Status of Curriculum Completion'!$EV$4:$EV$38,"In Progress")</f>
        <v>0</v>
      </c>
      <c r="AU104" s="62">
        <f>SUMIFS('Status of Curriculum Completion'!$DZ$4:$DZ$38,'Status of Curriculum Completion'!$DP$4:$DP$38,"CIC NA",'Status of Curriculum Completion'!$DV$4:$DV$38,"Planned")+SUMIFS('Status of Curriculum Completion'!$EM$4:$EM$38,'Status of Curriculum Completion'!$EC$4:$EC$38,"CIC NA",'Status of Curriculum Completion'!$EI$4:$EI$38,"Planned")+SUMIFS('Status of Curriculum Completion'!$EZ$4:$EZ$38,'Status of Curriculum Completion'!$EP$4:$EP$38,"CIC NA",'Status of Curriculum Completion'!$EV$4:$EV$38,"Planned")</f>
        <v>0</v>
      </c>
      <c r="AV104" s="62">
        <f>SUMIFS('Status of Curriculum Completion'!$DZ$4:$DZ$38,'Status of Curriculum Completion'!$DP$4:$DP$38,"CIC NA",'Status of Curriculum Completion'!$DV$4:$DV$38,"Tentative")+SUMIFS('Status of Curriculum Completion'!$EM$4:$EM$38,'Status of Curriculum Completion'!$EC$4:$EC$38,"CIC NA",'Status of Curriculum Completion'!$EI$4:$EI$38,"Tentative")+SUMIFS('Status of Curriculum Completion'!$EZ$4:$EZ$38,'Status of Curriculum Completion'!$EP$4:$EP$38,"CIC NA",'Status of Curriculum Completion'!$EV$4:$EV$38,"Tentative")</f>
        <v>0</v>
      </c>
    </row>
    <row r="105" spans="3:48" ht="44" hidden="1" thickBot="1">
      <c r="C105" s="63" t="s">
        <v>1167</v>
      </c>
      <c r="D105" s="59">
        <f>SUMIFS('Status of Curriculum Completion'!$M$4:$M$38,'Status of Curriculum Completion'!$C$4:$C$38,"PH",'Status of Curriculum Completion'!$G$4:$G$38,"Complete")+SUMIFS('Status of Curriculum Completion'!$Z$4:$Z$38,'Status of Curriculum Completion'!$P$4:$P$38,"PH",'Status of Curriculum Completion'!$T$4:$T$38,"Complete")+SUMIFS('Status of Curriculum Completion'!$AM$4:$AM$38,'Status of Curriculum Completion'!$AC$4:$AC$38,"PH",'Status of Curriculum Completion'!$AG$4:$AG$38,"Complete")</f>
        <v>0</v>
      </c>
      <c r="E105" s="59">
        <f>SUMIFS('Status of Curriculum Completion'!$M$4:$M$38,'Status of Curriculum Completion'!$C$4:$C$38,"PH",'Status of Curriculum Completion'!$G$4:$G$38,"In progress")+SUMIFS('Status of Curriculum Completion'!$Z$4:$Z$38,'Status of Curriculum Completion'!$P$4:$P$38,"PH",'Status of Curriculum Completion'!$T$4:$T$38,"In progress")+SUMIFS('Status of Curriculum Completion'!$AM$4:$AM$38,'Status of Curriculum Completion'!$AC$4:$AC$38,"PH",'Status of Curriculum Completion'!$AG$4:$AG$38,"In progress")</f>
        <v>0</v>
      </c>
      <c r="F105" s="59">
        <f>SUMIFS('Status of Curriculum Completion'!$M$4:$M$38,'Status of Curriculum Completion'!$C$4:$C$38,"PH",'Status of Curriculum Completion'!$G$4:$G$38,"Planned")+SUMIFS('Status of Curriculum Completion'!$Z$4:$Z$38,'Status of Curriculum Completion'!$P$4:$P$38,"PH",'Status of Curriculum Completion'!$T$4:$T$38,"Planned")+SUMIFS('Status of Curriculum Completion'!$AM$4:$AM$38,'Status of Curriculum Completion'!$AC$4:$AC$38,"PH",'Status of Curriculum Completion'!$AG$4:$AG$38,"Planned")</f>
        <v>0</v>
      </c>
      <c r="G105" s="59">
        <f>SUMIFS('Status of Curriculum Completion'!$M$4:$M$38,'Status of Curriculum Completion'!$C$4:$C$38,"PH",'Status of Curriculum Completion'!$H$4:$H$38,"Complete")+SUMIFS('Status of Curriculum Completion'!$Z$4:$Z$38,'Status of Curriculum Completion'!$P$4:$P$38,"PH",'Status of Curriculum Completion'!$U$4:$U$38,"Complete")+SUMIFS('Status of Curriculum Completion'!$AM$4:$AM$38,'Status of Curriculum Completion'!$AC$4:$AC$38,"PH",'Status of Curriculum Completion'!$AH$4:$AH$38,"Complete")</f>
        <v>0</v>
      </c>
      <c r="H105" s="59">
        <f>SUMIFS('Status of Curriculum Completion'!$M$4:$M$38,'Status of Curriculum Completion'!$C$4:$C$38,"PH",'Status of Curriculum Completion'!$H$4:$H$38,"In Progress")+SUMIFS('Status of Curriculum Completion'!$Z$4:$Z$38,'Status of Curriculum Completion'!$P$4:$P$38,"PH",'Status of Curriculum Completion'!$U$4:$U$38,"In Progress")+SUMIFS('Status of Curriculum Completion'!$AM$4:$AM$38,'Status of Curriculum Completion'!$AC$4:$AC$38,"PH",'Status of Curriculum Completion'!$AH$4:$AH$38,"In Progress")</f>
        <v>0</v>
      </c>
      <c r="I105" s="59">
        <f>SUMIFS('Status of Curriculum Completion'!$M$4:$M$38,'Status of Curriculum Completion'!$C$4:$C$38,"PH",'Status of Curriculum Completion'!$H$4:$H$38,"Planned")+SUMIFS('Status of Curriculum Completion'!$Z$4:$Z$38,'Status of Curriculum Completion'!$P$4:$P$38,"PH",'Status of Curriculum Completion'!$U$4:$U$38,"Planned")+SUMIFS('Status of Curriculum Completion'!$AM$4:$AM$38,'Status of Curriculum Completion'!$AC$4:$AC$38,"PH",'Status of Curriculum Completion'!$AH$4:$AH$38,"Planned")</f>
        <v>0</v>
      </c>
      <c r="J105" s="59">
        <f>SUMIFS('Status of Curriculum Completion'!$M$4:$M$38,'Status of Curriculum Completion'!$C$4:$C$38,"PH",'Status of Curriculum Completion'!$I$4:$I$38,"Complete")+SUMIFS('Status of Curriculum Completion'!$Z$4:$Z$38,'Status of Curriculum Completion'!$P$4:$P$38,"PH",'Status of Curriculum Completion'!$V$4:$V$38,"Complete")+SUMIFS('Status of Curriculum Completion'!$AM$4:$AM$38,'Status of Curriculum Completion'!$AC$4:$AC$38,"PH",'Status of Curriculum Completion'!$AI$4:$AI$38,"Complete")</f>
        <v>0</v>
      </c>
      <c r="K105" s="59">
        <f>SUMIFS('Status of Curriculum Completion'!$M$4:$M$38,'Status of Curriculum Completion'!$C$4:$C$38,"PH",'Status of Curriculum Completion'!$I$4:$I$38,"In Progress")+SUMIFS('Status of Curriculum Completion'!$Z$4:$Z$38,'Status of Curriculum Completion'!$P$4:$P$38,"PH",'Status of Curriculum Completion'!$V$4:$V$38,"In Progress")+SUMIFS('Status of Curriculum Completion'!$AM$4:$AM$38,'Status of Curriculum Completion'!$AC$4:$AC$38,"PH",'Status of Curriculum Completion'!$AI$4:$AI$38,"In Progress")</f>
        <v>0</v>
      </c>
      <c r="L105" s="59">
        <f>SUMIFS('Status of Curriculum Completion'!$M$4:$M$38,'Status of Curriculum Completion'!$C$4:$C$38,"PH",'Status of Curriculum Completion'!$I$4:$I$38,"Planned")+SUMIFS('Status of Curriculum Completion'!$Z$4:$Z$38,'Status of Curriculum Completion'!$P$4:$P$38,"PH",'Status of Curriculum Completion'!$V$4:$V$38,"Planned")+SUMIFS('Status of Curriculum Completion'!$AM$4:$AM$38,'Status of Curriculum Completion'!$AC$4:$AC$38,"PH",'Status of Curriculum Completion'!$AI$4:$AI$38,"Planned")</f>
        <v>0</v>
      </c>
      <c r="M105" s="60">
        <f>SUMIFS('Status of Curriculum Completion'!$AZ$4:$AZ$38,'Status of Curriculum Completion'!$AP$4:$AP$38,"PH",'Status of Curriculum Completion'!$AT$4:$AT$38,"Complete")+SUMIFS('Status of Curriculum Completion'!$BM$4:$BM$38,'Status of Curriculum Completion'!$BC$4:$BC$38,"PH",'Status of Curriculum Completion'!$BG$4:$BG$38,"Complete")+SUMIFS('Status of Curriculum Completion'!$BZ$4:$BZ$38,'Status of Curriculum Completion'!$BP$4:$BP$38,"PH",'Status of Curriculum Completion'!$BT$4:$BT$38,"Complete")</f>
        <v>0</v>
      </c>
      <c r="N105" s="60">
        <f>SUMIFS('Status of Curriculum Completion'!$AZ$4:$AZ$38,'Status of Curriculum Completion'!$AP$4:$AP$38,"PH",'Status of Curriculum Completion'!$AT$4:$AT$38,"In Progress")+SUMIFS('Status of Curriculum Completion'!$BM$4:$BM$38,'Status of Curriculum Completion'!$BC$4:$BC$38,"PH",'Status of Curriculum Completion'!$BG$4:$BG$38,"In Progress")+SUMIFS('Status of Curriculum Completion'!$BZ$4:$BZ$38,'Status of Curriculum Completion'!$BP$4:$BP$38,"PH",'Status of Curriculum Completion'!$BT$4:$BT$38,"In Progress")</f>
        <v>0</v>
      </c>
      <c r="O105" s="60">
        <f>SUMIFS('Status of Curriculum Completion'!$AZ$4:$AZ$38,'Status of Curriculum Completion'!$AP$4:$AP$38,"PH",'Status of Curriculum Completion'!$AT$4:$AT$38,"Planned")+SUMIFS('Status of Curriculum Completion'!$BM$4:$BM$38,'Status of Curriculum Completion'!$BC$4:$BC$38,"PH",'Status of Curriculum Completion'!$BG$4:$BG$38,"Planned")+SUMIFS('Status of Curriculum Completion'!$BZ$4:$BZ$38,'Status of Curriculum Completion'!$BP$4:$BP$38,"PH",'Status of Curriculum Completion'!$BT$4:$BT$38,"Planned")</f>
        <v>0</v>
      </c>
      <c r="P105" s="60">
        <f>SUMIFS('Status of Curriculum Completion'!$AZ$4:$AZ$38,'Status of Curriculum Completion'!$AP$4:$AP$38,"PH",'Status of Curriculum Completion'!$AU$4:$AU$38,"Complete")+SUMIFS('Status of Curriculum Completion'!$BM$4:$BM$38,'Status of Curriculum Completion'!$BC$4:$BC$38,"PH",'Status of Curriculum Completion'!$BH$4:$BH$38,"Complete")+SUMIFS('Status of Curriculum Completion'!$BZ$4:$BZ$38,'Status of Curriculum Completion'!$BP$4:$BP$38,"PH",'Status of Curriculum Completion'!$BU$4:$BU$38,"Complete")</f>
        <v>0</v>
      </c>
      <c r="Q105" s="60">
        <f>SUMIFS('Status of Curriculum Completion'!$AZ$4:$AZ$38,'Status of Curriculum Completion'!$AP$4:$AP$38,"PH",'Status of Curriculum Completion'!$AU$4:$AU$38,"In Progress")+SUMIFS('Status of Curriculum Completion'!$BM$4:$BM$38,'Status of Curriculum Completion'!$BC$4:$BC$38,"PH",'Status of Curriculum Completion'!$BH$4:$BH$38,"In Progress")+SUMIFS('Status of Curriculum Completion'!$BZ$4:$BZ$38,'Status of Curriculum Completion'!$BP$4:$BP$38,"PH",'Status of Curriculum Completion'!$BU$4:$BU$38,"In Progress")</f>
        <v>0</v>
      </c>
      <c r="R105" s="60">
        <f>SUMIFS('Status of Curriculum Completion'!$AZ$4:$AZ$38,'Status of Curriculum Completion'!$AP$4:$AP$38,"PH",'Status of Curriculum Completion'!$AU$4:$AU$38,"Planned")+SUMIFS('Status of Curriculum Completion'!$BM$4:$BM$38,'Status of Curriculum Completion'!$BC$4:$BC$38,"PH",'Status of Curriculum Completion'!$BH$4:$BH$38,"Planned")+SUMIFS('Status of Curriculum Completion'!$BZ$4:$BZ$38,'Status of Curriculum Completion'!$BP$4:$BP$38,"PH",'Status of Curriculum Completion'!$BU$4:$BU$38,"Planned")</f>
        <v>0</v>
      </c>
      <c r="S105" s="60">
        <f>SUMIFS('Status of Curriculum Completion'!$AZ$4:$AZ$38,'Status of Curriculum Completion'!$AP$4:$AP$38,"PH",'Status of Curriculum Completion'!$AV$4:$AV$38,"Complete")+SUMIFS('Status of Curriculum Completion'!$BM$4:$BM$38,'Status of Curriculum Completion'!$BC$4:$BC$38,"PH",'Status of Curriculum Completion'!$BI$4:$BI$38,"Complete")+SUMIFS('Status of Curriculum Completion'!$BZ$4:$BZ$38,'Status of Curriculum Completion'!$BP$4:$BP$38,"PH",'Status of Curriculum Completion'!$BV$4:$BV$38,"Complete")</f>
        <v>0</v>
      </c>
      <c r="T105" s="60">
        <f>SUMIFS('Status of Curriculum Completion'!$AZ$4:$AZ$38,'Status of Curriculum Completion'!$AP$4:$AP$38,"PH",'Status of Curriculum Completion'!$AV$4:$AV$38,"In Progress")+SUMIFS('Status of Curriculum Completion'!$BM$4:$BM$38,'Status of Curriculum Completion'!$BC$4:$BC$38,"PH",'Status of Curriculum Completion'!$BI$4:$BI$38,"In Progress")+SUMIFS('Status of Curriculum Completion'!$BZ$4:$BZ$38,'Status of Curriculum Completion'!$BP$4:$BP$38,"PH",'Status of Curriculum Completion'!$BV$4:$BV$38,"In Progress")</f>
        <v>0</v>
      </c>
      <c r="U105" s="60">
        <f>SUMIFS('Status of Curriculum Completion'!$AZ$4:$AZ$38,'Status of Curriculum Completion'!$AP$4:$AP$38,"PH",'Status of Curriculum Completion'!$AV$4:$AV$38,"Planned")+SUMIFS('Status of Curriculum Completion'!$BM$4:$BM$38,'Status of Curriculum Completion'!$BC$4:$BC$38,"PH",'Status of Curriculum Completion'!$BI$4:$BI$38,"Planned")+SUMIFS('Status of Curriculum Completion'!$BZ$4:$BZ$38,'Status of Curriculum Completion'!$BP$4:$BP$38,"PH",'Status of Curriculum Completion'!$BV$4:$BV$38,"Planned")</f>
        <v>0</v>
      </c>
      <c r="V105"/>
      <c r="W105"/>
      <c r="X105" s="63" t="s">
        <v>1167</v>
      </c>
      <c r="Y105" s="61">
        <f>SUMIFS('Status of Curriculum Completion'!$CM$4:$CM$38,'Status of Curriculum Completion'!$CC$4:$CC$38,"PH",'Status of Curriculum Completion'!$CG$4:$CG$38,"Complete")+SUMIFS('Status of Curriculum Completion'!$CZ$4:$CZ$38,'Status of Curriculum Completion'!$CP$4:$CP$38,"PH",'Status of Curriculum Completion'!$CT$4:$CT$38,"Complete")+SUMIFS('Status of Curriculum Completion'!$DM$4:$DM$38,'Status of Curriculum Completion'!$DC$4:$DC$38,"PH",'Status of Curriculum Completion'!$DG$4:$DG$38,"Complete")</f>
        <v>0</v>
      </c>
      <c r="Z105" s="61">
        <f>SUMIFS('Status of Curriculum Completion'!$CM$4:$CM$38,'Status of Curriculum Completion'!$CC$4:$CC$38,"PH",'Status of Curriculum Completion'!$CG$4:$CG$38,"In Progress")+SUMIFS('Status of Curriculum Completion'!$CZ$4:$CZ$38,'Status of Curriculum Completion'!$CP$4:$CP$38,"PH",'Status of Curriculum Completion'!$CT$4:$CT$38,"In Progress")+SUMIFS('Status of Curriculum Completion'!$DM$4:$DM$38,'Status of Curriculum Completion'!$DC$4:$DC$38,"PH",'Status of Curriculum Completion'!$DG$4:$DG$38,"In Progress")</f>
        <v>0</v>
      </c>
      <c r="AA105" s="61">
        <f>SUMIFS('Status of Curriculum Completion'!$CM$4:$CM$38,'Status of Curriculum Completion'!$CC$4:$CC$38,"PH",'Status of Curriculum Completion'!$CG$4:$CG$38,"Planned")+SUMIFS('Status of Curriculum Completion'!$CZ$4:$CZ$38,'Status of Curriculum Completion'!$CP$4:$CP$38,"PH",'Status of Curriculum Completion'!$CT$4:$CT$38,"Planned")+SUMIFS('Status of Curriculum Completion'!$DM$4:$DM$38,'Status of Curriculum Completion'!$DC$4:$DC$38,"PH",'Status of Curriculum Completion'!$DG$4:$DG$38,"Planned")</f>
        <v>0</v>
      </c>
      <c r="AB105" s="61">
        <f>SUMIFS('Status of Curriculum Completion'!$CM$4:$CM$38,'Status of Curriculum Completion'!$CC$4:$CC$38,"PH",'Status of Curriculum Completion'!$CG$4:$CG$38,"Tentative")+SUMIFS('Status of Curriculum Completion'!$CZ$4:$CZ$38,'Status of Curriculum Completion'!$CP$4:$CP$38,"PH",'Status of Curriculum Completion'!$CT$4:$CT$38,"Tentative")+SUMIFS('Status of Curriculum Completion'!$DM$4:$DM$38,'Status of Curriculum Completion'!$DC$4:$DC$38,"PH",'Status of Curriculum Completion'!$DG$4:$DG$38,"Tentative")</f>
        <v>0</v>
      </c>
      <c r="AC105" s="61">
        <f>SUMIFS('Status of Curriculum Completion'!$CM$4:$CM$38,'Status of Curriculum Completion'!$CC$4:$CC$38,"PH",'Status of Curriculum Completion'!$CH$4:$CH$38,"Complete")+SUMIFS('Status of Curriculum Completion'!$CZ$4:$CZ$38,'Status of Curriculum Completion'!$CP$4:$CP$38,"PH",'Status of Curriculum Completion'!$CU$4:$CU$38,"Complete")+SUMIFS('Status of Curriculum Completion'!$DM$4:$DM$38,'Status of Curriculum Completion'!$DC$4:$DC$38,"PH",'Status of Curriculum Completion'!$DH$4:$DH$38,"Complete")</f>
        <v>0</v>
      </c>
      <c r="AD105" s="61">
        <f>SUMIFS('Status of Curriculum Completion'!$CM$4:$CM$38,'Status of Curriculum Completion'!$CC$4:$CC$38,"PH",'Status of Curriculum Completion'!$CH$4:$CH$38,"In Progress")+SUMIFS('Status of Curriculum Completion'!$CZ$4:$CZ$38,'Status of Curriculum Completion'!$CP$4:$CP$38,"PH",'Status of Curriculum Completion'!$CU$4:$CU$38,"In Progress")+SUMIFS('Status of Curriculum Completion'!$DM$4:$DM$38,'Status of Curriculum Completion'!$DC$4:$DC$38,"PH",'Status of Curriculum Completion'!$DH$4:$DH$38,"In Progress")</f>
        <v>0</v>
      </c>
      <c r="AE105" s="61">
        <f>SUMIFS('Status of Curriculum Completion'!$CM$4:$CM$38,'Status of Curriculum Completion'!$CC$4:$CC$38,"PH",'Status of Curriculum Completion'!$CH$4:$CH$38,"Planned")+SUMIFS('Status of Curriculum Completion'!$CZ$4:$CZ$38,'Status of Curriculum Completion'!$CP$4:$CP$38,"PH",'Status of Curriculum Completion'!$CU$4:$CU$38,"Planned")+SUMIFS('Status of Curriculum Completion'!$DM$4:$DM$38,'Status of Curriculum Completion'!$DC$4:$DC$38,"PH",'Status of Curriculum Completion'!$DH$4:$DH$38,"Planned")</f>
        <v>0</v>
      </c>
      <c r="AF105" s="61">
        <f>SUMIFS('Status of Curriculum Completion'!$CM$4:$CM$38,'Status of Curriculum Completion'!$CC$4:$CC$38,"PH",'Status of Curriculum Completion'!$CH$4:$CH$38,"Tentative")+SUMIFS('Status of Curriculum Completion'!$CZ$4:$CZ$38,'Status of Curriculum Completion'!$CP$4:$CP$38,"PH",'Status of Curriculum Completion'!$CU$4:$CU$38,"Tentative")+SUMIFS('Status of Curriculum Completion'!$DM$4:$DM$38,'Status of Curriculum Completion'!$DC$4:$DC$38,"PH",'Status of Curriculum Completion'!$DH$4:$DH$38,"Tentative")</f>
        <v>0</v>
      </c>
      <c r="AG105" s="61">
        <f>SUMIFS('Status of Curriculum Completion'!$CM$4:$CM$38,'Status of Curriculum Completion'!$CC$4:$CC$38,"PH",'Status of Curriculum Completion'!$CI$4:$CI$38,"Complete")+SUMIFS('Status of Curriculum Completion'!$CZ$4:$CZ$38,'Status of Curriculum Completion'!$CP$4:$CP$38,"PH",'Status of Curriculum Completion'!$CV$4:$CV$38,"Complete")+SUMIFS('Status of Curriculum Completion'!$DM$4:$DM$38,'Status of Curriculum Completion'!$DC$4:$DC$38,"PH",'Status of Curriculum Completion'!$DI$4:$DI$38,"Complete")</f>
        <v>0</v>
      </c>
      <c r="AH105" s="61">
        <f>SUMIFS('Status of Curriculum Completion'!$CM$4:$CM$38,'Status of Curriculum Completion'!$CC$4:$CC$38,"PH",'Status of Curriculum Completion'!$CI$4:$CI$38,"In Progress")+SUMIFS('Status of Curriculum Completion'!$CZ$4:$CZ$38,'Status of Curriculum Completion'!$CP$4:$CP$38,"PH",'Status of Curriculum Completion'!$CV$4:$CV$38,"In Progress")+SUMIFS('Status of Curriculum Completion'!$DM$4:$DM$38,'Status of Curriculum Completion'!$DC$4:$DC$38,"PH",'Status of Curriculum Completion'!$DI$4:$DI$38,"In Progress")</f>
        <v>0</v>
      </c>
      <c r="AI105" s="61">
        <f>SUMIFS('Status of Curriculum Completion'!$CM$4:$CM$38,'Status of Curriculum Completion'!$CC$4:$CC$38,"PH",'Status of Curriculum Completion'!$CI$4:$CI$38,"Planned")+SUMIFS('Status of Curriculum Completion'!$CZ$4:$CZ$38,'Status of Curriculum Completion'!$CP$4:$CP$38,"PH",'Status of Curriculum Completion'!$CV$4:$CV$38,"Planned")+SUMIFS('Status of Curriculum Completion'!$DM$4:$DM$38,'Status of Curriculum Completion'!$DC$4:$DC$38,"PH",'Status of Curriculum Completion'!$DI$4:$DI$38,"Planned")</f>
        <v>0</v>
      </c>
      <c r="AJ105" s="61">
        <f>SUMIFS('Status of Curriculum Completion'!$CM$4:$CM$38,'Status of Curriculum Completion'!$CC$4:$CC$38,"PH",'Status of Curriculum Completion'!$CI$4:$CI$38,"Tentative")+SUMIFS('Status of Curriculum Completion'!$CZ$4:$CZ$38,'Status of Curriculum Completion'!$CP$4:$CP$38,"PH",'Status of Curriculum Completion'!$CV$4:$CV$38,"Tentative")+SUMIFS('Status of Curriculum Completion'!$DM$4:$DM$38,'Status of Curriculum Completion'!$DC$4:$DC$38,"PH",'Status of Curriculum Completion'!$DI$4:$DI$38,"Tentative")</f>
        <v>0</v>
      </c>
      <c r="AK105" s="62">
        <f>SUMIFS('Status of Curriculum Completion'!$DZ$4:$DZ$38,'Status of Curriculum Completion'!$DP$4:$DP$38,"PH",'Status of Curriculum Completion'!$DT$4:$DT$38,"Complete")+SUMIFS('Status of Curriculum Completion'!$EM$4:$EM$38,'Status of Curriculum Completion'!$EC$4:$EC$38,"PH",'Status of Curriculum Completion'!$EG$4:$EG$38,"Complete")+SUMIFS('Status of Curriculum Completion'!$EZ$4:$EZ$38,'Status of Curriculum Completion'!$EP$4:$EP$38,"PH",'Status of Curriculum Completion'!$ET$4:$ET$38,"Complete")</f>
        <v>0</v>
      </c>
      <c r="AL105" s="62">
        <f>SUMIFS('Status of Curriculum Completion'!$DZ$4:$DZ$38,'Status of Curriculum Completion'!$DP$4:$DP$38,"PH",'Status of Curriculum Completion'!$DT$4:$DT$38,"In Progress")+SUMIFS('Status of Curriculum Completion'!$EM$4:$EM$38,'Status of Curriculum Completion'!$EC$4:$EC$38,"PH",'Status of Curriculum Completion'!$EG$4:$EG$38,"In Progress")+SUMIFS('Status of Curriculum Completion'!$EZ$4:$EZ$38,'Status of Curriculum Completion'!$EP$4:$EP$38,"PH",'Status of Curriculum Completion'!$ET$4:$ET$38,"In Progress")</f>
        <v>0</v>
      </c>
      <c r="AM105" s="62">
        <f>SUMIFS('Status of Curriculum Completion'!$DZ$4:$DZ$38,'Status of Curriculum Completion'!$DP$4:$DP$38,"PH",'Status of Curriculum Completion'!$DT$4:$DT$38,"Planned")+SUMIFS('Status of Curriculum Completion'!$EM$4:$EM$38,'Status of Curriculum Completion'!$EC$4:$EC$38,"PH",'Status of Curriculum Completion'!$EG$4:$EG$38,"Planned")+SUMIFS('Status of Curriculum Completion'!$EZ$4:$EZ$38,'Status of Curriculum Completion'!$EP$4:$EP$38,"PH",'Status of Curriculum Completion'!$ET$4:$ET$38,"Planned")</f>
        <v>0</v>
      </c>
      <c r="AN105" s="62">
        <f>SUMIFS('Status of Curriculum Completion'!$DZ$4:$DZ$38,'Status of Curriculum Completion'!$DP$4:$DP$38,"PH",'Status of Curriculum Completion'!$DT$4:$DT$38,"Tentative")+SUMIFS('Status of Curriculum Completion'!$EM$4:$EM$38,'Status of Curriculum Completion'!$EC$4:$EC$38,"PH",'Status of Curriculum Completion'!$EG$4:$EG$38,"Tentative")+SUMIFS('Status of Curriculum Completion'!$EZ$4:$EZ$38,'Status of Curriculum Completion'!$EP$4:$EP$38,"PH",'Status of Curriculum Completion'!$ET$4:$ET$38,"Tentative")</f>
        <v>0</v>
      </c>
      <c r="AO105" s="62">
        <f>SUMIFS('Status of Curriculum Completion'!$DZ$4:$DZ$38,'Status of Curriculum Completion'!$DP$4:$DP$38,"PH",'Status of Curriculum Completion'!$DU$4:$DU$38,"Complete")+SUMIFS('Status of Curriculum Completion'!$EM$4:$EM$38,'Status of Curriculum Completion'!$EC$4:$EC$38,"PH",'Status of Curriculum Completion'!$EH$4:$EH$38,"Complete")+SUMIFS('Status of Curriculum Completion'!$EZ$4:$EZ$38,'Status of Curriculum Completion'!$EP$4:$EP$38,"PH",'Status of Curriculum Completion'!$EU$4:$EU$38,"Complete")</f>
        <v>0</v>
      </c>
      <c r="AP105" s="62">
        <f>SUMIFS('Status of Curriculum Completion'!$DZ$4:$DZ$38,'Status of Curriculum Completion'!$DP$4:$DP$38,"PH",'Status of Curriculum Completion'!$DU$4:$DU$38,"In Progress")+SUMIFS('Status of Curriculum Completion'!$EM$4:$EM$38,'Status of Curriculum Completion'!$EC$4:$EC$38,"PH",'Status of Curriculum Completion'!$EH$4:$EH$38,"In Progress")+SUMIFS('Status of Curriculum Completion'!$EZ$4:$EZ$38,'Status of Curriculum Completion'!$EP$4:$EP$38,"PH",'Status of Curriculum Completion'!$EU$4:$EU$38,"In Progress")</f>
        <v>0</v>
      </c>
      <c r="AQ105" s="62">
        <f>SUMIFS('Status of Curriculum Completion'!$DZ$4:$DZ$38,'Status of Curriculum Completion'!$DP$4:$DP$38,"PH",'Status of Curriculum Completion'!$DU$4:$DU$38,"Planned")+SUMIFS('Status of Curriculum Completion'!$EM$4:$EM$38,'Status of Curriculum Completion'!$EC$4:$EC$38,"PH",'Status of Curriculum Completion'!$EH$4:$EH$38,"Planned")+SUMIFS('Status of Curriculum Completion'!$EZ$4:$EZ$38,'Status of Curriculum Completion'!$EP$4:$EP$38,"PH",'Status of Curriculum Completion'!$EU$4:$EU$38,"Planned")</f>
        <v>0</v>
      </c>
      <c r="AR105" s="62">
        <f>SUMIFS('Status of Curriculum Completion'!$DZ$4:$DZ$38,'Status of Curriculum Completion'!$DP$4:$DP$38,"PH",'Status of Curriculum Completion'!$DU$4:$DU$38,"Tentative")+SUMIFS('Status of Curriculum Completion'!$EM$4:$EM$38,'Status of Curriculum Completion'!$EC$4:$EC$38,"PH",'Status of Curriculum Completion'!$EH$4:$EH$38,"Tentative")+SUMIFS('Status of Curriculum Completion'!$EZ$4:$EZ$38,'Status of Curriculum Completion'!$EP$4:$EP$38,"PH",'Status of Curriculum Completion'!$EU$4:$EU$38,"Tentative")</f>
        <v>0</v>
      </c>
      <c r="AS105" s="62">
        <f>SUMIFS('Status of Curriculum Completion'!$DZ$4:$DZ$38,'Status of Curriculum Completion'!$DP$4:$DP$38,"PH",'Status of Curriculum Completion'!$DV$4:$DV$38,"Complete")+SUMIFS('Status of Curriculum Completion'!$EM$4:$EM$38,'Status of Curriculum Completion'!$EC$4:$EC$38,"PH",'Status of Curriculum Completion'!$EI$4:$EI$38,"Complete")+SUMIFS('Status of Curriculum Completion'!$EZ$4:$EZ$38,'Status of Curriculum Completion'!$EP$4:$EP$38,"PH",'Status of Curriculum Completion'!$EV$4:$EV$38,"Complete")</f>
        <v>0</v>
      </c>
      <c r="AT105" s="62">
        <f>SUMIFS('Status of Curriculum Completion'!$DZ$4:$DZ$38,'Status of Curriculum Completion'!$DP$4:$DP$38,"PH",'Status of Curriculum Completion'!$DV$4:$DV$38,"In Progress")+SUMIFS('Status of Curriculum Completion'!$EM$4:$EM$38,'Status of Curriculum Completion'!$EC$4:$EC$38,"PH",'Status of Curriculum Completion'!$EI$4:$EI$38,"In Progress")+SUMIFS('Status of Curriculum Completion'!$EZ$4:$EZ$38,'Status of Curriculum Completion'!$EP$4:$EP$38,"PH",'Status of Curriculum Completion'!$EV$4:$EV$38,"In Progress")</f>
        <v>0</v>
      </c>
      <c r="AU105" s="62">
        <f>SUMIFS('Status of Curriculum Completion'!$DZ$4:$DZ$38,'Status of Curriculum Completion'!$DP$4:$DP$38,"PH",'Status of Curriculum Completion'!$DV$4:$DV$38,"Planned")+SUMIFS('Status of Curriculum Completion'!$EM$4:$EM$38,'Status of Curriculum Completion'!$EC$4:$EC$38,"PH",'Status of Curriculum Completion'!$EI$4:$EI$38,"Planned")+SUMIFS('Status of Curriculum Completion'!$EZ$4:$EZ$38,'Status of Curriculum Completion'!$EP$4:$EP$38,"PH",'Status of Curriculum Completion'!$EV$4:$EV$38,"Planned")</f>
        <v>0</v>
      </c>
      <c r="AV105" s="62">
        <f>SUMIFS('Status of Curriculum Completion'!$DZ$4:$DZ$38,'Status of Curriculum Completion'!$DP$4:$DP$38,"PH",'Status of Curriculum Completion'!$DV$4:$DV$38,"Tentative")+SUMIFS('Status of Curriculum Completion'!$EM$4:$EM$38,'Status of Curriculum Completion'!$EC$4:$EC$38,"PH",'Status of Curriculum Completion'!$EI$4:$EI$38,"Tentative")+SUMIFS('Status of Curriculum Completion'!$EZ$4:$EZ$38,'Status of Curriculum Completion'!$EP$4:$EP$38,"PH",'Status of Curriculum Completion'!$EV$4:$EV$38,"Tentative")</f>
        <v>0</v>
      </c>
    </row>
    <row r="106" spans="3:48" ht="44" hidden="1" thickBot="1">
      <c r="C106" s="63" t="s">
        <v>1168</v>
      </c>
      <c r="D106" s="59">
        <f>SUMIFS('Status of Curriculum Completion'!$M$4:$M$38,'Status of Curriculum Completion'!$C$4:$C$38,"CIC WE",'Status of Curriculum Completion'!$G$4:$G$38,"Complete")+SUMIFS('Status of Curriculum Completion'!$Z$4:$Z$38,'Status of Curriculum Completion'!$P$4:$P$38,"CIC WE",'Status of Curriculum Completion'!$T$4:$T$38,"Complete")+SUMIFS('Status of Curriculum Completion'!$AM$4:$AM$38,'Status of Curriculum Completion'!$AC$4:$AC$38,"CIC WE",'Status of Curriculum Completion'!$AG$4:$AG$38,"Complete")</f>
        <v>0</v>
      </c>
      <c r="E106" s="59">
        <f>SUMIFS('Status of Curriculum Completion'!$M$4:$M$38,'Status of Curriculum Completion'!$C$4:$C$38,"CIC WE",'Status of Curriculum Completion'!$G$4:$G$38,"In progress")+SUMIFS('Status of Curriculum Completion'!$Z$4:$Z$38,'Status of Curriculum Completion'!$P$4:$P$38,"CIC WE",'Status of Curriculum Completion'!$T$4:$T$38,"In progress")+SUMIFS('Status of Curriculum Completion'!$AM$4:$AM$38,'Status of Curriculum Completion'!$AC$4:$AC$38,"CIC WE",'Status of Curriculum Completion'!$AG$4:$AG$38,"In progress")</f>
        <v>0</v>
      </c>
      <c r="F106" s="59">
        <f>SUMIFS('Status of Curriculum Completion'!$M$4:$M$38,'Status of Curriculum Completion'!$C$4:$C$38,"CIC WE",'Status of Curriculum Completion'!$G$4:$G$38,"Planned")+SUMIFS('Status of Curriculum Completion'!$Z$4:$Z$38,'Status of Curriculum Completion'!$P$4:$P$38,"CIC WE",'Status of Curriculum Completion'!$T$4:$T$38,"Planned")+SUMIFS('Status of Curriculum Completion'!$AM$4:$AM$38,'Status of Curriculum Completion'!$AC$4:$AC$38,"CIC WE",'Status of Curriculum Completion'!$AG$4:$AG$38,"Planned")</f>
        <v>0</v>
      </c>
      <c r="G106" s="59">
        <f>SUMIFS('Status of Curriculum Completion'!$M$4:$M$38,'Status of Curriculum Completion'!$C$4:$C$38,"CIC WE",'Status of Curriculum Completion'!$H$4:$H$38,"Complete")+SUMIFS('Status of Curriculum Completion'!$Z$4:$Z$38,'Status of Curriculum Completion'!$P$4:$P$38,"CIC WE",'Status of Curriculum Completion'!$U$4:$U$38,"Complete")+SUMIFS('Status of Curriculum Completion'!$AM$4:$AM$38,'Status of Curriculum Completion'!$AC$4:$AC$38,"CIC WE",'Status of Curriculum Completion'!$AH$4:$AH$38,"Complete")</f>
        <v>0</v>
      </c>
      <c r="H106" s="59">
        <f>SUMIFS('Status of Curriculum Completion'!$M$4:$M$38,'Status of Curriculum Completion'!$C$4:$C$38,"CIC WE",'Status of Curriculum Completion'!$H$4:$H$38,"In Progress")+SUMIFS('Status of Curriculum Completion'!$Z$4:$Z$38,'Status of Curriculum Completion'!$P$4:$P$38,"CIC WE",'Status of Curriculum Completion'!$U$4:$U$38,"In Progress")+SUMIFS('Status of Curriculum Completion'!$AM$4:$AM$38,'Status of Curriculum Completion'!$AC$4:$AC$38,"CIC WE",'Status of Curriculum Completion'!$AH$4:$AH$38,"In Progress")</f>
        <v>0</v>
      </c>
      <c r="I106" s="59">
        <f>SUMIFS('Status of Curriculum Completion'!$M$4:$M$38,'Status of Curriculum Completion'!$C$4:$C$38,"CIC WE",'Status of Curriculum Completion'!$H$4:$H$38,"Planned")+SUMIFS('Status of Curriculum Completion'!$Z$4:$Z$38,'Status of Curriculum Completion'!$P$4:$P$38,"CIC WE",'Status of Curriculum Completion'!$U$4:$U$38,"Planned")+SUMIFS('Status of Curriculum Completion'!$AM$4:$AM$38,'Status of Curriculum Completion'!$AC$4:$AC$38,"CIC WE",'Status of Curriculum Completion'!$AH$4:$AH$38,"Planned")</f>
        <v>0</v>
      </c>
      <c r="J106" s="59">
        <f>SUMIFS('Status of Curriculum Completion'!$M$4:$M$38,'Status of Curriculum Completion'!$C$4:$C$38,"CIC WE",'Status of Curriculum Completion'!$I$4:$I$38,"Complete")+SUMIFS('Status of Curriculum Completion'!$Z$4:$Z$38,'Status of Curriculum Completion'!$P$4:$P$38,"CIC WE",'Status of Curriculum Completion'!$V$4:$V$38,"Complete")+SUMIFS('Status of Curriculum Completion'!$AM$4:$AM$38,'Status of Curriculum Completion'!$AC$4:$AC$38,"CIC WE",'Status of Curriculum Completion'!$AI$4:$AI$38,"Complete")</f>
        <v>0</v>
      </c>
      <c r="K106" s="59">
        <f>SUMIFS('Status of Curriculum Completion'!$M$4:$M$38,'Status of Curriculum Completion'!$C$4:$C$38,"CIC WE",'Status of Curriculum Completion'!$I$4:$I$38,"In Progress")+SUMIFS('Status of Curriculum Completion'!$Z$4:$Z$38,'Status of Curriculum Completion'!$P$4:$P$38,"CIC WE",'Status of Curriculum Completion'!$V$4:$V$38,"In Progress")+SUMIFS('Status of Curriculum Completion'!$AM$4:$AM$38,'Status of Curriculum Completion'!$AC$4:$AC$38,"CIC WE",'Status of Curriculum Completion'!$AI$4:$AI$38,"In Progress")</f>
        <v>0</v>
      </c>
      <c r="L106" s="59">
        <f>SUMIFS('Status of Curriculum Completion'!$M$4:$M$38,'Status of Curriculum Completion'!$C$4:$C$38,"CIC WE",'Status of Curriculum Completion'!$I$4:$I$38,"Planned")+SUMIFS('Status of Curriculum Completion'!$Z$4:$Z$38,'Status of Curriculum Completion'!$P$4:$P$38,"CIC WE",'Status of Curriculum Completion'!$V$4:$V$38,"Planned")+SUMIFS('Status of Curriculum Completion'!$AM$4:$AM$38,'Status of Curriculum Completion'!$AC$4:$AC$38,"CIC WE",'Status of Curriculum Completion'!$AI$4:$AI$38,"Planned")</f>
        <v>0</v>
      </c>
      <c r="M106" s="60">
        <f>SUMIFS('Status of Curriculum Completion'!$AZ$4:$AZ$38,'Status of Curriculum Completion'!$AP$4:$AP$38,"CIC WE",'Status of Curriculum Completion'!$AT$4:$AT$38,"Complete")+SUMIFS('Status of Curriculum Completion'!$BM$4:$BM$38,'Status of Curriculum Completion'!$BC$4:$BC$38,"CIC WE",'Status of Curriculum Completion'!$BG$4:$BG$38,"Complete")+SUMIFS('Status of Curriculum Completion'!$BZ$4:$BZ$38,'Status of Curriculum Completion'!$BP$4:$BP$38,"CIC WE",'Status of Curriculum Completion'!$BT$4:$BT$38,"Complete")</f>
        <v>0</v>
      </c>
      <c r="N106" s="60">
        <f>SUMIFS('Status of Curriculum Completion'!$AZ$4:$AZ$38,'Status of Curriculum Completion'!$AP$4:$AP$38,"CIC WE",'Status of Curriculum Completion'!$AT$4:$AT$38,"In Progress")+SUMIFS('Status of Curriculum Completion'!$BM$4:$BM$38,'Status of Curriculum Completion'!$BC$4:$BC$38,"CIC WE",'Status of Curriculum Completion'!$BG$4:$BG$38,"In Progress")+SUMIFS('Status of Curriculum Completion'!$BZ$4:$BZ$38,'Status of Curriculum Completion'!$BP$4:$BP$38,"CIC WE",'Status of Curriculum Completion'!$BT$4:$BT$38,"In Progress")</f>
        <v>0</v>
      </c>
      <c r="O106" s="60">
        <f>SUMIFS('Status of Curriculum Completion'!$AZ$4:$AZ$38,'Status of Curriculum Completion'!$AP$4:$AP$38,"CIC WE",'Status of Curriculum Completion'!$AT$4:$AT$38,"Planned")+SUMIFS('Status of Curriculum Completion'!$BM$4:$BM$38,'Status of Curriculum Completion'!$BC$4:$BC$38,"CIC WE",'Status of Curriculum Completion'!$BG$4:$BG$38,"Planned")+SUMIFS('Status of Curriculum Completion'!$BZ$4:$BZ$38,'Status of Curriculum Completion'!$BP$4:$BP$38,"CIC WE",'Status of Curriculum Completion'!$BT$4:$BT$38,"Planned")</f>
        <v>0</v>
      </c>
      <c r="P106" s="60">
        <f>SUMIFS('Status of Curriculum Completion'!$AZ$4:$AZ$38,'Status of Curriculum Completion'!$AP$4:$AP$38,"CIC WE",'Status of Curriculum Completion'!$AU$4:$AU$38,"Complete")+SUMIFS('Status of Curriculum Completion'!$BM$4:$BM$38,'Status of Curriculum Completion'!$BC$4:$BC$38,"CIC WE",'Status of Curriculum Completion'!$BH$4:$BH$38,"Complete")+SUMIFS('Status of Curriculum Completion'!$BZ$4:$BZ$38,'Status of Curriculum Completion'!$BP$4:$BP$38,"CIC WE",'Status of Curriculum Completion'!$BU$4:$BU$38,"Complete")</f>
        <v>0</v>
      </c>
      <c r="Q106" s="60">
        <f>SUMIFS('Status of Curriculum Completion'!$AZ$4:$AZ$38,'Status of Curriculum Completion'!$AP$4:$AP$38,"CIC WE",'Status of Curriculum Completion'!$AU$4:$AU$38,"In Progress")+SUMIFS('Status of Curriculum Completion'!$BM$4:$BM$38,'Status of Curriculum Completion'!$BC$4:$BC$38,"CIC WE",'Status of Curriculum Completion'!$BH$4:$BH$38,"In Progress")+SUMIFS('Status of Curriculum Completion'!$BZ$4:$BZ$38,'Status of Curriculum Completion'!$BP$4:$BP$38,"CIC WE",'Status of Curriculum Completion'!$BU$4:$BU$38,"In Progress")</f>
        <v>0</v>
      </c>
      <c r="R106" s="60">
        <f>SUMIFS('Status of Curriculum Completion'!$AZ$4:$AZ$38,'Status of Curriculum Completion'!$AP$4:$AP$38,"CIC WE",'Status of Curriculum Completion'!$AU$4:$AU$38,"Planned")+SUMIFS('Status of Curriculum Completion'!$BM$4:$BM$38,'Status of Curriculum Completion'!$BC$4:$BC$38,"CIC WE",'Status of Curriculum Completion'!$BH$4:$BH$38,"Planned")+SUMIFS('Status of Curriculum Completion'!$BZ$4:$BZ$38,'Status of Curriculum Completion'!$BP$4:$BP$38,"CIC WE",'Status of Curriculum Completion'!$BU$4:$BU$38,"Planned")</f>
        <v>0</v>
      </c>
      <c r="S106" s="60">
        <f>SUMIFS('Status of Curriculum Completion'!$AZ$4:$AZ$38,'Status of Curriculum Completion'!$AP$4:$AP$38,"CIC WE",'Status of Curriculum Completion'!$AV$4:$AV$38,"Complete")+SUMIFS('Status of Curriculum Completion'!$BM$4:$BM$38,'Status of Curriculum Completion'!$BC$4:$BC$38,"CIC WE",'Status of Curriculum Completion'!$BI$4:$BI$38,"Complete")+SUMIFS('Status of Curriculum Completion'!$BZ$4:$BZ$38,'Status of Curriculum Completion'!$BP$4:$BP$38,"CIC WE",'Status of Curriculum Completion'!$BV$4:$BV$38,"Complete")</f>
        <v>0</v>
      </c>
      <c r="T106" s="60">
        <f>SUMIFS('Status of Curriculum Completion'!$AZ$4:$AZ$38,'Status of Curriculum Completion'!$AP$4:$AP$38,"CIC WE",'Status of Curriculum Completion'!$AV$4:$AV$38,"In Progress")+SUMIFS('Status of Curriculum Completion'!$BM$4:$BM$38,'Status of Curriculum Completion'!$BC$4:$BC$38,"CIC WE",'Status of Curriculum Completion'!$BI$4:$BI$38,"In Progress")+SUMIFS('Status of Curriculum Completion'!$BZ$4:$BZ$38,'Status of Curriculum Completion'!$BP$4:$BP$38,"CIC WE",'Status of Curriculum Completion'!$BV$4:$BV$38,"In Progress")</f>
        <v>0</v>
      </c>
      <c r="U106" s="60">
        <f>SUMIFS('Status of Curriculum Completion'!$AZ$4:$AZ$38,'Status of Curriculum Completion'!$AP$4:$AP$38,"CIC WE",'Status of Curriculum Completion'!$AV$4:$AV$38,"Planned")+SUMIFS('Status of Curriculum Completion'!$BM$4:$BM$38,'Status of Curriculum Completion'!$BC$4:$BC$38,"CIC WE",'Status of Curriculum Completion'!$BI$4:$BI$38,"Planned")+SUMIFS('Status of Curriculum Completion'!$BZ$4:$BZ$38,'Status of Curriculum Completion'!$BP$4:$BP$38,"CIC WE",'Status of Curriculum Completion'!$BV$4:$BV$38,"Planned")</f>
        <v>0</v>
      </c>
      <c r="V106" s="58"/>
      <c r="W106"/>
      <c r="X106" s="63" t="s">
        <v>1168</v>
      </c>
      <c r="Y106" s="61">
        <f>SUMIFS('Status of Curriculum Completion'!$CM$4:$CM$38,'Status of Curriculum Completion'!$CC$4:$CC$38,"CIC WE",'Status of Curriculum Completion'!$CG$4:$CG$38,"Complete")+SUMIFS('Status of Curriculum Completion'!$CZ$4:$CZ$38,'Status of Curriculum Completion'!$CP$4:$CP$38,"CIC WE",'Status of Curriculum Completion'!$CT$4:$CT$38,"Complete")+SUMIFS('Status of Curriculum Completion'!$DM$4:$DM$38,'Status of Curriculum Completion'!$DC$4:$DC$38,"CIC WE",'Status of Curriculum Completion'!$DG$4:$DG$38,"Complete")</f>
        <v>0</v>
      </c>
      <c r="Z106" s="61">
        <f>SUMIFS('Status of Curriculum Completion'!$CM$4:$CM$38,'Status of Curriculum Completion'!$CC$4:$CC$38,"CIC WE",'Status of Curriculum Completion'!$CG$4:$CG$38,"In Progress")+SUMIFS('Status of Curriculum Completion'!$CZ$4:$CZ$38,'Status of Curriculum Completion'!$CP$4:$CP$38,"CIC WE",'Status of Curriculum Completion'!$CT$4:$CT$38,"In Progress")+SUMIFS('Status of Curriculum Completion'!$DM$4:$DM$38,'Status of Curriculum Completion'!$DC$4:$DC$38,"CIC WE",'Status of Curriculum Completion'!$DG$4:$DG$38,"In Progress")</f>
        <v>0</v>
      </c>
      <c r="AA106" s="61">
        <f>SUMIFS('Status of Curriculum Completion'!$CM$4:$CM$38,'Status of Curriculum Completion'!$CC$4:$CC$38,"CIC WE",'Status of Curriculum Completion'!$CG$4:$CG$38,"Planned")+SUMIFS('Status of Curriculum Completion'!$CZ$4:$CZ$38,'Status of Curriculum Completion'!$CP$4:$CP$38,"CIC WE",'Status of Curriculum Completion'!$CT$4:$CT$38,"Planned")+SUMIFS('Status of Curriculum Completion'!$DM$4:$DM$38,'Status of Curriculum Completion'!$DC$4:$DC$38,"CIC WE",'Status of Curriculum Completion'!$DG$4:$DG$38,"Planned")</f>
        <v>0</v>
      </c>
      <c r="AB106" s="61">
        <f>SUMIFS('Status of Curriculum Completion'!$CM$4:$CM$38,'Status of Curriculum Completion'!$CC$4:$CC$38,"CIC WE",'Status of Curriculum Completion'!$CG$4:$CG$38,"Tentative")+SUMIFS('Status of Curriculum Completion'!$CZ$4:$CZ$38,'Status of Curriculum Completion'!$CP$4:$CP$38,"CIC WE",'Status of Curriculum Completion'!$CT$4:$CT$38,"Tentative")+SUMIFS('Status of Curriculum Completion'!$DM$4:$DM$38,'Status of Curriculum Completion'!$DC$4:$DC$38,"CIC WE",'Status of Curriculum Completion'!$DG$4:$DG$38,"Tentative")</f>
        <v>0</v>
      </c>
      <c r="AC106" s="61">
        <f>SUMIFS('Status of Curriculum Completion'!$CM$4:$CM$38,'Status of Curriculum Completion'!$CC$4:$CC$38,"CIC WE",'Status of Curriculum Completion'!$CH$4:$CH$38,"Complete")+SUMIFS('Status of Curriculum Completion'!$CZ$4:$CZ$38,'Status of Curriculum Completion'!$CP$4:$CP$38,"CIC WE",'Status of Curriculum Completion'!$CU$4:$CU$38,"Complete")+SUMIFS('Status of Curriculum Completion'!$DM$4:$DM$38,'Status of Curriculum Completion'!$DC$4:$DC$38,"CIC WE",'Status of Curriculum Completion'!$DH$4:$DH$38,"Complete")</f>
        <v>0</v>
      </c>
      <c r="AD106" s="61">
        <f>SUMIFS('Status of Curriculum Completion'!$CM$4:$CM$38,'Status of Curriculum Completion'!$CC$4:$CC$38,"CIC WE",'Status of Curriculum Completion'!$CH$4:$CH$38,"In Progress")+SUMIFS('Status of Curriculum Completion'!$CZ$4:$CZ$38,'Status of Curriculum Completion'!$CP$4:$CP$38,"CIC WE",'Status of Curriculum Completion'!$CU$4:$CU$38,"In Progress")+SUMIFS('Status of Curriculum Completion'!$DM$4:$DM$38,'Status of Curriculum Completion'!$DC$4:$DC$38,"CIC WE",'Status of Curriculum Completion'!$DH$4:$DH$38,"In Progress")</f>
        <v>0</v>
      </c>
      <c r="AE106" s="61">
        <f>SUMIFS('Status of Curriculum Completion'!$CM$4:$CM$38,'Status of Curriculum Completion'!$CC$4:$CC$38,"CIC WE",'Status of Curriculum Completion'!$CH$4:$CH$38,"Planned")+SUMIFS('Status of Curriculum Completion'!$CZ$4:$CZ$38,'Status of Curriculum Completion'!$CP$4:$CP$38,"CIC WE",'Status of Curriculum Completion'!$CU$4:$CU$38,"Planned")+SUMIFS('Status of Curriculum Completion'!$DM$4:$DM$38,'Status of Curriculum Completion'!$DC$4:$DC$38,"CIC WE",'Status of Curriculum Completion'!$DH$4:$DH$38,"Planned")</f>
        <v>0</v>
      </c>
      <c r="AF106" s="61">
        <f>SUMIFS('Status of Curriculum Completion'!$CM$4:$CM$38,'Status of Curriculum Completion'!$CC$4:$CC$38,"CIC WE",'Status of Curriculum Completion'!$CH$4:$CH$38,"Tentative")+SUMIFS('Status of Curriculum Completion'!$CZ$4:$CZ$38,'Status of Curriculum Completion'!$CP$4:$CP$38,"CIC WE",'Status of Curriculum Completion'!$CU$4:$CU$38,"Tentative")+SUMIFS('Status of Curriculum Completion'!$DM$4:$DM$38,'Status of Curriculum Completion'!$DC$4:$DC$38,"CIC WE",'Status of Curriculum Completion'!$DH$4:$DH$38,"Tentative")</f>
        <v>0</v>
      </c>
      <c r="AG106" s="61">
        <f>SUMIFS('Status of Curriculum Completion'!$CM$4:$CM$38,'Status of Curriculum Completion'!$CC$4:$CC$38,"CIC WE",'Status of Curriculum Completion'!$CI$4:$CI$38,"Complete")+SUMIFS('Status of Curriculum Completion'!$CZ$4:$CZ$38,'Status of Curriculum Completion'!$CP$4:$CP$38,"CIC WE",'Status of Curriculum Completion'!$CV$4:$CV$38,"Complete")+SUMIFS('Status of Curriculum Completion'!$DM$4:$DM$38,'Status of Curriculum Completion'!$DC$4:$DC$38,"CIC WE",'Status of Curriculum Completion'!$DI$4:$DI$38,"Complete")</f>
        <v>0</v>
      </c>
      <c r="AH106" s="61">
        <f>SUMIFS('Status of Curriculum Completion'!$CM$4:$CM$38,'Status of Curriculum Completion'!$CC$4:$CC$38,"CIC WE",'Status of Curriculum Completion'!$CI$4:$CI$38,"In Progress")+SUMIFS('Status of Curriculum Completion'!$CZ$4:$CZ$38,'Status of Curriculum Completion'!$CP$4:$CP$38,"CIC WE",'Status of Curriculum Completion'!$CV$4:$CV$38,"In Progress")+SUMIFS('Status of Curriculum Completion'!$DM$4:$DM$38,'Status of Curriculum Completion'!$DC$4:$DC$38,"CIC WE",'Status of Curriculum Completion'!$DI$4:$DI$38,"In Progress")</f>
        <v>0</v>
      </c>
      <c r="AI106" s="61">
        <f>SUMIFS('Status of Curriculum Completion'!$CM$4:$CM$38,'Status of Curriculum Completion'!$CC$4:$CC$38,"CIC WE",'Status of Curriculum Completion'!$CI$4:$CI$38,"Planned")+SUMIFS('Status of Curriculum Completion'!$CZ$4:$CZ$38,'Status of Curriculum Completion'!$CP$4:$CP$38,"CIC WE",'Status of Curriculum Completion'!$CV$4:$CV$38,"Planned")+SUMIFS('Status of Curriculum Completion'!$DM$4:$DM$38,'Status of Curriculum Completion'!$DC$4:$DC$38,"CIC WE",'Status of Curriculum Completion'!$DI$4:$DI$38,"Planned")</f>
        <v>0</v>
      </c>
      <c r="AJ106" s="61">
        <f>SUMIFS('Status of Curriculum Completion'!$CM$4:$CM$38,'Status of Curriculum Completion'!$CC$4:$CC$38,"CIC WE",'Status of Curriculum Completion'!$CI$4:$CI$38,"Tentative")+SUMIFS('Status of Curriculum Completion'!$CZ$4:$CZ$38,'Status of Curriculum Completion'!$CP$4:$CP$38,"CIC WE",'Status of Curriculum Completion'!$CV$4:$CV$38,"Tentative")+SUMIFS('Status of Curriculum Completion'!$DM$4:$DM$38,'Status of Curriculum Completion'!$DC$4:$DC$38,"CIC WE",'Status of Curriculum Completion'!$DI$4:$DI$38,"Tentative")</f>
        <v>0</v>
      </c>
      <c r="AK106" s="62">
        <f>SUMIFS('Status of Curriculum Completion'!$DZ$4:$DZ$38,'Status of Curriculum Completion'!$DP$4:$DP$38,"CIC WE",'Status of Curriculum Completion'!$DT$4:$DT$38,"Complete")+SUMIFS('Status of Curriculum Completion'!$EM$4:$EM$38,'Status of Curriculum Completion'!$EC$4:$EC$38,"CIC WE",'Status of Curriculum Completion'!$EG$4:$EG$38,"Complete")+SUMIFS('Status of Curriculum Completion'!$EZ$4:$EZ$38,'Status of Curriculum Completion'!$EP$4:$EP$38,"CIC WE",'Status of Curriculum Completion'!$ET$4:$ET$38,"Complete")</f>
        <v>0</v>
      </c>
      <c r="AL106" s="62">
        <f>SUMIFS('Status of Curriculum Completion'!$DZ$4:$DZ$38,'Status of Curriculum Completion'!$DP$4:$DP$38,"CIC WE",'Status of Curriculum Completion'!$DT$4:$DT$38,"In Progress")+SUMIFS('Status of Curriculum Completion'!$EM$4:$EM$38,'Status of Curriculum Completion'!$EC$4:$EC$38,"CIC WE",'Status of Curriculum Completion'!$EG$4:$EG$38,"In Progress")+SUMIFS('Status of Curriculum Completion'!$EZ$4:$EZ$38,'Status of Curriculum Completion'!$EP$4:$EP$38,"CIC WE",'Status of Curriculum Completion'!$ET$4:$ET$38,"In Progress")</f>
        <v>0</v>
      </c>
      <c r="AM106" s="62">
        <f>SUMIFS('Status of Curriculum Completion'!$DZ$4:$DZ$38,'Status of Curriculum Completion'!$DP$4:$DP$38,"CIC WE",'Status of Curriculum Completion'!$DT$4:$DT$38,"Planned")+SUMIFS('Status of Curriculum Completion'!$EM$4:$EM$38,'Status of Curriculum Completion'!$EC$4:$EC$38,"CIC WE",'Status of Curriculum Completion'!$EG$4:$EG$38,"Planned")+SUMIFS('Status of Curriculum Completion'!$EZ$4:$EZ$38,'Status of Curriculum Completion'!$EP$4:$EP$38,"CIC WE",'Status of Curriculum Completion'!$ET$4:$ET$38,"Planned")</f>
        <v>0</v>
      </c>
      <c r="AN106" s="62">
        <f>SUMIFS('Status of Curriculum Completion'!$DZ$4:$DZ$38,'Status of Curriculum Completion'!$DP$4:$DP$38,"CIC WE",'Status of Curriculum Completion'!$DT$4:$DT$38,"Tentative")+SUMIFS('Status of Curriculum Completion'!$EM$4:$EM$38,'Status of Curriculum Completion'!$EC$4:$EC$38,"CIC WE",'Status of Curriculum Completion'!$EG$4:$EG$38,"Tentative")+SUMIFS('Status of Curriculum Completion'!$EZ$4:$EZ$38,'Status of Curriculum Completion'!$EP$4:$EP$38,"CIC WE",'Status of Curriculum Completion'!$ET$4:$ET$38,"Tentative")</f>
        <v>0</v>
      </c>
      <c r="AO106" s="62">
        <f>SUMIFS('Status of Curriculum Completion'!$DZ$4:$DZ$38,'Status of Curriculum Completion'!$DP$4:$DP$38,"CIC WE",'Status of Curriculum Completion'!$DU$4:$DU$38,"Complete")+SUMIFS('Status of Curriculum Completion'!$EM$4:$EM$38,'Status of Curriculum Completion'!$EC$4:$EC$38,"CIC WE",'Status of Curriculum Completion'!$EH$4:$EH$38,"Complete")+SUMIFS('Status of Curriculum Completion'!$EZ$4:$EZ$38,'Status of Curriculum Completion'!$EP$4:$EP$38,"CIC WE",'Status of Curriculum Completion'!$EU$4:$EU$38,"Complete")</f>
        <v>0</v>
      </c>
      <c r="AP106" s="62">
        <f>SUMIFS('Status of Curriculum Completion'!$DZ$4:$DZ$38,'Status of Curriculum Completion'!$DP$4:$DP$38,"CIC WE",'Status of Curriculum Completion'!$DU$4:$DU$38,"In Progress")+SUMIFS('Status of Curriculum Completion'!$EM$4:$EM$38,'Status of Curriculum Completion'!$EC$4:$EC$38,"CIC WE",'Status of Curriculum Completion'!$EH$4:$EH$38,"In Progress")+SUMIFS('Status of Curriculum Completion'!$EZ$4:$EZ$38,'Status of Curriculum Completion'!$EP$4:$EP$38,"CIC WE",'Status of Curriculum Completion'!$EU$4:$EU$38,"In Progress")</f>
        <v>0</v>
      </c>
      <c r="AQ106" s="62">
        <f>SUMIFS('Status of Curriculum Completion'!$DZ$4:$DZ$38,'Status of Curriculum Completion'!$DP$4:$DP$38,"CIC WE",'Status of Curriculum Completion'!$DU$4:$DU$38,"Planned")+SUMIFS('Status of Curriculum Completion'!$EM$4:$EM$38,'Status of Curriculum Completion'!$EC$4:$EC$38,"CIC WE",'Status of Curriculum Completion'!$EH$4:$EH$38,"Planned")+SUMIFS('Status of Curriculum Completion'!$EZ$4:$EZ$38,'Status of Curriculum Completion'!$EP$4:$EP$38,"CIC WE",'Status of Curriculum Completion'!$EU$4:$EU$38,"Planned")</f>
        <v>0</v>
      </c>
      <c r="AR106" s="62">
        <f>SUMIFS('Status of Curriculum Completion'!$DZ$4:$DZ$38,'Status of Curriculum Completion'!$DP$4:$DP$38,"CIC WE",'Status of Curriculum Completion'!$DU$4:$DU$38,"Tentative")+SUMIFS('Status of Curriculum Completion'!$EM$4:$EM$38,'Status of Curriculum Completion'!$EC$4:$EC$38,"CIC WE",'Status of Curriculum Completion'!$EH$4:$EH$38,"Tentative")+SUMIFS('Status of Curriculum Completion'!$EZ$4:$EZ$38,'Status of Curriculum Completion'!$EP$4:$EP$38,"CIC WE",'Status of Curriculum Completion'!$EU$4:$EU$38,"Tentative")</f>
        <v>0</v>
      </c>
      <c r="AS106" s="62">
        <f>SUMIFS('Status of Curriculum Completion'!$DZ$4:$DZ$38,'Status of Curriculum Completion'!$DP$4:$DP$38,"CIC WE",'Status of Curriculum Completion'!$DV$4:$DV$38,"Complete")+SUMIFS('Status of Curriculum Completion'!$EM$4:$EM$38,'Status of Curriculum Completion'!$EC$4:$EC$38,"CIC WE",'Status of Curriculum Completion'!$EI$4:$EI$38,"Complete")+SUMIFS('Status of Curriculum Completion'!$EZ$4:$EZ$38,'Status of Curriculum Completion'!$EP$4:$EP$38,"CIC WE",'Status of Curriculum Completion'!$EV$4:$EV$38,"Complete")</f>
        <v>0</v>
      </c>
      <c r="AT106" s="62">
        <f>SUMIFS('Status of Curriculum Completion'!$DZ$4:$DZ$38,'Status of Curriculum Completion'!$DP$4:$DP$38,"CIC WE",'Status of Curriculum Completion'!$DV$4:$DV$38,"In Progress")+SUMIFS('Status of Curriculum Completion'!$EM$4:$EM$38,'Status of Curriculum Completion'!$EC$4:$EC$38,"CIC WE",'Status of Curriculum Completion'!$EI$4:$EI$38,"In Progress")+SUMIFS('Status of Curriculum Completion'!$EZ$4:$EZ$38,'Status of Curriculum Completion'!$EP$4:$EP$38,"CIC WE",'Status of Curriculum Completion'!$EV$4:$EV$38,"In Progress")</f>
        <v>0</v>
      </c>
      <c r="AU106" s="62">
        <f>SUMIFS('Status of Curriculum Completion'!$DZ$4:$DZ$38,'Status of Curriculum Completion'!$DP$4:$DP$38,"CIC WE",'Status of Curriculum Completion'!$DV$4:$DV$38,"Planned")+SUMIFS('Status of Curriculum Completion'!$EM$4:$EM$38,'Status of Curriculum Completion'!$EC$4:$EC$38,"CIC WE",'Status of Curriculum Completion'!$EI$4:$EI$38,"Planned")+SUMIFS('Status of Curriculum Completion'!$EZ$4:$EZ$38,'Status of Curriculum Completion'!$EP$4:$EP$38,"CIC WE",'Status of Curriculum Completion'!$EV$4:$EV$38,"Planned")</f>
        <v>0</v>
      </c>
      <c r="AV106" s="62">
        <f>SUMIFS('Status of Curriculum Completion'!$DZ$4:$DZ$38,'Status of Curriculum Completion'!$DP$4:$DP$38,"CIC WE",'Status of Curriculum Completion'!$DV$4:$DV$38,"Tentative")+SUMIFS('Status of Curriculum Completion'!$EM$4:$EM$38,'Status of Curriculum Completion'!$EC$4:$EC$38,"CIC WE",'Status of Curriculum Completion'!$EI$4:$EI$38,"Tentative")+SUMIFS('Status of Curriculum Completion'!$EZ$4:$EZ$38,'Status of Curriculum Completion'!$EP$4:$EP$38,"CIC WE",'Status of Curriculum Completion'!$EV$4:$EV$38,"Tentative")</f>
        <v>0</v>
      </c>
    </row>
    <row r="107" spans="3:48" ht="15" hidden="1" thickBot="1">
      <c r="C107" s="63" t="s">
        <v>1169</v>
      </c>
      <c r="D107" s="59">
        <f>SUMIFS('Status of Curriculum Completion'!$M$4:$M$38,'Status of Curriculum Completion'!$C$4:$C$38,"AP",'Status of Curriculum Completion'!$G$4:$G$38,"Complete")+SUMIFS('Status of Curriculum Completion'!$Z$4:$Z$38,'Status of Curriculum Completion'!$P$4:$P$38,"AP",'Status of Curriculum Completion'!$T$4:$T$38,"Complete")+SUMIFS('Status of Curriculum Completion'!$AM$4:$AM$38,'Status of Curriculum Completion'!$AC$4:$AC$38,"AP",'Status of Curriculum Completion'!$AG$4:$AG$38,"Complete")</f>
        <v>0</v>
      </c>
      <c r="E107" s="59">
        <f>SUMIFS('Status of Curriculum Completion'!$M$4:$M$38,'Status of Curriculum Completion'!$C$4:$C$38,"AP",'Status of Curriculum Completion'!$G$4:$G$38,"In progress")+SUMIFS('Status of Curriculum Completion'!$Z$4:$Z$38,'Status of Curriculum Completion'!$P$4:$P$38,"AP",'Status of Curriculum Completion'!$T$4:$T$38,"In progress")+SUMIFS('Status of Curriculum Completion'!$AM$4:$AM$38,'Status of Curriculum Completion'!$AC$4:$AC$38,"AP",'Status of Curriculum Completion'!$AG$4:$AG$38,"In progress")</f>
        <v>0</v>
      </c>
      <c r="F107" s="59">
        <f>SUMIFS('Status of Curriculum Completion'!$M$4:$M$38,'Status of Curriculum Completion'!$C$4:$C$38,"AP",'Status of Curriculum Completion'!$G$4:$G$38,"Planned")+SUMIFS('Status of Curriculum Completion'!$Z$4:$Z$38,'Status of Curriculum Completion'!$P$4:$P$38,"AP",'Status of Curriculum Completion'!$T$4:$T$38,"Planned")+SUMIFS('Status of Curriculum Completion'!$AM$4:$AM$38,'Status of Curriculum Completion'!$AC$4:$AC$38,"AP",'Status of Curriculum Completion'!$AG$4:$AG$38,"Planned")</f>
        <v>0</v>
      </c>
      <c r="G107" s="59">
        <f>SUMIFS('Status of Curriculum Completion'!$M$4:$M$38,'Status of Curriculum Completion'!$C$4:$C$38,"AP",'Status of Curriculum Completion'!$H$4:$H$38,"Complete")+SUMIFS('Status of Curriculum Completion'!$Z$4:$Z$38,'Status of Curriculum Completion'!$P$4:$P$38,"AP",'Status of Curriculum Completion'!$U$4:$U$38,"Complete")+SUMIFS('Status of Curriculum Completion'!$AM$4:$AM$38,'Status of Curriculum Completion'!$AC$4:$AC$38,"AP",'Status of Curriculum Completion'!$AH$4:$AH$38,"Complete")</f>
        <v>0</v>
      </c>
      <c r="H107" s="59">
        <f>SUMIFS('Status of Curriculum Completion'!$M$4:$M$38,'Status of Curriculum Completion'!$C$4:$C$38,"AP",'Status of Curriculum Completion'!$H$4:$H$38,"In Progress")+SUMIFS('Status of Curriculum Completion'!$Z$4:$Z$38,'Status of Curriculum Completion'!$P$4:$P$38,"AP",'Status of Curriculum Completion'!$U$4:$U$38,"In Progress")+SUMIFS('Status of Curriculum Completion'!$AM$4:$AM$38,'Status of Curriculum Completion'!$AC$4:$AC$38,"AP",'Status of Curriculum Completion'!$AH$4:$AH$38,"In Progress")</f>
        <v>0</v>
      </c>
      <c r="I107" s="59">
        <f>SUMIFS('Status of Curriculum Completion'!$M$4:$M$38,'Status of Curriculum Completion'!$C$4:$C$38,"AP",'Status of Curriculum Completion'!$H$4:$H$38,"Planned")+SUMIFS('Status of Curriculum Completion'!$Z$4:$Z$38,'Status of Curriculum Completion'!$P$4:$P$38,"AP",'Status of Curriculum Completion'!$U$4:$U$38,"Planned")+SUMIFS('Status of Curriculum Completion'!$AM$4:$AM$38,'Status of Curriculum Completion'!$AC$4:$AC$38,"AP",'Status of Curriculum Completion'!$AH$4:$AH$38,"Planned")</f>
        <v>0</v>
      </c>
      <c r="J107" s="59">
        <f>SUMIFS('Status of Curriculum Completion'!$M$4:$M$38,'Status of Curriculum Completion'!$C$4:$C$38,"AP",'Status of Curriculum Completion'!$I$4:$I$38,"Complete")+SUMIFS('Status of Curriculum Completion'!$Z$4:$Z$38,'Status of Curriculum Completion'!$P$4:$P$38,"AP",'Status of Curriculum Completion'!$V$4:$V$38,"Complete")+SUMIFS('Status of Curriculum Completion'!$AM$4:$AM$38,'Status of Curriculum Completion'!$AC$4:$AC$38,"AP",'Status of Curriculum Completion'!$AI$4:$AI$38,"Complete")</f>
        <v>0</v>
      </c>
      <c r="K107" s="59">
        <f>SUMIFS('Status of Curriculum Completion'!$M$4:$M$38,'Status of Curriculum Completion'!$C$4:$C$38,"AP",'Status of Curriculum Completion'!$I$4:$I$38,"In Progress")+SUMIFS('Status of Curriculum Completion'!$Z$4:$Z$38,'Status of Curriculum Completion'!$P$4:$P$38,"AP",'Status of Curriculum Completion'!$V$4:$V$38,"In Progress")+SUMIFS('Status of Curriculum Completion'!$AM$4:$AM$38,'Status of Curriculum Completion'!$AC$4:$AC$38,"AP",'Status of Curriculum Completion'!$AI$4:$AI$38,"In Progress")</f>
        <v>0</v>
      </c>
      <c r="L107" s="59">
        <f>SUMIFS('Status of Curriculum Completion'!$M$4:$M$38,'Status of Curriculum Completion'!$C$4:$C$38,"AP",'Status of Curriculum Completion'!$I$4:$I$38,"Planned")+SUMIFS('Status of Curriculum Completion'!$Z$4:$Z$38,'Status of Curriculum Completion'!$P$4:$P$38,"AP",'Status of Curriculum Completion'!$V$4:$V$38,"Planned")+SUMIFS('Status of Curriculum Completion'!$AM$4:$AM$38,'Status of Curriculum Completion'!$AC$4:$AC$38,"AP",'Status of Curriculum Completion'!$AI$4:$AI$38,"Planned")</f>
        <v>0</v>
      </c>
      <c r="M107" s="60">
        <f>SUMIFS('Status of Curriculum Completion'!$AZ$4:$AZ$38,'Status of Curriculum Completion'!$AP$4:$AP$38,"AP",'Status of Curriculum Completion'!$AT$4:$AT$38,"Complete")+SUMIFS('Status of Curriculum Completion'!$BM$4:$BM$38,'Status of Curriculum Completion'!$BC$4:$BC$38,"AP",'Status of Curriculum Completion'!$BG$4:$BG$38,"Complete")+SUMIFS('Status of Curriculum Completion'!$BZ$4:$BZ$38,'Status of Curriculum Completion'!$BP$4:$BP$38,"AP",'Status of Curriculum Completion'!$BT$4:$BT$38,"Complete")</f>
        <v>0</v>
      </c>
      <c r="N107" s="60">
        <f>SUMIFS('Status of Curriculum Completion'!$AZ$4:$AZ$38,'Status of Curriculum Completion'!$AP$4:$AP$38,"AP",'Status of Curriculum Completion'!$AT$4:$AT$38,"In Progress")+SUMIFS('Status of Curriculum Completion'!$BM$4:$BM$38,'Status of Curriculum Completion'!$BC$4:$BC$38,"AP",'Status of Curriculum Completion'!$BG$4:$BG$38,"In Progress")+SUMIFS('Status of Curriculum Completion'!$BZ$4:$BZ$38,'Status of Curriculum Completion'!$BP$4:$BP$38,"AP",'Status of Curriculum Completion'!$BT$4:$BT$38,"In Progress")</f>
        <v>0</v>
      </c>
      <c r="O107" s="60">
        <f>SUMIFS('Status of Curriculum Completion'!$AZ$4:$AZ$38,'Status of Curriculum Completion'!$AP$4:$AP$38,"AP",'Status of Curriculum Completion'!$AT$4:$AT$38,"Planned")+SUMIFS('Status of Curriculum Completion'!$BM$4:$BM$38,'Status of Curriculum Completion'!$BC$4:$BC$38,"AP",'Status of Curriculum Completion'!$BG$4:$BG$38,"Planned")+SUMIFS('Status of Curriculum Completion'!$BZ$4:$BZ$38,'Status of Curriculum Completion'!$BP$4:$BP$38,"AP",'Status of Curriculum Completion'!$BT$4:$BT$38,"Planned")</f>
        <v>0</v>
      </c>
      <c r="P107" s="60">
        <f>SUMIFS('Status of Curriculum Completion'!$AZ$4:$AZ$38,'Status of Curriculum Completion'!$AP$4:$AP$38,"AP",'Status of Curriculum Completion'!$AU$4:$AU$38,"Complete")+SUMIFS('Status of Curriculum Completion'!$BM$4:$BM$38,'Status of Curriculum Completion'!$BC$4:$BC$38,"AP",'Status of Curriculum Completion'!$BH$4:$BH$38,"Complete")+SUMIFS('Status of Curriculum Completion'!$BZ$4:$BZ$38,'Status of Curriculum Completion'!$BP$4:$BP$38,"AP",'Status of Curriculum Completion'!$BU$4:$BU$38,"Complete")</f>
        <v>0</v>
      </c>
      <c r="Q107" s="60">
        <f>SUMIFS('Status of Curriculum Completion'!$AZ$4:$AZ$38,'Status of Curriculum Completion'!$AP$4:$AP$38,"AP",'Status of Curriculum Completion'!$AU$4:$AU$38,"In Progress")+SUMIFS('Status of Curriculum Completion'!$BM$4:$BM$38,'Status of Curriculum Completion'!$BC$4:$BC$38,"AP",'Status of Curriculum Completion'!$BH$4:$BH$38,"In Progress")+SUMIFS('Status of Curriculum Completion'!$BZ$4:$BZ$38,'Status of Curriculum Completion'!$BP$4:$BP$38,"AP",'Status of Curriculum Completion'!$BU$4:$BU$38,"In Progress")</f>
        <v>0</v>
      </c>
      <c r="R107" s="60">
        <f>SUMIFS('Status of Curriculum Completion'!$AZ$4:$AZ$38,'Status of Curriculum Completion'!$AP$4:$AP$38,"AP",'Status of Curriculum Completion'!$AU$4:$AU$38,"Planned")+SUMIFS('Status of Curriculum Completion'!$BM$4:$BM$38,'Status of Curriculum Completion'!$BC$4:$BC$38,"AP",'Status of Curriculum Completion'!$BH$4:$BH$38,"Planned")+SUMIFS('Status of Curriculum Completion'!$BZ$4:$BZ$38,'Status of Curriculum Completion'!$BP$4:$BP$38,"AP",'Status of Curriculum Completion'!$BU$4:$BU$38,"Planned")</f>
        <v>0</v>
      </c>
      <c r="S107" s="60">
        <f>SUMIFS('Status of Curriculum Completion'!$AZ$4:$AZ$38,'Status of Curriculum Completion'!$AP$4:$AP$38,"AP",'Status of Curriculum Completion'!$AV$4:$AV$38,"Complete")+SUMIFS('Status of Curriculum Completion'!$BM$4:$BM$38,'Status of Curriculum Completion'!$BC$4:$BC$38,"AP",'Status of Curriculum Completion'!$BI$4:$BI$38,"Complete")+SUMIFS('Status of Curriculum Completion'!$BZ$4:$BZ$38,'Status of Curriculum Completion'!$BP$4:$BP$38,"AP",'Status of Curriculum Completion'!$BV$4:$BV$38,"Complete")</f>
        <v>0</v>
      </c>
      <c r="T107" s="60">
        <f>SUMIFS('Status of Curriculum Completion'!$AZ$4:$AZ$38,'Status of Curriculum Completion'!$AP$4:$AP$38,"AP",'Status of Curriculum Completion'!$AV$4:$AV$38,"In Progress")+SUMIFS('Status of Curriculum Completion'!$BM$4:$BM$38,'Status of Curriculum Completion'!$BC$4:$BC$38,"AP",'Status of Curriculum Completion'!$BI$4:$BI$38,"In Progress")+SUMIFS('Status of Curriculum Completion'!$BZ$4:$BZ$38,'Status of Curriculum Completion'!$BP$4:$BP$38,"AP",'Status of Curriculum Completion'!$BV$4:$BV$38,"In Progress")</f>
        <v>0</v>
      </c>
      <c r="U107" s="60">
        <f>SUMIFS('Status of Curriculum Completion'!$AZ$4:$AZ$38,'Status of Curriculum Completion'!$AP$4:$AP$38,"AP",'Status of Curriculum Completion'!$AV$4:$AV$38,"Planned")+SUMIFS('Status of Curriculum Completion'!$BM$4:$BM$38,'Status of Curriculum Completion'!$BC$4:$BC$38,"AP",'Status of Curriculum Completion'!$BI$4:$BI$38,"Planned")+SUMIFS('Status of Curriculum Completion'!$BZ$4:$BZ$38,'Status of Curriculum Completion'!$BP$4:$BP$38,"AP",'Status of Curriculum Completion'!$BV$4:$BV$38,"Planned")</f>
        <v>0</v>
      </c>
      <c r="V107" s="58"/>
      <c r="W107"/>
      <c r="X107" s="63" t="s">
        <v>1169</v>
      </c>
      <c r="Y107" s="61">
        <f>SUMIFS('Status of Curriculum Completion'!$CM$4:$CM$38,'Status of Curriculum Completion'!$CC$4:$CC$38,"AP",'Status of Curriculum Completion'!$CG$4:$CG$38,"Complete")+SUMIFS('Status of Curriculum Completion'!$CZ$4:$CZ$38,'Status of Curriculum Completion'!$CP$4:$CP$38,"AP",'Status of Curriculum Completion'!$CT$4:$CT$38,"Complete")+SUMIFS('Status of Curriculum Completion'!$DM$4:$DM$38,'Status of Curriculum Completion'!$DC$4:$DC$38,"AP",'Status of Curriculum Completion'!$DG$4:$DG$38,"Complete")</f>
        <v>0</v>
      </c>
      <c r="Z107" s="61">
        <f>SUMIFS('Status of Curriculum Completion'!$CM$4:$CM$38,'Status of Curriculum Completion'!$CC$4:$CC$38,"AP",'Status of Curriculum Completion'!$CG$4:$CG$38,"In Progress")+SUMIFS('Status of Curriculum Completion'!$CZ$4:$CZ$38,'Status of Curriculum Completion'!$CP$4:$CP$38,"AP",'Status of Curriculum Completion'!$CT$4:$CT$38,"In Progress")+SUMIFS('Status of Curriculum Completion'!$DM$4:$DM$38,'Status of Curriculum Completion'!$DC$4:$DC$38,"AP",'Status of Curriculum Completion'!$DG$4:$DG$38,"In Progress")</f>
        <v>0</v>
      </c>
      <c r="AA107" s="61">
        <f>SUMIFS('Status of Curriculum Completion'!$CM$4:$CM$38,'Status of Curriculum Completion'!$CC$4:$CC$38,"AP",'Status of Curriculum Completion'!$CG$4:$CG$38,"Planned")+SUMIFS('Status of Curriculum Completion'!$CZ$4:$CZ$38,'Status of Curriculum Completion'!$CP$4:$CP$38,"AP",'Status of Curriculum Completion'!$CT$4:$CT$38,"Planned")+SUMIFS('Status of Curriculum Completion'!$DM$4:$DM$38,'Status of Curriculum Completion'!$DC$4:$DC$38,"AP",'Status of Curriculum Completion'!$DG$4:$DG$38,"Planned")</f>
        <v>0</v>
      </c>
      <c r="AB107" s="61">
        <f>SUMIFS('Status of Curriculum Completion'!$CM$4:$CM$38,'Status of Curriculum Completion'!$CC$4:$CC$38,"AP",'Status of Curriculum Completion'!$CG$4:$CG$38,"Tentative")+SUMIFS('Status of Curriculum Completion'!$CZ$4:$CZ$38,'Status of Curriculum Completion'!$CP$4:$CP$38,"AP",'Status of Curriculum Completion'!$CT$4:$CT$38,"Tentative")+SUMIFS('Status of Curriculum Completion'!$DM$4:$DM$38,'Status of Curriculum Completion'!$DC$4:$DC$38,"AP",'Status of Curriculum Completion'!$DG$4:$DG$38,"Tentative")</f>
        <v>0</v>
      </c>
      <c r="AC107" s="61">
        <f>SUMIFS('Status of Curriculum Completion'!$CM$4:$CM$38,'Status of Curriculum Completion'!$CC$4:$CC$38,"AP",'Status of Curriculum Completion'!$CH$4:$CH$38,"Complete")+SUMIFS('Status of Curriculum Completion'!$CZ$4:$CZ$38,'Status of Curriculum Completion'!$CP$4:$CP$38,"AP",'Status of Curriculum Completion'!$CU$4:$CU$38,"Complete")+SUMIFS('Status of Curriculum Completion'!$DM$4:$DM$38,'Status of Curriculum Completion'!$DC$4:$DC$38,"AP",'Status of Curriculum Completion'!$DH$4:$DH$38,"Complete")</f>
        <v>0</v>
      </c>
      <c r="AD107" s="61">
        <f>SUMIFS('Status of Curriculum Completion'!$CM$4:$CM$38,'Status of Curriculum Completion'!$CC$4:$CC$38,"AP",'Status of Curriculum Completion'!$CH$4:$CH$38,"In Progress")+SUMIFS('Status of Curriculum Completion'!$CZ$4:$CZ$38,'Status of Curriculum Completion'!$CP$4:$CP$38,"AP",'Status of Curriculum Completion'!$CU$4:$CU$38,"In Progress")+SUMIFS('Status of Curriculum Completion'!$DM$4:$DM$38,'Status of Curriculum Completion'!$DC$4:$DC$38,"AP",'Status of Curriculum Completion'!$DH$4:$DH$38,"In Progress")</f>
        <v>0</v>
      </c>
      <c r="AE107" s="61">
        <f>SUMIFS('Status of Curriculum Completion'!$CM$4:$CM$38,'Status of Curriculum Completion'!$CC$4:$CC$38,"AP",'Status of Curriculum Completion'!$CH$4:$CH$38,"Planned")+SUMIFS('Status of Curriculum Completion'!$CZ$4:$CZ$38,'Status of Curriculum Completion'!$CP$4:$CP$38,"AP",'Status of Curriculum Completion'!$CU$4:$CU$38,"Planned")+SUMIFS('Status of Curriculum Completion'!$DM$4:$DM$38,'Status of Curriculum Completion'!$DC$4:$DC$38,"AP",'Status of Curriculum Completion'!$DH$4:$DH$38,"Planned")</f>
        <v>0</v>
      </c>
      <c r="AF107" s="61">
        <f>SUMIFS('Status of Curriculum Completion'!$CM$4:$CM$38,'Status of Curriculum Completion'!$CC$4:$CC$38,"AP",'Status of Curriculum Completion'!$CH$4:$CH$38,"Tentative")+SUMIFS('Status of Curriculum Completion'!$CZ$4:$CZ$38,'Status of Curriculum Completion'!$CP$4:$CP$38,"AP",'Status of Curriculum Completion'!$CU$4:$CU$38,"Tentative")+SUMIFS('Status of Curriculum Completion'!$DM$4:$DM$38,'Status of Curriculum Completion'!$DC$4:$DC$38,"AP",'Status of Curriculum Completion'!$DH$4:$DH$38,"Tentative")</f>
        <v>0</v>
      </c>
      <c r="AG107" s="61">
        <f>SUMIFS('Status of Curriculum Completion'!$CM$4:$CM$38,'Status of Curriculum Completion'!$CC$4:$CC$38,"AP",'Status of Curriculum Completion'!$CI$4:$CI$38,"Complete")+SUMIFS('Status of Curriculum Completion'!$CZ$4:$CZ$38,'Status of Curriculum Completion'!$CP$4:$CP$38,"AP",'Status of Curriculum Completion'!$CV$4:$CV$38,"Complete")+SUMIFS('Status of Curriculum Completion'!$DM$4:$DM$38,'Status of Curriculum Completion'!$DC$4:$DC$38,"AP",'Status of Curriculum Completion'!$DI$4:$DI$38,"Complete")</f>
        <v>0</v>
      </c>
      <c r="AH107" s="61">
        <f>SUMIFS('Status of Curriculum Completion'!$CM$4:$CM$38,'Status of Curriculum Completion'!$CC$4:$CC$38,"AP",'Status of Curriculum Completion'!$CI$4:$CI$38,"In Progress")+SUMIFS('Status of Curriculum Completion'!$CZ$4:$CZ$38,'Status of Curriculum Completion'!$CP$4:$CP$38,"AP",'Status of Curriculum Completion'!$CV$4:$CV$38,"In Progress")+SUMIFS('Status of Curriculum Completion'!$DM$4:$DM$38,'Status of Curriculum Completion'!$DC$4:$DC$38,"AP",'Status of Curriculum Completion'!$DI$4:$DI$38,"In Progress")</f>
        <v>0</v>
      </c>
      <c r="AI107" s="61">
        <f>SUMIFS('Status of Curriculum Completion'!$CM$4:$CM$38,'Status of Curriculum Completion'!$CC$4:$CC$38,"AP",'Status of Curriculum Completion'!$CI$4:$CI$38,"Planned")+SUMIFS('Status of Curriculum Completion'!$CZ$4:$CZ$38,'Status of Curriculum Completion'!$CP$4:$CP$38,"AP",'Status of Curriculum Completion'!$CV$4:$CV$38,"Planned")+SUMIFS('Status of Curriculum Completion'!$DM$4:$DM$38,'Status of Curriculum Completion'!$DC$4:$DC$38,"AP",'Status of Curriculum Completion'!$DI$4:$DI$38,"Planned")</f>
        <v>0</v>
      </c>
      <c r="AJ107" s="61">
        <f>SUMIFS('Status of Curriculum Completion'!$CM$4:$CM$38,'Status of Curriculum Completion'!$CC$4:$CC$38,"AP",'Status of Curriculum Completion'!$CI$4:$CI$38,"Tentative")+SUMIFS('Status of Curriculum Completion'!$CZ$4:$CZ$38,'Status of Curriculum Completion'!$CP$4:$CP$38,"AP",'Status of Curriculum Completion'!$CV$4:$CV$38,"Tentative")+SUMIFS('Status of Curriculum Completion'!$DM$4:$DM$38,'Status of Curriculum Completion'!$DC$4:$DC$38,"AP",'Status of Curriculum Completion'!$DI$4:$DI$38,"Tentative")</f>
        <v>0</v>
      </c>
      <c r="AK107" s="62">
        <f>SUMIFS('Status of Curriculum Completion'!$DZ$4:$DZ$38,'Status of Curriculum Completion'!$DP$4:$DP$38,"AP",'Status of Curriculum Completion'!$DT$4:$DT$38,"Complete")+SUMIFS('Status of Curriculum Completion'!$EM$4:$EM$38,'Status of Curriculum Completion'!$EC$4:$EC$38,"AP",'Status of Curriculum Completion'!$EG$4:$EG$38,"Complete")+SUMIFS('Status of Curriculum Completion'!$EZ$4:$EZ$38,'Status of Curriculum Completion'!$EP$4:$EP$38,"AP",'Status of Curriculum Completion'!$ET$4:$ET$38,"Complete")</f>
        <v>0</v>
      </c>
      <c r="AL107" s="62">
        <f>SUMIFS('Status of Curriculum Completion'!$DZ$4:$DZ$38,'Status of Curriculum Completion'!$DP$4:$DP$38,"AP",'Status of Curriculum Completion'!$DT$4:$DT$38,"In Progress")+SUMIFS('Status of Curriculum Completion'!$EM$4:$EM$38,'Status of Curriculum Completion'!$EC$4:$EC$38,"AP",'Status of Curriculum Completion'!$EG$4:$EG$38,"In Progress")+SUMIFS('Status of Curriculum Completion'!$EZ$4:$EZ$38,'Status of Curriculum Completion'!$EP$4:$EP$38,"AP",'Status of Curriculum Completion'!$ET$4:$ET$38,"In Progress")</f>
        <v>0</v>
      </c>
      <c r="AM107" s="62">
        <f>SUMIFS('Status of Curriculum Completion'!$DZ$4:$DZ$38,'Status of Curriculum Completion'!$DP$4:$DP$38,"AP",'Status of Curriculum Completion'!$DT$4:$DT$38,"Planned")+SUMIFS('Status of Curriculum Completion'!$EM$4:$EM$38,'Status of Curriculum Completion'!$EC$4:$EC$38,"AP",'Status of Curriculum Completion'!$EG$4:$EG$38,"Planned")+SUMIFS('Status of Curriculum Completion'!$EZ$4:$EZ$38,'Status of Curriculum Completion'!$EP$4:$EP$38,"AP",'Status of Curriculum Completion'!$ET$4:$ET$38,"Planned")</f>
        <v>0</v>
      </c>
      <c r="AN107" s="62">
        <f>SUMIFS('Status of Curriculum Completion'!$DZ$4:$DZ$38,'Status of Curriculum Completion'!$DP$4:$DP$38,"AP",'Status of Curriculum Completion'!$DT$4:$DT$38,"Tentative")+SUMIFS('Status of Curriculum Completion'!$EM$4:$EM$38,'Status of Curriculum Completion'!$EC$4:$EC$38,"AP",'Status of Curriculum Completion'!$EG$4:$EG$38,"Tentative")+SUMIFS('Status of Curriculum Completion'!$EZ$4:$EZ$38,'Status of Curriculum Completion'!$EP$4:$EP$38,"AP",'Status of Curriculum Completion'!$ET$4:$ET$38,"Tentative")</f>
        <v>0</v>
      </c>
      <c r="AO107" s="62">
        <f>SUMIFS('Status of Curriculum Completion'!$DZ$4:$DZ$38,'Status of Curriculum Completion'!$DP$4:$DP$38,"AP",'Status of Curriculum Completion'!$DU$4:$DU$38,"Complete")+SUMIFS('Status of Curriculum Completion'!$EM$4:$EM$38,'Status of Curriculum Completion'!$EC$4:$EC$38,"AP",'Status of Curriculum Completion'!$EH$4:$EH$38,"Complete")+SUMIFS('Status of Curriculum Completion'!$EZ$4:$EZ$38,'Status of Curriculum Completion'!$EP$4:$EP$38,"AP",'Status of Curriculum Completion'!$EU$4:$EU$38,"Complete")</f>
        <v>0</v>
      </c>
      <c r="AP107" s="62">
        <f>SUMIFS('Status of Curriculum Completion'!$DZ$4:$DZ$38,'Status of Curriculum Completion'!$DP$4:$DP$38,"AP",'Status of Curriculum Completion'!$DU$4:$DU$38,"In Progress")+SUMIFS('Status of Curriculum Completion'!$EM$4:$EM$38,'Status of Curriculum Completion'!$EC$4:$EC$38,"AP",'Status of Curriculum Completion'!$EH$4:$EH$38,"In Progress")+SUMIFS('Status of Curriculum Completion'!$EZ$4:$EZ$38,'Status of Curriculum Completion'!$EP$4:$EP$38,"AP",'Status of Curriculum Completion'!$EU$4:$EU$38,"In Progress")</f>
        <v>0</v>
      </c>
      <c r="AQ107" s="62">
        <f>SUMIFS('Status of Curriculum Completion'!$DZ$4:$DZ$38,'Status of Curriculum Completion'!$DP$4:$DP$38,"AP",'Status of Curriculum Completion'!$DU$4:$DU$38,"Planned")+SUMIFS('Status of Curriculum Completion'!$EM$4:$EM$38,'Status of Curriculum Completion'!$EC$4:$EC$38,"AP",'Status of Curriculum Completion'!$EH$4:$EH$38,"Planned")+SUMIFS('Status of Curriculum Completion'!$EZ$4:$EZ$38,'Status of Curriculum Completion'!$EP$4:$EP$38,"AP",'Status of Curriculum Completion'!$EU$4:$EU$38,"Planned")</f>
        <v>0</v>
      </c>
      <c r="AR107" s="62">
        <f>SUMIFS('Status of Curriculum Completion'!$DZ$4:$DZ$38,'Status of Curriculum Completion'!$DP$4:$DP$38,"AP",'Status of Curriculum Completion'!$DU$4:$DU$38,"Tentative")+SUMIFS('Status of Curriculum Completion'!$EM$4:$EM$38,'Status of Curriculum Completion'!$EC$4:$EC$38,"AP",'Status of Curriculum Completion'!$EH$4:$EH$38,"Tentative")+SUMIFS('Status of Curriculum Completion'!$EZ$4:$EZ$38,'Status of Curriculum Completion'!$EP$4:$EP$38,"AP",'Status of Curriculum Completion'!$EU$4:$EU$38,"Tentative")</f>
        <v>0</v>
      </c>
      <c r="AS107" s="62">
        <f>SUMIFS('Status of Curriculum Completion'!$DZ$4:$DZ$38,'Status of Curriculum Completion'!$DP$4:$DP$38,"AP",'Status of Curriculum Completion'!$DV$4:$DV$38,"Complete")+SUMIFS('Status of Curriculum Completion'!$EM$4:$EM$38,'Status of Curriculum Completion'!$EC$4:$EC$38,"AP",'Status of Curriculum Completion'!$EI$4:$EI$38,"Complete")+SUMIFS('Status of Curriculum Completion'!$EZ$4:$EZ$38,'Status of Curriculum Completion'!$EP$4:$EP$38,"AP",'Status of Curriculum Completion'!$EV$4:$EV$38,"Complete")</f>
        <v>0</v>
      </c>
      <c r="AT107" s="62">
        <f>SUMIFS('Status of Curriculum Completion'!$DZ$4:$DZ$38,'Status of Curriculum Completion'!$DP$4:$DP$38,"AP",'Status of Curriculum Completion'!$DV$4:$DV$38,"In Progress")+SUMIFS('Status of Curriculum Completion'!$EM$4:$EM$38,'Status of Curriculum Completion'!$EC$4:$EC$38,"AP",'Status of Curriculum Completion'!$EI$4:$EI$38,"In Progress")+SUMIFS('Status of Curriculum Completion'!$EZ$4:$EZ$38,'Status of Curriculum Completion'!$EP$4:$EP$38,"AP",'Status of Curriculum Completion'!$EV$4:$EV$38,"In Progress")</f>
        <v>0</v>
      </c>
      <c r="AU107" s="62">
        <f>SUMIFS('Status of Curriculum Completion'!$DZ$4:$DZ$38,'Status of Curriculum Completion'!$DP$4:$DP$38,"AP",'Status of Curriculum Completion'!$DV$4:$DV$38,"Planned")+SUMIFS('Status of Curriculum Completion'!$EM$4:$EM$38,'Status of Curriculum Completion'!$EC$4:$EC$38,"AP",'Status of Curriculum Completion'!$EI$4:$EI$38,"Planned")+SUMIFS('Status of Curriculum Completion'!$EZ$4:$EZ$38,'Status of Curriculum Completion'!$EP$4:$EP$38,"AP",'Status of Curriculum Completion'!$EV$4:$EV$38,"Planned")</f>
        <v>0</v>
      </c>
      <c r="AV107" s="62">
        <f>SUMIFS('Status of Curriculum Completion'!$DZ$4:$DZ$38,'Status of Curriculum Completion'!$DP$4:$DP$38,"AP",'Status of Curriculum Completion'!$DV$4:$DV$38,"Tentative")+SUMIFS('Status of Curriculum Completion'!$EM$4:$EM$38,'Status of Curriculum Completion'!$EC$4:$EC$38,"AP",'Status of Curriculum Completion'!$EI$4:$EI$38,"Tentative")+SUMIFS('Status of Curriculum Completion'!$EZ$4:$EZ$38,'Status of Curriculum Completion'!$EP$4:$EP$38,"AP",'Status of Curriculum Completion'!$EV$4:$EV$38,"Tentative")</f>
        <v>0</v>
      </c>
    </row>
    <row r="108" spans="3:48" ht="29.5" hidden="1" thickBot="1">
      <c r="C108" s="63" t="s">
        <v>1170</v>
      </c>
      <c r="D108" s="59">
        <f>SUMIFS('Status of Curriculum Completion'!$M$4:$M$38,'Status of Curriculum Completion'!$C$4:$C$38,"Geo China",'Status of Curriculum Completion'!$G$4:$G$38,"Complete")+SUMIFS('Status of Curriculum Completion'!$Z$4:$Z$38,'Status of Curriculum Completion'!$P$4:$P$38,"Geo China",'Status of Curriculum Completion'!$T$4:$T$38,"Complete")+SUMIFS('Status of Curriculum Completion'!$AM$4:$AM$38,'Status of Curriculum Completion'!$AC$4:$AC$38,"Geo China",'Status of Curriculum Completion'!$AG$4:$AG$38,"Complete")</f>
        <v>0</v>
      </c>
      <c r="E108" s="59">
        <f>SUMIFS('Status of Curriculum Completion'!$M$4:$M$38,'Status of Curriculum Completion'!$C$4:$C$38,"Geo China",'Status of Curriculum Completion'!$G$4:$G$38,"In progress")+SUMIFS('Status of Curriculum Completion'!$Z$4:$Z$38,'Status of Curriculum Completion'!$P$4:$P$38,"Geo China",'Status of Curriculum Completion'!$T$4:$T$38,"In progress")+SUMIFS('Status of Curriculum Completion'!$AM$4:$AM$38,'Status of Curriculum Completion'!$AC$4:$AC$38,"Geo China",'Status of Curriculum Completion'!$AG$4:$AG$38,"In progress")</f>
        <v>0</v>
      </c>
      <c r="F108" s="59">
        <f>SUMIFS('Status of Curriculum Completion'!$M$4:$M$38,'Status of Curriculum Completion'!$C$4:$C$38,"Geo China",'Status of Curriculum Completion'!$G$4:$G$38,"Planned")+SUMIFS('Status of Curriculum Completion'!$Z$4:$Z$38,'Status of Curriculum Completion'!$P$4:$P$38,"Geo China",'Status of Curriculum Completion'!$T$4:$T$38,"Planned")+SUMIFS('Status of Curriculum Completion'!$AM$4:$AM$38,'Status of Curriculum Completion'!$AC$4:$AC$38,"Geo China",'Status of Curriculum Completion'!$AG$4:$AG$38,"Planned")</f>
        <v>0</v>
      </c>
      <c r="G108" s="59">
        <f>SUMIFS('Status of Curriculum Completion'!$M$4:$M$38,'Status of Curriculum Completion'!$C$4:$C$38,"Geo China",'Status of Curriculum Completion'!$H$4:$H$38,"Complete")+SUMIFS('Status of Curriculum Completion'!$Z$4:$Z$38,'Status of Curriculum Completion'!$P$4:$P$38,"Geo China",'Status of Curriculum Completion'!$U$4:$U$38,"Complete")+SUMIFS('Status of Curriculum Completion'!$AM$4:$AM$38,'Status of Curriculum Completion'!$AC$4:$AC$38,"Geo China",'Status of Curriculum Completion'!$AH$4:$AH$38,"Complete")</f>
        <v>0</v>
      </c>
      <c r="H108" s="59">
        <f>SUMIFS('Status of Curriculum Completion'!$M$4:$M$38,'Status of Curriculum Completion'!$C$4:$C$38,"Geo China",'Status of Curriculum Completion'!$H$4:$H$38,"In Progress")+SUMIFS('Status of Curriculum Completion'!$Z$4:$Z$38,'Status of Curriculum Completion'!$P$4:$P$38,"Geo China",'Status of Curriculum Completion'!$U$4:$U$38,"In Progress")+SUMIFS('Status of Curriculum Completion'!$AM$4:$AM$38,'Status of Curriculum Completion'!$AC$4:$AC$38,"Geo China",'Status of Curriculum Completion'!$AH$4:$AH$38,"In Progress")</f>
        <v>0</v>
      </c>
      <c r="I108" s="59">
        <f>SUMIFS('Status of Curriculum Completion'!$M$4:$M$38,'Status of Curriculum Completion'!$C$4:$C$38,"Geo China",'Status of Curriculum Completion'!$H$4:$H$38,"Planned")+SUMIFS('Status of Curriculum Completion'!$Z$4:$Z$38,'Status of Curriculum Completion'!$P$4:$P$38,"Geo China",'Status of Curriculum Completion'!$U$4:$U$38,"Planned")+SUMIFS('Status of Curriculum Completion'!$AM$4:$AM$38,'Status of Curriculum Completion'!$AC$4:$AC$38,"Geo China",'Status of Curriculum Completion'!$AH$4:$AH$38,"Planned")</f>
        <v>0</v>
      </c>
      <c r="J108" s="59">
        <f>SUMIFS('Status of Curriculum Completion'!$M$4:$M$38,'Status of Curriculum Completion'!$C$4:$C$38,"Geo China",'Status of Curriculum Completion'!$I$4:$I$38,"Complete")+SUMIFS('Status of Curriculum Completion'!$Z$4:$Z$38,'Status of Curriculum Completion'!$P$4:$P$38,"Geo China",'Status of Curriculum Completion'!$V$4:$V$38,"Complete")+SUMIFS('Status of Curriculum Completion'!$AM$4:$AM$38,'Status of Curriculum Completion'!$AC$4:$AC$38,"Geo China",'Status of Curriculum Completion'!$AI$4:$AI$38,"Complete")</f>
        <v>0</v>
      </c>
      <c r="K108" s="59">
        <f>SUMIFS('Status of Curriculum Completion'!$M$4:$M$38,'Status of Curriculum Completion'!$C$4:$C$38,"Geo China",'Status of Curriculum Completion'!$I$4:$I$38,"In Progress")+SUMIFS('Status of Curriculum Completion'!$Z$4:$Z$38,'Status of Curriculum Completion'!$P$4:$P$38,"Geo China",'Status of Curriculum Completion'!$V$4:$V$38,"In Progress")+SUMIFS('Status of Curriculum Completion'!$AM$4:$AM$38,'Status of Curriculum Completion'!$AC$4:$AC$38,"Geo China",'Status of Curriculum Completion'!$AI$4:$AI$38,"In Progress")</f>
        <v>0</v>
      </c>
      <c r="L108" s="59">
        <f>SUMIFS('Status of Curriculum Completion'!$M$4:$M$38,'Status of Curriculum Completion'!$C$4:$C$38,"Geo China",'Status of Curriculum Completion'!$I$4:$I$38,"Planned")+SUMIFS('Status of Curriculum Completion'!$Z$4:$Z$38,'Status of Curriculum Completion'!$P$4:$P$38,"Geo China",'Status of Curriculum Completion'!$V$4:$V$38,"Planned")+SUMIFS('Status of Curriculum Completion'!$AM$4:$AM$38,'Status of Curriculum Completion'!$AC$4:$AC$38,"Geo China",'Status of Curriculum Completion'!$AI$4:$AI$38,"Planned")</f>
        <v>0</v>
      </c>
      <c r="M108" s="60">
        <f>SUMIFS('Status of Curriculum Completion'!$AZ$4:$AZ$38,'Status of Curriculum Completion'!$AP$4:$AP$38,"Geo China",'Status of Curriculum Completion'!$AT$4:$AT$38,"Complete")+SUMIFS('Status of Curriculum Completion'!$BM$4:$BM$38,'Status of Curriculum Completion'!$BC$4:$BC$38,"Geo China",'Status of Curriculum Completion'!$BG$4:$BG$38,"Complete")+SUMIFS('Status of Curriculum Completion'!$BZ$4:$BZ$38,'Status of Curriculum Completion'!$BP$4:$BP$38,"Geo China",'Status of Curriculum Completion'!$BT$4:$BT$38,"Complete")</f>
        <v>0</v>
      </c>
      <c r="N108" s="60">
        <f>SUMIFS('Status of Curriculum Completion'!$AZ$4:$AZ$38,'Status of Curriculum Completion'!$AP$4:$AP$38,"Geo China",'Status of Curriculum Completion'!$AT$4:$AT$38,"In Progress")+SUMIFS('Status of Curriculum Completion'!$BM$4:$BM$38,'Status of Curriculum Completion'!$BC$4:$BC$38,"Geo China",'Status of Curriculum Completion'!$BG$4:$BG$38,"In Progress")+SUMIFS('Status of Curriculum Completion'!$BZ$4:$BZ$38,'Status of Curriculum Completion'!$BP$4:$BP$38,"Geo China",'Status of Curriculum Completion'!$BT$4:$BT$38,"In Progress")</f>
        <v>0</v>
      </c>
      <c r="O108" s="60">
        <f>SUMIFS('Status of Curriculum Completion'!$AZ$4:$AZ$38,'Status of Curriculum Completion'!$AP$4:$AP$38,"Geo China",'Status of Curriculum Completion'!$AT$4:$AT$38,"Planned")+SUMIFS('Status of Curriculum Completion'!$BM$4:$BM$38,'Status of Curriculum Completion'!$BC$4:$BC$38,"Geo China",'Status of Curriculum Completion'!$BG$4:$BG$38,"Planned")+SUMIFS('Status of Curriculum Completion'!$BZ$4:$BZ$38,'Status of Curriculum Completion'!$BP$4:$BP$38,"Geo China",'Status of Curriculum Completion'!$BT$4:$BT$38,"Planned")</f>
        <v>0</v>
      </c>
      <c r="P108" s="60">
        <f>SUMIFS('Status of Curriculum Completion'!$AZ$4:$AZ$38,'Status of Curriculum Completion'!$AP$4:$AP$38,"Geo China",'Status of Curriculum Completion'!$AU$4:$AU$38,"Complete")+SUMIFS('Status of Curriculum Completion'!$BM$4:$BM$38,'Status of Curriculum Completion'!$BC$4:$BC$38,"Geo China",'Status of Curriculum Completion'!$BH$4:$BH$38,"Complete")+SUMIFS('Status of Curriculum Completion'!$BZ$4:$BZ$38,'Status of Curriculum Completion'!$BP$4:$BP$38,"Geo China",'Status of Curriculum Completion'!$BU$4:$BU$38,"Complete")</f>
        <v>0</v>
      </c>
      <c r="Q108" s="60">
        <f>SUMIFS('Status of Curriculum Completion'!$AZ$4:$AZ$38,'Status of Curriculum Completion'!$AP$4:$AP$38,"Geo China",'Status of Curriculum Completion'!$AU$4:$AU$38,"In Progress")+SUMIFS('Status of Curriculum Completion'!$BM$4:$BM$38,'Status of Curriculum Completion'!$BC$4:$BC$38,"Geo China",'Status of Curriculum Completion'!$BH$4:$BH$38,"In Progress")+SUMIFS('Status of Curriculum Completion'!$BZ$4:$BZ$38,'Status of Curriculum Completion'!$BP$4:$BP$38,"Geo China",'Status of Curriculum Completion'!$BU$4:$BU$38,"In Progress")</f>
        <v>0</v>
      </c>
      <c r="R108" s="60">
        <f>SUMIFS('Status of Curriculum Completion'!$AZ$4:$AZ$38,'Status of Curriculum Completion'!$AP$4:$AP$38,"Geo China",'Status of Curriculum Completion'!$AU$4:$AU$38,"Planned")+SUMIFS('Status of Curriculum Completion'!$BM$4:$BM$38,'Status of Curriculum Completion'!$BC$4:$BC$38,"Geo China",'Status of Curriculum Completion'!$BH$4:$BH$38,"Planned")+SUMIFS('Status of Curriculum Completion'!$BZ$4:$BZ$38,'Status of Curriculum Completion'!$BP$4:$BP$38,"Geo China",'Status of Curriculum Completion'!$BU$4:$BU$38,"Planned")</f>
        <v>0</v>
      </c>
      <c r="S108" s="60">
        <f>SUMIFS('Status of Curriculum Completion'!$AZ$4:$AZ$38,'Status of Curriculum Completion'!$AP$4:$AP$38,"Geo China",'Status of Curriculum Completion'!$AV$4:$AV$38,"Complete")+SUMIFS('Status of Curriculum Completion'!$BM$4:$BM$38,'Status of Curriculum Completion'!$BC$4:$BC$38,"Geo China",'Status of Curriculum Completion'!$BI$4:$BI$38,"Complete")+SUMIFS('Status of Curriculum Completion'!$BZ$4:$BZ$38,'Status of Curriculum Completion'!$BP$4:$BP$38,"Geo China",'Status of Curriculum Completion'!$BV$4:$BV$38,"Complete")</f>
        <v>0</v>
      </c>
      <c r="T108" s="60">
        <f>SUMIFS('Status of Curriculum Completion'!$AZ$4:$AZ$38,'Status of Curriculum Completion'!$AP$4:$AP$38,"Geo China",'Status of Curriculum Completion'!$AV$4:$AV$38,"In Progress")+SUMIFS('Status of Curriculum Completion'!$BM$4:$BM$38,'Status of Curriculum Completion'!$BC$4:$BC$38,"Geo China",'Status of Curriculum Completion'!$BI$4:$BI$38,"In Progress")+SUMIFS('Status of Curriculum Completion'!$BZ$4:$BZ$38,'Status of Curriculum Completion'!$BP$4:$BP$38,"Geo China",'Status of Curriculum Completion'!$BV$4:$BV$38,"In Progress")</f>
        <v>0</v>
      </c>
      <c r="U108" s="60">
        <f>SUMIFS('Status of Curriculum Completion'!$AZ$4:$AZ$38,'Status of Curriculum Completion'!$AP$4:$AP$38,"Geo China",'Status of Curriculum Completion'!$AV$4:$AV$38,"Planned")+SUMIFS('Status of Curriculum Completion'!$BM$4:$BM$38,'Status of Curriculum Completion'!$BC$4:$BC$38,"Geo China",'Status of Curriculum Completion'!$BI$4:$BI$38,"Planned")+SUMIFS('Status of Curriculum Completion'!$BZ$4:$BZ$38,'Status of Curriculum Completion'!$BP$4:$BP$38,"Geo China",'Status of Curriculum Completion'!$BV$4:$BV$38,"Planned")</f>
        <v>0</v>
      </c>
      <c r="V108" s="58"/>
      <c r="W108"/>
      <c r="X108" s="63" t="s">
        <v>1170</v>
      </c>
      <c r="Y108" s="61">
        <f>SUMIFS('Status of Curriculum Completion'!$CM$4:$CM$38,'Status of Curriculum Completion'!$CC$4:$CC$38,"Geo China",'Status of Curriculum Completion'!$CG$4:$CG$38,"Complete")+SUMIFS('Status of Curriculum Completion'!$CZ$4:$CZ$38,'Status of Curriculum Completion'!$CP$4:$CP$38,"Geo China",'Status of Curriculum Completion'!$CT$4:$CT$38,"Complete")+SUMIFS('Status of Curriculum Completion'!$DM$4:$DM$38,'Status of Curriculum Completion'!$DC$4:$DC$38,"Geo China",'Status of Curriculum Completion'!$DG$4:$DG$38,"Complete")</f>
        <v>0</v>
      </c>
      <c r="Z108" s="61">
        <f>SUMIFS('Status of Curriculum Completion'!$CM$4:$CM$38,'Status of Curriculum Completion'!$CC$4:$CC$38,"Geo China",'Status of Curriculum Completion'!$CG$4:$CG$38,"In Progress")+SUMIFS('Status of Curriculum Completion'!$CZ$4:$CZ$38,'Status of Curriculum Completion'!$CP$4:$CP$38,"Geo China",'Status of Curriculum Completion'!$CT$4:$CT$38,"In Progress")+SUMIFS('Status of Curriculum Completion'!$DM$4:$DM$38,'Status of Curriculum Completion'!$DC$4:$DC$38,"Geo China",'Status of Curriculum Completion'!$DG$4:$DG$38,"In Progress")</f>
        <v>0</v>
      </c>
      <c r="AA108" s="61">
        <f>SUMIFS('Status of Curriculum Completion'!$CM$4:$CM$38,'Status of Curriculum Completion'!$CC$4:$CC$38,"Geo China",'Status of Curriculum Completion'!$CG$4:$CG$38,"Planned")+SUMIFS('Status of Curriculum Completion'!$CZ$4:$CZ$38,'Status of Curriculum Completion'!$CP$4:$CP$38,"Geo China",'Status of Curriculum Completion'!$CT$4:$CT$38,"Planned")+SUMIFS('Status of Curriculum Completion'!$DM$4:$DM$38,'Status of Curriculum Completion'!$DC$4:$DC$38,"Geo China",'Status of Curriculum Completion'!$DG$4:$DG$38,"Planned")</f>
        <v>0</v>
      </c>
      <c r="AB108" s="61">
        <f>SUMIFS('Status of Curriculum Completion'!$CM$4:$CM$38,'Status of Curriculum Completion'!$CC$4:$CC$38,"Geo China",'Status of Curriculum Completion'!$CG$4:$CG$38,"Tentative")+SUMIFS('Status of Curriculum Completion'!$CZ$4:$CZ$38,'Status of Curriculum Completion'!$CP$4:$CP$38,"Geo China",'Status of Curriculum Completion'!$CT$4:$CT$38,"Tentative")+SUMIFS('Status of Curriculum Completion'!$DM$4:$DM$38,'Status of Curriculum Completion'!$DC$4:$DC$38,"Geo China",'Status of Curriculum Completion'!$DG$4:$DG$38,"Tentative")</f>
        <v>0</v>
      </c>
      <c r="AC108" s="61">
        <f>SUMIFS('Status of Curriculum Completion'!$CM$4:$CM$38,'Status of Curriculum Completion'!$CC$4:$CC$38,"Geo China",'Status of Curriculum Completion'!$CH$4:$CH$38,"Complete")+SUMIFS('Status of Curriculum Completion'!$CZ$4:$CZ$38,'Status of Curriculum Completion'!$CP$4:$CP$38,"Geo China",'Status of Curriculum Completion'!$CU$4:$CU$38,"Complete")+SUMIFS('Status of Curriculum Completion'!$DM$4:$DM$38,'Status of Curriculum Completion'!$DC$4:$DC$38,"Geo China",'Status of Curriculum Completion'!$DH$4:$DH$38,"Complete")</f>
        <v>0</v>
      </c>
      <c r="AD108" s="61">
        <f>SUMIFS('Status of Curriculum Completion'!$CM$4:$CM$38,'Status of Curriculum Completion'!$CC$4:$CC$38,"Geo China",'Status of Curriculum Completion'!$CH$4:$CH$38,"In Progress")+SUMIFS('Status of Curriculum Completion'!$CZ$4:$CZ$38,'Status of Curriculum Completion'!$CP$4:$CP$38,"Geo China",'Status of Curriculum Completion'!$CU$4:$CU$38,"In Progress")+SUMIFS('Status of Curriculum Completion'!$DM$4:$DM$38,'Status of Curriculum Completion'!$DC$4:$DC$38,"Geo China",'Status of Curriculum Completion'!$DH$4:$DH$38,"In Progress")</f>
        <v>0</v>
      </c>
      <c r="AE108" s="61">
        <f>SUMIFS('Status of Curriculum Completion'!$CM$4:$CM$38,'Status of Curriculum Completion'!$CC$4:$CC$38,"Geo China",'Status of Curriculum Completion'!$CH$4:$CH$38,"Planned")+SUMIFS('Status of Curriculum Completion'!$CZ$4:$CZ$38,'Status of Curriculum Completion'!$CP$4:$CP$38,"Geo China",'Status of Curriculum Completion'!$CU$4:$CU$38,"Planned")+SUMIFS('Status of Curriculum Completion'!$DM$4:$DM$38,'Status of Curriculum Completion'!$DC$4:$DC$38,"Geo China",'Status of Curriculum Completion'!$DH$4:$DH$38,"Planned")</f>
        <v>0</v>
      </c>
      <c r="AF108" s="61">
        <f>SUMIFS('Status of Curriculum Completion'!$CM$4:$CM$38,'Status of Curriculum Completion'!$CC$4:$CC$38,"Geo China",'Status of Curriculum Completion'!$CH$4:$CH$38,"Tentative")+SUMIFS('Status of Curriculum Completion'!$CZ$4:$CZ$38,'Status of Curriculum Completion'!$CP$4:$CP$38,"Geo China",'Status of Curriculum Completion'!$CU$4:$CU$38,"Tentative")+SUMIFS('Status of Curriculum Completion'!$DM$4:$DM$38,'Status of Curriculum Completion'!$DC$4:$DC$38,"Geo China",'Status of Curriculum Completion'!$DH$4:$DH$38,"Tentative")</f>
        <v>0</v>
      </c>
      <c r="AG108" s="61">
        <f>SUMIFS('Status of Curriculum Completion'!$CM$4:$CM$38,'Status of Curriculum Completion'!$CC$4:$CC$38,"Geo China",'Status of Curriculum Completion'!$CI$4:$CI$38,"Complete")+SUMIFS('Status of Curriculum Completion'!$CZ$4:$CZ$38,'Status of Curriculum Completion'!$CP$4:$CP$38,"Geo China",'Status of Curriculum Completion'!$CV$4:$CV$38,"Complete")+SUMIFS('Status of Curriculum Completion'!$DM$4:$DM$38,'Status of Curriculum Completion'!$DC$4:$DC$38,"Geo China",'Status of Curriculum Completion'!$DI$4:$DI$38,"Complete")</f>
        <v>0</v>
      </c>
      <c r="AH108" s="61">
        <f>SUMIFS('Status of Curriculum Completion'!$CM$4:$CM$38,'Status of Curriculum Completion'!$CC$4:$CC$38,"Geo China",'Status of Curriculum Completion'!$CI$4:$CI$38,"In Progress")+SUMIFS('Status of Curriculum Completion'!$CZ$4:$CZ$38,'Status of Curriculum Completion'!$CP$4:$CP$38,"Geo China",'Status of Curriculum Completion'!$CV$4:$CV$38,"In Progress")+SUMIFS('Status of Curriculum Completion'!$DM$4:$DM$38,'Status of Curriculum Completion'!$DC$4:$DC$38,"Geo China",'Status of Curriculum Completion'!$DI$4:$DI$38,"In Progress")</f>
        <v>0</v>
      </c>
      <c r="AI108" s="61">
        <f>SUMIFS('Status of Curriculum Completion'!$CM$4:$CM$38,'Status of Curriculum Completion'!$CC$4:$CC$38,"Geo China",'Status of Curriculum Completion'!$CI$4:$CI$38,"Planned")+SUMIFS('Status of Curriculum Completion'!$CZ$4:$CZ$38,'Status of Curriculum Completion'!$CP$4:$CP$38,"Geo China",'Status of Curriculum Completion'!$CV$4:$CV$38,"Planned")+SUMIFS('Status of Curriculum Completion'!$DM$4:$DM$38,'Status of Curriculum Completion'!$DC$4:$DC$38,"Geo China",'Status of Curriculum Completion'!$DI$4:$DI$38,"Planned")</f>
        <v>0</v>
      </c>
      <c r="AJ108" s="61">
        <f>SUMIFS('Status of Curriculum Completion'!$CM$4:$CM$38,'Status of Curriculum Completion'!$CC$4:$CC$38,"Geo China",'Status of Curriculum Completion'!$CI$4:$CI$38,"Tentative")+SUMIFS('Status of Curriculum Completion'!$CZ$4:$CZ$38,'Status of Curriculum Completion'!$CP$4:$CP$38,"Geo China",'Status of Curriculum Completion'!$CV$4:$CV$38,"Tentative")+SUMIFS('Status of Curriculum Completion'!$DM$4:$DM$38,'Status of Curriculum Completion'!$DC$4:$DC$38,"Geo China",'Status of Curriculum Completion'!$DI$4:$DI$38,"Tentative")</f>
        <v>0</v>
      </c>
      <c r="AK108" s="62">
        <f>SUMIFS('Status of Curriculum Completion'!$DZ$4:$DZ$38,'Status of Curriculum Completion'!$DP$4:$DP$38,"Geo China",'Status of Curriculum Completion'!$DT$4:$DT$38,"Complete")+SUMIFS('Status of Curriculum Completion'!$EM$4:$EM$38,'Status of Curriculum Completion'!$EC$4:$EC$38,"Geo China",'Status of Curriculum Completion'!$EG$4:$EG$38,"Complete")+SUMIFS('Status of Curriculum Completion'!$EZ$4:$EZ$38,'Status of Curriculum Completion'!$EP$4:$EP$38,"Geo China",'Status of Curriculum Completion'!$ET$4:$ET$38,"Complete")</f>
        <v>0</v>
      </c>
      <c r="AL108" s="62">
        <f>SUMIFS('Status of Curriculum Completion'!$DZ$4:$DZ$38,'Status of Curriculum Completion'!$DP$4:$DP$38,"Geo China",'Status of Curriculum Completion'!$DT$4:$DT$38,"In Progress")+SUMIFS('Status of Curriculum Completion'!$EM$4:$EM$38,'Status of Curriculum Completion'!$EC$4:$EC$38,"Geo China",'Status of Curriculum Completion'!$EG$4:$EG$38,"In Progress")+SUMIFS('Status of Curriculum Completion'!$EZ$4:$EZ$38,'Status of Curriculum Completion'!$EP$4:$EP$38,"Geo China",'Status of Curriculum Completion'!$ET$4:$ET$38,"In Progress")</f>
        <v>0</v>
      </c>
      <c r="AM108" s="62">
        <f>SUMIFS('Status of Curriculum Completion'!$DZ$4:$DZ$38,'Status of Curriculum Completion'!$DP$4:$DP$38,"Geo China",'Status of Curriculum Completion'!$DT$4:$DT$38,"Planned")+SUMIFS('Status of Curriculum Completion'!$EM$4:$EM$38,'Status of Curriculum Completion'!$EC$4:$EC$38,"Geo China",'Status of Curriculum Completion'!$EG$4:$EG$38,"Planned")+SUMIFS('Status of Curriculum Completion'!$EZ$4:$EZ$38,'Status of Curriculum Completion'!$EP$4:$EP$38,"Geo China",'Status of Curriculum Completion'!$ET$4:$ET$38,"Planned")</f>
        <v>0</v>
      </c>
      <c r="AN108" s="62">
        <f>SUMIFS('Status of Curriculum Completion'!$DZ$4:$DZ$38,'Status of Curriculum Completion'!$DP$4:$DP$38,"Geo China",'Status of Curriculum Completion'!$DT$4:$DT$38,"Tentative")+SUMIFS('Status of Curriculum Completion'!$EM$4:$EM$38,'Status of Curriculum Completion'!$EC$4:$EC$38,"Geo China",'Status of Curriculum Completion'!$EG$4:$EG$38,"Tentative")+SUMIFS('Status of Curriculum Completion'!$EZ$4:$EZ$38,'Status of Curriculum Completion'!$EP$4:$EP$38,"Geo China",'Status of Curriculum Completion'!$ET$4:$ET$38,"Tentative")</f>
        <v>0</v>
      </c>
      <c r="AO108" s="62">
        <f>SUMIFS('Status of Curriculum Completion'!$DZ$4:$DZ$38,'Status of Curriculum Completion'!$DP$4:$DP$38,"Geo China",'Status of Curriculum Completion'!$DU$4:$DU$38,"Complete")+SUMIFS('Status of Curriculum Completion'!$EM$4:$EM$38,'Status of Curriculum Completion'!$EC$4:$EC$38,"Geo China",'Status of Curriculum Completion'!$EH$4:$EH$38,"Complete")+SUMIFS('Status of Curriculum Completion'!$EZ$4:$EZ$38,'Status of Curriculum Completion'!$EP$4:$EP$38,"Geo China",'Status of Curriculum Completion'!$EU$4:$EU$38,"Complete")</f>
        <v>0</v>
      </c>
      <c r="AP108" s="62">
        <f>SUMIFS('Status of Curriculum Completion'!$DZ$4:$DZ$38,'Status of Curriculum Completion'!$DP$4:$DP$38,"Geo China",'Status of Curriculum Completion'!$DU$4:$DU$38,"In Progress")+SUMIFS('Status of Curriculum Completion'!$EM$4:$EM$38,'Status of Curriculum Completion'!$EC$4:$EC$38,"Geo China",'Status of Curriculum Completion'!$EH$4:$EH$38,"In Progress")+SUMIFS('Status of Curriculum Completion'!$EZ$4:$EZ$38,'Status of Curriculum Completion'!$EP$4:$EP$38,"Geo China",'Status of Curriculum Completion'!$EU$4:$EU$38,"In Progress")</f>
        <v>0</v>
      </c>
      <c r="AQ108" s="62">
        <f>SUMIFS('Status of Curriculum Completion'!$DZ$4:$DZ$38,'Status of Curriculum Completion'!$DP$4:$DP$38,"Geo China",'Status of Curriculum Completion'!$DU$4:$DU$38,"Planned")+SUMIFS('Status of Curriculum Completion'!$EM$4:$EM$38,'Status of Curriculum Completion'!$EC$4:$EC$38,"Geo China",'Status of Curriculum Completion'!$EH$4:$EH$38,"Planned")+SUMIFS('Status of Curriculum Completion'!$EZ$4:$EZ$38,'Status of Curriculum Completion'!$EP$4:$EP$38,"Geo China",'Status of Curriculum Completion'!$EU$4:$EU$38,"Planned")</f>
        <v>0</v>
      </c>
      <c r="AR108" s="62">
        <f>SUMIFS('Status of Curriculum Completion'!$DZ$4:$DZ$38,'Status of Curriculum Completion'!$DP$4:$DP$38,"Geo China",'Status of Curriculum Completion'!$DU$4:$DU$38,"Tentative")+SUMIFS('Status of Curriculum Completion'!$EM$4:$EM$38,'Status of Curriculum Completion'!$EC$4:$EC$38,"Geo China",'Status of Curriculum Completion'!$EH$4:$EH$38,"Tentative")+SUMIFS('Status of Curriculum Completion'!$EZ$4:$EZ$38,'Status of Curriculum Completion'!$EP$4:$EP$38,"Geo China",'Status of Curriculum Completion'!$EU$4:$EU$38,"Tentative")</f>
        <v>0</v>
      </c>
      <c r="AS108" s="62">
        <f>SUMIFS('Status of Curriculum Completion'!$DZ$4:$DZ$38,'Status of Curriculum Completion'!$DP$4:$DP$38,"Geo China",'Status of Curriculum Completion'!$DV$4:$DV$38,"Complete")+SUMIFS('Status of Curriculum Completion'!$EM$4:$EM$38,'Status of Curriculum Completion'!$EC$4:$EC$38,"Geo China",'Status of Curriculum Completion'!$EI$4:$EI$38,"Complete")+SUMIFS('Status of Curriculum Completion'!$EZ$4:$EZ$38,'Status of Curriculum Completion'!$EP$4:$EP$38,"Geo China",'Status of Curriculum Completion'!$EV$4:$EV$38,"Complete")</f>
        <v>0</v>
      </c>
      <c r="AT108" s="62">
        <f>SUMIFS('Status of Curriculum Completion'!$DZ$4:$DZ$38,'Status of Curriculum Completion'!$DP$4:$DP$38,"Geo China",'Status of Curriculum Completion'!$DV$4:$DV$38,"In Progress")+SUMIFS('Status of Curriculum Completion'!$EM$4:$EM$38,'Status of Curriculum Completion'!$EC$4:$EC$38,"Geo China",'Status of Curriculum Completion'!$EI$4:$EI$38,"In Progress")+SUMIFS('Status of Curriculum Completion'!$EZ$4:$EZ$38,'Status of Curriculum Completion'!$EP$4:$EP$38,"Geo China",'Status of Curriculum Completion'!$EV$4:$EV$38,"In Progress")</f>
        <v>0</v>
      </c>
      <c r="AU108" s="62">
        <f>SUMIFS('Status of Curriculum Completion'!$DZ$4:$DZ$38,'Status of Curriculum Completion'!$DP$4:$DP$38,"Geo China",'Status of Curriculum Completion'!$DV$4:$DV$38,"Planned")+SUMIFS('Status of Curriculum Completion'!$EM$4:$EM$38,'Status of Curriculum Completion'!$EC$4:$EC$38,"Geo China",'Status of Curriculum Completion'!$EI$4:$EI$38,"Planned")+SUMIFS('Status of Curriculum Completion'!$EZ$4:$EZ$38,'Status of Curriculum Completion'!$EP$4:$EP$38,"Geo China",'Status of Curriculum Completion'!$EV$4:$EV$38,"Planned")</f>
        <v>0</v>
      </c>
      <c r="AV108" s="62">
        <f>SUMIFS('Status of Curriculum Completion'!$DZ$4:$DZ$38,'Status of Curriculum Completion'!$DP$4:$DP$38,"Geo China",'Status of Curriculum Completion'!$DV$4:$DV$38,"Tentative")+SUMIFS('Status of Curriculum Completion'!$EM$4:$EM$38,'Status of Curriculum Completion'!$EC$4:$EC$38,"Geo China",'Status of Curriculum Completion'!$EI$4:$EI$38,"Tentative")+SUMIFS('Status of Curriculum Completion'!$EZ$4:$EZ$38,'Status of Curriculum Completion'!$EP$4:$EP$38,"Geo China",'Status of Curriculum Completion'!$EV$4:$EV$38,"Tentative")</f>
        <v>0</v>
      </c>
    </row>
    <row r="109" spans="3:48" ht="29.5" hidden="1" thickBot="1">
      <c r="C109" s="63" t="s">
        <v>1171</v>
      </c>
      <c r="D109" s="59">
        <f>SUMIFS('Status of Curriculum Completion'!$M$4:$M$38,'Status of Curriculum Completion'!$C$4:$C$38,"Japan",'Status of Curriculum Completion'!$G$4:$G$38,"Complete")+SUMIFS('Status of Curriculum Completion'!$Z$4:$Z$38,'Status of Curriculum Completion'!$P$4:$P$38,"Japan",'Status of Curriculum Completion'!$T$4:$T$38,"Complete")+SUMIFS('Status of Curriculum Completion'!$AM$4:$AM$38,'Status of Curriculum Completion'!$AC$4:$AC$38,"Japan",'Status of Curriculum Completion'!$AG$4:$AG$38,"Complete")</f>
        <v>0</v>
      </c>
      <c r="E109" s="59">
        <f>SUMIFS('Status of Curriculum Completion'!$M$4:$M$38,'Status of Curriculum Completion'!$C$4:$C$38,"Japan",'Status of Curriculum Completion'!$G$4:$G$38,"In progress")+SUMIFS('Status of Curriculum Completion'!$Z$4:$Z$38,'Status of Curriculum Completion'!$P$4:$P$38,"Japan",'Status of Curriculum Completion'!$T$4:$T$38,"In progress")+SUMIFS('Status of Curriculum Completion'!$AM$4:$AM$38,'Status of Curriculum Completion'!$AC$4:$AC$38,"Japan",'Status of Curriculum Completion'!$AG$4:$AG$38,"In progress")</f>
        <v>0</v>
      </c>
      <c r="F109" s="59">
        <f>SUMIFS('Status of Curriculum Completion'!$M$4:$M$38,'Status of Curriculum Completion'!$C$4:$C$38,"Japan",'Status of Curriculum Completion'!$G$4:$G$38,"Planned")+SUMIFS('Status of Curriculum Completion'!$Z$4:$Z$38,'Status of Curriculum Completion'!$P$4:$P$38,"Japan",'Status of Curriculum Completion'!$T$4:$T$38,"Planned")+SUMIFS('Status of Curriculum Completion'!$AM$4:$AM$38,'Status of Curriculum Completion'!$AC$4:$AC$38,"Japan",'Status of Curriculum Completion'!$AG$4:$AG$38,"Planned")</f>
        <v>0</v>
      </c>
      <c r="G109" s="59">
        <f>SUMIFS('Status of Curriculum Completion'!$M$4:$M$38,'Status of Curriculum Completion'!$C$4:$C$38,"Japan",'Status of Curriculum Completion'!$H$4:$H$38,"Complete")+SUMIFS('Status of Curriculum Completion'!$Z$4:$Z$38,'Status of Curriculum Completion'!$P$4:$P$38,"Japan",'Status of Curriculum Completion'!$U$4:$U$38,"Complete")+SUMIFS('Status of Curriculum Completion'!$AM$4:$AM$38,'Status of Curriculum Completion'!$AC$4:$AC$38,"Japan",'Status of Curriculum Completion'!$AH$4:$AH$38,"Complete")</f>
        <v>0</v>
      </c>
      <c r="H109" s="59">
        <f>SUMIFS('Status of Curriculum Completion'!$M$4:$M$38,'Status of Curriculum Completion'!$C$4:$C$38,"Japan",'Status of Curriculum Completion'!$H$4:$H$38,"In Progress")+SUMIFS('Status of Curriculum Completion'!$Z$4:$Z$38,'Status of Curriculum Completion'!$P$4:$P$38,"Japan",'Status of Curriculum Completion'!$U$4:$U$38,"In Progress")+SUMIFS('Status of Curriculum Completion'!$AM$4:$AM$38,'Status of Curriculum Completion'!$AC$4:$AC$38,"Japan",'Status of Curriculum Completion'!$AH$4:$AH$38,"In Progress")</f>
        <v>0</v>
      </c>
      <c r="I109" s="59">
        <f>SUMIFS('Status of Curriculum Completion'!$M$4:$M$38,'Status of Curriculum Completion'!$C$4:$C$38,"Japan",'Status of Curriculum Completion'!$H$4:$H$38,"Planned")+SUMIFS('Status of Curriculum Completion'!$Z$4:$Z$38,'Status of Curriculum Completion'!$P$4:$P$38,"Japan",'Status of Curriculum Completion'!$U$4:$U$38,"Planned")+SUMIFS('Status of Curriculum Completion'!$AM$4:$AM$38,'Status of Curriculum Completion'!$AC$4:$AC$38,"Japan",'Status of Curriculum Completion'!$AH$4:$AH$38,"Planned")</f>
        <v>0</v>
      </c>
      <c r="J109" s="59">
        <f>SUMIFS('Status of Curriculum Completion'!$M$4:$M$38,'Status of Curriculum Completion'!$C$4:$C$38,"Japan",'Status of Curriculum Completion'!$I$4:$I$38,"Complete")+SUMIFS('Status of Curriculum Completion'!$Z$4:$Z$38,'Status of Curriculum Completion'!$P$4:$P$38,"Japan",'Status of Curriculum Completion'!$V$5:$V$39,"Complete")+SUMIFS('Status of Curriculum Completion'!$AM$4:$AM$38,'Status of Curriculum Completion'!$AC$4:$AC$38,"Japan",'Status of Curriculum Completion'!$AI$4:$AI$38,"Complete")</f>
        <v>0</v>
      </c>
      <c r="K109" s="59">
        <f>SUMIFS('Status of Curriculum Completion'!$M$4:$M$38,'Status of Curriculum Completion'!$C$4:$C$38,"Japan",'Status of Curriculum Completion'!$I$4:$I$38,"In Progress")+SUMIFS('Status of Curriculum Completion'!$Z$4:$Z$38,'Status of Curriculum Completion'!$P$4:$P$38,"Japan",'Status of Curriculum Completion'!$V$5:$V$39,"In Progress")+SUMIFS('Status of Curriculum Completion'!$AM$4:$AM$38,'Status of Curriculum Completion'!$AC$4:$AC$38,"Japan",'Status of Curriculum Completion'!$AI$4:$AI$38,"In Progress")</f>
        <v>0</v>
      </c>
      <c r="L109" s="59">
        <f>SUMIFS('Status of Curriculum Completion'!$M$4:$M$38,'Status of Curriculum Completion'!$C$4:$C$38,"Japan",'Status of Curriculum Completion'!$I$4:$I$38,"Planned")+SUMIFS('Status of Curriculum Completion'!$Z$4:$Z$38,'Status of Curriculum Completion'!$P$4:$P$38,"Japan",'Status of Curriculum Completion'!$V$5:$V$39,"Planned")+SUMIFS('Status of Curriculum Completion'!$AM$4:$AM$38,'Status of Curriculum Completion'!$AC$4:$AC$38,"Japan",'Status of Curriculum Completion'!$AI$4:$AI$38,"Planned")</f>
        <v>0</v>
      </c>
      <c r="M109" s="60">
        <f>SUMIFS('Status of Curriculum Completion'!$AZ$4:$AZ$38,'Status of Curriculum Completion'!$AP$4:$AP$38,"Japan",'Status of Curriculum Completion'!$AT$4:$AT$38,"Complete")+SUMIFS('Status of Curriculum Completion'!$BM$4:$BM$38,'Status of Curriculum Completion'!$BC$4:$BC$38,"Japan",'Status of Curriculum Completion'!$BG$4:$BG$38,"Complete")+SUMIFS('Status of Curriculum Completion'!$BZ$4:$BZ$38,'Status of Curriculum Completion'!$BP$4:$BP$38,"Japan",'Status of Curriculum Completion'!$BT$4:$BT$38,"Complete")</f>
        <v>0</v>
      </c>
      <c r="N109" s="60">
        <f>SUMIFS('Status of Curriculum Completion'!$AZ$4:$AZ$38,'Status of Curriculum Completion'!$AP$4:$AP$38,"Japan",'Status of Curriculum Completion'!$AT$4:$AT$38,"In Progress")+SUMIFS('Status of Curriculum Completion'!$BM$4:$BM$38,'Status of Curriculum Completion'!$BC$4:$BC$38,"Japan",'Status of Curriculum Completion'!$BG$4:$BG$38,"In Progress")+SUMIFS('Status of Curriculum Completion'!$BZ$4:$BZ$38,'Status of Curriculum Completion'!$BP$4:$BP$38,"Japan",'Status of Curriculum Completion'!$BT$4:$BT$38,"In Progress")</f>
        <v>0</v>
      </c>
      <c r="O109" s="60">
        <f>SUMIFS('Status of Curriculum Completion'!$AZ$4:$AZ$38,'Status of Curriculum Completion'!$AP$4:$AP$38,"Japan",'Status of Curriculum Completion'!$AT$4:$AT$38,"Planned")+SUMIFS('Status of Curriculum Completion'!$BM$4:$BM$38,'Status of Curriculum Completion'!$BC$4:$BC$38,"Japan",'Status of Curriculum Completion'!$BG$4:$BG$38,"Planned")+SUMIFS('Status of Curriculum Completion'!$BZ$4:$BZ$38,'Status of Curriculum Completion'!$BP$4:$BP$38,"Japan",'Status of Curriculum Completion'!$BT$4:$BT$38,"Planned")</f>
        <v>0</v>
      </c>
      <c r="P109" s="60">
        <f>SUMIFS('Status of Curriculum Completion'!$AZ$4:$AZ$38,'Status of Curriculum Completion'!$AP$4:$AP$38,"Japan",'Status of Curriculum Completion'!$AU$4:$AU$38,"Complete")+SUMIFS('Status of Curriculum Completion'!$BM$4:$BM$38,'Status of Curriculum Completion'!$BC$4:$BC$38,"Japan",'Status of Curriculum Completion'!$BH$4:$BH$38,"Complete")+SUMIFS('Status of Curriculum Completion'!$BZ$4:$BZ$38,'Status of Curriculum Completion'!$BP$4:$BP$38,"Japan",'Status of Curriculum Completion'!$BU$4:$BU$38,"Complete")</f>
        <v>0</v>
      </c>
      <c r="Q109" s="60">
        <f>SUMIFS('Status of Curriculum Completion'!$AZ$4:$AZ$38,'Status of Curriculum Completion'!$AP$4:$AP$38,"Japan",'Status of Curriculum Completion'!$AU$4:$AU$38,"In Progress")+SUMIFS('Status of Curriculum Completion'!$BM$4:$BM$38,'Status of Curriculum Completion'!$BC$4:$BC$38,"Japan",'Status of Curriculum Completion'!$BH$4:$BH$38,"In Progress")+SUMIFS('Status of Curriculum Completion'!$BZ$4:$BZ$38,'Status of Curriculum Completion'!$BP$4:$BP$38,"Japan",'Status of Curriculum Completion'!$BU$4:$BU$38,"In Progress")</f>
        <v>0</v>
      </c>
      <c r="R109" s="60">
        <f>SUMIFS('Status of Curriculum Completion'!$AZ$4:$AZ$38,'Status of Curriculum Completion'!$AP$4:$AP$38,"Japan",'Status of Curriculum Completion'!$AU$4:$AU$38,"Planned")+SUMIFS('Status of Curriculum Completion'!$BM$4:$BM$38,'Status of Curriculum Completion'!$BC$4:$BC$38,"Japan",'Status of Curriculum Completion'!$BH$4:$BH$38,"Planned")+SUMIFS('Status of Curriculum Completion'!$BZ$4:$BZ$38,'Status of Curriculum Completion'!$BP$4:$BP$38,"Japan",'Status of Curriculum Completion'!$BU$4:$BU$38,"Planned")</f>
        <v>0</v>
      </c>
      <c r="S109" s="60">
        <f>SUMIFS('Status of Curriculum Completion'!$AZ$4:$AZ$38,'Status of Curriculum Completion'!$AP$4:$AP$38,"Japan",'Status of Curriculum Completion'!$AV$4:$AV$38,"Complete")+SUMIFS('Status of Curriculum Completion'!$BM$4:$BM$38,'Status of Curriculum Completion'!$BC$4:$BC$38,"Japan",'Status of Curriculum Completion'!$BI$4:$BI$38,"Complete")+SUMIFS('Status of Curriculum Completion'!$BZ$4:$BZ$38,'Status of Curriculum Completion'!$BP$4:$BP$38,"Japan",'Status of Curriculum Completion'!$BV$4:$BV$38,"Complete")</f>
        <v>0</v>
      </c>
      <c r="T109" s="60">
        <f>SUMIFS('Status of Curriculum Completion'!$AZ$4:$AZ$38,'Status of Curriculum Completion'!$AP$4:$AP$38,"Japan",'Status of Curriculum Completion'!$AV$4:$AV$38,"In Progress")+SUMIFS('Status of Curriculum Completion'!$BM$4:$BM$38,'Status of Curriculum Completion'!$BC$4:$BC$38,"Japan",'Status of Curriculum Completion'!$BI$4:$BI$38,"In Progress")+SUMIFS('Status of Curriculum Completion'!$BZ$4:$BZ$38,'Status of Curriculum Completion'!$BP$4:$BP$38,"Japan",'Status of Curriculum Completion'!$BV$4:$BV$38,"In Progress")</f>
        <v>0</v>
      </c>
      <c r="U109" s="60">
        <f>SUMIFS('Status of Curriculum Completion'!$AZ$4:$AZ$38,'Status of Curriculum Completion'!$AP$4:$AP$38,"Japan",'Status of Curriculum Completion'!$AV$4:$AV$38,"Planned")+SUMIFS('Status of Curriculum Completion'!$BM$4:$BM$38,'Status of Curriculum Completion'!$BC$4:$BC$38,"Japan",'Status of Curriculum Completion'!$BI$4:$BI$38,"Planned")+SUMIFS('Status of Curriculum Completion'!$BZ$4:$BZ$38,'Status of Curriculum Completion'!$BP$4:$BP$38,"Japan",'Status of Curriculum Completion'!$BV$4:$BV$38,"Planned")</f>
        <v>0</v>
      </c>
      <c r="V109"/>
      <c r="W109"/>
      <c r="X109" s="63" t="s">
        <v>1171</v>
      </c>
      <c r="Y109" s="61">
        <f>SUMIFS('Status of Curriculum Completion'!$CM$4:$CM$38,'Status of Curriculum Completion'!$CC$4:$CC$38,"Japan",'Status of Curriculum Completion'!$CG$4:$CG$38,"Complete")+SUMIFS('Status of Curriculum Completion'!$CZ$4:$CZ$38,'Status of Curriculum Completion'!$CP$4:$CP$38,"Japan",'Status of Curriculum Completion'!$CT$4:$CT$38,"Complete")+SUMIFS('Status of Curriculum Completion'!$DM$4:$DM$38,'Status of Curriculum Completion'!$DC$4:$DC$38,"Japan",'Status of Curriculum Completion'!$DG$4:$DG$38,"Complete")</f>
        <v>0</v>
      </c>
      <c r="Z109" s="61">
        <f>SUMIFS('Status of Curriculum Completion'!$CM$4:$CM$38,'Status of Curriculum Completion'!$CC$4:$CC$38,"Japan",'Status of Curriculum Completion'!$CG$4:$CG$38,"In Progress")+SUMIFS('Status of Curriculum Completion'!$CZ$4:$CZ$38,'Status of Curriculum Completion'!$CP$4:$CP$38,"Japan",'Status of Curriculum Completion'!$CT$4:$CT$38,"In Progress")+SUMIFS('Status of Curriculum Completion'!$DM$4:$DM$38,'Status of Curriculum Completion'!$DC$4:$DC$38,"Japan",'Status of Curriculum Completion'!$DG$4:$DG$38,"In Progress")</f>
        <v>0</v>
      </c>
      <c r="AA109" s="61">
        <f>SUMIFS('Status of Curriculum Completion'!$CM$4:$CM$38,'Status of Curriculum Completion'!$CC$4:$CC$38,"Japan",'Status of Curriculum Completion'!$CG$4:$CG$38,"Planned")+SUMIFS('Status of Curriculum Completion'!$CZ$4:$CZ$38,'Status of Curriculum Completion'!$CP$4:$CP$38,"Japan",'Status of Curriculum Completion'!$CT$4:$CT$38,"Planned")+SUMIFS('Status of Curriculum Completion'!$DM$4:$DM$38,'Status of Curriculum Completion'!$DC$4:$DC$38,"Japan",'Status of Curriculum Completion'!$DG$4:$DG$38,"Planned")</f>
        <v>0</v>
      </c>
      <c r="AB109" s="61">
        <f>SUMIFS('Status of Curriculum Completion'!$CM$4:$CM$38,'Status of Curriculum Completion'!$CC$4:$CC$38,"Japan",'Status of Curriculum Completion'!$CG$4:$CG$38,"Tentative")+SUMIFS('Status of Curriculum Completion'!$CZ$4:$CZ$38,'Status of Curriculum Completion'!$CP$4:$CP$38,"Japan",'Status of Curriculum Completion'!$CT$4:$CT$38,"Tentative")+SUMIFS('Status of Curriculum Completion'!$DM$4:$DM$38,'Status of Curriculum Completion'!$DC$4:$DC$38,"Japan",'Status of Curriculum Completion'!$DG$4:$DG$38,"Tentative")</f>
        <v>0</v>
      </c>
      <c r="AC109" s="61">
        <f>SUMIFS('Status of Curriculum Completion'!$CM$4:$CM$38,'Status of Curriculum Completion'!$CC$4:$CC$38,"Japan",'Status of Curriculum Completion'!$CH$4:$CH$38,"Complete")+SUMIFS('Status of Curriculum Completion'!$CZ$4:$CZ$38,'Status of Curriculum Completion'!$CP$4:$CP$38,"Japan",'Status of Curriculum Completion'!$CU$4:$CU$38,"Complete")+SUMIFS('Status of Curriculum Completion'!$DM$4:$DM$38,'Status of Curriculum Completion'!$DC$4:$DC$38,"Japan",'Status of Curriculum Completion'!$DH$4:$DH$38,"Complete")</f>
        <v>0</v>
      </c>
      <c r="AD109" s="61">
        <f>SUMIFS('Status of Curriculum Completion'!$CM$4:$CM$38,'Status of Curriculum Completion'!$CC$4:$CC$38,"Japan",'Status of Curriculum Completion'!$CH$4:$CH$38,"In Progress")+SUMIFS('Status of Curriculum Completion'!$CZ$4:$CZ$38,'Status of Curriculum Completion'!$CP$4:$CP$38,"Japan",'Status of Curriculum Completion'!$CU$4:$CU$38,"In Progress")+SUMIFS('Status of Curriculum Completion'!$DM$4:$DM$38,'Status of Curriculum Completion'!$DC$4:$DC$38,"Japan",'Status of Curriculum Completion'!$DH$4:$DH$38,"In Progress")</f>
        <v>0</v>
      </c>
      <c r="AE109" s="61">
        <f>SUMIFS('Status of Curriculum Completion'!$CM$4:$CM$38,'Status of Curriculum Completion'!$CC$4:$CC$38,"Japan",'Status of Curriculum Completion'!$CH$4:$CH$38,"Planned")+SUMIFS('Status of Curriculum Completion'!$CZ$4:$CZ$38,'Status of Curriculum Completion'!$CP$4:$CP$38,"Japan",'Status of Curriculum Completion'!$CU$4:$CU$38,"Planned")+SUMIFS('Status of Curriculum Completion'!$DM$4:$DM$38,'Status of Curriculum Completion'!$DC$4:$DC$38,"Japan",'Status of Curriculum Completion'!$DH$4:$DH$38,"Planned")</f>
        <v>0</v>
      </c>
      <c r="AF109" s="61">
        <f>SUMIFS('Status of Curriculum Completion'!$CM$4:$CM$38,'Status of Curriculum Completion'!$CC$4:$CC$38,"Japan",'Status of Curriculum Completion'!$CH$4:$CH$38,"Tentative")+SUMIFS('Status of Curriculum Completion'!$CZ$4:$CZ$38,'Status of Curriculum Completion'!$CP$4:$CP$38,"Japan",'Status of Curriculum Completion'!$CU$4:$CU$38,"Tentative")+SUMIFS('Status of Curriculum Completion'!$DM$4:$DM$38,'Status of Curriculum Completion'!$DC$4:$DC$38,"Japan",'Status of Curriculum Completion'!$DH$4:$DH$38,"Tentative")</f>
        <v>0</v>
      </c>
      <c r="AG109" s="61">
        <f>SUMIFS('Status of Curriculum Completion'!$CM$4:$CM$38,'Status of Curriculum Completion'!$CC$4:$CC$38,"Japan",'Status of Curriculum Completion'!$CI$4:$CI$38,"Complete")+SUMIFS('Status of Curriculum Completion'!$CZ$4:$CZ$38,'Status of Curriculum Completion'!$CP$4:$CP$38,"Japan",'Status of Curriculum Completion'!$CV$4:$CV$38,"Complete")+SUMIFS('Status of Curriculum Completion'!$DM$4:$DM$38,'Status of Curriculum Completion'!$DC$4:$DC$38,"Japan",'Status of Curriculum Completion'!$DI$4:$DI$38,"Complete")</f>
        <v>0</v>
      </c>
      <c r="AH109" s="61">
        <f>SUMIFS('Status of Curriculum Completion'!$CM$4:$CM$38,'Status of Curriculum Completion'!$CC$4:$CC$38,"Japan",'Status of Curriculum Completion'!$CI$4:$CI$38,"In Progress")+SUMIFS('Status of Curriculum Completion'!$CZ$4:$CZ$38,'Status of Curriculum Completion'!$CP$4:$CP$38,"Japan",'Status of Curriculum Completion'!$CV$4:$CV$38,"In Progress")+SUMIFS('Status of Curriculum Completion'!$DM$4:$DM$38,'Status of Curriculum Completion'!$DC$4:$DC$38,"Japan",'Status of Curriculum Completion'!$DI$4:$DI$38,"In Progress")</f>
        <v>0</v>
      </c>
      <c r="AI109" s="61">
        <f>SUMIFS('Status of Curriculum Completion'!$CM$4:$CM$38,'Status of Curriculum Completion'!$CC$4:$CC$38,"Japan",'Status of Curriculum Completion'!$CI$4:$CI$38,"Planned")+SUMIFS('Status of Curriculum Completion'!$CZ$4:$CZ$38,'Status of Curriculum Completion'!$CP$4:$CP$38,"Japan",'Status of Curriculum Completion'!$CV$4:$CV$38,"Planned")+SUMIFS('Status of Curriculum Completion'!$DM$4:$DM$38,'Status of Curriculum Completion'!$DC$4:$DC$38,"Japan",'Status of Curriculum Completion'!$DI$4:$DI$38,"Planned")</f>
        <v>0</v>
      </c>
      <c r="AJ109" s="61">
        <f>SUMIFS('Status of Curriculum Completion'!$CM$4:$CM$38,'Status of Curriculum Completion'!$CC$4:$CC$38,"Japan",'Status of Curriculum Completion'!$CI$4:$CI$38,"Tentative")+SUMIFS('Status of Curriculum Completion'!$CZ$4:$CZ$38,'Status of Curriculum Completion'!$CP$4:$CP$38,"Japan",'Status of Curriculum Completion'!$CV$4:$CV$38,"Tentative")+SUMIFS('Status of Curriculum Completion'!$DM$4:$DM$38,'Status of Curriculum Completion'!$DC$4:$DC$38,"Japan",'Status of Curriculum Completion'!$DI$4:$DI$38,"Tentative")</f>
        <v>0</v>
      </c>
      <c r="AK109" s="62">
        <f>SUMIFS('Status of Curriculum Completion'!$DZ$4:$DZ$38,'Status of Curriculum Completion'!$DP$4:$DP$38,"Japan",'Status of Curriculum Completion'!$DT$4:$DT$38,"Complete")+SUMIFS('Status of Curriculum Completion'!$EM$4:$EM$38,'Status of Curriculum Completion'!$EC$4:$EC$38,"Japan",'Status of Curriculum Completion'!$EG$4:$EG$38,"Complete")+SUMIFS('Status of Curriculum Completion'!$EZ$4:$EZ$38,'Status of Curriculum Completion'!$EP$4:$EP$38,"Japan",'Status of Curriculum Completion'!$ET$4:$ET$38,"Complete")</f>
        <v>0</v>
      </c>
      <c r="AL109" s="62">
        <f>SUMIFS('Status of Curriculum Completion'!$DZ$4:$DZ$38,'Status of Curriculum Completion'!$DP$4:$DP$38,"Japan",'Status of Curriculum Completion'!$DT$4:$DT$38,"In Progress")+SUMIFS('Status of Curriculum Completion'!$EM$4:$EM$38,'Status of Curriculum Completion'!$EC$4:$EC$38,"Japan",'Status of Curriculum Completion'!$EG$4:$EG$38,"In Progress")+SUMIFS('Status of Curriculum Completion'!$EZ$4:$EZ$38,'Status of Curriculum Completion'!$EP$4:$EP$38,"Japan",'Status of Curriculum Completion'!$ET$4:$ET$38,"In Progress")</f>
        <v>0</v>
      </c>
      <c r="AM109" s="62">
        <f>SUMIFS('Status of Curriculum Completion'!$DZ$4:$DZ$38,'Status of Curriculum Completion'!$DP$4:$DP$38,"Japan",'Status of Curriculum Completion'!$DT$4:$DT$38,"Planned")+SUMIFS('Status of Curriculum Completion'!$EM$4:$EM$38,'Status of Curriculum Completion'!$EC$4:$EC$38,"Japan",'Status of Curriculum Completion'!$EG$4:$EG$38,"Planned")+SUMIFS('Status of Curriculum Completion'!$EZ$4:$EZ$38,'Status of Curriculum Completion'!$EP$4:$EP$38,"Japan",'Status of Curriculum Completion'!$ET$4:$ET$38,"Planned")</f>
        <v>0</v>
      </c>
      <c r="AN109" s="62">
        <f>SUMIFS('Status of Curriculum Completion'!$DZ$4:$DZ$38,'Status of Curriculum Completion'!$DP$4:$DP$38,"Japan",'Status of Curriculum Completion'!$DT$4:$DT$38,"Tentative")+SUMIFS('Status of Curriculum Completion'!$EM$4:$EM$38,'Status of Curriculum Completion'!$EC$4:$EC$38,"Japan",'Status of Curriculum Completion'!$EG$4:$EG$38,"Tentative")+SUMIFS('Status of Curriculum Completion'!$EZ$4:$EZ$38,'Status of Curriculum Completion'!$EP$4:$EP$38,"Japan",'Status of Curriculum Completion'!$ET$4:$ET$38,"Tentative")</f>
        <v>0</v>
      </c>
      <c r="AO109" s="62">
        <f>SUMIFS('Status of Curriculum Completion'!$DZ$4:$DZ$38,'Status of Curriculum Completion'!$DP$4:$DP$38,"Japan",'Status of Curriculum Completion'!$DU$4:$DU$38,"Complete")+SUMIFS('Status of Curriculum Completion'!$EM$4:$EM$38,'Status of Curriculum Completion'!$EC$4:$EC$38,"Japan",'Status of Curriculum Completion'!$EH$4:$EH$38,"Complete")+SUMIFS('Status of Curriculum Completion'!$EZ$4:$EZ$38,'Status of Curriculum Completion'!$EP$4:$EP$38,"Japan",'Status of Curriculum Completion'!$EU$4:$EU$38,"Complete")</f>
        <v>0</v>
      </c>
      <c r="AP109" s="62">
        <f>SUMIFS('Status of Curriculum Completion'!$DZ$4:$DZ$38,'Status of Curriculum Completion'!$DP$4:$DP$38,"Japan",'Status of Curriculum Completion'!$DU$4:$DU$38,"In Progress")+SUMIFS('Status of Curriculum Completion'!$EM$4:$EM$38,'Status of Curriculum Completion'!$EC$4:$EC$38,"Japan",'Status of Curriculum Completion'!$EH$4:$EH$38,"In Progress")+SUMIFS('Status of Curriculum Completion'!$EZ$4:$EZ$38,'Status of Curriculum Completion'!$EP$4:$EP$38,"Japan",'Status of Curriculum Completion'!$EU$4:$EU$38,"In Progress")</f>
        <v>0</v>
      </c>
      <c r="AQ109" s="62">
        <f>SUMIFS('Status of Curriculum Completion'!$DZ$4:$DZ$38,'Status of Curriculum Completion'!$DP$4:$DP$38,"Japan",'Status of Curriculum Completion'!$DU$4:$DU$38,"Planned")+SUMIFS('Status of Curriculum Completion'!$EM$4:$EM$38,'Status of Curriculum Completion'!$EC$4:$EC$38,"Japan",'Status of Curriculum Completion'!$EH$4:$EH$38,"Planned")+SUMIFS('Status of Curriculum Completion'!$EZ$4:$EZ$38,'Status of Curriculum Completion'!$EP$4:$EP$38,"Japan",'Status of Curriculum Completion'!$EU$4:$EU$38,"Planned")</f>
        <v>0</v>
      </c>
      <c r="AR109" s="62">
        <f>SUMIFS('Status of Curriculum Completion'!$DZ$4:$DZ$38,'Status of Curriculum Completion'!$DP$4:$DP$38,"Japan",'Status of Curriculum Completion'!$DU$4:$DU$38,"Tentative")+SUMIFS('Status of Curriculum Completion'!$EM$4:$EM$38,'Status of Curriculum Completion'!$EC$4:$EC$38,"Japan",'Status of Curriculum Completion'!$EH$4:$EH$38,"Tentative")+SUMIFS('Status of Curriculum Completion'!$EZ$4:$EZ$38,'Status of Curriculum Completion'!$EP$4:$EP$38,"Japan",'Status of Curriculum Completion'!$EU$4:$EU$38,"Tentative")</f>
        <v>0</v>
      </c>
      <c r="AS109" s="62">
        <f>SUMIFS('Status of Curriculum Completion'!$DZ$4:$DZ$38,'Status of Curriculum Completion'!$DP$4:$DP$38,"Japan",'Status of Curriculum Completion'!$DV$4:$DV$38,"Complete")+SUMIFS('Status of Curriculum Completion'!$EM$4:$EM$38,'Status of Curriculum Completion'!$EC$4:$EC$38,"Japan",'Status of Curriculum Completion'!$EI$4:$EI$38,"Complete")+SUMIFS('Status of Curriculum Completion'!$EZ$4:$EZ$38,'Status of Curriculum Completion'!$EP$4:$EP$38,"Japan",'Status of Curriculum Completion'!$EV$4:$EV$38,"Complete")</f>
        <v>0</v>
      </c>
      <c r="AT109" s="62">
        <f>SUMIFS('Status of Curriculum Completion'!$DZ$4:$DZ$38,'Status of Curriculum Completion'!$DP$4:$DP$38,"Japan",'Status of Curriculum Completion'!$DV$4:$DV$38,"In Progress")+SUMIFS('Status of Curriculum Completion'!$EM$4:$EM$38,'Status of Curriculum Completion'!$EC$4:$EC$38,"Japan",'Status of Curriculum Completion'!$EI$4:$EI$38,"In Progress")+SUMIFS('Status of Curriculum Completion'!$EZ$4:$EZ$38,'Status of Curriculum Completion'!$EP$4:$EP$38,"Japan",'Status of Curriculum Completion'!$EV$4:$EV$38,"In Progress")</f>
        <v>0</v>
      </c>
      <c r="AU109" s="62">
        <f>SUMIFS('Status of Curriculum Completion'!$DZ$4:$DZ$38,'Status of Curriculum Completion'!$DP$4:$DP$38,"Japan",'Status of Curriculum Completion'!$DV$4:$DV$38,"Planned")+SUMIFS('Status of Curriculum Completion'!$EM$4:$EM$38,'Status of Curriculum Completion'!$EC$4:$EC$38,"Japan",'Status of Curriculum Completion'!$EI$4:$EI$38,"Planned")+SUMIFS('Status of Curriculum Completion'!$EZ$4:$EZ$38,'Status of Curriculum Completion'!$EP$4:$EP$38,"Japan",'Status of Curriculum Completion'!$EV$4:$EV$38,"Planned")</f>
        <v>0</v>
      </c>
      <c r="AV109" s="62">
        <f>SUMIFS('Status of Curriculum Completion'!$DZ$4:$DZ$38,'Status of Curriculum Completion'!$DP$4:$DP$38,"Japan",'Status of Curriculum Completion'!$DV$4:$DV$38,"Tentative")+SUMIFS('Status of Curriculum Completion'!$EM$4:$EM$38,'Status of Curriculum Completion'!$EC$4:$EC$38,"Japan",'Status of Curriculum Completion'!$EI$4:$EI$38,"Tentative")+SUMIFS('Status of Curriculum Completion'!$EZ$4:$EZ$38,'Status of Curriculum Completion'!$EP$4:$EP$38,"Japan",'Status of Curriculum Completion'!$EV$4:$EV$38,"Tentative")</f>
        <v>0</v>
      </c>
    </row>
    <row r="110" spans="3:48" ht="29.5" hidden="1" thickBot="1">
      <c r="C110" s="63" t="s">
        <v>1172</v>
      </c>
      <c r="D110" s="59">
        <f>SUMIFS('Status of Curriculum Completion'!$M$4:$M$38,'Status of Curriculum Completion'!$C$4:$C$38,"Geo MEA",'Status of Curriculum Completion'!$G$4:$G$38,"Complete")+SUMIFS('Status of Curriculum Completion'!$Z$4:$Z$38,'Status of Curriculum Completion'!$P$4:$P$38,"Geo MEA",'Status of Curriculum Completion'!$T$4:$T$38,"Complete")+SUMIFS('Status of Curriculum Completion'!$AM$4:$AM$38,'Status of Curriculum Completion'!$AC$4:$AC$38,"Geo MEA",'Status of Curriculum Completion'!$AG$4:$AG$38,"Complete")</f>
        <v>0</v>
      </c>
      <c r="E110" s="59">
        <f>SUMIFS('Status of Curriculum Completion'!$M$4:$M$38,'Status of Curriculum Completion'!$C$4:$C$38,"Geo MEA",'Status of Curriculum Completion'!$G$4:$G$38,"In progress")+SUMIFS('Status of Curriculum Completion'!$Z$4:$Z$38,'Status of Curriculum Completion'!$P$4:$P$38,"Geo MEA",'Status of Curriculum Completion'!$T$4:$T$38,"In progress")+SUMIFS('Status of Curriculum Completion'!$AM$4:$AM$38,'Status of Curriculum Completion'!$AC$4:$AC$38,"Geo MEA",'Status of Curriculum Completion'!$AG$4:$AG$38,"In progress")</f>
        <v>0</v>
      </c>
      <c r="F110" s="59">
        <f>SUMIFS('Status of Curriculum Completion'!$M$4:$M$38,'Status of Curriculum Completion'!$C$4:$C$38,"Geo MEA",'Status of Curriculum Completion'!$G$4:$G$38,"Planned")+SUMIFS('Status of Curriculum Completion'!$Z$4:$Z$38,'Status of Curriculum Completion'!$P$4:$P$38,"Geo MEA",'Status of Curriculum Completion'!$T$4:$T$38,"Planned")+SUMIFS('Status of Curriculum Completion'!$AM$4:$AM$38,'Status of Curriculum Completion'!$AC$4:$AC$38,"Geo MEA",'Status of Curriculum Completion'!$AG$4:$AG$38,"Planned")</f>
        <v>0</v>
      </c>
      <c r="G110" s="59">
        <f>SUMIFS('Status of Curriculum Completion'!$M$4:$M$38,'Status of Curriculum Completion'!$C$4:$C$38,"Geo MEA",'Status of Curriculum Completion'!$H$4:$H$38,"Complete")+SUMIFS('Status of Curriculum Completion'!$Z$4:$Z$38,'Status of Curriculum Completion'!$P$4:$P$38,"Geo MEA",'Status of Curriculum Completion'!$U$4:$U$38,"Complete")+SUMIFS('Status of Curriculum Completion'!$AM$4:$AM$38,'Status of Curriculum Completion'!$AC$4:$AC$38,"Geo MEA",'Status of Curriculum Completion'!$AH$4:$AH$38,"Complete")</f>
        <v>0</v>
      </c>
      <c r="H110" s="59">
        <f>SUMIFS('Status of Curriculum Completion'!$M$4:$M$38,'Status of Curriculum Completion'!$C$4:$C$38,"Geo MEA",'Status of Curriculum Completion'!$H$4:$H$38,"In Progress")+SUMIFS('Status of Curriculum Completion'!$Z$4:$Z$38,'Status of Curriculum Completion'!$P$4:$P$38,"Geo MEA",'Status of Curriculum Completion'!$U$4:$U$38,"In Progress")+SUMIFS('Status of Curriculum Completion'!$AM$4:$AM$38,'Status of Curriculum Completion'!$AC$4:$AC$38,"Geo MEA",'Status of Curriculum Completion'!$AH$4:$AH$38,"In Progress")</f>
        <v>0</v>
      </c>
      <c r="I110" s="59">
        <f>SUMIFS('Status of Curriculum Completion'!$M$4:$M$38,'Status of Curriculum Completion'!$C$4:$C$38,"Geo MEA",'Status of Curriculum Completion'!$H$4:$H$38,"Planned")+SUMIFS('Status of Curriculum Completion'!$Z$4:$Z$38,'Status of Curriculum Completion'!$P$4:$P$38,"Geo MEA",'Status of Curriculum Completion'!$U$4:$U$38,"Planned")+SUMIFS('Status of Curriculum Completion'!$AM$4:$AM$38,'Status of Curriculum Completion'!$AC$4:$AC$38,"Geo MEA",'Status of Curriculum Completion'!$AH$4:$AH$38,"Planned")</f>
        <v>0</v>
      </c>
      <c r="J110" s="59">
        <f>SUMIFS('Status of Curriculum Completion'!$M$4:$M$38,'Status of Curriculum Completion'!$C$4:$C$38,"Geo MEA",'Status of Curriculum Completion'!$I$4:$I$38,"Complete")+SUMIFS('Status of Curriculum Completion'!$Z$4:$Z$38,'Status of Curriculum Completion'!$P$4:$P$38,"Geo MEA",'Status of Curriculum Completion'!$V$4:$V$38,"Complete")+SUMIFS('Status of Curriculum Completion'!$AM$4:$AM$38,'Status of Curriculum Completion'!$AC$4:$AC$38,"Geo MEA",'Status of Curriculum Completion'!$AI$4:$AI$38,"Complete")</f>
        <v>0</v>
      </c>
      <c r="K110" s="59">
        <f>SUMIFS('Status of Curriculum Completion'!$M$4:$M$38,'Status of Curriculum Completion'!$C$4:$C$38,"Geo MEA",'Status of Curriculum Completion'!$I$4:$I$38,"In Progress")+SUMIFS('Status of Curriculum Completion'!$Z$4:$Z$38,'Status of Curriculum Completion'!$P$4:$P$38,"Geo MEA",'Status of Curriculum Completion'!$V$4:$V$38,"In Progress")+SUMIFS('Status of Curriculum Completion'!$AM$4:$AM$38,'Status of Curriculum Completion'!$AC$4:$AC$38,"Geo MEA",'Status of Curriculum Completion'!$AI$4:$AI$38,"In Progress")</f>
        <v>0</v>
      </c>
      <c r="L110" s="59">
        <f>SUMIFS('Status of Curriculum Completion'!$M$4:$M$38,'Status of Curriculum Completion'!$C$4:$C$38,"Geo MEA",'Status of Curriculum Completion'!$I$4:$I$38,"Planned")+SUMIFS('Status of Curriculum Completion'!$Z$4:$Z$38,'Status of Curriculum Completion'!$P$4:$P$38,"Geo MEA",'Status of Curriculum Completion'!$V$4:$V$38,"Planned")+SUMIFS('Status of Curriculum Completion'!$AM$4:$AM$38,'Status of Curriculum Completion'!$AC$4:$AC$38,"Geo MEA",'Status of Curriculum Completion'!$AI$4:$AI$38,"Planned")</f>
        <v>0</v>
      </c>
      <c r="M110" s="60">
        <f>SUMIFS('Status of Curriculum Completion'!$AZ$4:$AZ$38,'Status of Curriculum Completion'!$AP$4:$AP$38,"Geo MEA",'Status of Curriculum Completion'!$AT$4:$AT$38,"Complete")+SUMIFS('Status of Curriculum Completion'!$BM$4:$BM$38,'Status of Curriculum Completion'!$BC$4:$BC$38,"Geo MEA",'Status of Curriculum Completion'!$BG$4:$BG$38,"Complete")+SUMIFS('Status of Curriculum Completion'!$BZ$4:$BZ$38,'Status of Curriculum Completion'!$BP$4:$BP$38,"Geo MEA",'Status of Curriculum Completion'!$BT$4:$BT$38,"Complete")</f>
        <v>0</v>
      </c>
      <c r="N110" s="60">
        <f>SUMIFS('Status of Curriculum Completion'!$AZ$4:$AZ$38,'Status of Curriculum Completion'!$AP$4:$AP$38,"Geo MEA",'Status of Curriculum Completion'!$AT$4:$AT$38,"In Progress")+SUMIFS('Status of Curriculum Completion'!$BM$4:$BM$38,'Status of Curriculum Completion'!$BC$4:$BC$38,"Geo MEA",'Status of Curriculum Completion'!$BG$4:$BG$38,"In Progress")+SUMIFS('Status of Curriculum Completion'!$BZ$4:$BZ$38,'Status of Curriculum Completion'!$BP$4:$BP$38,"Geo MEA",'Status of Curriculum Completion'!$BT$4:$BT$38,"In Progress")</f>
        <v>0</v>
      </c>
      <c r="O110" s="60">
        <f>SUMIFS('Status of Curriculum Completion'!$AZ$4:$AZ$38,'Status of Curriculum Completion'!$AP$4:$AP$38,"Geo MEA",'Status of Curriculum Completion'!$AT$4:$AT$38,"Planned")+SUMIFS('Status of Curriculum Completion'!$BM$4:$BM$38,'Status of Curriculum Completion'!$BC$4:$BC$38,"Geo MEA",'Status of Curriculum Completion'!$BG$4:$BG$38,"Planned")+SUMIFS('Status of Curriculum Completion'!$BZ$4:$BZ$38,'Status of Curriculum Completion'!$BP$4:$BP$38,"Geo MEA",'Status of Curriculum Completion'!$BT$4:$BT$38,"Planned")</f>
        <v>0</v>
      </c>
      <c r="P110" s="60">
        <f>SUMIFS('Status of Curriculum Completion'!$AZ$4:$AZ$38,'Status of Curriculum Completion'!$AP$4:$AP$38,"Geo MEA",'Status of Curriculum Completion'!$AU$4:$AU$38,"Complete")+SUMIFS('Status of Curriculum Completion'!$BM$4:$BM$38,'Status of Curriculum Completion'!$BC$4:$BC$38,"Geo MEA",'Status of Curriculum Completion'!$BH$4:$BH$38,"Complete")+SUMIFS('Status of Curriculum Completion'!$BZ$4:$BZ$38,'Status of Curriculum Completion'!$BP$4:$BP$38,"Geo MEA",'Status of Curriculum Completion'!$BU$4:$BU$38,"Complete")</f>
        <v>0</v>
      </c>
      <c r="Q110" s="60">
        <f>SUMIFS('Status of Curriculum Completion'!$AZ$4:$AZ$38,'Status of Curriculum Completion'!$AP$4:$AP$38,"Geo MEA",'Status of Curriculum Completion'!$AU$4:$AU$38,"In Progress")+SUMIFS('Status of Curriculum Completion'!$BM$4:$BM$38,'Status of Curriculum Completion'!$BC$4:$BC$38,"Geo MEA",'Status of Curriculum Completion'!$BH$4:$BH$38,"In Progress")+SUMIFS('Status of Curriculum Completion'!$BZ$4:$BZ$38,'Status of Curriculum Completion'!$BP$4:$BP$38,"Geo MEA",'Status of Curriculum Completion'!$BU$4:$BU$38,"In Progress")</f>
        <v>0</v>
      </c>
      <c r="R110" s="60">
        <f>SUMIFS('Status of Curriculum Completion'!$AZ$4:$AZ$38,'Status of Curriculum Completion'!$AP$4:$AP$38,"Geo MEA",'Status of Curriculum Completion'!$AU$4:$AU$38,"Planned")+SUMIFS('Status of Curriculum Completion'!$BM$4:$BM$38,'Status of Curriculum Completion'!$BC$4:$BC$38,"Geo MEA",'Status of Curriculum Completion'!$BH$4:$BH$38,"Planned")+SUMIFS('Status of Curriculum Completion'!$BZ$4:$BZ$38,'Status of Curriculum Completion'!$BP$4:$BP$38,"Geo MEA",'Status of Curriculum Completion'!$BU$4:$BU$38,"Planned")</f>
        <v>0</v>
      </c>
      <c r="S110" s="60">
        <f>SUMIFS('Status of Curriculum Completion'!$AZ$4:$AZ$38,'Status of Curriculum Completion'!$AP$4:$AP$38,"Geo MEA",'Status of Curriculum Completion'!$AV$4:$AV$38,"Complete")+SUMIFS('Status of Curriculum Completion'!$BM$4:$BM$38,'Status of Curriculum Completion'!$BC$4:$BC$38,"Geo MEA",'Status of Curriculum Completion'!$BI$4:$BI$38,"Complete")+SUMIFS('Status of Curriculum Completion'!$BZ$4:$BZ$38,'Status of Curriculum Completion'!$BP$4:$BP$38,"Geo MEA",'Status of Curriculum Completion'!$BV$4:$BV$38,"Complete")</f>
        <v>0</v>
      </c>
      <c r="T110" s="60">
        <f>SUMIFS('Status of Curriculum Completion'!$AZ$4:$AZ$38,'Status of Curriculum Completion'!$AP$4:$AP$38,"Geo MEA",'Status of Curriculum Completion'!$AV$4:$AV$38,"In Progress")+SUMIFS('Status of Curriculum Completion'!$BM$4:$BM$38,'Status of Curriculum Completion'!$BC$4:$BC$38,"Geo MEA",'Status of Curriculum Completion'!$BI$4:$BI$38,"In Progress")+SUMIFS('Status of Curriculum Completion'!$BZ$4:$BZ$38,'Status of Curriculum Completion'!$BP$4:$BP$38,"Geo MEA",'Status of Curriculum Completion'!$BV$4:$BV$38,"In Progress")</f>
        <v>0</v>
      </c>
      <c r="U110" s="60">
        <f>SUMIFS('Status of Curriculum Completion'!$AZ$4:$AZ$38,'Status of Curriculum Completion'!$AP$4:$AP$38,"Geo MEA",'Status of Curriculum Completion'!$AV$4:$AV$38,"Planned")+SUMIFS('Status of Curriculum Completion'!$BM$4:$BM$38,'Status of Curriculum Completion'!$BC$4:$BC$38,"Geo MEA",'Status of Curriculum Completion'!$BI$4:$BI$38,"Planned")+SUMIFS('Status of Curriculum Completion'!$BZ$4:$BZ$38,'Status of Curriculum Completion'!$BP$4:$BP$38,"Geo MEA",'Status of Curriculum Completion'!$BV$4:$BV$38,"Planned")</f>
        <v>0</v>
      </c>
      <c r="V110"/>
      <c r="W110"/>
      <c r="X110" s="63" t="s">
        <v>1172</v>
      </c>
      <c r="Y110" s="61">
        <f>SUMIFS('Status of Curriculum Completion'!$CM$4:$CM$38,'Status of Curriculum Completion'!$CC$4:$CC$38,"Geo MEA",'Status of Curriculum Completion'!$CG$4:$CG$38,"Complete")+SUMIFS('Status of Curriculum Completion'!$CZ$4:$CZ$38,'Status of Curriculum Completion'!$CP$4:$CP$38,"Geo MEA",'Status of Curriculum Completion'!$CT$4:$CT$38,"Complete")+SUMIFS('Status of Curriculum Completion'!$DM$4:$DM$38,'Status of Curriculum Completion'!$DC$4:$DC$38,"Geo MEA",'Status of Curriculum Completion'!$DG$4:$DG$38,"Complete")</f>
        <v>0</v>
      </c>
      <c r="Z110" s="61">
        <f>SUMIFS('Status of Curriculum Completion'!$CM$4:$CM$38,'Status of Curriculum Completion'!$CC$4:$CC$38,"Geo MEA",'Status of Curriculum Completion'!$CG$4:$CG$38,"In Progress")+SUMIFS('Status of Curriculum Completion'!$CZ$4:$CZ$38,'Status of Curriculum Completion'!$CP$4:$CP$38,"Geo MEA",'Status of Curriculum Completion'!$CT$4:$CT$38,"In Progress")+SUMIFS('Status of Curriculum Completion'!$DM$4:$DM$38,'Status of Curriculum Completion'!$DC$4:$DC$38,"Geo MEA",'Status of Curriculum Completion'!$DG$4:$DG$38,"In Progress")</f>
        <v>0</v>
      </c>
      <c r="AA110" s="61">
        <f>SUMIFS('Status of Curriculum Completion'!$CM$4:$CM$38,'Status of Curriculum Completion'!$CC$4:$CC$38,"Geo MEA",'Status of Curriculum Completion'!$CG$4:$CG$38,"Planned")+SUMIFS('Status of Curriculum Completion'!$CZ$4:$CZ$38,'Status of Curriculum Completion'!$CP$4:$CP$38,"Geo MEA",'Status of Curriculum Completion'!$CT$4:$CT$38,"Planned")+SUMIFS('Status of Curriculum Completion'!$DM$4:$DM$38,'Status of Curriculum Completion'!$DC$4:$DC$38,"Geo MEA",'Status of Curriculum Completion'!$DG$4:$DG$38,"Planned")</f>
        <v>0</v>
      </c>
      <c r="AB110" s="61">
        <f>SUMIFS('Status of Curriculum Completion'!$CM$4:$CM$38,'Status of Curriculum Completion'!$CC$4:$CC$38,"Geo MEA",'Status of Curriculum Completion'!$CG$4:$CG$38,"Tentative")+SUMIFS('Status of Curriculum Completion'!$CZ$4:$CZ$38,'Status of Curriculum Completion'!$CP$4:$CP$38,"Geo MEA",'Status of Curriculum Completion'!$CT$4:$CT$38,"Tentative")+SUMIFS('Status of Curriculum Completion'!$DM$4:$DM$38,'Status of Curriculum Completion'!$DC$4:$DC$38,"Geo MEA",'Status of Curriculum Completion'!$DG$4:$DG$38,"Tentative")</f>
        <v>0</v>
      </c>
      <c r="AC110" s="61">
        <f>SUMIFS('Status of Curriculum Completion'!$CM$4:$CM$38,'Status of Curriculum Completion'!$CC$4:$CC$38,"Geo MEA",'Status of Curriculum Completion'!$CH$4:$CH$38,"Complete")+SUMIFS('Status of Curriculum Completion'!$CZ$4:$CZ$38,'Status of Curriculum Completion'!$CP$4:$CP$38,"Geo MEA",'Status of Curriculum Completion'!$CU$4:$CU$38,"Complete")+SUMIFS('Status of Curriculum Completion'!$DM$4:$DM$38,'Status of Curriculum Completion'!$DC$4:$DC$38,"Geo MEA",'Status of Curriculum Completion'!$DH$4:$DH$38,"Complete")</f>
        <v>0</v>
      </c>
      <c r="AD110" s="61">
        <f>SUMIFS('Status of Curriculum Completion'!$CM$4:$CM$38,'Status of Curriculum Completion'!$CC$4:$CC$38,"Geo MEA",'Status of Curriculum Completion'!$CH$4:$CH$38,"In Progress")+SUMIFS('Status of Curriculum Completion'!$CZ$4:$CZ$38,'Status of Curriculum Completion'!$CP$4:$CP$38,"Geo MEA",'Status of Curriculum Completion'!$CU$4:$CU$38,"In Progress")+SUMIFS('Status of Curriculum Completion'!$DM$4:$DM$38,'Status of Curriculum Completion'!$DC$4:$DC$38,"Geo MEA",'Status of Curriculum Completion'!$DH$4:$DH$38,"In Progress")</f>
        <v>0</v>
      </c>
      <c r="AE110" s="61">
        <f>SUMIFS('Status of Curriculum Completion'!$CM$4:$CM$38,'Status of Curriculum Completion'!$CC$4:$CC$38,"Geo MEA",'Status of Curriculum Completion'!$CH$4:$CH$38,"Planned")+SUMIFS('Status of Curriculum Completion'!$CZ$4:$CZ$38,'Status of Curriculum Completion'!$CP$4:$CP$38,"Geo MEA",'Status of Curriculum Completion'!$CU$4:$CU$38,"Planned")+SUMIFS('Status of Curriculum Completion'!$DM$4:$DM$38,'Status of Curriculum Completion'!$DC$4:$DC$38,"Geo MEA",'Status of Curriculum Completion'!$DH$4:$DH$38,"Planned")</f>
        <v>0</v>
      </c>
      <c r="AF110" s="61">
        <f>SUMIFS('Status of Curriculum Completion'!$CM$4:$CM$38,'Status of Curriculum Completion'!$CC$4:$CC$38,"Geo MEA",'Status of Curriculum Completion'!$CH$4:$CH$38,"Tentative")+SUMIFS('Status of Curriculum Completion'!$CZ$4:$CZ$38,'Status of Curriculum Completion'!$CP$4:$CP$38,"Geo MEA",'Status of Curriculum Completion'!$CU$4:$CU$38,"Tentative")+SUMIFS('Status of Curriculum Completion'!$DM$4:$DM$38,'Status of Curriculum Completion'!$DC$4:$DC$38,"Geo MEA",'Status of Curriculum Completion'!$DH$4:$DH$38,"Tentative")</f>
        <v>0</v>
      </c>
      <c r="AG110" s="61">
        <f>SUMIFS('Status of Curriculum Completion'!$CM$4:$CM$38,'Status of Curriculum Completion'!$CC$4:$CC$38,"Geo MEA",'Status of Curriculum Completion'!$CI$4:$CI$38,"Complete")+SUMIFS('Status of Curriculum Completion'!$CZ$4:$CZ$38,'Status of Curriculum Completion'!$CP$4:$CP$38,"Geo MEA",'Status of Curriculum Completion'!$CV$4:$CV$38,"Complete")+SUMIFS('Status of Curriculum Completion'!$DM$4:$DM$38,'Status of Curriculum Completion'!$DC$4:$DC$38,"Geo MEA",'Status of Curriculum Completion'!$DI$4:$DI$38,"Complete")</f>
        <v>0</v>
      </c>
      <c r="AH110" s="61">
        <f>SUMIFS('Status of Curriculum Completion'!$CM$4:$CM$38,'Status of Curriculum Completion'!$CC$4:$CC$38,"Geo MEA",'Status of Curriculum Completion'!$CI$4:$CI$38,"In Progress")+SUMIFS('Status of Curriculum Completion'!$CZ$4:$CZ$38,'Status of Curriculum Completion'!$CP$4:$CP$38,"Geo MEA",'Status of Curriculum Completion'!$CV$4:$CV$38,"In Progress")+SUMIFS('Status of Curriculum Completion'!$DM$4:$DM$38,'Status of Curriculum Completion'!$DC$4:$DC$38,"Geo MEA",'Status of Curriculum Completion'!$DI$4:$DI$38,"In Progress")</f>
        <v>0</v>
      </c>
      <c r="AI110" s="61">
        <f>SUMIFS('Status of Curriculum Completion'!$CM$4:$CM$38,'Status of Curriculum Completion'!$CC$4:$CC$38,"Geo MEA",'Status of Curriculum Completion'!$CI$4:$CI$38,"Planned")+SUMIFS('Status of Curriculum Completion'!$CZ$4:$CZ$38,'Status of Curriculum Completion'!$CP$4:$CP$38,"Geo MEA",'Status of Curriculum Completion'!$CV$4:$CV$38,"Planned")+SUMIFS('Status of Curriculum Completion'!$DM$4:$DM$38,'Status of Curriculum Completion'!$DC$4:$DC$38,"Geo MEA",'Status of Curriculum Completion'!$DI$4:$DI$38,"Planned")</f>
        <v>0</v>
      </c>
      <c r="AJ110" s="61">
        <f>SUMIFS('Status of Curriculum Completion'!$CM$4:$CM$38,'Status of Curriculum Completion'!$CC$4:$CC$38,"Geo MEA",'Status of Curriculum Completion'!$CI$4:$CI$38,"Tentative")+SUMIFS('Status of Curriculum Completion'!$CZ$4:$CZ$38,'Status of Curriculum Completion'!$CP$4:$CP$38,"Geo MEA",'Status of Curriculum Completion'!$CV$4:$CV$38,"Tentative")+SUMIFS('Status of Curriculum Completion'!$DM$4:$DM$38,'Status of Curriculum Completion'!$DC$4:$DC$38,"Geo MEA",'Status of Curriculum Completion'!$DI$4:$DI$38,"Tentative")</f>
        <v>0</v>
      </c>
      <c r="AK110" s="62">
        <f>SUMIFS('Status of Curriculum Completion'!$DZ$4:$DZ$38,'Status of Curriculum Completion'!$DP$4:$DP$38,"Geo MEA",'Status of Curriculum Completion'!$DT$4:$DT$38,"Complete")+SUMIFS('Status of Curriculum Completion'!$EM$4:$EM$38,'Status of Curriculum Completion'!$EC$4:$EC$38,"Geo MEA",'Status of Curriculum Completion'!$EG$4:$EG$38,"Complete")+SUMIFS('Status of Curriculum Completion'!$EZ$4:$EZ$38,'Status of Curriculum Completion'!$EP$4:$EP$38,"Geo MEA",'Status of Curriculum Completion'!$ET$4:$ET$38,"Complete")</f>
        <v>0</v>
      </c>
      <c r="AL110" s="62">
        <f>SUMIFS('Status of Curriculum Completion'!$DZ$4:$DZ$38,'Status of Curriculum Completion'!$DP$4:$DP$38,"Geo MEA",'Status of Curriculum Completion'!$DT$4:$DT$38,"In Progress")+SUMIFS('Status of Curriculum Completion'!$EM$4:$EM$38,'Status of Curriculum Completion'!$EC$4:$EC$38,"Geo MEA",'Status of Curriculum Completion'!$EG$4:$EG$38,"In Progress")+SUMIFS('Status of Curriculum Completion'!$EZ$4:$EZ$38,'Status of Curriculum Completion'!$EP$4:$EP$38,"Geo MEA",'Status of Curriculum Completion'!$ET$4:$ET$38,"In Progress")</f>
        <v>0</v>
      </c>
      <c r="AM110" s="62">
        <f>SUMIFS('Status of Curriculum Completion'!$DZ$4:$DZ$38,'Status of Curriculum Completion'!$DP$4:$DP$38,"Geo MEA",'Status of Curriculum Completion'!$DT$4:$DT$38,"Planned")+SUMIFS('Status of Curriculum Completion'!$EM$4:$EM$38,'Status of Curriculum Completion'!$EC$4:$EC$38,"Geo MEA",'Status of Curriculum Completion'!$EG$4:$EG$38,"Planned")+SUMIFS('Status of Curriculum Completion'!$EZ$4:$EZ$38,'Status of Curriculum Completion'!$EP$4:$EP$38,"Geo MEA",'Status of Curriculum Completion'!$ET$4:$ET$38,"Planned")</f>
        <v>0</v>
      </c>
      <c r="AN110" s="62">
        <f>SUMIFS('Status of Curriculum Completion'!$DZ$4:$DZ$38,'Status of Curriculum Completion'!$DP$4:$DP$38,"Geo MEA",'Status of Curriculum Completion'!$DT$4:$DT$38,"Tentative")+SUMIFS('Status of Curriculum Completion'!$EM$4:$EM$38,'Status of Curriculum Completion'!$EC$4:$EC$38,"Geo MEA",'Status of Curriculum Completion'!$EG$4:$EG$38,"Tentative")+SUMIFS('Status of Curriculum Completion'!$EZ$4:$EZ$38,'Status of Curriculum Completion'!$EP$4:$EP$38,"Geo MEA",'Status of Curriculum Completion'!$ET$4:$ET$38,"Tentative")</f>
        <v>0</v>
      </c>
      <c r="AO110" s="62">
        <f>SUMIFS('Status of Curriculum Completion'!$DZ$4:$DZ$38,'Status of Curriculum Completion'!$DP$4:$DP$38,"Geo MEA",'Status of Curriculum Completion'!$DU$4:$DU$38,"Complete")+SUMIFS('Status of Curriculum Completion'!$EM$4:$EM$38,'Status of Curriculum Completion'!$EC$4:$EC$38,"Geo MEA",'Status of Curriculum Completion'!$EH$4:$EH$38,"Complete")+SUMIFS('Status of Curriculum Completion'!$EZ$4:$EZ$38,'Status of Curriculum Completion'!$EP$4:$EP$38,"Geo MEA",'Status of Curriculum Completion'!$EU$4:$EU$38,"Complete")</f>
        <v>0</v>
      </c>
      <c r="AP110" s="62">
        <f>SUMIFS('Status of Curriculum Completion'!$DZ$4:$DZ$38,'Status of Curriculum Completion'!$DP$4:$DP$38,"Geo MEA",'Status of Curriculum Completion'!$DU$4:$DU$38,"In Progress")+SUMIFS('Status of Curriculum Completion'!$EM$4:$EM$38,'Status of Curriculum Completion'!$EC$4:$EC$38,"Geo MEA",'Status of Curriculum Completion'!$EH$4:$EH$38,"In Progress")+SUMIFS('Status of Curriculum Completion'!$EZ$4:$EZ$38,'Status of Curriculum Completion'!$EP$4:$EP$38,"Geo MEA",'Status of Curriculum Completion'!$EU$4:$EU$38,"In Progress")</f>
        <v>0</v>
      </c>
      <c r="AQ110" s="62">
        <f>SUMIFS('Status of Curriculum Completion'!$DZ$4:$DZ$38,'Status of Curriculum Completion'!$DP$4:$DP$38,"Geo MEA",'Status of Curriculum Completion'!$DU$4:$DU$38,"Planned")+SUMIFS('Status of Curriculum Completion'!$EM$4:$EM$38,'Status of Curriculum Completion'!$EC$4:$EC$38,"Geo MEA",'Status of Curriculum Completion'!$EH$4:$EH$38,"Planned")+SUMIFS('Status of Curriculum Completion'!$EZ$4:$EZ$38,'Status of Curriculum Completion'!$EP$4:$EP$38,"Geo MEA",'Status of Curriculum Completion'!$EU$4:$EU$38,"Planned")</f>
        <v>0</v>
      </c>
      <c r="AR110" s="62">
        <f>SUMIFS('Status of Curriculum Completion'!$DZ$4:$DZ$38,'Status of Curriculum Completion'!$DP$4:$DP$38,"Geo MEA",'Status of Curriculum Completion'!$DU$4:$DU$38,"Tentative")+SUMIFS('Status of Curriculum Completion'!$EM$4:$EM$38,'Status of Curriculum Completion'!$EC$4:$EC$38,"Geo MEA",'Status of Curriculum Completion'!$EH$4:$EH$38,"Tentative")+SUMIFS('Status of Curriculum Completion'!$EZ$4:$EZ$38,'Status of Curriculum Completion'!$EP$4:$EP$38,"Geo MEA",'Status of Curriculum Completion'!$EU$4:$EU$38,"Tentative")</f>
        <v>0</v>
      </c>
      <c r="AS110" s="62">
        <f>SUMIFS('Status of Curriculum Completion'!$DZ$4:$DZ$38,'Status of Curriculum Completion'!$DP$4:$DP$38,"Geo MEA",'Status of Curriculum Completion'!$DV$4:$DV$38,"Complete")+SUMIFS('Status of Curriculum Completion'!$EM$4:$EM$38,'Status of Curriculum Completion'!$EC$4:$EC$38,"Geo MEA",'Status of Curriculum Completion'!$EI$4:$EI$38,"Complete")+SUMIFS('Status of Curriculum Completion'!$EZ$4:$EZ$38,'Status of Curriculum Completion'!$EP$4:$EP$38,"Geo MEA",'Status of Curriculum Completion'!$EV$4:$EV$38,"Complete")</f>
        <v>0</v>
      </c>
      <c r="AT110" s="62">
        <f>SUMIFS('Status of Curriculum Completion'!$DZ$4:$DZ$38,'Status of Curriculum Completion'!$DP$4:$DP$38,"Geo MEA",'Status of Curriculum Completion'!$DV$4:$DV$38,"In Progress")+SUMIFS('Status of Curriculum Completion'!$EM$4:$EM$38,'Status of Curriculum Completion'!$EC$4:$EC$38,"Geo MEA",'Status of Curriculum Completion'!$EI$4:$EI$38,"In Progress")+SUMIFS('Status of Curriculum Completion'!$EZ$4:$EZ$38,'Status of Curriculum Completion'!$EP$4:$EP$38,"Geo MEA",'Status of Curriculum Completion'!$EV$4:$EV$38,"In Progress")</f>
        <v>0</v>
      </c>
      <c r="AU110" s="62">
        <f>SUMIFS('Status of Curriculum Completion'!$DZ$4:$DZ$38,'Status of Curriculum Completion'!$DP$4:$DP$38,"Geo MEA",'Status of Curriculum Completion'!$DV$4:$DV$38,"Planned")+SUMIFS('Status of Curriculum Completion'!$EM$4:$EM$38,'Status of Curriculum Completion'!$EC$4:$EC$38,"Geo MEA",'Status of Curriculum Completion'!$EI$4:$EI$38,"Planned")+SUMIFS('Status of Curriculum Completion'!$EZ$4:$EZ$38,'Status of Curriculum Completion'!$EP$4:$EP$38,"Geo MEA",'Status of Curriculum Completion'!$EV$4:$EV$38,"Planned")</f>
        <v>0</v>
      </c>
      <c r="AV110" s="62">
        <f>SUMIFS('Status of Curriculum Completion'!$DZ$4:$DZ$38,'Status of Curriculum Completion'!$DP$4:$DP$38,"Geo MEA",'Status of Curriculum Completion'!$DV$4:$DV$38,"Tentative")+SUMIFS('Status of Curriculum Completion'!$EM$4:$EM$38,'Status of Curriculum Completion'!$EC$4:$EC$38,"Geo MEA",'Status of Curriculum Completion'!$EI$4:$EI$38,"Tentative")+SUMIFS('Status of Curriculum Completion'!$EZ$4:$EZ$38,'Status of Curriculum Completion'!$EP$4:$EP$38,"Geo MEA",'Status of Curriculum Completion'!$EV$4:$EV$38,"Tentative")</f>
        <v>0</v>
      </c>
    </row>
    <row r="111" spans="3:48" ht="29.5" hidden="1" thickBot="1">
      <c r="C111" s="63" t="s">
        <v>1173</v>
      </c>
      <c r="D111" s="59">
        <f>SUMIFS('Status of Curriculum Completion'!$M$4:$M$38,'Status of Curriculum Completion'!$C$4:$C$38,"Geo NA Canada",'Status of Curriculum Completion'!$G$4:$G$38,"Complete")+SUMIFS('Status of Curriculum Completion'!$Z$4:$Z$38,'Status of Curriculum Completion'!$P$4:$P$38,"Geo NA Canada",'Status of Curriculum Completion'!$T$4:$T$38,"Complete")+SUMIFS('Status of Curriculum Completion'!$AM$4:$AM$38,'Status of Curriculum Completion'!$AC$4:$AC$38,"Geo NA Canada",'Status of Curriculum Completion'!$AG$4:$AG$38,"Complete")</f>
        <v>0</v>
      </c>
      <c r="E111" s="59">
        <f>SUMIFS('Status of Curriculum Completion'!$M$4:$M$38,'Status of Curriculum Completion'!$C$4:$C$38,"Geo NA Canada",'Status of Curriculum Completion'!$G$4:$G$38,"In progress")+SUMIFS('Status of Curriculum Completion'!$Z$4:$Z$38,'Status of Curriculum Completion'!$P$4:$P$38,"Geo NA Canada",'Status of Curriculum Completion'!$T$4:$T$38,"In progress")+SUMIFS('Status of Curriculum Completion'!$AM$4:$AM$38,'Status of Curriculum Completion'!$AC$4:$AC$38,"Geo NA Canada",'Status of Curriculum Completion'!$AG$4:$AG$38,"In progress")</f>
        <v>47</v>
      </c>
      <c r="F111" s="59">
        <f>SUMIFS('Status of Curriculum Completion'!$M$4:$M$38,'Status of Curriculum Completion'!$C$4:$C$38,"Geo NA Canada",'Status of Curriculum Completion'!$G$4:$G$38,"Planned")+SUMIFS('Status of Curriculum Completion'!$Z$4:$Z$38,'Status of Curriculum Completion'!$P$4:$P$38,"Geo NA Canada",'Status of Curriculum Completion'!$T$4:$T$38,"Planned")+SUMIFS('Status of Curriculum Completion'!$AM$4:$AM$38,'Status of Curriculum Completion'!$AC$4:$AC$38,"Geo NA Canada",'Status of Curriculum Completion'!$AG$4:$AG$38,"Planned")</f>
        <v>0</v>
      </c>
      <c r="G111" s="59">
        <f>SUMIFS('Status of Curriculum Completion'!$M$4:$M$38,'Status of Curriculum Completion'!$C$4:$C$38,"Geo NA Canada",'Status of Curriculum Completion'!$H$4:$H$38,"Complete")+SUMIFS('Status of Curriculum Completion'!$Z$4:$Z$38,'Status of Curriculum Completion'!$P$4:$P$38,"Geo NA Canada",'Status of Curriculum Completion'!$U$4:$U$38,"Complete")+SUMIFS('Status of Curriculum Completion'!$AM$4:$AM$38,'Status of Curriculum Completion'!$AC$4:$AC$38,"Geo NA Canada",'Status of Curriculum Completion'!$AH$4:$AH$38,"Complete")</f>
        <v>0</v>
      </c>
      <c r="H111" s="59">
        <f>SUMIFS('Status of Curriculum Completion'!$M$4:$M$38,'Status of Curriculum Completion'!$C$4:$C$38,"Geo NA Canada",'Status of Curriculum Completion'!$H$4:$H$38,"In Progress")+SUMIFS('Status of Curriculum Completion'!$Z$4:$Z$38,'Status of Curriculum Completion'!$P$4:$P$38,"Geo NA Canada",'Status of Curriculum Completion'!$U$4:$U$38,"In Progress")+SUMIFS('Status of Curriculum Completion'!$AM$4:$AM$38,'Status of Curriculum Completion'!$AC$4:$AC$38,"Geo NA Canada",'Status of Curriculum Completion'!$AH$4:$AH$38,"In Progress")</f>
        <v>0</v>
      </c>
      <c r="I111" s="59">
        <f>SUMIFS('Status of Curriculum Completion'!$M$4:$M$38,'Status of Curriculum Completion'!$C$4:$C$38,"Geo NA Canada",'Status of Curriculum Completion'!$H$4:$H$38,"Planned")+SUMIFS('Status of Curriculum Completion'!$Z$4:$Z$38,'Status of Curriculum Completion'!$P$4:$P$38,"Geo NA Canada",'Status of Curriculum Completion'!$U$4:$U$38,"Planned")+SUMIFS('Status of Curriculum Completion'!$AM$4:$AM$38,'Status of Curriculum Completion'!$AC$4:$AC$38,"Geo NA Canada",'Status of Curriculum Completion'!$AH$4:$AH$38,"Planned")</f>
        <v>0</v>
      </c>
      <c r="J111" s="59">
        <f>SUMIFS('Status of Curriculum Completion'!$M$4:$M$38,'Status of Curriculum Completion'!$C$4:$C$38,"Geo NA Canada",'Status of Curriculum Completion'!$I$4:$I$38,"Complete")+SUMIFS('Status of Curriculum Completion'!$Z$4:$Z$38,'Status of Curriculum Completion'!$P$4:$P$38,"Geo NA Canada",'Status of Curriculum Completion'!$V$4:$V$38,"Complete")+SUMIFS('Status of Curriculum Completion'!$AM$4:$AM$38,'Status of Curriculum Completion'!$AC$4:$AC$38,"Geo NA Canada",'Status of Curriculum Completion'!$AI$4:$AI$38,"Complete")</f>
        <v>0</v>
      </c>
      <c r="K111" s="59">
        <f>SUMIFS('Status of Curriculum Completion'!$M$4:$M$38,'Status of Curriculum Completion'!$C$4:$C$38,"Geo NA Canada",'Status of Curriculum Completion'!$I$4:$I$38,"In Progress")+SUMIFS('Status of Curriculum Completion'!$Z$4:$Z$38,'Status of Curriculum Completion'!$P$4:$P$38,"Geo NA Canada",'Status of Curriculum Completion'!$V$4:$V$38,"In Progress")+SUMIFS('Status of Curriculum Completion'!$AM$4:$AM$38,'Status of Curriculum Completion'!$AC$4:$AC$38,"Geo NA Canada",'Status of Curriculum Completion'!$AI$4:$AI$38,"In Progress")</f>
        <v>0</v>
      </c>
      <c r="L111" s="59">
        <f>SUMIFS('Status of Curriculum Completion'!$M$4:$M$38,'Status of Curriculum Completion'!$C$4:$C$38,"Geo NA Canada",'Status of Curriculum Completion'!$I$5:$I$39,"Planned")+SUMIFS('Status of Curriculum Completion'!$Z$4:$Z$38,'Status of Curriculum Completion'!$P$4:$P$38,"Geo NA Canada",'Status of Curriculum Completion'!$V$5:$V$39,"Planned")+SUMIFS('Status of Curriculum Completion'!$AM$4:$AM$38,'Status of Curriculum Completion'!$AC$4:$AC$38,"Geo NA Canada",'Status of Curriculum Completion'!$AI$4:$AI$38,"Planned")</f>
        <v>0</v>
      </c>
      <c r="M111" s="60">
        <f>SUMIFS('Status of Curriculum Completion'!$AZ$4:$AZ$38,'Status of Curriculum Completion'!$AP$4:$AP$38,"Geo NA Canada",'Status of Curriculum Completion'!$AT$4:$AT$38,"Complete")+SUMIFS('Status of Curriculum Completion'!$BM$4:$BM$38,'Status of Curriculum Completion'!$BC$4:$BC$38,"Geo NA Canada",'Status of Curriculum Completion'!$BG$4:$BG$38,"Complete")+SUMIFS('Status of Curriculum Completion'!$BZ$4:$BZ$38,'Status of Curriculum Completion'!$BP$4:$BP$38,"Geo NA Canada",'Status of Curriculum Completion'!$BT$4:$BT$38,"Complete")</f>
        <v>0</v>
      </c>
      <c r="N111" s="60">
        <f>SUMIFS('Status of Curriculum Completion'!$AZ$4:$AZ$38,'Status of Curriculum Completion'!$AP$4:$AP$38,"Geo NA Canada",'Status of Curriculum Completion'!$AT$4:$AT$38,"In Progress")+SUMIFS('Status of Curriculum Completion'!$BM$4:$BM$38,'Status of Curriculum Completion'!$BC$4:$BC$38,"Geo NA Canada",'Status of Curriculum Completion'!$BG$4:$BG$38,"In Progress")+SUMIFS('Status of Curriculum Completion'!$BZ$4:$BZ$38,'Status of Curriculum Completion'!$BP$4:$BP$38,"Geo NA Canada",'Status of Curriculum Completion'!$BT$4:$BT$38,"In Progress")</f>
        <v>24</v>
      </c>
      <c r="O111" s="60">
        <f>SUMIFS('Status of Curriculum Completion'!$AZ$4:$AZ$38,'Status of Curriculum Completion'!$AP$4:$AP$38,"Geo NA Canada",'Status of Curriculum Completion'!$AT$4:$AT$38,"Planned")+SUMIFS('Status of Curriculum Completion'!$BM$4:$BM$38,'Status of Curriculum Completion'!$BC$4:$BC$38,"Geo NA Canada",'Status of Curriculum Completion'!$BG$4:$BG$38,"Planned")+SUMIFS('Status of Curriculum Completion'!$BZ$4:$BZ$38,'Status of Curriculum Completion'!$BP$4:$BP$38,"Geo NA Canada",'Status of Curriculum Completion'!$BT$4:$BT$38,"Planned")</f>
        <v>0</v>
      </c>
      <c r="P111" s="60">
        <f>SUMIFS('Status of Curriculum Completion'!$AZ$4:$AZ$38,'Status of Curriculum Completion'!$AP$4:$AP$38,"Geo NA Canada",'Status of Curriculum Completion'!$AU$4:$AU$38,"Complete")+SUMIFS('Status of Curriculum Completion'!$BM$4:$BM$38,'Status of Curriculum Completion'!$BC$4:$BC$38,"Geo NA Canada",'Status of Curriculum Completion'!$BH$4:$BH$38,"Complete")+SUMIFS('Status of Curriculum Completion'!$BZ$4:$BZ$38,'Status of Curriculum Completion'!$BP$4:$BP$38,"Geo NA Canada",'Status of Curriculum Completion'!$BU$4:$BU$38,"Complete")</f>
        <v>0</v>
      </c>
      <c r="Q111" s="60">
        <f>SUMIFS('Status of Curriculum Completion'!$AZ$4:$AZ$38,'Status of Curriculum Completion'!$AP$4:$AP$38,"Geo NA Canada",'Status of Curriculum Completion'!$AU$4:$AU$38,"In Progress")+SUMIFS('Status of Curriculum Completion'!$BM$4:$BM$38,'Status of Curriculum Completion'!$BC$4:$BC$38,"Geo NA Canada",'Status of Curriculum Completion'!$BH$4:$BH$38,"In Progress")+SUMIFS('Status of Curriculum Completion'!$BZ$4:$BZ$38,'Status of Curriculum Completion'!$BP$4:$BP$38,"Geo NA Canada",'Status of Curriculum Completion'!$BU$4:$BU$38,"In Progress")</f>
        <v>0</v>
      </c>
      <c r="R111" s="60">
        <f>SUMIFS('Status of Curriculum Completion'!$AZ$4:$AZ$38,'Status of Curriculum Completion'!$AP$4:$AP$38,"Geo NA Canada",'Status of Curriculum Completion'!$AU$4:$AU$38,"Planned")+SUMIFS('Status of Curriculum Completion'!$BM$4:$BM$38,'Status of Curriculum Completion'!$BC$4:$BC$38,"Geo NA Canada",'Status of Curriculum Completion'!$BH$4:$BH$38,"Planned")+SUMIFS('Status of Curriculum Completion'!$BZ$4:$BZ$38,'Status of Curriculum Completion'!$BP$4:$BP$38,"Geo NA Canada",'Status of Curriculum Completion'!$BU$4:$BU$38,"Planned")</f>
        <v>0</v>
      </c>
      <c r="S111" s="60">
        <f>SUMIFS('Status of Curriculum Completion'!$AZ$4:$AZ$38,'Status of Curriculum Completion'!$AP$4:$AP$38,"Geo NA Canada",'Status of Curriculum Completion'!$AV$4:$AV$38,"Complete")+SUMIFS('Status of Curriculum Completion'!$BM$4:$BM$38,'Status of Curriculum Completion'!$BC$4:$BC$38,"Geo NA Canada",'Status of Curriculum Completion'!$BI$4:$BI$38,"Complete")+SUMIFS('Status of Curriculum Completion'!$BZ$4:$BZ$38,'Status of Curriculum Completion'!$BP$4:$BP$38,"Geo NA Canada",'Status of Curriculum Completion'!$BV$4:$BV$38,"Complete")</f>
        <v>0</v>
      </c>
      <c r="T111" s="60">
        <f>SUMIFS('Status of Curriculum Completion'!$AZ$4:$AZ$38,'Status of Curriculum Completion'!$AP$4:$AP$38,"Geo NA Canada",'Status of Curriculum Completion'!$AV$4:$AV$38,"In Progress")+SUMIFS('Status of Curriculum Completion'!$BM$4:$BM$38,'Status of Curriculum Completion'!$BC$4:$BC$38,"Geo NA Canada",'Status of Curriculum Completion'!$BI$4:$BI$38,"In Progress")+SUMIFS('Status of Curriculum Completion'!$BZ$4:$BZ$38,'Status of Curriculum Completion'!$BP$4:$BP$38,"Geo NA Canada",'Status of Curriculum Completion'!$BV$4:$BV$38,"In Progress")</f>
        <v>0</v>
      </c>
      <c r="U111" s="60">
        <f>SUMIFS('Status of Curriculum Completion'!$AZ$4:$AZ$38,'Status of Curriculum Completion'!$AP$4:$AP$38,"Geo NA Canada",'Status of Curriculum Completion'!$AV$4:$AV$38,"Planned")+SUMIFS('Status of Curriculum Completion'!$BM$4:$BM$38,'Status of Curriculum Completion'!$BC$4:$BC$38,"Geo NA Canada",'Status of Curriculum Completion'!$BI$4:$BI$38,"Planned")+SUMIFS('Status of Curriculum Completion'!$BZ$4:$BZ$38,'Status of Curriculum Completion'!$BP$4:$BP$38,"Geo NA Canada",'Status of Curriculum Completion'!$BV$4:$BV$38,"Planned")</f>
        <v>0</v>
      </c>
      <c r="V111"/>
      <c r="W111"/>
      <c r="X111" s="63" t="s">
        <v>1173</v>
      </c>
      <c r="Y111" s="61">
        <f>SUMIFS('Status of Curriculum Completion'!$CM$4:$CM$38,'Status of Curriculum Completion'!$CC$4:$CC$38,"Geo NA Canada",'Status of Curriculum Completion'!$CG$4:$CG$38,"Complete")+SUMIFS('Status of Curriculum Completion'!$CZ$4:$CZ$38,'Status of Curriculum Completion'!$CP$4:$CP$38,"Geo NA Canada",'Status of Curriculum Completion'!$CT$4:$CT$38,"Complete")+SUMIFS('Status of Curriculum Completion'!$DM$4:$DM$38,'Status of Curriculum Completion'!$DC$4:$DC$38,"Geo NA Canada",'Status of Curriculum Completion'!$DG$4:$DG$38,"Complete")</f>
        <v>0</v>
      </c>
      <c r="Z111" s="61">
        <f>SUMIFS('Status of Curriculum Completion'!$CM$4:$CM$38,'Status of Curriculum Completion'!$CC$4:$CC$38,"Geo NA Canada",'Status of Curriculum Completion'!$CG$4:$CG$38,"In Progress")+SUMIFS('Status of Curriculum Completion'!$CZ$4:$CZ$38,'Status of Curriculum Completion'!$CP$4:$CP$38,"Geo NA Canada",'Status of Curriculum Completion'!$CT$4:$CT$38,"In Progress")+SUMIFS('Status of Curriculum Completion'!$DM$4:$DM$38,'Status of Curriculum Completion'!$DC$4:$DC$38,"Geo NA Canada",'Status of Curriculum Completion'!$DG$4:$DG$38,"In Progress")</f>
        <v>0</v>
      </c>
      <c r="AA111" s="61">
        <f>SUMIFS('Status of Curriculum Completion'!$CM$4:$CM$38,'Status of Curriculum Completion'!$CC$4:$CC$38,"Geo NA Canada",'Status of Curriculum Completion'!$CG$4:$CG$38,"Planned")+SUMIFS('Status of Curriculum Completion'!$CZ$4:$CZ$38,'Status of Curriculum Completion'!$CP$4:$CP$38,"Geo NA Canada",'Status of Curriculum Completion'!$CT$4:$CT$38,"Planned")+SUMIFS('Status of Curriculum Completion'!$DM$4:$DM$38,'Status of Curriculum Completion'!$DC$4:$DC$38,"Geo NA Canada",'Status of Curriculum Completion'!$DG$4:$DG$38,"Planned")</f>
        <v>0</v>
      </c>
      <c r="AB111" s="61">
        <f>SUMIFS('Status of Curriculum Completion'!$CM$4:$CM$38,'Status of Curriculum Completion'!$CC$4:$CC$38,"Geo NA Canada",'Status of Curriculum Completion'!$CG$4:$CG$38,"Tentative")+SUMIFS('Status of Curriculum Completion'!$CZ$4:$CZ$38,'Status of Curriculum Completion'!$CP$4:$CP$38,"Geo NA Canada",'Status of Curriculum Completion'!$CT$4:$CT$38,"Tentative")+SUMIFS('Status of Curriculum Completion'!$DM$4:$DM$38,'Status of Curriculum Completion'!$DC$4:$DC$38,"Geo NA Canada",'Status of Curriculum Completion'!$DG$4:$DG$38,"Tentative")</f>
        <v>0</v>
      </c>
      <c r="AC111" s="61">
        <f>SUMIFS('Status of Curriculum Completion'!$CM$4:$CM$38,'Status of Curriculum Completion'!$CC$4:$CC$38,"Geo NA Canada",'Status of Curriculum Completion'!$CH$4:$CH$38,"Complete")+SUMIFS('Status of Curriculum Completion'!$CZ$4:$CZ$38,'Status of Curriculum Completion'!$CP$4:$CP$38,"Geo NA Canada",'Status of Curriculum Completion'!$CU$4:$CU$38,"Complete")+SUMIFS('Status of Curriculum Completion'!$DM$4:$DM$38,'Status of Curriculum Completion'!$DC$4:$DC$38,"Geo NA Canada",'Status of Curriculum Completion'!$DH$4:$DH$38,"Complete")</f>
        <v>0</v>
      </c>
      <c r="AD111" s="61">
        <f>SUMIFS('Status of Curriculum Completion'!$CM$4:$CM$38,'Status of Curriculum Completion'!$CC$4:$CC$38,"Geo NA Canada",'Status of Curriculum Completion'!$CH$4:$CH$38,"In Progress")+SUMIFS('Status of Curriculum Completion'!$CZ$4:$CZ$38,'Status of Curriculum Completion'!$CP$4:$CP$38,"Geo NA Canada",'Status of Curriculum Completion'!$CU$4:$CU$38,"In Progress")+SUMIFS('Status of Curriculum Completion'!$DM$4:$DM$38,'Status of Curriculum Completion'!$DC$4:$DC$38,"Geo NA Canada",'Status of Curriculum Completion'!$DH$4:$DH$38,"In Progress")</f>
        <v>0</v>
      </c>
      <c r="AE111" s="61">
        <f>SUMIFS('Status of Curriculum Completion'!$CM$4:$CM$38,'Status of Curriculum Completion'!$CC$4:$CC$38,"Geo NA Canada",'Status of Curriculum Completion'!$CH$4:$CH$38,"Planned")+SUMIFS('Status of Curriculum Completion'!$CZ$4:$CZ$38,'Status of Curriculum Completion'!$CP$4:$CP$38,"Geo NA Canada",'Status of Curriculum Completion'!$CU$4:$CU$38,"Planned")+SUMIFS('Status of Curriculum Completion'!$DM$4:$DM$38,'Status of Curriculum Completion'!$DC$4:$DC$38,"Geo NA Canada",'Status of Curriculum Completion'!$DH$4:$DH$38,"Planned")</f>
        <v>0</v>
      </c>
      <c r="AF111" s="61">
        <f>SUMIFS('Status of Curriculum Completion'!$CM$4:$CM$38,'Status of Curriculum Completion'!$CC$4:$CC$38,"Geo NA Canada",'Status of Curriculum Completion'!$CH$4:$CH$38,"Tentative")+SUMIFS('Status of Curriculum Completion'!$CZ$4:$CZ$38,'Status of Curriculum Completion'!$CP$4:$CP$38,"Geo NA Canada",'Status of Curriculum Completion'!$CU$4:$CU$38,"Tentative")+SUMIFS('Status of Curriculum Completion'!$DM$4:$DM$38,'Status of Curriculum Completion'!$DC$4:$DC$38,"Geo NA Canada",'Status of Curriculum Completion'!$DH$4:$DH$38,"Tentative")</f>
        <v>0</v>
      </c>
      <c r="AG111" s="61">
        <f>SUMIFS('Status of Curriculum Completion'!$CM$4:$CM$38,'Status of Curriculum Completion'!$CC$4:$CC$38,"Geo NA Canada",'Status of Curriculum Completion'!$CI$4:$CI$38,"Complete")+SUMIFS('Status of Curriculum Completion'!$CZ$4:$CZ$38,'Status of Curriculum Completion'!$CP$4:$CP$38,"Geo NA Canada",'Status of Curriculum Completion'!$CV$4:$CV$38,"Complete")+SUMIFS('Status of Curriculum Completion'!$DM$4:$DM$38,'Status of Curriculum Completion'!$DC$4:$DC$38,"Geo NA Canada",'Status of Curriculum Completion'!$DI$4:$DI$38,"Complete")</f>
        <v>0</v>
      </c>
      <c r="AH111" s="61">
        <f>SUMIFS('Status of Curriculum Completion'!$CM$4:$CM$38,'Status of Curriculum Completion'!$CC$4:$CC$38,"Geo NA Canada",'Status of Curriculum Completion'!$CI$4:$CI$38,"In Progress")+SUMIFS('Status of Curriculum Completion'!$CZ$4:$CZ$38,'Status of Curriculum Completion'!$CP$4:$CP$38,"Geo NA Canada",'Status of Curriculum Completion'!$CV$4:$CV$38,"In Progress")+SUMIFS('Status of Curriculum Completion'!$DM$4:$DM$38,'Status of Curriculum Completion'!$DC$4:$DC$38,"Geo NA Canada",'Status of Curriculum Completion'!$DI$4:$DI$38,"In Progress")</f>
        <v>0</v>
      </c>
      <c r="AI111" s="61">
        <f>SUMIFS('Status of Curriculum Completion'!$CM$4:$CM$38,'Status of Curriculum Completion'!$CC$4:$CC$38,"Geo NA Canada",'Status of Curriculum Completion'!$CI$4:$CI$38,"Planned")+SUMIFS('Status of Curriculum Completion'!$CZ$4:$CZ$38,'Status of Curriculum Completion'!$CP$4:$CP$38,"Geo NA Canada",'Status of Curriculum Completion'!$CV$4:$CV$38,"Planned")+SUMIFS('Status of Curriculum Completion'!$DM$4:$DM$38,'Status of Curriculum Completion'!$DC$4:$DC$38,"Geo NA Canada",'Status of Curriculum Completion'!$DI$4:$DI$38,"Planned")</f>
        <v>0</v>
      </c>
      <c r="AJ111" s="61">
        <f>SUMIFS('Status of Curriculum Completion'!$CM$4:$CM$38,'Status of Curriculum Completion'!$CC$4:$CC$38,"Geo NA Canada",'Status of Curriculum Completion'!$CI$4:$CI$38,"Tentative")+SUMIFS('Status of Curriculum Completion'!$CZ$4:$CZ$38,'Status of Curriculum Completion'!$CP$4:$CP$38,"Geo NA Canada",'Status of Curriculum Completion'!$CV$4:$CV$38,"Tentative")+SUMIFS('Status of Curriculum Completion'!$DM$4:$DM$38,'Status of Curriculum Completion'!$DC$4:$DC$38,"Geo NA Canada",'Status of Curriculum Completion'!$DI$4:$DI$38,"Tentative")</f>
        <v>0</v>
      </c>
      <c r="AK111" s="62">
        <f>SUMIFS('Status of Curriculum Completion'!$DZ$4:$DZ$38,'Status of Curriculum Completion'!$DP$4:$DP$38,"Geo NA Canada",'Status of Curriculum Completion'!$DT$4:$DT$38,"Complete")+SUMIFS('Status of Curriculum Completion'!$EM$4:$EM$38,'Status of Curriculum Completion'!$EC$4:$EC$38,"Geo NA Canada",'Status of Curriculum Completion'!$EG$4:$EG$38,"Complete")+SUMIFS('Status of Curriculum Completion'!$EZ$4:$EZ$38,'Status of Curriculum Completion'!$EP$4:$EP$38,"Geo NA Canada",'Status of Curriculum Completion'!$ET$4:$ET$38,"Complete")</f>
        <v>0</v>
      </c>
      <c r="AL111" s="62">
        <f>SUMIFS('Status of Curriculum Completion'!$DZ$4:$DZ$38,'Status of Curriculum Completion'!$DP$4:$DP$38,"Geo NA Canada",'Status of Curriculum Completion'!$DT$4:$DT$38,"In Progress")+SUMIFS('Status of Curriculum Completion'!$EM$4:$EM$38,'Status of Curriculum Completion'!$EC$4:$EC$38,"Geo NA Canada",'Status of Curriculum Completion'!$EG$4:$EG$38,"In Progress")+SUMIFS('Status of Curriculum Completion'!$EZ$4:$EZ$38,'Status of Curriculum Completion'!$EP$4:$EP$38,"Geo NA Canada",'Status of Curriculum Completion'!$ET$4:$ET$38,"In Progress")</f>
        <v>25</v>
      </c>
      <c r="AM111" s="62">
        <f>SUMIFS('Status of Curriculum Completion'!$DZ$4:$DZ$38,'Status of Curriculum Completion'!$DP$4:$DP$38,"Geo NA Canada",'Status of Curriculum Completion'!$DT$4:$DT$38,"Planned")+SUMIFS('Status of Curriculum Completion'!$EM$4:$EM$38,'Status of Curriculum Completion'!$EC$4:$EC$38,"Geo NA Canada",'Status of Curriculum Completion'!$EG$4:$EG$38,"Planned")+SUMIFS('Status of Curriculum Completion'!$EZ$4:$EZ$38,'Status of Curriculum Completion'!$EP$4:$EP$38,"Geo NA Canada",'Status of Curriculum Completion'!$ET$4:$ET$38,"Planned")</f>
        <v>0</v>
      </c>
      <c r="AN111" s="62">
        <f>SUMIFS('Status of Curriculum Completion'!$DZ$4:$DZ$38,'Status of Curriculum Completion'!$DP$4:$DP$38,"Geo NA Canada",'Status of Curriculum Completion'!$DT$4:$DT$38,"Tentative")+SUMIFS('Status of Curriculum Completion'!$EM$4:$EM$38,'Status of Curriculum Completion'!$EC$4:$EC$38,"Geo NA Canada",'Status of Curriculum Completion'!$EG$4:$EG$38,"Tentative")+SUMIFS('Status of Curriculum Completion'!$EZ$4:$EZ$38,'Status of Curriculum Completion'!$EP$4:$EP$38,"Geo NA Canada",'Status of Curriculum Completion'!$ET$4:$ET$38,"Tentative")</f>
        <v>0</v>
      </c>
      <c r="AO111" s="62">
        <f>SUMIFS('Status of Curriculum Completion'!$DZ$4:$DZ$38,'Status of Curriculum Completion'!$DP$4:$DP$38,"Geo NA Canada",'Status of Curriculum Completion'!$DU$4:$DU$38,"Complete")+SUMIFS('Status of Curriculum Completion'!$EM$4:$EM$38,'Status of Curriculum Completion'!$EC$4:$EC$38,"Geo NA Canada",'Status of Curriculum Completion'!$EH$4:$EH$38,"Complete")+SUMIFS('Status of Curriculum Completion'!$EZ$4:$EZ$38,'Status of Curriculum Completion'!$EP$4:$EP$38,"Geo NA Canada",'Status of Curriculum Completion'!$EU$4:$EU$38,"Complete")</f>
        <v>0</v>
      </c>
      <c r="AP111" s="62">
        <f>SUMIFS('Status of Curriculum Completion'!$DZ$4:$DZ$38,'Status of Curriculum Completion'!$DP$4:$DP$38,"Geo NA Canada",'Status of Curriculum Completion'!$DU$4:$DU$38,"In Progress")+SUMIFS('Status of Curriculum Completion'!$EM$4:$EM$38,'Status of Curriculum Completion'!$EC$4:$EC$38,"Geo NA Canada",'Status of Curriculum Completion'!$EH$4:$EH$38,"In Progress")+SUMIFS('Status of Curriculum Completion'!$EZ$4:$EZ$38,'Status of Curriculum Completion'!$EP$4:$EP$38,"Geo NA Canada",'Status of Curriculum Completion'!$EU$4:$EU$38,"In Progress")</f>
        <v>0</v>
      </c>
      <c r="AQ111" s="62">
        <f>SUMIFS('Status of Curriculum Completion'!$DZ$4:$DZ$38,'Status of Curriculum Completion'!$DP$4:$DP$38,"Geo NA Canada",'Status of Curriculum Completion'!$DU$4:$DU$38,"Planned")+SUMIFS('Status of Curriculum Completion'!$EM$4:$EM$38,'Status of Curriculum Completion'!$EC$4:$EC$38,"Geo NA Canada",'Status of Curriculum Completion'!$EH$4:$EH$38,"Planned")+SUMIFS('Status of Curriculum Completion'!$EZ$4:$EZ$38,'Status of Curriculum Completion'!$EP$4:$EP$38,"Geo NA Canada",'Status of Curriculum Completion'!$EU$4:$EU$38,"Planned")</f>
        <v>0</v>
      </c>
      <c r="AR111" s="62">
        <f>SUMIFS('Status of Curriculum Completion'!$DZ$4:$DZ$38,'Status of Curriculum Completion'!$DP$4:$DP$38,"Geo NA Canada",'Status of Curriculum Completion'!$DU$4:$DU$38,"Tentative")+SUMIFS('Status of Curriculum Completion'!$EM$4:$EM$38,'Status of Curriculum Completion'!$EC$4:$EC$38,"Geo NA Canada",'Status of Curriculum Completion'!$EH$4:$EH$38,"Tentative")+SUMIFS('Status of Curriculum Completion'!$EZ$4:$EZ$38,'Status of Curriculum Completion'!$EP$4:$EP$38,"Geo NA Canada",'Status of Curriculum Completion'!$EU$4:$EU$38,"Tentative")</f>
        <v>0</v>
      </c>
      <c r="AS111" s="62">
        <f>SUMIFS('Status of Curriculum Completion'!$DZ$4:$DZ$38,'Status of Curriculum Completion'!$DP$4:$DP$38,"Geo NA Canada",'Status of Curriculum Completion'!$DV$4:$DV$38,"Complete")+SUMIFS('Status of Curriculum Completion'!$EM$4:$EM$38,'Status of Curriculum Completion'!$EC$4:$EC$38,"Geo NA Canada",'Status of Curriculum Completion'!$EI$4:$EI$38,"Complete")+SUMIFS('Status of Curriculum Completion'!$EZ$4:$EZ$38,'Status of Curriculum Completion'!$EP$4:$EP$38,"Geo NA Canada",'Status of Curriculum Completion'!$EV$4:$EV$38,"Complete")</f>
        <v>0</v>
      </c>
      <c r="AT111" s="62">
        <f>SUMIFS('Status of Curriculum Completion'!$DZ$4:$DZ$38,'Status of Curriculum Completion'!$DP$4:$DP$38,"Geo NA Canada",'Status of Curriculum Completion'!$DV$4:$DV$38,"In Progress")+SUMIFS('Status of Curriculum Completion'!$EM$4:$EM$38,'Status of Curriculum Completion'!$EC$4:$EC$38,"Geo NA Canada",'Status of Curriculum Completion'!$EI$4:$EI$38,"In Progress")+SUMIFS('Status of Curriculum Completion'!$EZ$4:$EZ$38,'Status of Curriculum Completion'!$EP$4:$EP$38,"Geo NA Canada",'Status of Curriculum Completion'!$EV$4:$EV$38,"In Progress")</f>
        <v>0</v>
      </c>
      <c r="AU111" s="62">
        <f>SUMIFS('Status of Curriculum Completion'!$DZ$4:$DZ$38,'Status of Curriculum Completion'!$DP$4:$DP$38,"Geo NA Canada",'Status of Curriculum Completion'!$DV$4:$DV$38,"Planned")+SUMIFS('Status of Curriculum Completion'!$EM$4:$EM$38,'Status of Curriculum Completion'!$EC$4:$EC$38,"Geo NA Canada",'Status of Curriculum Completion'!$EI$4:$EI$38,"Planned")+SUMIFS('Status of Curriculum Completion'!$EZ$4:$EZ$38,'Status of Curriculum Completion'!$EP$4:$EP$38,"Geo NA Canada",'Status of Curriculum Completion'!$EV$4:$EV$38,"Planned")</f>
        <v>0</v>
      </c>
      <c r="AV111" s="62">
        <f>SUMIFS('Status of Curriculum Completion'!$DZ$4:$DZ$38,'Status of Curriculum Completion'!$DP$4:$DP$38,"Geo NA Canada",'Status of Curriculum Completion'!$DV$4:$DV$38,"Tentative")+SUMIFS('Status of Curriculum Completion'!$EM$4:$EM$38,'Status of Curriculum Completion'!$EC$4:$EC$38,"Geo NA Canada",'Status of Curriculum Completion'!$EI$4:$EI$38,"Tentative")+SUMIFS('Status of Curriculum Completion'!$EZ$4:$EZ$38,'Status of Curriculum Completion'!$EP$4:$EP$38,"Geo NA Canada",'Status of Curriculum Completion'!$EV$4:$EV$38,"Tentative")</f>
        <v>0</v>
      </c>
    </row>
    <row r="112" spans="3:48" ht="29.5" hidden="1" thickBot="1">
      <c r="C112" s="63" t="s">
        <v>1174</v>
      </c>
      <c r="D112" s="59">
        <f>SUMIFS('Status of Curriculum Completion'!$M$4:$M$38,'Status of Curriculum Completion'!$C$4:$C$38,"Geo NA US",'Status of Curriculum Completion'!$G$4:$G$38,"Complete")+SUMIFS('Status of Curriculum Completion'!$Z$4:$Z$38,'Status of Curriculum Completion'!$P$4:$P$38,"Geo NA US",'Status of Curriculum Completion'!$T$4:$T$38,"Complete")+SUMIFS('Status of Curriculum Completion'!$AM$4:$AM$38,'Status of Curriculum Completion'!$AC$4:$AC$38,"Geo NA US",'Status of Curriculum Completion'!$AG$4:$AG$38,"Complete")</f>
        <v>0</v>
      </c>
      <c r="E112" s="59">
        <f>SUMIFS('Status of Curriculum Completion'!$M$4:$M$38,'Status of Curriculum Completion'!$C$4:$C$38,"Geo NA US",'Status of Curriculum Completion'!$G$4:$G$38,"In progress")+SUMIFS('Status of Curriculum Completion'!$Z$4:$Z$38,'Status of Curriculum Completion'!$P$4:$P$38,"Geo NA US",'Status of Curriculum Completion'!$T$4:$T$38,"In progress")+SUMIFS('Status of Curriculum Completion'!$AM$4:$AM$38,'Status of Curriculum Completion'!$AC$4:$AC$38,"Geo NA US",'Status of Curriculum Completion'!$AG$4:$AG$38,"In progress")</f>
        <v>0</v>
      </c>
      <c r="F112" s="59">
        <f>SUMIFS('Status of Curriculum Completion'!$M$4:$M$38,'Status of Curriculum Completion'!$C$4:$C$38,"Geo NA US",'Status of Curriculum Completion'!$G$4:$G$38,"Planned")+SUMIFS('Status of Curriculum Completion'!$Z$4:$Z$38,'Status of Curriculum Completion'!$P$4:$P$38,"Geo NA US",'Status of Curriculum Completion'!$T$4:$T$38,"Planned")+SUMIFS('Status of Curriculum Completion'!$AM$4:$AM$38,'Status of Curriculum Completion'!$AC$4:$AC$38,"Geo NA US",'Status of Curriculum Completion'!$AG$4:$AG$38,"Planned")</f>
        <v>0</v>
      </c>
      <c r="G112" s="59">
        <f>SUMIFS('Status of Curriculum Completion'!$M$4:$M$38,'Status of Curriculum Completion'!$C$4:$C$38,"Geo NA US",'Status of Curriculum Completion'!$H$4:$H$38,"Complete")+SUMIFS('Status of Curriculum Completion'!$Z$4:$Z$38,'Status of Curriculum Completion'!$P$4:$P$38,"Geo NA US",'Status of Curriculum Completion'!$U$4:$U$38,"Complete")+SUMIFS('Status of Curriculum Completion'!$AM$4:$AM$38,'Status of Curriculum Completion'!$AC$4:$AC$38,"Geo NA US",'Status of Curriculum Completion'!$AH$4:$AH$38,"Complete")</f>
        <v>0</v>
      </c>
      <c r="H112" s="59">
        <f>SUMIFS('Status of Curriculum Completion'!$M$4:$M$38,'Status of Curriculum Completion'!$C$4:$C$38,"Geo NA US",'Status of Curriculum Completion'!$H$4:$H$38,"In Progress")+SUMIFS('Status of Curriculum Completion'!$Z$4:$Z$38,'Status of Curriculum Completion'!$P$4:$P$38,"Geo NA US",'Status of Curriculum Completion'!$U$4:$U$38,"In Progress")+SUMIFS('Status of Curriculum Completion'!$AM$4:$AM$38,'Status of Curriculum Completion'!$AC$4:$AC$38,"Geo NA US",'Status of Curriculum Completion'!$AH$4:$AH$38,"In Progress")</f>
        <v>0</v>
      </c>
      <c r="I112" s="59">
        <f>SUMIFS('Status of Curriculum Completion'!$M$4:$M$38,'Status of Curriculum Completion'!$C$4:$C$38,"Geo NA US",'Status of Curriculum Completion'!$H$4:$H$38,"Planned")+SUMIFS('Status of Curriculum Completion'!$Z$4:$Z$38,'Status of Curriculum Completion'!$P$4:$P$38,"Geo NA US",'Status of Curriculum Completion'!$U$4:$U$38,"Planned")+SUMIFS('Status of Curriculum Completion'!$AM$4:$AM$38,'Status of Curriculum Completion'!$AC$4:$AC$38,"Geo NA US",'Status of Curriculum Completion'!$AH$4:$AH$38,"Planned")</f>
        <v>0</v>
      </c>
      <c r="J112" s="59">
        <f>SUMIFS('Status of Curriculum Completion'!$M$4:$M$38,'Status of Curriculum Completion'!$C$4:$C$38,"Geo NA US",'Status of Curriculum Completion'!$I$4:$I$38,"Complete")+SUMIFS('Status of Curriculum Completion'!$Z$4:$Z$38,'Status of Curriculum Completion'!$P$4:$P$38,"Geo NA US",'Status of Curriculum Completion'!$V$4:$V$38,"Complete")+SUMIFS('Status of Curriculum Completion'!$AM$4:$AM$38,'Status of Curriculum Completion'!$AC$4:$AC$38,"Geo NA US",'Status of Curriculum Completion'!$AI$4:$AI$38,"Complete")</f>
        <v>0</v>
      </c>
      <c r="K112" s="59">
        <f>SUMIFS('Status of Curriculum Completion'!$M$4:$M$38,'Status of Curriculum Completion'!$C$4:$C$38,"Geo NA US",'Status of Curriculum Completion'!$I$4:$I$38,"In Progress")+SUMIFS('Status of Curriculum Completion'!$Z$4:$Z$38,'Status of Curriculum Completion'!$P$4:$P$38,"Geo NA US",'Status of Curriculum Completion'!$V$4:$V$38,"In Progress")+SUMIFS('Status of Curriculum Completion'!$AM$4:$AM$38,'Status of Curriculum Completion'!$AC$4:$AC$38,"Geo NA US",'Status of Curriculum Completion'!$AI$4:$AI$38,"In Progress")</f>
        <v>0</v>
      </c>
      <c r="L112" s="59">
        <f>SUMIFS('Status of Curriculum Completion'!$M$4:$M$38,'Status of Curriculum Completion'!$C$4:$C$38,"Geo NA US",'Status of Curriculum Completion'!$I$4:$I$38,"Planned")+SUMIFS('Status of Curriculum Completion'!$Z$4:$Z$38,'Status of Curriculum Completion'!$P$4:$P$38,"Geo NA US",'Status of Curriculum Completion'!$V$4:$V$38,"Planned")+SUMIFS('Status of Curriculum Completion'!$AM$4:$AM$38,'Status of Curriculum Completion'!$AC$4:$AC$38,"Geo NA US",'Status of Curriculum Completion'!$AI$4:$AI$38,"Planned")</f>
        <v>0</v>
      </c>
      <c r="M112" s="60">
        <f>SUMIFS('Status of Curriculum Completion'!$AZ$4:$AZ$38,'Status of Curriculum Completion'!$AP$4:$AP$38,"Geo NA US",'Status of Curriculum Completion'!$AT$4:$AT$38,"Complete")+SUMIFS('Status of Curriculum Completion'!$BM$4:$BM$38,'Status of Curriculum Completion'!$BC$4:$BC$38,"Geo NA US",'Status of Curriculum Completion'!$BG$4:$BG$38,"Complete")+SUMIFS('Status of Curriculum Completion'!$BZ$4:$BZ$38,'Status of Curriculum Completion'!$BP$4:$BP$38,"Geo NA US",'Status of Curriculum Completion'!$BT$4:$BT$38,"Complete")</f>
        <v>0</v>
      </c>
      <c r="N112" s="60">
        <f>SUMIFS('Status of Curriculum Completion'!$AZ$4:$AZ$38,'Status of Curriculum Completion'!$AP$4:$AP$38,"Geo NA US",'Status of Curriculum Completion'!$AT$4:$AT$38,"In Progress")+SUMIFS('Status of Curriculum Completion'!$BM$4:$BM$38,'Status of Curriculum Completion'!$BC$4:$BC$38,"Geo NA US",'Status of Curriculum Completion'!$BG$4:$BG$38,"In Progress")+SUMIFS('Status of Curriculum Completion'!$BZ$4:$BZ$38,'Status of Curriculum Completion'!$BP$4:$BP$38,"Geo NA US",'Status of Curriculum Completion'!$BT$4:$BT$38,"In Progress")</f>
        <v>0</v>
      </c>
      <c r="O112" s="60">
        <f>SUMIFS('Status of Curriculum Completion'!$AZ$4:$AZ$38,'Status of Curriculum Completion'!$AP$4:$AP$38,"Geo NA US",'Status of Curriculum Completion'!$AT$4:$AT$38,"Planned")+SUMIFS('Status of Curriculum Completion'!$BM$4:$BM$38,'Status of Curriculum Completion'!$BC$4:$BC$38,"Geo NA US",'Status of Curriculum Completion'!$BG$4:$BG$38,"Planned")+SUMIFS('Status of Curriculum Completion'!$BZ$4:$BZ$38,'Status of Curriculum Completion'!$BP$4:$BP$38,"Geo NA US",'Status of Curriculum Completion'!$BT$4:$BT$38,"Planned")</f>
        <v>0</v>
      </c>
      <c r="P112" s="60">
        <f>SUMIFS('Status of Curriculum Completion'!$AZ$4:$AZ$38,'Status of Curriculum Completion'!$AP$4:$AP$38,"Geo NA US",'Status of Curriculum Completion'!$AU$4:$AU$38,"Complete")+SUMIFS('Status of Curriculum Completion'!$BM$4:$BM$38,'Status of Curriculum Completion'!$BC$4:$BC$38,"Geo NA US",'Status of Curriculum Completion'!$BH$4:$BH$38,"Complete")+SUMIFS('Status of Curriculum Completion'!$BZ$4:$BZ$38,'Status of Curriculum Completion'!$BP$4:$BP$38,"Geo NA US",'Status of Curriculum Completion'!$BU$4:$BU$38,"Complete")</f>
        <v>0</v>
      </c>
      <c r="Q112" s="60">
        <f>SUMIFS('Status of Curriculum Completion'!$AZ$4:$AZ$38,'Status of Curriculum Completion'!$AP$4:$AP$38,"Geo NA US",'Status of Curriculum Completion'!$AU$4:$AU$38,"In Progress")+SUMIFS('Status of Curriculum Completion'!$BM$4:$BM$38,'Status of Curriculum Completion'!$BC$4:$BC$38,"Geo NA US",'Status of Curriculum Completion'!$BH$4:$BH$38,"In Progress")+SUMIFS('Status of Curriculum Completion'!$BZ$4:$BZ$38,'Status of Curriculum Completion'!$BP$4:$BP$38,"Geo NA US",'Status of Curriculum Completion'!$BU$4:$BU$38,"In Progress")</f>
        <v>0</v>
      </c>
      <c r="R112" s="60">
        <f>SUMIFS('Status of Curriculum Completion'!$AZ$4:$AZ$38,'Status of Curriculum Completion'!$AP$4:$AP$38,"Geo NA US",'Status of Curriculum Completion'!$AU$4:$AU$38,"Planned")+SUMIFS('Status of Curriculum Completion'!$BM$4:$BM$38,'Status of Curriculum Completion'!$BC$4:$BC$38,"Geo NA US",'Status of Curriculum Completion'!$BH$4:$BH$38,"Planned")+SUMIFS('Status of Curriculum Completion'!$BZ$4:$BZ$38,'Status of Curriculum Completion'!$BP$4:$BP$38,"Geo NA US",'Status of Curriculum Completion'!$BU$4:$BU$38,"Planned")</f>
        <v>0</v>
      </c>
      <c r="S112" s="60">
        <f>SUMIFS('Status of Curriculum Completion'!$AZ$4:$AZ$38,'Status of Curriculum Completion'!$AP$4:$AP$38,"Geo NA US",'Status of Curriculum Completion'!$AV$4:$AV$38,"Complete")+SUMIFS('Status of Curriculum Completion'!$BM$4:$BM$38,'Status of Curriculum Completion'!$BC$4:$BC$38,"Geo NA US",'Status of Curriculum Completion'!$BI$4:$BI$38,"Complete")+SUMIFS('Status of Curriculum Completion'!$BZ$4:$BZ$38,'Status of Curriculum Completion'!$BP$4:$BP$38,"Geo NA US",'Status of Curriculum Completion'!$BV$4:$BV$38,"Complete")</f>
        <v>0</v>
      </c>
      <c r="T112" s="60">
        <f>SUMIFS('Status of Curriculum Completion'!$AZ$4:$AZ$38,'Status of Curriculum Completion'!$AP$4:$AP$38,"Geo NA US",'Status of Curriculum Completion'!$AV$4:$AV$38,"In Progress")+SUMIFS('Status of Curriculum Completion'!$BM$4:$BM$38,'Status of Curriculum Completion'!$BC$4:$BC$38,"Geo NA US",'Status of Curriculum Completion'!$BI$4:$BI$38,"In Progress")+SUMIFS('Status of Curriculum Completion'!$BZ$4:$BZ$38,'Status of Curriculum Completion'!$BP$4:$BP$38,"Geo NA US",'Status of Curriculum Completion'!$BV$4:$BV$38,"In Progress")</f>
        <v>0</v>
      </c>
      <c r="U112" s="60">
        <f>SUMIFS('Status of Curriculum Completion'!$AZ$4:$AZ$38,'Status of Curriculum Completion'!$AP$4:$AP$38,"Geo NA US",'Status of Curriculum Completion'!$AV$4:$AV$38,"Planned")+SUMIFS('Status of Curriculum Completion'!$BM$4:$BM$38,'Status of Curriculum Completion'!$BC$4:$BC$38,"Geo NA US",'Status of Curriculum Completion'!$BI$4:$BI$38,"Planned")+SUMIFS('Status of Curriculum Completion'!$BZ$4:$BZ$38,'Status of Curriculum Completion'!$BP$4:$BP$38,"Geo NA US",'Status of Curriculum Completion'!$BV$4:$BV$38,"Planned")</f>
        <v>0</v>
      </c>
      <c r="V112"/>
      <c r="W112"/>
      <c r="X112" s="63" t="s">
        <v>1174</v>
      </c>
      <c r="Y112" s="61">
        <f>SUMIFS('Status of Curriculum Completion'!$CM$4:$CM$38,'Status of Curriculum Completion'!$CC$4:$CC$38,"Geo NA US",'Status of Curriculum Completion'!$CG$4:$CG$38,"Complete")+SUMIFS('Status of Curriculum Completion'!$CZ$4:$CZ$38,'Status of Curriculum Completion'!$CP$4:$CP$38,"Geo NA US",'Status of Curriculum Completion'!$CT$4:$CT$38,"Complete")+SUMIFS('Status of Curriculum Completion'!$DM$4:$DM$38,'Status of Curriculum Completion'!$DC$4:$DC$38,"Geo NA US",'Status of Curriculum Completion'!$DG$4:$DG$38,"Complete")</f>
        <v>0</v>
      </c>
      <c r="Z112" s="61">
        <f>SUMIFS('Status of Curriculum Completion'!$CM$4:$CM$38,'Status of Curriculum Completion'!$CC$4:$CC$38,"Geo NA US",'Status of Curriculum Completion'!$CG$4:$CG$38,"In Progress")+SUMIFS('Status of Curriculum Completion'!$CZ$4:$CZ$38,'Status of Curriculum Completion'!$CP$4:$CP$38,"Geo NA US",'Status of Curriculum Completion'!$CT$4:$CT$38,"In Progress")+SUMIFS('Status of Curriculum Completion'!$DM$4:$DM$38,'Status of Curriculum Completion'!$DC$4:$DC$38,"Geo NA US",'Status of Curriculum Completion'!$DG$4:$DG$38,"In Progress")</f>
        <v>37</v>
      </c>
      <c r="AA112" s="61">
        <f>SUMIFS('Status of Curriculum Completion'!$CM$4:$CM$38,'Status of Curriculum Completion'!$CC$4:$CC$38,"Geo NA US",'Status of Curriculum Completion'!$CG$4:$CG$38,"Planned")+SUMIFS('Status of Curriculum Completion'!$CZ$4:$CZ$38,'Status of Curriculum Completion'!$CP$4:$CP$38,"Geo NA US",'Status of Curriculum Completion'!$CT$4:$CT$38,"Planned")+SUMIFS('Status of Curriculum Completion'!$DM$4:$DM$38,'Status of Curriculum Completion'!$DC$4:$DC$38,"Geo NA US",'Status of Curriculum Completion'!$DG$4:$DG$38,"Planned")</f>
        <v>0</v>
      </c>
      <c r="AB112" s="61">
        <f>SUMIFS('Status of Curriculum Completion'!$CM$4:$CM$38,'Status of Curriculum Completion'!$CC$4:$CC$38,"Geo NA US",'Status of Curriculum Completion'!$CG$4:$CG$38,"Tentative")+SUMIFS('Status of Curriculum Completion'!$CZ$4:$CZ$38,'Status of Curriculum Completion'!$CP$4:$CP$38,"Geo NA US",'Status of Curriculum Completion'!$CT$4:$CT$38,"Tentative")+SUMIFS('Status of Curriculum Completion'!$DM$4:$DM$38,'Status of Curriculum Completion'!$DC$4:$DC$38,"Geo NA US",'Status of Curriculum Completion'!$DG$4:$DG$38,"Tentative")</f>
        <v>0</v>
      </c>
      <c r="AC112" s="61">
        <f>SUMIFS('Status of Curriculum Completion'!$CM$4:$CM$38,'Status of Curriculum Completion'!$CC$4:$CC$38,"Geo NA US",'Status of Curriculum Completion'!$CH$4:$CH$38,"Complete")+SUMIFS('Status of Curriculum Completion'!$CZ$4:$CZ$38,'Status of Curriculum Completion'!$CP$4:$CP$38,"Geo NA US",'Status of Curriculum Completion'!$CU$4:$CU$38,"Complete")+SUMIFS('Status of Curriculum Completion'!$DM$4:$DM$38,'Status of Curriculum Completion'!$DC$4:$DC$38,"Geo NA US",'Status of Curriculum Completion'!$DH$4:$DH$38,"Complete")</f>
        <v>0</v>
      </c>
      <c r="AD112" s="61">
        <f>SUMIFS('Status of Curriculum Completion'!$CM$4:$CM$38,'Status of Curriculum Completion'!$CC$4:$CC$38,"Geo NA US",'Status of Curriculum Completion'!$CH$4:$CH$38,"In Progress")+SUMIFS('Status of Curriculum Completion'!$CZ$4:$CZ$38,'Status of Curriculum Completion'!$CP$4:$CP$38,"Geo NA US",'Status of Curriculum Completion'!$CU$4:$CU$38,"In Progress")+SUMIFS('Status of Curriculum Completion'!$DM$4:$DM$38,'Status of Curriculum Completion'!$DC$4:$DC$38,"Geo NA US",'Status of Curriculum Completion'!$DH$4:$DH$38,"In Progress")</f>
        <v>0</v>
      </c>
      <c r="AE112" s="61">
        <f>SUMIFS('Status of Curriculum Completion'!$CM$4:$CM$38,'Status of Curriculum Completion'!$CC$4:$CC$38,"Geo NA US",'Status of Curriculum Completion'!$CH$4:$CH$38,"Planned")+SUMIFS('Status of Curriculum Completion'!$CZ$4:$CZ$38,'Status of Curriculum Completion'!$CP$4:$CP$38,"Geo NA US",'Status of Curriculum Completion'!$CU$4:$CU$38,"Planned")+SUMIFS('Status of Curriculum Completion'!$DM$4:$DM$38,'Status of Curriculum Completion'!$DC$4:$DC$38,"Geo NA US",'Status of Curriculum Completion'!$DH$4:$DH$38,"Planned")</f>
        <v>0</v>
      </c>
      <c r="AF112" s="61">
        <f>SUMIFS('Status of Curriculum Completion'!$CM$4:$CM$38,'Status of Curriculum Completion'!$CC$4:$CC$38,"Geo NA US",'Status of Curriculum Completion'!$CH$4:$CH$38,"Tentative")+SUMIFS('Status of Curriculum Completion'!$CZ$4:$CZ$38,'Status of Curriculum Completion'!$CP$4:$CP$38,"Geo NA US",'Status of Curriculum Completion'!$CU$4:$CU$38,"Tentative")+SUMIFS('Status of Curriculum Completion'!$DM$4:$DM$38,'Status of Curriculum Completion'!$DC$4:$DC$38,"Geo NA US",'Status of Curriculum Completion'!$DH$4:$DH$38,"Tentative")</f>
        <v>0</v>
      </c>
      <c r="AG112" s="61">
        <f>SUMIFS('Status of Curriculum Completion'!$CM$4:$CM$38,'Status of Curriculum Completion'!$CC$4:$CC$38,"Geo NA US",'Status of Curriculum Completion'!$CI$4:$CI$38,"Complete")+SUMIFS('Status of Curriculum Completion'!$CZ$4:$CZ$38,'Status of Curriculum Completion'!$CP$4:$CP$38,"Geo NA US",'Status of Curriculum Completion'!$CV$4:$CV$38,"Complete")+SUMIFS('Status of Curriculum Completion'!$DM$4:$DM$38,'Status of Curriculum Completion'!$DC$4:$DC$38,"Geo NA US",'Status of Curriculum Completion'!$DI$4:$DI$38,"Complete")</f>
        <v>0</v>
      </c>
      <c r="AH112" s="61">
        <f>SUMIFS('Status of Curriculum Completion'!$CM$4:$CM$38,'Status of Curriculum Completion'!$CC$4:$CC$38,"Geo NA US",'Status of Curriculum Completion'!$CI$4:$CI$38,"In Progress")+SUMIFS('Status of Curriculum Completion'!$CZ$4:$CZ$38,'Status of Curriculum Completion'!$CP$4:$CP$38,"Geo NA US",'Status of Curriculum Completion'!$CV$4:$CV$38,"In Progress")+SUMIFS('Status of Curriculum Completion'!$DM$4:$DM$38,'Status of Curriculum Completion'!$DC$4:$DC$38,"Geo NA US",'Status of Curriculum Completion'!$DI$4:$DI$38,"In Progress")</f>
        <v>0</v>
      </c>
      <c r="AI112" s="61">
        <f>SUMIFS('Status of Curriculum Completion'!$CM$4:$CM$38,'Status of Curriculum Completion'!$CC$4:$CC$38,"Geo NA US",'Status of Curriculum Completion'!$CI$4:$CI$38,"Planned")+SUMIFS('Status of Curriculum Completion'!$CZ$4:$CZ$38,'Status of Curriculum Completion'!$CP$4:$CP$38,"Geo NA US",'Status of Curriculum Completion'!$CV$4:$CV$38,"Planned")+SUMIFS('Status of Curriculum Completion'!$DM$4:$DM$38,'Status of Curriculum Completion'!$DC$4:$DC$38,"Geo NA US",'Status of Curriculum Completion'!$DI$4:$DI$38,"Planned")</f>
        <v>0</v>
      </c>
      <c r="AJ112" s="61">
        <f>SUMIFS('Status of Curriculum Completion'!$CM$4:$CM$38,'Status of Curriculum Completion'!$CC$4:$CC$38,"Geo NA US",'Status of Curriculum Completion'!$CI$4:$CI$38,"Tentative")+SUMIFS('Status of Curriculum Completion'!$CZ$4:$CZ$38,'Status of Curriculum Completion'!$CP$4:$CP$38,"Geo NA US",'Status of Curriculum Completion'!$CV$4:$CV$38,"Tentative")+SUMIFS('Status of Curriculum Completion'!$DM$4:$DM$38,'Status of Curriculum Completion'!$DC$4:$DC$38,"Geo NA US",'Status of Curriculum Completion'!$DI$4:$DI$38,"Tentative")</f>
        <v>0</v>
      </c>
      <c r="AK112" s="62">
        <f>SUMIFS('Status of Curriculum Completion'!$DZ$4:$DZ$38,'Status of Curriculum Completion'!$DP$4:$DP$38,"Geo NA US",'Status of Curriculum Completion'!$DT$4:$DT$38,"Complete")+SUMIFS('Status of Curriculum Completion'!$EM$4:$EM$38,'Status of Curriculum Completion'!$EC$4:$EC$38,"Geo NA US",'Status of Curriculum Completion'!$EG$4:$EG$38,"Complete")+SUMIFS('Status of Curriculum Completion'!$EZ$4:$EZ$38,'Status of Curriculum Completion'!$EP$4:$EP$38,"Geo NA US",'Status of Curriculum Completion'!$ET$4:$ET$38,"Complete")</f>
        <v>0</v>
      </c>
      <c r="AL112" s="62">
        <f>SUMIFS('Status of Curriculum Completion'!$DZ$4:$DZ$38,'Status of Curriculum Completion'!$DP$4:$DP$38,"Geo NA US",'Status of Curriculum Completion'!$DT$4:$DT$38,"In Progress")+SUMIFS('Status of Curriculum Completion'!$EM$4:$EM$38,'Status of Curriculum Completion'!$EC$4:$EC$38,"Geo NA US",'Status of Curriculum Completion'!$EG$4:$EG$38,"In Progress")+SUMIFS('Status of Curriculum Completion'!$EZ$4:$EZ$38,'Status of Curriculum Completion'!$EP$4:$EP$38,"Geo NA US",'Status of Curriculum Completion'!$ET$4:$ET$38,"In Progress")</f>
        <v>49</v>
      </c>
      <c r="AM112" s="62">
        <f>SUMIFS('Status of Curriculum Completion'!$DZ$4:$DZ$38,'Status of Curriculum Completion'!$DP$4:$DP$38,"Geo NA US",'Status of Curriculum Completion'!$DT$4:$DT$38,"Planned")+SUMIFS('Status of Curriculum Completion'!$EM$4:$EM$38,'Status of Curriculum Completion'!$EC$4:$EC$38,"Geo NA US",'Status of Curriculum Completion'!$EG$4:$EG$38,"Planned")+SUMIFS('Status of Curriculum Completion'!$EZ$4:$EZ$38,'Status of Curriculum Completion'!$EP$4:$EP$38,"Geo NA US",'Status of Curriculum Completion'!$ET$4:$ET$38,"Planned")</f>
        <v>0</v>
      </c>
      <c r="AN112" s="62">
        <f>SUMIFS('Status of Curriculum Completion'!$DZ$4:$DZ$38,'Status of Curriculum Completion'!$DP$4:$DP$38,"Geo NA US",'Status of Curriculum Completion'!$DT$4:$DT$38,"Tentative")+SUMIFS('Status of Curriculum Completion'!$EM$4:$EM$38,'Status of Curriculum Completion'!$EC$4:$EC$38,"Geo NA US",'Status of Curriculum Completion'!$EG$4:$EG$38,"Tentative")+SUMIFS('Status of Curriculum Completion'!$EZ$4:$EZ$38,'Status of Curriculum Completion'!$EP$4:$EP$38,"Geo NA US",'Status of Curriculum Completion'!$ET$4:$ET$38,"Tentative")</f>
        <v>0</v>
      </c>
      <c r="AO112" s="62">
        <f>SUMIFS('Status of Curriculum Completion'!$DZ$4:$DZ$38,'Status of Curriculum Completion'!$DP$4:$DP$38,"Geo NA US",'Status of Curriculum Completion'!$DU$4:$DU$38,"Complete")+SUMIFS('Status of Curriculum Completion'!$EM$4:$EM$38,'Status of Curriculum Completion'!$EC$4:$EC$38,"Geo NA US",'Status of Curriculum Completion'!$EH$4:$EH$38,"Complete")+SUMIFS('Status of Curriculum Completion'!$EZ$4:$EZ$38,'Status of Curriculum Completion'!$EP$4:$EP$38,"Geo NA US",'Status of Curriculum Completion'!$EU$4:$EU$38,"Complete")</f>
        <v>0</v>
      </c>
      <c r="AP112" s="62">
        <f>SUMIFS('Status of Curriculum Completion'!$DZ$4:$DZ$38,'Status of Curriculum Completion'!$DP$4:$DP$38,"Geo NA US",'Status of Curriculum Completion'!$DU$4:$DU$38,"In Progress")+SUMIFS('Status of Curriculum Completion'!$EM$4:$EM$38,'Status of Curriculum Completion'!$EC$4:$EC$38,"Geo NA US",'Status of Curriculum Completion'!$EH$4:$EH$38,"In Progress")+SUMIFS('Status of Curriculum Completion'!$EZ$4:$EZ$38,'Status of Curriculum Completion'!$EP$4:$EP$38,"Geo NA US",'Status of Curriculum Completion'!$EU$4:$EU$38,"In Progress")</f>
        <v>0</v>
      </c>
      <c r="AQ112" s="62">
        <f>SUMIFS('Status of Curriculum Completion'!$DZ$4:$DZ$38,'Status of Curriculum Completion'!$DP$4:$DP$38,"Geo NA US",'Status of Curriculum Completion'!$DU$4:$DU$38,"Planned")+SUMIFS('Status of Curriculum Completion'!$EM$4:$EM$38,'Status of Curriculum Completion'!$EC$4:$EC$38,"Geo NA US",'Status of Curriculum Completion'!$EH$4:$EH$38,"Planned")+SUMIFS('Status of Curriculum Completion'!$EZ$4:$EZ$38,'Status of Curriculum Completion'!$EP$4:$EP$38,"Geo NA US",'Status of Curriculum Completion'!$EU$4:$EU$38,"Planned")</f>
        <v>0</v>
      </c>
      <c r="AR112" s="62">
        <f>SUMIFS('Status of Curriculum Completion'!$DZ$4:$DZ$38,'Status of Curriculum Completion'!$DP$4:$DP$38,"Geo NA US",'Status of Curriculum Completion'!$DU$4:$DU$38,"Tentative")+SUMIFS('Status of Curriculum Completion'!$EM$4:$EM$38,'Status of Curriculum Completion'!$EC$4:$EC$38,"Geo NA US",'Status of Curriculum Completion'!$EH$4:$EH$38,"Tentative")+SUMIFS('Status of Curriculum Completion'!$EZ$4:$EZ$38,'Status of Curriculum Completion'!$EP$4:$EP$38,"Geo NA US",'Status of Curriculum Completion'!$EU$4:$EU$38,"Tentative")</f>
        <v>0</v>
      </c>
      <c r="AS112" s="62">
        <f>SUMIFS('Status of Curriculum Completion'!$DZ$4:$DZ$38,'Status of Curriculum Completion'!$DP$4:$DP$38,"Geo NA US",'Status of Curriculum Completion'!$DV$4:$DV$38,"Complete")+SUMIFS('Status of Curriculum Completion'!$EM$4:$EM$38,'Status of Curriculum Completion'!$EC$4:$EC$38,"Geo NA US",'Status of Curriculum Completion'!$EI$4:$EI$38,"Complete")+SUMIFS('Status of Curriculum Completion'!$EZ$4:$EZ$38,'Status of Curriculum Completion'!$EP$4:$EP$38,"Geo NA US",'Status of Curriculum Completion'!$EV$4:$EV$38,"Complete")</f>
        <v>0</v>
      </c>
      <c r="AT112" s="62">
        <f>SUMIFS('Status of Curriculum Completion'!$DZ$4:$DZ$38,'Status of Curriculum Completion'!$DP$4:$DP$38,"Geo NA US",'Status of Curriculum Completion'!$DV$4:$DV$38,"In Progress")+SUMIFS('Status of Curriculum Completion'!$EM$4:$EM$38,'Status of Curriculum Completion'!$EC$4:$EC$38,"Geo NA US",'Status of Curriculum Completion'!$EI$4:$EI$38,"In Progress")+SUMIFS('Status of Curriculum Completion'!$EZ$4:$EZ$38,'Status of Curriculum Completion'!$EP$4:$EP$38,"Geo NA US",'Status of Curriculum Completion'!$EV$4:$EV$38,"In Progress")</f>
        <v>0</v>
      </c>
      <c r="AU112" s="62">
        <f>SUMIFS('Status of Curriculum Completion'!$DZ$4:$DZ$38,'Status of Curriculum Completion'!$DP$4:$DP$38,"Geo NA US",'Status of Curriculum Completion'!$DV$4:$DV$38,"Planned")+SUMIFS('Status of Curriculum Completion'!$EM$4:$EM$38,'Status of Curriculum Completion'!$EC$4:$EC$38,"Geo NA US",'Status of Curriculum Completion'!$EI$4:$EI$38,"Planned")+SUMIFS('Status of Curriculum Completion'!$EZ$4:$EZ$38,'Status of Curriculum Completion'!$EP$4:$EP$38,"Geo NA US",'Status of Curriculum Completion'!$EV$4:$EV$38,"Planned")</f>
        <v>0</v>
      </c>
      <c r="AV112" s="62">
        <f>SUMIFS('Status of Curriculum Completion'!$DZ$4:$DZ$38,'Status of Curriculum Completion'!$DP$4:$DP$38,"Geo NA US",'Status of Curriculum Completion'!$DV$4:$DV$38,"Tentative")+SUMIFS('Status of Curriculum Completion'!$EM$4:$EM$38,'Status of Curriculum Completion'!$EC$4:$EC$38,"Geo NA US",'Status of Curriculum Completion'!$EI$4:$EI$38,"Tentative")+SUMIFS('Status of Curriculum Completion'!$EZ$4:$EZ$38,'Status of Curriculum Completion'!$EP$4:$EP$38,"Geo NA US",'Status of Curriculum Completion'!$EV$4:$EV$38,"Tentative")</f>
        <v>0</v>
      </c>
    </row>
    <row r="113" spans="3:48" ht="44" hidden="1" thickBot="1">
      <c r="C113" s="63" t="s">
        <v>1175</v>
      </c>
      <c r="D113" s="59">
        <f>SUMIFS('Status of Curriculum Completion'!$M$4:$M$38,'Status of Curriculum Completion'!$C$4:$C$38,"Geo WE",'Status of Curriculum Completion'!$G$4:$G$38,"Complete")+SUMIFS('Status of Curriculum Completion'!$Z$4:$Z$38,'Status of Curriculum Completion'!$P$4:$P$38,"Geo WE",'Status of Curriculum Completion'!$T$4:$T$38,"Complete")+SUMIFS('Status of Curriculum Completion'!$AM$4:$AM$38,'Status of Curriculum Completion'!$AC$4:$AC$38,"Geo WE",'Status of Curriculum Completion'!$AG$4:$AG$38,"Complete")</f>
        <v>0</v>
      </c>
      <c r="E113" s="59">
        <f>SUMIFS('Status of Curriculum Completion'!$M$4:$M$38,'Status of Curriculum Completion'!$C$4:$C$38,"Geo WE",'Status of Curriculum Completion'!$G$4:$G$38,"In progress")+SUMIFS('Status of Curriculum Completion'!$Z$4:$Z$38,'Status of Curriculum Completion'!$P$4:$P$38,"Geo WE",'Status of Curriculum Completion'!$T$4:$T$38,"In progress")+SUMIFS('Status of Curriculum Completion'!$AM$4:$AM$38,'Status of Curriculum Completion'!$AC$4:$AC$38,"Geo WE",'Status of Curriculum Completion'!$AG$4:$AG$38,"In progress")</f>
        <v>0</v>
      </c>
      <c r="F113" s="59">
        <f>SUMIFS('Status of Curriculum Completion'!$M$4:$M$38,'Status of Curriculum Completion'!$C$4:$C$38,"CEE",'Status of Curriculum Completion'!$G$4:$G$38,"Planned")+SUMIFS('Status of Curriculum Completion'!$Z$4:$Z$38,'Status of Curriculum Completion'!$P$4:$P$38,"CEE",'Status of Curriculum Completion'!$T$4:$T$38,"Planned")+SUMIFS('Status of Curriculum Completion'!$AM$4:$AM$38,'Status of Curriculum Completion'!$AC$4:$AC$38,"CEE",'Status of Curriculum Completion'!$AG$4:$AG$38,"Planned")</f>
        <v>0</v>
      </c>
      <c r="G113" s="59">
        <f>SUMIFS('Status of Curriculum Completion'!$M$4:$M$38,'Status of Curriculum Completion'!$C$4:$C$38,"Geo WE",'Status of Curriculum Completion'!$H$4:$H$38,"Complete")+SUMIFS('Status of Curriculum Completion'!$Z$4:$Z$38,'Status of Curriculum Completion'!$P$4:$P$38,"Geo WE",'Status of Curriculum Completion'!$U$4:$U$38,"Complete")+SUMIFS('Status of Curriculum Completion'!$AM$4:$AM$38,'Status of Curriculum Completion'!$AC$4:$AC$38,"Geo WE",'Status of Curriculum Completion'!$AH$4:$AH$38,"Complete")</f>
        <v>0</v>
      </c>
      <c r="H113" s="59">
        <f>SUMIFS('Status of Curriculum Completion'!$M$4:$M$38,'Status of Curriculum Completion'!$C$4:$C$38,"Geo WE",'Status of Curriculum Completion'!$H$4:$H$38,"In Progress")+SUMIFS('Status of Curriculum Completion'!$Z$4:$Z$38,'Status of Curriculum Completion'!$P$4:$P$38,"Geo WE",'Status of Curriculum Completion'!$U$4:$U$38,"In Progress")+SUMIFS('Status of Curriculum Completion'!$AM$4:$AM$38,'Status of Curriculum Completion'!$AC$4:$AC$38,"Geo WE",'Status of Curriculum Completion'!$AH$4:$AH$38,"In Progress")</f>
        <v>0</v>
      </c>
      <c r="I113" s="59">
        <f>SUMIFS('Status of Curriculum Completion'!$M$4:$M$38,'Status of Curriculum Completion'!$C$4:$C$38,"Geo WE",'Status of Curriculum Completion'!$H$4:$H$38,"Planned")+SUMIFS('Status of Curriculum Completion'!$Z$4:$Z$38,'Status of Curriculum Completion'!$P$4:$P$38,"Geo WE",'Status of Curriculum Completion'!$U$4:$U$38,"Planned")+SUMIFS('Status of Curriculum Completion'!$AM$4:$AM$38,'Status of Curriculum Completion'!$AC$4:$AC$38,"Geo WE",'Status of Curriculum Completion'!$AH$4:$AH$38,"Planned")</f>
        <v>0</v>
      </c>
      <c r="J113" s="59">
        <f>SUMIFS('Status of Curriculum Completion'!$M$4:$M$38,'Status of Curriculum Completion'!$C$4:$C$38,"Geo WE",'Status of Curriculum Completion'!$I$4:$I$38,"Complete")+SUMIFS('Status of Curriculum Completion'!$Z$4:$Z$38,'Status of Curriculum Completion'!$P$4:$P$38,"Geo WE",'Status of Curriculum Completion'!$V$4:$V$38,"Complete")+SUMIFS('Status of Curriculum Completion'!$AM$4:$AM$38,'Status of Curriculum Completion'!$AC$4:$AC$38,"Geo WE",'Status of Curriculum Completion'!$AI$4:$AI$38,"Complete")</f>
        <v>0</v>
      </c>
      <c r="K113" s="59">
        <f>SUMIFS('Status of Curriculum Completion'!$M$4:$M$38,'Status of Curriculum Completion'!$C$4:$C$38,"Geo WE",'Status of Curriculum Completion'!$I$4:$I$38,"In Progress")+SUMIFS('Status of Curriculum Completion'!$Z$4:$Z$38,'Status of Curriculum Completion'!$P$4:$P$38,"Geo WE",'Status of Curriculum Completion'!$V$4:$V$38,"In Progress")+SUMIFS('Status of Curriculum Completion'!$AM$4:$AM$38,'Status of Curriculum Completion'!$AC$4:$AC$38,"Geo WE",'Status of Curriculum Completion'!$AI$4:$AI$38,"In Progress")</f>
        <v>0</v>
      </c>
      <c r="L113" s="59">
        <f>SUMIFS('Status of Curriculum Completion'!$M$4:$M$38,'Status of Curriculum Completion'!$C$4:$C$38,"Geo WE",'Status of Curriculum Completion'!$I$4:$I$38,"Planned")+SUMIFS('Status of Curriculum Completion'!$Z$4:$Z$38,'Status of Curriculum Completion'!$P$4:$P$38,"Geo WE",'Status of Curriculum Completion'!$V$4:$V$38,"Planned")+SUMIFS('Status of Curriculum Completion'!$AM$4:$AM$38,'Status of Curriculum Completion'!$AC$4:$AC$38,"Geo WE",'Status of Curriculum Completion'!$AI$4:$AI$38,"Planned")</f>
        <v>0</v>
      </c>
      <c r="M113" s="60">
        <f>SUMIFS('Status of Curriculum Completion'!$AZ$4:$AZ$38,'Status of Curriculum Completion'!$AP$4:$AP$38,"Geo WE",'Status of Curriculum Completion'!$AT$4:$AT$38,"Complete")+SUMIFS('Status of Curriculum Completion'!$BM$4:$BM$38,'Status of Curriculum Completion'!$BC$4:$BC$38,"Geo WE",'Status of Curriculum Completion'!$BG$4:$BG$38,"Complete")+SUMIFS('Status of Curriculum Completion'!$BZ$4:$BZ$38,'Status of Curriculum Completion'!$BP$4:$BP$38,"Geo WE",'Status of Curriculum Completion'!$BT$4:$BT$38,"Complete")</f>
        <v>0</v>
      </c>
      <c r="N113" s="60">
        <f>SUMIFS('Status of Curriculum Completion'!$AZ$4:$AZ$38,'Status of Curriculum Completion'!$AP$4:$AP$38,"Geo WE",'Status of Curriculum Completion'!$AT$4:$AT$38,"In Progress")+SUMIFS('Status of Curriculum Completion'!$BM$4:$BM$38,'Status of Curriculum Completion'!$BC$4:$BC$38,"Geo WE",'Status of Curriculum Completion'!$BG$4:$BG$38,"In Progress")+SUMIFS('Status of Curriculum Completion'!$BZ$4:$BZ$38,'Status of Curriculum Completion'!$BP$4:$BP$38,"Geo WE",'Status of Curriculum Completion'!$BT$4:$BT$38,"In Progress")</f>
        <v>0</v>
      </c>
      <c r="O113" s="60">
        <f>SUMIFS('Status of Curriculum Completion'!$AZ$4:$AZ$38,'Status of Curriculum Completion'!$AP$4:$AP$38,"Geo WE",'Status of Curriculum Completion'!$AT$4:$AT$38,"Planned")+SUMIFS('Status of Curriculum Completion'!$BM$4:$BM$38,'Status of Curriculum Completion'!$BC$4:$BC$38,"Geo WE",'Status of Curriculum Completion'!$BG$4:$BG$38,"Planned")+SUMIFS('Status of Curriculum Completion'!$BZ$4:$BZ$38,'Status of Curriculum Completion'!$BP$4:$BP$38,"Geo WE",'Status of Curriculum Completion'!$BT$4:$BT$38,"Planned")</f>
        <v>0</v>
      </c>
      <c r="P113" s="60">
        <f>SUMIFS('Status of Curriculum Completion'!$AZ$4:$AZ$38,'Status of Curriculum Completion'!$AP$4:$AP$38,"Geo WE",'Status of Curriculum Completion'!$AU$4:$AU$38,"Complete")+SUMIFS('Status of Curriculum Completion'!$BM$4:$BM$38,'Status of Curriculum Completion'!$BC$4:$BC$38,"Geo WE",'Status of Curriculum Completion'!$BH$4:$BH$38,"Complete")+SUMIFS('Status of Curriculum Completion'!$BZ$4:$BZ$38,'Status of Curriculum Completion'!$BP$4:$BP$38,"Geo WE",'Status of Curriculum Completion'!$BU$4:$BU$38,"Complete")</f>
        <v>0</v>
      </c>
      <c r="Q113" s="60">
        <f>SUMIFS('Status of Curriculum Completion'!$AZ$4:$AZ$38,'Status of Curriculum Completion'!$AP$4:$AP$38,"Geo WE",'Status of Curriculum Completion'!$AU$4:$AU$38,"In Progress")+SUMIFS('Status of Curriculum Completion'!$BM$4:$BM$38,'Status of Curriculum Completion'!$BC$4:$BC$38,"Geo WE",'Status of Curriculum Completion'!$BH$4:$BH$38,"In Progress")+SUMIFS('Status of Curriculum Completion'!$BZ$4:$BZ$38,'Status of Curriculum Completion'!$BP$4:$BP$38,"Geo WE",'Status of Curriculum Completion'!$BU$4:$BU$38,"In Progress")</f>
        <v>0</v>
      </c>
      <c r="R113" s="60">
        <f>SUMIFS('Status of Curriculum Completion'!$AZ$4:$AZ$38,'Status of Curriculum Completion'!$AP$4:$AP$38,"Geo WE",'Status of Curriculum Completion'!$AU$4:$AU$38,"Planned")+SUMIFS('Status of Curriculum Completion'!$BM$4:$BM$38,'Status of Curriculum Completion'!$BC$4:$BC$38,"Geo WE",'Status of Curriculum Completion'!$BH$4:$BH$38,"Planned")+SUMIFS('Status of Curriculum Completion'!$BZ$4:$BZ$38,'Status of Curriculum Completion'!$BP$4:$BP$38,"Geo WE",'Status of Curriculum Completion'!$BU$4:$BU$38,"Planned")</f>
        <v>0</v>
      </c>
      <c r="S113" s="60">
        <f>SUMIFS('Status of Curriculum Completion'!$AZ$4:$AZ$38,'Status of Curriculum Completion'!$AP$4:$AP$38,"Geo WE",'Status of Curriculum Completion'!$AV$4:$AV$38,"Complete")+SUMIFS('Status of Curriculum Completion'!$BM$4:$BM$38,'Status of Curriculum Completion'!$BC$4:$BC$38,"Geo WE",'Status of Curriculum Completion'!$BI$4:$BI$38,"Complete")+SUMIFS('Status of Curriculum Completion'!$BZ$4:$BZ$38,'Status of Curriculum Completion'!$BP$4:$BP$38,"Geo WE",'Status of Curriculum Completion'!$BV$4:$BV$38,"Complete")</f>
        <v>0</v>
      </c>
      <c r="T113" s="60">
        <f>SUMIFS('Status of Curriculum Completion'!$AZ$4:$AZ$38,'Status of Curriculum Completion'!$AP$4:$AP$38,"Geo WE",'Status of Curriculum Completion'!$AV$4:$AV$38,"In Progress")+SUMIFS('Status of Curriculum Completion'!$BM$4:$BM$38,'Status of Curriculum Completion'!$BC$4:$BC$38,"Geo WE",'Status of Curriculum Completion'!$BI$4:$BI$38,"In Progress")+SUMIFS('Status of Curriculum Completion'!$BZ$4:$BZ$38,'Status of Curriculum Completion'!$BP$4:$BP$38,"Geo WE",'Status of Curriculum Completion'!$BV$4:$BV$38,"In Progress")</f>
        <v>0</v>
      </c>
      <c r="U113" s="60">
        <f>SUMIFS('Status of Curriculum Completion'!$AZ$4:$AZ$38,'Status of Curriculum Completion'!$AP$4:$AP$38,"Geo WE",'Status of Curriculum Completion'!$AV$4:$AV$38,"Planned")+SUMIFS('Status of Curriculum Completion'!$BM$4:$BM$38,'Status of Curriculum Completion'!$BC$4:$BC$38,"Geo WE",'Status of Curriculum Completion'!$BI$4:$BI$38,"Planned")+SUMIFS('Status of Curriculum Completion'!$BZ$4:$BZ$38,'Status of Curriculum Completion'!$BP$4:$BP$38,"Geo WE",'Status of Curriculum Completion'!$BV$4:$BV$38,"Planned")</f>
        <v>0</v>
      </c>
      <c r="V113"/>
      <c r="W113"/>
      <c r="X113" s="63" t="s">
        <v>1175</v>
      </c>
      <c r="Y113" s="61">
        <f>SUMIFS('Status of Curriculum Completion'!$CM$4:$CM$38,'Status of Curriculum Completion'!$CC$4:$CC$38,"Geo WE",'Status of Curriculum Completion'!$CG$4:$CG$38,"Complete")+SUMIFS('Status of Curriculum Completion'!$CZ$4:$CZ$38,'Status of Curriculum Completion'!$CP$4:$CP$38,"Geo WE",'Status of Curriculum Completion'!$CT$4:$CT$38,"Complete")+SUMIFS('Status of Curriculum Completion'!$DM$4:$DM$38,'Status of Curriculum Completion'!$DC$4:$DC$38,"Geo WE",'Status of Curriculum Completion'!$DG$4:$DG$38,"Complete")</f>
        <v>0</v>
      </c>
      <c r="Z113" s="61">
        <f>SUMIFS('Status of Curriculum Completion'!$CM$4:$CM$38,'Status of Curriculum Completion'!$CC$4:$CC$38,"Geo WE",'Status of Curriculum Completion'!$CG$4:$CG$38,"In Progress")+SUMIFS('Status of Curriculum Completion'!$CZ$4:$CZ$38,'Status of Curriculum Completion'!$CP$4:$CP$38,"Geo WE",'Status of Curriculum Completion'!$CT$4:$CT$38,"In Progress")+SUMIFS('Status of Curriculum Completion'!$DM$4:$DM$38,'Status of Curriculum Completion'!$DC$4:$DC$38,"Geo WE",'Status of Curriculum Completion'!$DG$4:$DG$38,"In Progress")</f>
        <v>0</v>
      </c>
      <c r="AA113" s="61">
        <f>SUMIFS('Status of Curriculum Completion'!$CM$4:$CM$38,'Status of Curriculum Completion'!$CC$4:$CC$38,"Geo WE",'Status of Curriculum Completion'!$CG$4:$CG$38,"Planned")+SUMIFS('Status of Curriculum Completion'!$CZ$4:$CZ$38,'Status of Curriculum Completion'!$CP$4:$CP$38,"Geo WE",'Status of Curriculum Completion'!$CT$4:$CT$38,"Planned")+SUMIFS('Status of Curriculum Completion'!$DM$4:$DM$38,'Status of Curriculum Completion'!$DC$4:$DC$38,"Geo WE",'Status of Curriculum Completion'!$DG$4:$DG$38,"Planned")</f>
        <v>0</v>
      </c>
      <c r="AB113" s="61">
        <f>SUMIFS('Status of Curriculum Completion'!$CM$4:$CM$38,'Status of Curriculum Completion'!$CC$4:$CC$38,"Geo WE",'Status of Curriculum Completion'!$CG$4:$CG$38,"Tentative")+SUMIFS('Status of Curriculum Completion'!$CZ$4:$CZ$38,'Status of Curriculum Completion'!$CP$4:$CP$38,"Geo WE",'Status of Curriculum Completion'!$CT$4:$CT$38,"Tentative")+SUMIFS('Status of Curriculum Completion'!$DM$4:$DM$38,'Status of Curriculum Completion'!$DC$4:$DC$38,"Geo WE",'Status of Curriculum Completion'!$DG$4:$DG$38,"Tentative")</f>
        <v>0</v>
      </c>
      <c r="AC113" s="61">
        <f>SUMIFS('Status of Curriculum Completion'!$CM$4:$CM$38,'Status of Curriculum Completion'!$CC$4:$CC$38,"Geo WE",'Status of Curriculum Completion'!$CH$4:$CH$38,"Complete")+SUMIFS('Status of Curriculum Completion'!$CZ$4:$CZ$38,'Status of Curriculum Completion'!$CP$4:$CP$38,"Geo WE",'Status of Curriculum Completion'!$CU$4:$CU$38,"Complete")+SUMIFS('Status of Curriculum Completion'!$DM$4:$DM$38,'Status of Curriculum Completion'!$DC$4:$DC$38,"Geo WE",'Status of Curriculum Completion'!$DH$4:$DH$38,"Complete")</f>
        <v>0</v>
      </c>
      <c r="AD113" s="61">
        <f>SUMIFS('Status of Curriculum Completion'!$CM$4:$CM$38,'Status of Curriculum Completion'!$CC$4:$CC$38,"Geo WE",'Status of Curriculum Completion'!$CH$4:$CH$38,"In Progress")+SUMIFS('Status of Curriculum Completion'!$CZ$4:$CZ$38,'Status of Curriculum Completion'!$CP$4:$CP$38,"Geo WE",'Status of Curriculum Completion'!$CU$4:$CU$38,"In Progress")+SUMIFS('Status of Curriculum Completion'!$DM$4:$DM$38,'Status of Curriculum Completion'!$DC$4:$DC$38,"Geo WE",'Status of Curriculum Completion'!$DH$4:$DH$38,"In Progress")</f>
        <v>0</v>
      </c>
      <c r="AE113" s="61">
        <f>SUMIFS('Status of Curriculum Completion'!$CM$4:$CM$38,'Status of Curriculum Completion'!$CC$4:$CC$38,"Geo WE",'Status of Curriculum Completion'!$CH$4:$CH$38,"Planned")+SUMIFS('Status of Curriculum Completion'!$CZ$4:$CZ$38,'Status of Curriculum Completion'!$CP$4:$CP$38,"Geo WE",'Status of Curriculum Completion'!$CU$4:$CU$38,"Planned")+SUMIFS('Status of Curriculum Completion'!$DM$4:$DM$38,'Status of Curriculum Completion'!$DC$4:$DC$38,"Geo WE",'Status of Curriculum Completion'!$DH$4:$DH$38,"Planned")</f>
        <v>0</v>
      </c>
      <c r="AF113" s="61">
        <f>SUMIFS('Status of Curriculum Completion'!$CM$4:$CM$38,'Status of Curriculum Completion'!$CC$4:$CC$38,"Geo WE",'Status of Curriculum Completion'!$CH$4:$CH$38,"Tentative")+SUMIFS('Status of Curriculum Completion'!$CZ$4:$CZ$38,'Status of Curriculum Completion'!$CP$4:$CP$38,"Geo WE",'Status of Curriculum Completion'!$CU$4:$CU$38,"Tentative")+SUMIFS('Status of Curriculum Completion'!$DM$4:$DM$38,'Status of Curriculum Completion'!$DC$4:$DC$38,"Geo WE",'Status of Curriculum Completion'!$DH$4:$DH$38,"Tentative")</f>
        <v>0</v>
      </c>
      <c r="AG113" s="61">
        <f>SUMIFS('Status of Curriculum Completion'!$CM$4:$CM$38,'Status of Curriculum Completion'!$CC$4:$CC$38,"Geo WE",'Status of Curriculum Completion'!$CI$4:$CI$38,"Complete")+SUMIFS('Status of Curriculum Completion'!$CZ$4:$CZ$38,'Status of Curriculum Completion'!$CP$4:$CP$38,"Geo WE",'Status of Curriculum Completion'!$CV$4:$CV$38,"Complete")+SUMIFS('Status of Curriculum Completion'!$DM$4:$DM$38,'Status of Curriculum Completion'!$DC$4:$DC$38,"Geo WE",'Status of Curriculum Completion'!$DI$4:$DI$38,"Complete")</f>
        <v>0</v>
      </c>
      <c r="AH113" s="61">
        <f>SUMIFS('Status of Curriculum Completion'!$CM$4:$CM$38,'Status of Curriculum Completion'!$CC$4:$CC$38,"Geo WE",'Status of Curriculum Completion'!$CI$4:$CI$38,"In Progress")+SUMIFS('Status of Curriculum Completion'!$CZ$4:$CZ$38,'Status of Curriculum Completion'!$CP$4:$CP$38,"Geo WE",'Status of Curriculum Completion'!$CV$4:$CV$38,"In Progress")+SUMIFS('Status of Curriculum Completion'!$DM$4:$DM$38,'Status of Curriculum Completion'!$DC$4:$DC$38,"Geo WE",'Status of Curriculum Completion'!$DI$4:$DI$38,"In Progress")</f>
        <v>0</v>
      </c>
      <c r="AI113" s="61">
        <f>SUMIFS('Status of Curriculum Completion'!$CM$4:$CM$38,'Status of Curriculum Completion'!$CC$4:$CC$38,"Geo WE",'Status of Curriculum Completion'!$CI$4:$CI$38,"Planned")+SUMIFS('Status of Curriculum Completion'!$CZ$4:$CZ$38,'Status of Curriculum Completion'!$CP$4:$CP$38,"Geo WE",'Status of Curriculum Completion'!$CV$4:$CV$38,"Planned")+SUMIFS('Status of Curriculum Completion'!$DM$4:$DM$38,'Status of Curriculum Completion'!$DC$4:$DC$38,"Geo WE",'Status of Curriculum Completion'!$DI$4:$DI$38,"Planned")</f>
        <v>0</v>
      </c>
      <c r="AJ113" s="61">
        <f>SUMIFS('Status of Curriculum Completion'!$CM$4:$CM$38,'Status of Curriculum Completion'!$CC$4:$CC$38,"Geo WE",'Status of Curriculum Completion'!$CI$4:$CI$38,"Tentative")+SUMIFS('Status of Curriculum Completion'!$CZ$4:$CZ$38,'Status of Curriculum Completion'!$CP$4:$CP$38,"Geo WE",'Status of Curriculum Completion'!$CV$4:$CV$38,"Tentative")+SUMIFS('Status of Curriculum Completion'!$DM$4:$DM$38,'Status of Curriculum Completion'!$DC$4:$DC$38,"Geo WE",'Status of Curriculum Completion'!$DI$4:$DI$38,"Tentative")</f>
        <v>0</v>
      </c>
      <c r="AK113" s="62">
        <f>SUMIFS('Status of Curriculum Completion'!$DZ$4:$DZ$38,'Status of Curriculum Completion'!$DP$4:$DP$38,"Geo WE",'Status of Curriculum Completion'!$DT$4:$DT$38,"Complete")+SUMIFS('Status of Curriculum Completion'!$EM$4:$EM$38,'Status of Curriculum Completion'!$EC$4:$EC$38,"Geo WE",'Status of Curriculum Completion'!$EG$4:$EG$38,"Complete")+SUMIFS('Status of Curriculum Completion'!$EZ$4:$EZ$38,'Status of Curriculum Completion'!$EP$4:$EP$38,"Geo WE",'Status of Curriculum Completion'!$ET$4:$ET$38,"Complete")</f>
        <v>0</v>
      </c>
      <c r="AL113" s="62">
        <f>SUMIFS('Status of Curriculum Completion'!$DZ$4:$DZ$38,'Status of Curriculum Completion'!$DP$4:$DP$38,"Geo WE",'Status of Curriculum Completion'!$DT$4:$DT$38,"In Progress")+SUMIFS('Status of Curriculum Completion'!$EM$4:$EM$38,'Status of Curriculum Completion'!$EC$4:$EC$38,"Geo WE",'Status of Curriculum Completion'!$EG$4:$EG$38,"In Progress")+SUMIFS('Status of Curriculum Completion'!$EZ$4:$EZ$38,'Status of Curriculum Completion'!$EP$4:$EP$38,"Geo WE",'Status of Curriculum Completion'!$ET$4:$ET$38,"In Progress")</f>
        <v>0</v>
      </c>
      <c r="AM113" s="62">
        <f>SUMIFS('Status of Curriculum Completion'!$DZ$4:$DZ$38,'Status of Curriculum Completion'!$DP$4:$DP$38,"Geo WE",'Status of Curriculum Completion'!$DT$4:$DT$38,"Planned")+SUMIFS('Status of Curriculum Completion'!$EM$4:$EM$38,'Status of Curriculum Completion'!$EC$4:$EC$38,"Geo WE",'Status of Curriculum Completion'!$EG$4:$EG$38,"Planned")+SUMIFS('Status of Curriculum Completion'!$EZ$4:$EZ$38,'Status of Curriculum Completion'!$EP$4:$EP$38,"Geo WE",'Status of Curriculum Completion'!$ET$4:$ET$38,"Planned")</f>
        <v>0</v>
      </c>
      <c r="AN113" s="62">
        <f>SUMIFS('Status of Curriculum Completion'!$DZ$4:$DZ$38,'Status of Curriculum Completion'!$DP$4:$DP$38,"Geo WE",'Status of Curriculum Completion'!$DT$4:$DT$38,"Tentative")+SUMIFS('Status of Curriculum Completion'!$EM$4:$EM$38,'Status of Curriculum Completion'!$EC$4:$EC$38,"Geo WE",'Status of Curriculum Completion'!$EG$4:$EG$38,"Tentative")+SUMIFS('Status of Curriculum Completion'!$EZ$4:$EZ$38,'Status of Curriculum Completion'!$EP$4:$EP$38,"Geo WE",'Status of Curriculum Completion'!$ET$4:$ET$38,"Tentative")</f>
        <v>0</v>
      </c>
      <c r="AO113" s="62">
        <f>SUMIFS('Status of Curriculum Completion'!$DZ$4:$DZ$38,'Status of Curriculum Completion'!$DP$4:$DP$38,"Geo WE",'Status of Curriculum Completion'!$DU$4:$DU$38,"Complete")+SUMIFS('Status of Curriculum Completion'!$EM$4:$EM$38,'Status of Curriculum Completion'!$EC$4:$EC$38,"Geo WE",'Status of Curriculum Completion'!$EH$4:$EH$38,"Complete")+SUMIFS('Status of Curriculum Completion'!$EZ$4:$EZ$38,'Status of Curriculum Completion'!$EP$4:$EP$38,"Geo WE",'Status of Curriculum Completion'!$EU$4:$EU$38,"Complete")</f>
        <v>0</v>
      </c>
      <c r="AP113" s="62">
        <f>SUMIFS('Status of Curriculum Completion'!$DZ$4:$DZ$38,'Status of Curriculum Completion'!$DP$4:$DP$38,"Geo WE",'Status of Curriculum Completion'!$DU$4:$DU$38,"In Progress")+SUMIFS('Status of Curriculum Completion'!$EM$4:$EM$38,'Status of Curriculum Completion'!$EC$4:$EC$38,"Geo WE",'Status of Curriculum Completion'!$EH$4:$EH$38,"In Progress")+SUMIFS('Status of Curriculum Completion'!$EZ$4:$EZ$38,'Status of Curriculum Completion'!$EP$4:$EP$38,"Geo WE",'Status of Curriculum Completion'!$EU$4:$EU$38,"In Progress")</f>
        <v>0</v>
      </c>
      <c r="AQ113" s="62">
        <f>SUMIFS('Status of Curriculum Completion'!$DZ$4:$DZ$38,'Status of Curriculum Completion'!$DP$4:$DP$38,"Geo WE",'Status of Curriculum Completion'!$DU$4:$DU$38,"Planned")+SUMIFS('Status of Curriculum Completion'!$EM$4:$EM$38,'Status of Curriculum Completion'!$EC$4:$EC$38,"Geo WE",'Status of Curriculum Completion'!$EH$4:$EH$38,"Planned")+SUMIFS('Status of Curriculum Completion'!$EZ$4:$EZ$38,'Status of Curriculum Completion'!$EP$4:$EP$38,"Geo WE",'Status of Curriculum Completion'!$EU$4:$EU$38,"Planned")</f>
        <v>0</v>
      </c>
      <c r="AR113" s="62">
        <f>SUMIFS('Status of Curriculum Completion'!$DZ$4:$DZ$38,'Status of Curriculum Completion'!$DP$4:$DP$38,"Geo WE",'Status of Curriculum Completion'!$DU$4:$DU$38,"Tentative")+SUMIFS('Status of Curriculum Completion'!$EM$4:$EM$38,'Status of Curriculum Completion'!$EC$4:$EC$38,"Geo WE",'Status of Curriculum Completion'!$EH$4:$EH$38,"Tentative")+SUMIFS('Status of Curriculum Completion'!$EZ$4:$EZ$38,'Status of Curriculum Completion'!$EP$4:$EP$38,"Geo WE",'Status of Curriculum Completion'!$EU$4:$EU$38,"Tentative")</f>
        <v>0</v>
      </c>
      <c r="AS113" s="62">
        <f>SUMIFS('Status of Curriculum Completion'!$DZ$4:$DZ$38,'Status of Curriculum Completion'!$DP$4:$DP$38,"Geo WE",'Status of Curriculum Completion'!$DV$4:$DV$38,"Complete")+SUMIFS('Status of Curriculum Completion'!$EM$4:$EM$38,'Status of Curriculum Completion'!$EC$4:$EC$38,"Geo WE",'Status of Curriculum Completion'!$EI$4:$EI$38,"Complete")+SUMIFS('Status of Curriculum Completion'!$EZ$4:$EZ$38,'Status of Curriculum Completion'!$EP$4:$EP$38,"Geo WE",'Status of Curriculum Completion'!$EV$4:$EV$38,"Complete")</f>
        <v>0</v>
      </c>
      <c r="AT113" s="62">
        <f>SUMIFS('Status of Curriculum Completion'!$DZ$4:$DZ$38,'Status of Curriculum Completion'!$DP$4:$DP$38,"Geo WE",'Status of Curriculum Completion'!$DV$4:$DV$38,"In Progress")+SUMIFS('Status of Curriculum Completion'!$EM$4:$EM$38,'Status of Curriculum Completion'!$EC$4:$EC$38,"Geo WE",'Status of Curriculum Completion'!$EI$4:$EI$38,"In Progress")+SUMIFS('Status of Curriculum Completion'!$EZ$4:$EZ$38,'Status of Curriculum Completion'!$EP$4:$EP$38,"Geo WE",'Status of Curriculum Completion'!$EV$4:$EV$38,"In Progress")</f>
        <v>0</v>
      </c>
      <c r="AU113" s="62">
        <f>SUMIFS('Status of Curriculum Completion'!$DZ$4:$DZ$38,'Status of Curriculum Completion'!$DP$4:$DP$38,"Geo WE",'Status of Curriculum Completion'!$DV$4:$DV$38,"Planned")+SUMIFS('Status of Curriculum Completion'!$EM$4:$EM$38,'Status of Curriculum Completion'!$EC$4:$EC$38,"Geo WE",'Status of Curriculum Completion'!$EI$4:$EI$38,"Planned")+SUMIFS('Status of Curriculum Completion'!$EZ$4:$EZ$38,'Status of Curriculum Completion'!$EP$4:$EP$38,"Geo WE",'Status of Curriculum Completion'!$EV$4:$EV$38,"Planned")</f>
        <v>0</v>
      </c>
      <c r="AV113" s="62">
        <f>SUMIFS('Status of Curriculum Completion'!$DZ$4:$DZ$38,'Status of Curriculum Completion'!$DP$4:$DP$38,"Geo WE",'Status of Curriculum Completion'!$DV$4:$DV$38,"Tentative")+SUMIFS('Status of Curriculum Completion'!$EM$4:$EM$38,'Status of Curriculum Completion'!$EC$4:$EC$38,"Geo WE",'Status of Curriculum Completion'!$EI$4:$EI$38,"Tentative")+SUMIFS('Status of Curriculum Completion'!$EZ$4:$EZ$38,'Status of Curriculum Completion'!$EP$4:$EP$38,"Geo WE",'Status of Curriculum Completion'!$EV$4:$EV$38,"Tentative")</f>
        <v>0</v>
      </c>
    </row>
    <row r="114" spans="3:48" ht="44" hidden="1" thickBot="1">
      <c r="C114" s="78" t="s">
        <v>1377</v>
      </c>
      <c r="D114" s="59"/>
      <c r="E114" s="59"/>
      <c r="F114" s="59"/>
      <c r="G114" s="59"/>
      <c r="H114" s="59"/>
      <c r="I114" s="59"/>
      <c r="J114" s="59"/>
      <c r="K114" s="59"/>
      <c r="L114" s="59"/>
      <c r="M114" s="60"/>
      <c r="N114" s="60"/>
      <c r="O114" s="60"/>
      <c r="P114" s="60"/>
      <c r="Q114" s="60"/>
      <c r="R114" s="60"/>
      <c r="S114" s="60"/>
      <c r="T114" s="60"/>
      <c r="U114" s="60"/>
      <c r="V114"/>
      <c r="W114"/>
      <c r="X114" s="78" t="s">
        <v>1377</v>
      </c>
      <c r="Y114" s="61"/>
      <c r="Z114" s="61"/>
      <c r="AA114" s="61"/>
      <c r="AB114" s="61"/>
      <c r="AC114" s="61"/>
      <c r="AD114" s="61"/>
      <c r="AE114" s="61"/>
      <c r="AF114" s="61"/>
      <c r="AG114" s="61"/>
      <c r="AH114" s="61"/>
      <c r="AI114" s="61"/>
      <c r="AJ114" s="61"/>
      <c r="AK114" s="62"/>
      <c r="AL114" s="62"/>
      <c r="AM114" s="62"/>
      <c r="AN114" s="62"/>
      <c r="AO114" s="62"/>
      <c r="AP114" s="62"/>
      <c r="AQ114" s="62"/>
      <c r="AR114" s="62"/>
      <c r="AS114" s="62"/>
      <c r="AT114" s="62"/>
      <c r="AU114" s="62"/>
      <c r="AV114" s="62"/>
    </row>
    <row r="115" spans="3:48" hidden="1">
      <c r="D115" s="26">
        <f t="shared" ref="D115:U115" si="10">SUM(D99:D113)</f>
        <v>0</v>
      </c>
      <c r="E115" s="26">
        <f t="shared" si="10"/>
        <v>47</v>
      </c>
      <c r="F115" s="26">
        <f t="shared" si="10"/>
        <v>0</v>
      </c>
      <c r="G115" s="26">
        <f t="shared" si="10"/>
        <v>0</v>
      </c>
      <c r="H115" s="26">
        <f t="shared" si="10"/>
        <v>0</v>
      </c>
      <c r="I115" s="26">
        <f t="shared" si="10"/>
        <v>0</v>
      </c>
      <c r="J115" s="26">
        <f t="shared" si="10"/>
        <v>0</v>
      </c>
      <c r="K115" s="26">
        <f t="shared" si="10"/>
        <v>0</v>
      </c>
      <c r="L115" s="26">
        <f t="shared" si="10"/>
        <v>0</v>
      </c>
      <c r="M115" s="26">
        <f t="shared" si="10"/>
        <v>0</v>
      </c>
      <c r="N115" s="26">
        <f t="shared" si="10"/>
        <v>24</v>
      </c>
      <c r="O115" s="26">
        <f t="shared" si="10"/>
        <v>0</v>
      </c>
      <c r="P115" s="26">
        <f t="shared" si="10"/>
        <v>0</v>
      </c>
      <c r="Q115" s="26">
        <f t="shared" si="10"/>
        <v>0</v>
      </c>
      <c r="R115" s="26">
        <f t="shared" si="10"/>
        <v>0</v>
      </c>
      <c r="S115" s="26">
        <f t="shared" si="10"/>
        <v>0</v>
      </c>
      <c r="T115" s="26">
        <f t="shared" si="10"/>
        <v>0</v>
      </c>
      <c r="U115" s="26">
        <f t="shared" si="10"/>
        <v>0</v>
      </c>
      <c r="Y115" s="26">
        <f t="shared" ref="Y115:AV115" si="11">SUM(Y99:Y113)</f>
        <v>0</v>
      </c>
      <c r="Z115" s="26">
        <f t="shared" si="11"/>
        <v>37</v>
      </c>
      <c r="AA115" s="26">
        <f t="shared" si="11"/>
        <v>0</v>
      </c>
      <c r="AB115" s="26">
        <f t="shared" si="11"/>
        <v>0</v>
      </c>
      <c r="AC115" s="26">
        <f t="shared" si="11"/>
        <v>0</v>
      </c>
      <c r="AD115" s="26">
        <f t="shared" si="11"/>
        <v>0</v>
      </c>
      <c r="AE115" s="26">
        <f t="shared" si="11"/>
        <v>0</v>
      </c>
      <c r="AF115" s="26">
        <f t="shared" si="11"/>
        <v>0</v>
      </c>
      <c r="AG115" s="26">
        <f t="shared" si="11"/>
        <v>0</v>
      </c>
      <c r="AH115" s="26">
        <f t="shared" si="11"/>
        <v>0</v>
      </c>
      <c r="AI115" s="26">
        <f t="shared" si="11"/>
        <v>0</v>
      </c>
      <c r="AJ115" s="26">
        <f t="shared" si="11"/>
        <v>0</v>
      </c>
      <c r="AK115" s="26">
        <f t="shared" si="11"/>
        <v>0</v>
      </c>
      <c r="AL115" s="26">
        <f t="shared" si="11"/>
        <v>74</v>
      </c>
      <c r="AM115" s="26">
        <f t="shared" si="11"/>
        <v>0</v>
      </c>
      <c r="AN115" s="26">
        <f t="shared" si="11"/>
        <v>0</v>
      </c>
      <c r="AO115" s="26">
        <f t="shared" si="11"/>
        <v>0</v>
      </c>
      <c r="AP115" s="26">
        <f t="shared" si="11"/>
        <v>0</v>
      </c>
      <c r="AQ115" s="26">
        <f t="shared" si="11"/>
        <v>0</v>
      </c>
      <c r="AR115" s="26">
        <f t="shared" si="11"/>
        <v>0</v>
      </c>
      <c r="AS115" s="26">
        <f t="shared" si="11"/>
        <v>0</v>
      </c>
      <c r="AT115" s="26">
        <f t="shared" si="11"/>
        <v>0</v>
      </c>
      <c r="AU115" s="26">
        <f t="shared" si="11"/>
        <v>0</v>
      </c>
      <c r="AV115" s="26">
        <f t="shared" si="11"/>
        <v>0</v>
      </c>
    </row>
    <row r="116" spans="3:48" hidden="1">
      <c r="D116" s="26">
        <f>SUM(D115:F115)</f>
        <v>47</v>
      </c>
      <c r="G116" s="26">
        <f>SUM(G115:I115)</f>
        <v>0</v>
      </c>
      <c r="J116" s="26">
        <f>SUM(J115:L115)</f>
        <v>0</v>
      </c>
      <c r="M116" s="26">
        <f>SUM(M115:O115)</f>
        <v>24</v>
      </c>
      <c r="P116" s="26">
        <f>SUM(P115:R115)</f>
        <v>0</v>
      </c>
      <c r="S116" s="26">
        <f>SUM(S115:U115)</f>
        <v>0</v>
      </c>
      <c r="V116"/>
      <c r="W116"/>
      <c r="Y116" s="26">
        <f>SUM(Y115:AB115)</f>
        <v>37</v>
      </c>
      <c r="AC116" s="26">
        <f>SUM(AC115:AF115)</f>
        <v>0</v>
      </c>
      <c r="AG116" s="26">
        <f>SUM(AG115:AJ115)</f>
        <v>0</v>
      </c>
      <c r="AK116" s="26">
        <f>SUM(AK115:AN115)</f>
        <v>74</v>
      </c>
      <c r="AO116" s="26">
        <f>SUM(AO115:AR115)</f>
        <v>0</v>
      </c>
      <c r="AS116" s="26">
        <f>SUM(AS115:AV115)</f>
        <v>0</v>
      </c>
    </row>
    <row r="117" spans="3:48" hidden="1">
      <c r="V117"/>
      <c r="W117"/>
    </row>
    <row r="118" spans="3:48" hidden="1"/>
  </sheetData>
  <mergeCells count="123">
    <mergeCell ref="DQ17:EA17"/>
    <mergeCell ref="DQ20:EA20"/>
    <mergeCell ref="DQ22:EA22"/>
    <mergeCell ref="DQ24:EA24"/>
    <mergeCell ref="DQ26:EA26"/>
    <mergeCell ref="DQ28:EA28"/>
    <mergeCell ref="DQ30:EA30"/>
    <mergeCell ref="AQ17:BA17"/>
    <mergeCell ref="FX1:GA1"/>
    <mergeCell ref="FC1:FV1"/>
    <mergeCell ref="FC2:FG2"/>
    <mergeCell ref="FH2:FL2"/>
    <mergeCell ref="FM2:FQ2"/>
    <mergeCell ref="FR2:FV2"/>
    <mergeCell ref="DQ1:EA2"/>
    <mergeCell ref="ED1:EN2"/>
    <mergeCell ref="EQ1:FA2"/>
    <mergeCell ref="CQ1:DA2"/>
    <mergeCell ref="DD1:DN2"/>
    <mergeCell ref="BQ1:CA2"/>
    <mergeCell ref="CD1:CN2"/>
    <mergeCell ref="CQ10:DA10"/>
    <mergeCell ref="CQ12:DA12"/>
    <mergeCell ref="BQ4:CA4"/>
    <mergeCell ref="C95:U95"/>
    <mergeCell ref="C96:C98"/>
    <mergeCell ref="D96:L96"/>
    <mergeCell ref="M96:U96"/>
    <mergeCell ref="D97:F97"/>
    <mergeCell ref="G97:I97"/>
    <mergeCell ref="J97:L97"/>
    <mergeCell ref="M97:O97"/>
    <mergeCell ref="P97:R97"/>
    <mergeCell ref="S97:U97"/>
    <mergeCell ref="X95:AV95"/>
    <mergeCell ref="X96:X98"/>
    <mergeCell ref="Y96:AJ96"/>
    <mergeCell ref="AK96:AV96"/>
    <mergeCell ref="D1:N2"/>
    <mergeCell ref="Q1:AA2"/>
    <mergeCell ref="AD1:AN2"/>
    <mergeCell ref="AQ1:BA2"/>
    <mergeCell ref="BD1:BN2"/>
    <mergeCell ref="D4:N4"/>
    <mergeCell ref="D6:N6"/>
    <mergeCell ref="D8:N8"/>
    <mergeCell ref="D11:N11"/>
    <mergeCell ref="D15:N15"/>
    <mergeCell ref="AS97:AV97"/>
    <mergeCell ref="Y97:AB97"/>
    <mergeCell ref="AC97:AF97"/>
    <mergeCell ref="AG97:AJ97"/>
    <mergeCell ref="AK97:AN97"/>
    <mergeCell ref="AO97:AR97"/>
    <mergeCell ref="Q27:AA27"/>
    <mergeCell ref="Q15:AA15"/>
    <mergeCell ref="Q17:AA17"/>
    <mergeCell ref="Q20:AA20"/>
    <mergeCell ref="Q22:AA22"/>
    <mergeCell ref="Q25:AA25"/>
    <mergeCell ref="Q4:AA4"/>
    <mergeCell ref="Q6:AA6"/>
    <mergeCell ref="Q9:AA9"/>
    <mergeCell ref="Q11:AA11"/>
    <mergeCell ref="Q13:AA13"/>
    <mergeCell ref="AQ14:BA14"/>
    <mergeCell ref="BD4:BN4"/>
    <mergeCell ref="BD6:BN6"/>
    <mergeCell ref="BD9:BN9"/>
    <mergeCell ref="BD11:BN11"/>
    <mergeCell ref="BD13:BN13"/>
    <mergeCell ref="AD4:AN4"/>
    <mergeCell ref="AD6:AN6"/>
    <mergeCell ref="AD8:AN8"/>
    <mergeCell ref="AD10:AN10"/>
    <mergeCell ref="BQ6:CA6"/>
    <mergeCell ref="CD4:CN4"/>
    <mergeCell ref="CD6:CN6"/>
    <mergeCell ref="CD9:CN9"/>
    <mergeCell ref="CD11:CN11"/>
    <mergeCell ref="AQ4:BA4"/>
    <mergeCell ref="AQ6:BA6"/>
    <mergeCell ref="AQ8:BA8"/>
    <mergeCell ref="CQ36:DA36"/>
    <mergeCell ref="CQ4:DA4"/>
    <mergeCell ref="CQ6:DA6"/>
    <mergeCell ref="CQ8:DA8"/>
    <mergeCell ref="CD19:CN19"/>
    <mergeCell ref="DD4:DN4"/>
    <mergeCell ref="DD6:DN6"/>
    <mergeCell ref="DD8:DN8"/>
    <mergeCell ref="DD12:DN12"/>
    <mergeCell ref="DD14:DN14"/>
    <mergeCell ref="DD16:DN16"/>
    <mergeCell ref="DD19:DN19"/>
    <mergeCell ref="DD22:DN22"/>
    <mergeCell ref="DD24:DN24"/>
    <mergeCell ref="DD26:DN26"/>
    <mergeCell ref="DD28:DN28"/>
    <mergeCell ref="CQ25:DA25"/>
    <mergeCell ref="CQ28:DA28"/>
    <mergeCell ref="CQ30:DA30"/>
    <mergeCell ref="CQ34:DA34"/>
    <mergeCell ref="CQ14:DA14"/>
    <mergeCell ref="CQ16:DA16"/>
    <mergeCell ref="CQ18:DA18"/>
    <mergeCell ref="CQ20:DA20"/>
    <mergeCell ref="CQ23:DA23"/>
    <mergeCell ref="DQ15:EA15"/>
    <mergeCell ref="DQ4:EA4"/>
    <mergeCell ref="DQ6:EA6"/>
    <mergeCell ref="DQ8:EA8"/>
    <mergeCell ref="DQ10:EA10"/>
    <mergeCell ref="DQ12:EA12"/>
    <mergeCell ref="EQ4:FA4"/>
    <mergeCell ref="EQ6:FA6"/>
    <mergeCell ref="EQ8:FA8"/>
    <mergeCell ref="ED4:EN4"/>
    <mergeCell ref="ED6:EN6"/>
    <mergeCell ref="ED8:EN8"/>
    <mergeCell ref="ED10:EN10"/>
    <mergeCell ref="ED12:EN12"/>
    <mergeCell ref="ED14:EN14"/>
  </mergeCells>
  <phoneticPr fontId="1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BEB67-9D5C-4621-9B86-A8D6DB93E9BF}">
  <sheetPr codeName="Sheet9"/>
  <dimension ref="A1:AU46"/>
  <sheetViews>
    <sheetView zoomScale="80" zoomScaleNormal="80" workbookViewId="0">
      <pane xSplit="2" ySplit="3" topLeftCell="C4" activePane="bottomRight" state="frozen"/>
      <selection pane="topRight" activeCell="C1" sqref="C1"/>
      <selection pane="bottomLeft" activeCell="A4" sqref="A4"/>
      <selection pane="bottomRight" activeCell="F28" sqref="F28:F30"/>
    </sheetView>
  </sheetViews>
  <sheetFormatPr defaultColWidth="8.453125" defaultRowHeight="14.5"/>
  <cols>
    <col min="1" max="1" width="22.453125" style="86" bestFit="1" customWidth="1"/>
    <col min="2" max="2" width="14.453125" style="86" bestFit="1" customWidth="1"/>
    <col min="3" max="5" width="8.453125" style="12"/>
    <col min="6" max="7" width="13.453125" style="12" customWidth="1"/>
    <col min="8" max="10" width="8.453125" style="81"/>
    <col min="11" max="12" width="13.453125" style="12" customWidth="1"/>
    <col min="13" max="15" width="8.453125" style="12"/>
    <col min="16" max="17" width="13.453125" style="12" customWidth="1"/>
    <col min="18" max="20" width="8.453125" style="81"/>
    <col min="21" max="22" width="13.453125" style="12" customWidth="1"/>
    <col min="23" max="25" width="8.453125" style="12"/>
    <col min="26" max="27" width="13.453125" style="12" customWidth="1"/>
    <col min="28" max="30" width="8.453125" style="81"/>
    <col min="31" max="32" width="13.453125" style="12" customWidth="1"/>
    <col min="33" max="35" width="8.453125" style="12"/>
    <col min="36" max="37" width="13.453125" style="12" customWidth="1"/>
    <col min="38" max="40" width="8.453125" style="81"/>
    <col min="41" max="42" width="13.453125" style="12" customWidth="1"/>
    <col min="43" max="43" width="20.453125" style="12" bestFit="1" customWidth="1"/>
    <col min="44" max="44" width="16" style="12" bestFit="1" customWidth="1"/>
    <col min="45" max="45" width="24.453125" style="12" customWidth="1"/>
    <col min="46" max="46" width="27.453125" style="12" customWidth="1"/>
    <col min="47" max="47" width="25.453125" style="12" customWidth="1"/>
    <col min="48" max="16384" width="8.453125" style="12"/>
  </cols>
  <sheetData>
    <row r="1" spans="1:47" ht="99.75" customHeight="1">
      <c r="A1" s="661" t="s">
        <v>1378</v>
      </c>
      <c r="B1" s="662"/>
      <c r="C1" s="662"/>
      <c r="D1" s="662"/>
      <c r="E1" s="662"/>
      <c r="F1" s="662"/>
      <c r="G1" s="662"/>
      <c r="H1" s="662"/>
      <c r="I1" s="662"/>
      <c r="J1" s="662"/>
      <c r="K1" s="662"/>
      <c r="L1" s="662"/>
      <c r="M1" s="662"/>
      <c r="N1" s="662"/>
      <c r="O1" s="662"/>
      <c r="P1" s="662"/>
      <c r="Q1" s="662"/>
      <c r="R1" s="662"/>
      <c r="S1" s="662"/>
      <c r="T1" s="662"/>
      <c r="U1" s="662"/>
      <c r="V1" s="662"/>
      <c r="W1" s="662"/>
      <c r="X1" s="662"/>
      <c r="Y1" s="662"/>
      <c r="Z1" s="662"/>
      <c r="AA1" s="662"/>
      <c r="AB1" s="662"/>
      <c r="AC1" s="662"/>
      <c r="AD1" s="662"/>
      <c r="AE1" s="662"/>
      <c r="AF1" s="662"/>
      <c r="AG1" s="662"/>
      <c r="AH1" s="662"/>
      <c r="AI1" s="662"/>
      <c r="AJ1" s="662"/>
      <c r="AK1" s="662"/>
      <c r="AL1" s="662"/>
      <c r="AM1" s="662"/>
      <c r="AN1" s="662"/>
      <c r="AO1" s="662"/>
      <c r="AP1" s="662"/>
      <c r="AQ1" s="662"/>
      <c r="AR1" s="662"/>
      <c r="AS1" s="662"/>
      <c r="AT1" s="662"/>
      <c r="AU1" s="663"/>
    </row>
    <row r="2" spans="1:47" s="86" customFormat="1" ht="44.25" customHeight="1">
      <c r="C2" s="660" t="s">
        <v>1379</v>
      </c>
      <c r="D2" s="660"/>
      <c r="E2" s="660"/>
      <c r="F2" s="660" t="s">
        <v>1380</v>
      </c>
      <c r="G2" s="660" t="s">
        <v>1381</v>
      </c>
      <c r="H2" s="659" t="s">
        <v>1382</v>
      </c>
      <c r="I2" s="659"/>
      <c r="J2" s="659"/>
      <c r="K2" s="660" t="s">
        <v>1383</v>
      </c>
      <c r="L2" s="660" t="s">
        <v>1384</v>
      </c>
      <c r="M2" s="660" t="s">
        <v>1385</v>
      </c>
      <c r="N2" s="660"/>
      <c r="O2" s="660"/>
      <c r="P2" s="660" t="s">
        <v>1386</v>
      </c>
      <c r="Q2" s="660" t="s">
        <v>1387</v>
      </c>
      <c r="R2" s="659" t="s">
        <v>1388</v>
      </c>
      <c r="S2" s="659"/>
      <c r="T2" s="659"/>
      <c r="U2" s="660" t="s">
        <v>1389</v>
      </c>
      <c r="V2" s="660" t="s">
        <v>1390</v>
      </c>
      <c r="W2" s="660" t="s">
        <v>1391</v>
      </c>
      <c r="X2" s="660"/>
      <c r="Y2" s="660"/>
      <c r="Z2" s="660" t="s">
        <v>1392</v>
      </c>
      <c r="AA2" s="660" t="s">
        <v>1393</v>
      </c>
      <c r="AB2" s="659" t="s">
        <v>1394</v>
      </c>
      <c r="AC2" s="659"/>
      <c r="AD2" s="659"/>
      <c r="AE2" s="660" t="s">
        <v>1395</v>
      </c>
      <c r="AF2" s="660" t="s">
        <v>1396</v>
      </c>
      <c r="AG2" s="660" t="s">
        <v>1397</v>
      </c>
      <c r="AH2" s="660"/>
      <c r="AI2" s="660"/>
      <c r="AJ2" s="660" t="s">
        <v>1398</v>
      </c>
      <c r="AK2" s="660" t="s">
        <v>1399</v>
      </c>
      <c r="AL2" s="659" t="s">
        <v>1400</v>
      </c>
      <c r="AM2" s="659"/>
      <c r="AN2" s="659"/>
      <c r="AO2" s="660" t="s">
        <v>1401</v>
      </c>
      <c r="AP2" s="660" t="s">
        <v>1402</v>
      </c>
      <c r="AQ2" s="660" t="s">
        <v>1403</v>
      </c>
      <c r="AR2" s="660" t="s">
        <v>1404</v>
      </c>
      <c r="AS2" s="660" t="s">
        <v>1405</v>
      </c>
      <c r="AT2" s="86" t="s">
        <v>43</v>
      </c>
      <c r="AU2" s="86" t="s">
        <v>1406</v>
      </c>
    </row>
    <row r="3" spans="1:47" s="86" customFormat="1">
      <c r="A3" s="86" t="s">
        <v>909</v>
      </c>
      <c r="B3" s="86" t="s">
        <v>1407</v>
      </c>
      <c r="C3" s="86" t="s">
        <v>1128</v>
      </c>
      <c r="D3" s="86" t="s">
        <v>1129</v>
      </c>
      <c r="E3" s="86" t="s">
        <v>1130</v>
      </c>
      <c r="F3" s="660"/>
      <c r="G3" s="660"/>
      <c r="H3" s="531" t="s">
        <v>1128</v>
      </c>
      <c r="I3" s="531" t="s">
        <v>1129</v>
      </c>
      <c r="J3" s="531" t="s">
        <v>1130</v>
      </c>
      <c r="K3" s="660"/>
      <c r="L3" s="660"/>
      <c r="M3" s="86" t="s">
        <v>1131</v>
      </c>
      <c r="N3" s="86" t="s">
        <v>555</v>
      </c>
      <c r="O3" s="86" t="s">
        <v>1132</v>
      </c>
      <c r="P3" s="660"/>
      <c r="Q3" s="660"/>
      <c r="R3" s="531" t="s">
        <v>1131</v>
      </c>
      <c r="S3" s="531" t="s">
        <v>555</v>
      </c>
      <c r="T3" s="531" t="s">
        <v>1132</v>
      </c>
      <c r="U3" s="660"/>
      <c r="V3" s="660"/>
      <c r="W3" s="86" t="s">
        <v>1133</v>
      </c>
      <c r="X3" s="86" t="s">
        <v>1134</v>
      </c>
      <c r="Y3" s="86" t="s">
        <v>1135</v>
      </c>
      <c r="Z3" s="660"/>
      <c r="AA3" s="660"/>
      <c r="AB3" s="531" t="s">
        <v>1133</v>
      </c>
      <c r="AC3" s="531" t="s">
        <v>1134</v>
      </c>
      <c r="AD3" s="531" t="s">
        <v>1135</v>
      </c>
      <c r="AE3" s="660"/>
      <c r="AF3" s="660"/>
      <c r="AG3" s="86" t="s">
        <v>1136</v>
      </c>
      <c r="AH3" s="86" t="s">
        <v>1137</v>
      </c>
      <c r="AI3" s="86" t="s">
        <v>1138</v>
      </c>
      <c r="AJ3" s="660"/>
      <c r="AK3" s="660"/>
      <c r="AL3" s="531" t="s">
        <v>1136</v>
      </c>
      <c r="AM3" s="531" t="s">
        <v>1137</v>
      </c>
      <c r="AN3" s="531" t="s">
        <v>1138</v>
      </c>
      <c r="AO3" s="660"/>
      <c r="AP3" s="660"/>
      <c r="AQ3" s="660"/>
      <c r="AR3" s="660"/>
      <c r="AS3" s="660"/>
    </row>
    <row r="4" spans="1:47" ht="87">
      <c r="A4" s="660" t="s">
        <v>1071</v>
      </c>
      <c r="B4" s="86" t="s">
        <v>1408</v>
      </c>
      <c r="C4" s="12">
        <v>7</v>
      </c>
      <c r="D4" s="12">
        <v>0</v>
      </c>
      <c r="E4" s="12">
        <v>0</v>
      </c>
      <c r="F4" s="657">
        <v>7</v>
      </c>
      <c r="G4" s="657">
        <v>5</v>
      </c>
      <c r="H4" s="81">
        <v>7</v>
      </c>
      <c r="K4" s="657"/>
      <c r="L4" s="657"/>
      <c r="M4" s="12">
        <v>0</v>
      </c>
      <c r="N4" s="12">
        <f>59+16</f>
        <v>75</v>
      </c>
      <c r="O4" s="12">
        <v>5</v>
      </c>
      <c r="P4" s="657">
        <f>SUM(M4:O4,M7:O7)</f>
        <v>80</v>
      </c>
      <c r="Q4" s="657">
        <f>SUM(M5:O6,M8:O9)</f>
        <v>0</v>
      </c>
      <c r="S4" s="81">
        <f>59+16</f>
        <v>75</v>
      </c>
      <c r="T4" s="81">
        <v>6</v>
      </c>
      <c r="U4" s="657"/>
      <c r="V4" s="657"/>
      <c r="W4" s="12">
        <v>0</v>
      </c>
      <c r="X4" s="12">
        <v>0</v>
      </c>
      <c r="Y4" s="12">
        <v>15</v>
      </c>
      <c r="Z4" s="657">
        <f>SUM(W4:Y4,W7:Y7)</f>
        <v>15</v>
      </c>
      <c r="AA4" s="657">
        <f>SUM(W5:Y6,W8:Y9)</f>
        <v>8</v>
      </c>
      <c r="AE4" s="657"/>
      <c r="AF4" s="657"/>
      <c r="AG4" s="12">
        <v>0</v>
      </c>
      <c r="AH4" s="12">
        <v>0</v>
      </c>
      <c r="AI4" s="12">
        <v>0</v>
      </c>
      <c r="AJ4" s="657">
        <f>SUM(AG4:AI4,AG7:AI7)</f>
        <v>0</v>
      </c>
      <c r="AK4" s="657">
        <f>SUM(AG5:AI6,AG8:AI9)</f>
        <v>0</v>
      </c>
      <c r="AO4" s="657"/>
      <c r="AP4" s="657"/>
      <c r="AQ4" s="12">
        <f t="shared" ref="AQ4:AQ9" si="0">SUM(C4:E4,M4:O4,W4:Y4,AG4:AI4)</f>
        <v>102</v>
      </c>
      <c r="AR4" s="657">
        <f>SUM(AQ4:AQ6)</f>
        <v>115</v>
      </c>
      <c r="AS4" s="12" t="s">
        <v>1409</v>
      </c>
      <c r="AT4" s="12" t="s">
        <v>1410</v>
      </c>
      <c r="AU4" s="657" t="s">
        <v>1411</v>
      </c>
    </row>
    <row r="5" spans="1:47" ht="15" customHeight="1">
      <c r="A5" s="660"/>
      <c r="B5" s="86" t="s">
        <v>1412</v>
      </c>
      <c r="C5" s="12">
        <v>5</v>
      </c>
      <c r="D5" s="12">
        <v>0</v>
      </c>
      <c r="E5" s="12">
        <v>0</v>
      </c>
      <c r="F5" s="657"/>
      <c r="G5" s="657"/>
      <c r="H5" s="81">
        <v>5</v>
      </c>
      <c r="K5" s="657"/>
      <c r="L5" s="657"/>
      <c r="M5" s="12">
        <v>0</v>
      </c>
      <c r="N5" s="12">
        <v>0</v>
      </c>
      <c r="O5" s="12">
        <v>0</v>
      </c>
      <c r="P5" s="657"/>
      <c r="Q5" s="657"/>
      <c r="U5" s="657"/>
      <c r="V5" s="657"/>
      <c r="W5" s="12">
        <v>8</v>
      </c>
      <c r="X5" s="12">
        <v>0</v>
      </c>
      <c r="Y5" s="12">
        <v>0</v>
      </c>
      <c r="Z5" s="657"/>
      <c r="AA5" s="657"/>
      <c r="AB5" s="81">
        <v>8</v>
      </c>
      <c r="AE5" s="657"/>
      <c r="AF5" s="657"/>
      <c r="AG5" s="12">
        <v>0</v>
      </c>
      <c r="AH5" s="12">
        <v>0</v>
      </c>
      <c r="AI5" s="12">
        <v>0</v>
      </c>
      <c r="AJ5" s="657"/>
      <c r="AK5" s="657"/>
      <c r="AO5" s="657"/>
      <c r="AP5" s="657"/>
      <c r="AQ5" s="12">
        <f t="shared" si="0"/>
        <v>13</v>
      </c>
      <c r="AR5" s="657"/>
      <c r="AS5" s="12" t="s">
        <v>277</v>
      </c>
      <c r="AU5" s="657"/>
    </row>
    <row r="6" spans="1:47" ht="15" customHeight="1">
      <c r="A6" s="660"/>
      <c r="B6" s="86" t="s">
        <v>1413</v>
      </c>
      <c r="C6" s="12">
        <v>0</v>
      </c>
      <c r="D6" s="12">
        <v>0</v>
      </c>
      <c r="E6" s="12">
        <v>0</v>
      </c>
      <c r="F6" s="657"/>
      <c r="G6" s="657"/>
      <c r="K6" s="657"/>
      <c r="L6" s="657"/>
      <c r="M6" s="12">
        <v>0</v>
      </c>
      <c r="N6" s="12">
        <v>0</v>
      </c>
      <c r="O6" s="12">
        <v>0</v>
      </c>
      <c r="P6" s="657"/>
      <c r="Q6" s="657"/>
      <c r="U6" s="657"/>
      <c r="V6" s="657"/>
      <c r="W6" s="12">
        <v>0</v>
      </c>
      <c r="X6" s="12">
        <v>0</v>
      </c>
      <c r="Y6" s="12">
        <v>0</v>
      </c>
      <c r="Z6" s="657"/>
      <c r="AA6" s="657"/>
      <c r="AE6" s="657"/>
      <c r="AF6" s="657"/>
      <c r="AG6" s="12">
        <v>0</v>
      </c>
      <c r="AH6" s="12">
        <v>0</v>
      </c>
      <c r="AI6" s="12">
        <v>0</v>
      </c>
      <c r="AJ6" s="657"/>
      <c r="AK6" s="657"/>
      <c r="AO6" s="657"/>
      <c r="AP6" s="657"/>
      <c r="AQ6" s="12">
        <f t="shared" si="0"/>
        <v>0</v>
      </c>
      <c r="AR6" s="657"/>
      <c r="AS6" s="12" t="s">
        <v>277</v>
      </c>
      <c r="AU6" s="657"/>
    </row>
    <row r="7" spans="1:47">
      <c r="A7" s="660" t="s">
        <v>658</v>
      </c>
      <c r="B7" s="86" t="s">
        <v>1408</v>
      </c>
      <c r="C7" s="12">
        <v>0</v>
      </c>
      <c r="D7" s="12">
        <v>0</v>
      </c>
      <c r="E7" s="12">
        <v>0</v>
      </c>
      <c r="F7" s="657"/>
      <c r="G7" s="657"/>
      <c r="K7" s="657"/>
      <c r="L7" s="657"/>
      <c r="M7" s="12">
        <v>0</v>
      </c>
      <c r="N7" s="12">
        <v>0</v>
      </c>
      <c r="O7" s="12">
        <v>0</v>
      </c>
      <c r="P7" s="657"/>
      <c r="Q7" s="657"/>
      <c r="U7" s="657"/>
      <c r="V7" s="657"/>
      <c r="W7" s="12">
        <v>0</v>
      </c>
      <c r="X7" s="12">
        <v>0</v>
      </c>
      <c r="Y7" s="12">
        <v>0</v>
      </c>
      <c r="Z7" s="657"/>
      <c r="AA7" s="657"/>
      <c r="AE7" s="657"/>
      <c r="AF7" s="657"/>
      <c r="AG7" s="12">
        <v>0</v>
      </c>
      <c r="AH7" s="12">
        <v>0</v>
      </c>
      <c r="AI7" s="12">
        <v>0</v>
      </c>
      <c r="AJ7" s="657"/>
      <c r="AK7" s="657"/>
      <c r="AO7" s="657"/>
      <c r="AP7" s="657"/>
      <c r="AQ7" s="12">
        <f t="shared" si="0"/>
        <v>0</v>
      </c>
      <c r="AR7" s="657">
        <f>SUM(AQ7:AQ9)</f>
        <v>0</v>
      </c>
      <c r="AS7" s="12" t="s">
        <v>1414</v>
      </c>
      <c r="AU7" s="657"/>
    </row>
    <row r="8" spans="1:47" ht="15" customHeight="1">
      <c r="A8" s="660"/>
      <c r="B8" s="86" t="s">
        <v>1412</v>
      </c>
      <c r="C8" s="12">
        <v>0</v>
      </c>
      <c r="D8" s="12">
        <v>0</v>
      </c>
      <c r="E8" s="12">
        <v>0</v>
      </c>
      <c r="F8" s="657"/>
      <c r="G8" s="657"/>
      <c r="K8" s="657"/>
      <c r="L8" s="657"/>
      <c r="M8" s="12">
        <v>0</v>
      </c>
      <c r="N8" s="12">
        <v>0</v>
      </c>
      <c r="O8" s="12">
        <v>0</v>
      </c>
      <c r="P8" s="657"/>
      <c r="Q8" s="657"/>
      <c r="U8" s="657"/>
      <c r="V8" s="657"/>
      <c r="W8" s="12">
        <v>0</v>
      </c>
      <c r="X8" s="12">
        <v>0</v>
      </c>
      <c r="Y8" s="12">
        <v>0</v>
      </c>
      <c r="Z8" s="657"/>
      <c r="AA8" s="657"/>
      <c r="AE8" s="657"/>
      <c r="AF8" s="657"/>
      <c r="AG8" s="12">
        <v>0</v>
      </c>
      <c r="AH8" s="12">
        <v>0</v>
      </c>
      <c r="AI8" s="12">
        <v>0</v>
      </c>
      <c r="AJ8" s="657"/>
      <c r="AK8" s="657"/>
      <c r="AO8" s="657"/>
      <c r="AP8" s="657"/>
      <c r="AQ8" s="12">
        <f t="shared" si="0"/>
        <v>0</v>
      </c>
      <c r="AR8" s="657"/>
      <c r="AS8" s="12" t="s">
        <v>277</v>
      </c>
      <c r="AU8" s="657"/>
    </row>
    <row r="9" spans="1:47" ht="15" customHeight="1">
      <c r="A9" s="660"/>
      <c r="B9" s="86" t="s">
        <v>1413</v>
      </c>
      <c r="C9" s="12">
        <v>0</v>
      </c>
      <c r="D9" s="12">
        <v>0</v>
      </c>
      <c r="E9" s="12">
        <v>0</v>
      </c>
      <c r="F9" s="657"/>
      <c r="G9" s="657"/>
      <c r="K9" s="657"/>
      <c r="L9" s="657"/>
      <c r="M9" s="12">
        <v>0</v>
      </c>
      <c r="N9" s="12">
        <v>0</v>
      </c>
      <c r="O9" s="12">
        <v>0</v>
      </c>
      <c r="P9" s="657"/>
      <c r="Q9" s="657"/>
      <c r="U9" s="657"/>
      <c r="V9" s="657"/>
      <c r="W9" s="12">
        <v>0</v>
      </c>
      <c r="X9" s="12">
        <v>0</v>
      </c>
      <c r="Y9" s="12">
        <v>0</v>
      </c>
      <c r="Z9" s="657"/>
      <c r="AA9" s="657"/>
      <c r="AE9" s="657"/>
      <c r="AF9" s="657"/>
      <c r="AG9" s="12">
        <v>0</v>
      </c>
      <c r="AH9" s="12">
        <v>0</v>
      </c>
      <c r="AI9" s="12">
        <v>0</v>
      </c>
      <c r="AJ9" s="657"/>
      <c r="AK9" s="657"/>
      <c r="AO9" s="657"/>
      <c r="AP9" s="657"/>
      <c r="AQ9" s="12">
        <f t="shared" si="0"/>
        <v>0</v>
      </c>
      <c r="AR9" s="657"/>
      <c r="AS9" s="12" t="s">
        <v>277</v>
      </c>
      <c r="AU9" s="657"/>
    </row>
    <row r="10" spans="1:47" ht="43.5" customHeight="1">
      <c r="A10" s="660" t="s">
        <v>535</v>
      </c>
      <c r="B10" s="86" t="s">
        <v>1408</v>
      </c>
      <c r="F10" s="657">
        <v>0</v>
      </c>
      <c r="G10" s="657">
        <v>298</v>
      </c>
      <c r="K10" s="657"/>
      <c r="L10" s="657"/>
      <c r="P10" s="657">
        <v>0</v>
      </c>
      <c r="Q10" s="657">
        <v>311</v>
      </c>
      <c r="U10" s="657"/>
      <c r="V10" s="657"/>
      <c r="Z10" s="657">
        <v>0</v>
      </c>
      <c r="AA10" s="657">
        <v>324</v>
      </c>
      <c r="AE10" s="657"/>
      <c r="AF10" s="657"/>
      <c r="AJ10" s="657">
        <v>0</v>
      </c>
      <c r="AK10" s="657">
        <v>300</v>
      </c>
      <c r="AO10" s="657"/>
      <c r="AP10" s="657"/>
      <c r="AQ10" s="12">
        <v>0</v>
      </c>
      <c r="AR10" s="657">
        <f>SUM(AQ10:AQ12)</f>
        <v>1233</v>
      </c>
      <c r="AU10" s="657" t="s">
        <v>1415</v>
      </c>
    </row>
    <row r="11" spans="1:47">
      <c r="A11" s="660"/>
      <c r="B11" s="86" t="s">
        <v>1412</v>
      </c>
      <c r="C11" s="88">
        <v>60</v>
      </c>
      <c r="D11" s="88">
        <v>119</v>
      </c>
      <c r="E11" s="88">
        <v>119</v>
      </c>
      <c r="F11" s="657"/>
      <c r="G11" s="657"/>
      <c r="H11" s="88">
        <v>73</v>
      </c>
      <c r="I11" s="111">
        <v>94</v>
      </c>
      <c r="J11" s="111">
        <v>137</v>
      </c>
      <c r="K11" s="657"/>
      <c r="L11" s="657"/>
      <c r="M11" s="88">
        <v>62</v>
      </c>
      <c r="N11" s="88">
        <v>125</v>
      </c>
      <c r="O11" s="88">
        <v>125</v>
      </c>
      <c r="P11" s="657"/>
      <c r="Q11" s="657"/>
      <c r="R11" s="88">
        <v>82</v>
      </c>
      <c r="S11" s="111">
        <v>99</v>
      </c>
      <c r="T11" s="111">
        <v>136</v>
      </c>
      <c r="U11" s="657"/>
      <c r="V11" s="657"/>
      <c r="W11" s="88">
        <v>69</v>
      </c>
      <c r="X11" s="88">
        <v>130</v>
      </c>
      <c r="Y11" s="88">
        <v>130</v>
      </c>
      <c r="Z11" s="657"/>
      <c r="AA11" s="657"/>
      <c r="AB11" s="88">
        <v>69</v>
      </c>
      <c r="AC11" s="111">
        <v>130</v>
      </c>
      <c r="AD11" s="111">
        <v>130</v>
      </c>
      <c r="AE11" s="657"/>
      <c r="AF11" s="657"/>
      <c r="AG11" s="88">
        <v>60</v>
      </c>
      <c r="AH11" s="88">
        <v>120</v>
      </c>
      <c r="AI11" s="88">
        <v>120</v>
      </c>
      <c r="AJ11" s="657"/>
      <c r="AK11" s="657"/>
      <c r="AL11" s="87"/>
      <c r="AM11" s="87"/>
      <c r="AN11" s="87"/>
      <c r="AO11" s="657"/>
      <c r="AP11" s="657"/>
      <c r="AQ11" s="12">
        <v>1233</v>
      </c>
      <c r="AR11" s="657"/>
      <c r="AU11" s="657"/>
    </row>
    <row r="12" spans="1:47">
      <c r="A12" s="660"/>
      <c r="B12" s="86" t="s">
        <v>1413</v>
      </c>
      <c r="F12" s="657"/>
      <c r="G12" s="657"/>
      <c r="K12" s="657"/>
      <c r="L12" s="657"/>
      <c r="P12" s="657"/>
      <c r="Q12" s="657"/>
      <c r="U12" s="657"/>
      <c r="V12" s="657"/>
      <c r="Z12" s="657"/>
      <c r="AA12" s="657"/>
      <c r="AE12" s="657"/>
      <c r="AF12" s="657"/>
      <c r="AJ12" s="657"/>
      <c r="AK12" s="657"/>
      <c r="AO12" s="657"/>
      <c r="AP12" s="657"/>
      <c r="AQ12" s="12">
        <v>0</v>
      </c>
      <c r="AR12" s="657"/>
      <c r="AU12" s="657"/>
    </row>
    <row r="13" spans="1:47">
      <c r="A13" s="660" t="s">
        <v>1416</v>
      </c>
      <c r="B13" s="86" t="s">
        <v>1408</v>
      </c>
      <c r="F13" s="657">
        <v>0</v>
      </c>
      <c r="G13" s="657">
        <v>0</v>
      </c>
      <c r="K13" s="657"/>
      <c r="L13" s="657"/>
      <c r="P13" s="657">
        <v>0</v>
      </c>
      <c r="Q13" s="657">
        <v>0</v>
      </c>
      <c r="U13" s="657"/>
      <c r="V13" s="657"/>
      <c r="Z13" s="657">
        <v>0</v>
      </c>
      <c r="AA13" s="657">
        <v>0</v>
      </c>
      <c r="AE13" s="657"/>
      <c r="AF13" s="657"/>
      <c r="AJ13" s="657">
        <v>0</v>
      </c>
      <c r="AK13" s="657">
        <v>0</v>
      </c>
      <c r="AO13" s="657"/>
      <c r="AP13" s="657"/>
      <c r="AQ13" s="12">
        <v>0</v>
      </c>
      <c r="AR13" s="657">
        <f>SUM(AQ13:AQ15)</f>
        <v>0</v>
      </c>
    </row>
    <row r="14" spans="1:47">
      <c r="A14" s="660"/>
      <c r="B14" s="86" t="s">
        <v>1412</v>
      </c>
      <c r="F14" s="657"/>
      <c r="G14" s="657"/>
      <c r="K14" s="657"/>
      <c r="L14" s="657"/>
      <c r="P14" s="657"/>
      <c r="Q14" s="657"/>
      <c r="U14" s="657"/>
      <c r="V14" s="657"/>
      <c r="Z14" s="657"/>
      <c r="AA14" s="657"/>
      <c r="AE14" s="657"/>
      <c r="AF14" s="657"/>
      <c r="AJ14" s="657"/>
      <c r="AK14" s="657"/>
      <c r="AO14" s="657"/>
      <c r="AP14" s="657"/>
      <c r="AQ14" s="12">
        <v>0</v>
      </c>
      <c r="AR14" s="657"/>
    </row>
    <row r="15" spans="1:47">
      <c r="A15" s="660"/>
      <c r="B15" s="86" t="s">
        <v>1413</v>
      </c>
      <c r="F15" s="657"/>
      <c r="G15" s="657"/>
      <c r="K15" s="657"/>
      <c r="L15" s="657"/>
      <c r="P15" s="657"/>
      <c r="Q15" s="657"/>
      <c r="U15" s="657"/>
      <c r="V15" s="657"/>
      <c r="Z15" s="657"/>
      <c r="AA15" s="657"/>
      <c r="AE15" s="657"/>
      <c r="AF15" s="657"/>
      <c r="AJ15" s="657"/>
      <c r="AK15" s="657"/>
      <c r="AO15" s="657"/>
      <c r="AP15" s="657"/>
      <c r="AQ15" s="12">
        <v>0</v>
      </c>
      <c r="AR15" s="657"/>
    </row>
    <row r="16" spans="1:47">
      <c r="A16" s="660" t="s">
        <v>782</v>
      </c>
      <c r="B16" s="86" t="s">
        <v>1408</v>
      </c>
      <c r="F16" s="657">
        <v>83</v>
      </c>
      <c r="G16" s="657">
        <v>0</v>
      </c>
      <c r="K16" s="657"/>
      <c r="L16" s="657"/>
      <c r="P16" s="657">
        <v>30</v>
      </c>
      <c r="Q16" s="657">
        <v>0</v>
      </c>
      <c r="U16" s="657"/>
      <c r="V16" s="657"/>
      <c r="Z16" s="657">
        <v>112</v>
      </c>
      <c r="AA16" s="657">
        <v>0</v>
      </c>
      <c r="AC16" s="81">
        <v>22</v>
      </c>
      <c r="AE16" s="657"/>
      <c r="AF16" s="657"/>
      <c r="AJ16" s="657">
        <v>0</v>
      </c>
      <c r="AK16" s="657">
        <v>0</v>
      </c>
      <c r="AO16" s="657"/>
      <c r="AP16" s="657"/>
      <c r="AQ16" s="12">
        <v>225</v>
      </c>
      <c r="AR16" s="657">
        <f>SUM(AQ16:AQ18)</f>
        <v>225</v>
      </c>
    </row>
    <row r="17" spans="1:47">
      <c r="A17" s="660"/>
      <c r="B17" s="86" t="s">
        <v>1412</v>
      </c>
      <c r="F17" s="657"/>
      <c r="G17" s="657"/>
      <c r="K17" s="657"/>
      <c r="L17" s="657"/>
      <c r="P17" s="657"/>
      <c r="Q17" s="657"/>
      <c r="U17" s="657"/>
      <c r="V17" s="657"/>
      <c r="Z17" s="657"/>
      <c r="AA17" s="657"/>
      <c r="AE17" s="657"/>
      <c r="AF17" s="657"/>
      <c r="AJ17" s="657"/>
      <c r="AK17" s="657"/>
      <c r="AO17" s="657"/>
      <c r="AP17" s="657"/>
      <c r="AQ17" s="12">
        <v>0</v>
      </c>
      <c r="AR17" s="657"/>
    </row>
    <row r="18" spans="1:47">
      <c r="A18" s="660"/>
      <c r="B18" s="86" t="s">
        <v>1413</v>
      </c>
      <c r="F18" s="657"/>
      <c r="G18" s="657"/>
      <c r="K18" s="657"/>
      <c r="L18" s="657"/>
      <c r="P18" s="657"/>
      <c r="Q18" s="657"/>
      <c r="U18" s="657"/>
      <c r="V18" s="657"/>
      <c r="Z18" s="657"/>
      <c r="AA18" s="657"/>
      <c r="AE18" s="657"/>
      <c r="AF18" s="657"/>
      <c r="AJ18" s="657"/>
      <c r="AK18" s="657"/>
      <c r="AO18" s="657"/>
      <c r="AP18" s="657"/>
      <c r="AQ18" s="12">
        <v>0</v>
      </c>
      <c r="AR18" s="657"/>
    </row>
    <row r="19" spans="1:47">
      <c r="A19" s="660" t="s">
        <v>981</v>
      </c>
      <c r="B19" s="86" t="s">
        <v>1408</v>
      </c>
      <c r="F19" s="657">
        <v>85</v>
      </c>
      <c r="G19" s="657">
        <v>122</v>
      </c>
      <c r="K19" s="657"/>
      <c r="L19" s="657"/>
      <c r="P19" s="657">
        <v>173</v>
      </c>
      <c r="Q19" s="657">
        <v>23</v>
      </c>
      <c r="U19" s="657"/>
      <c r="V19" s="657"/>
      <c r="Z19" s="657">
        <v>164</v>
      </c>
      <c r="AA19" s="657">
        <v>117</v>
      </c>
      <c r="AE19" s="657"/>
      <c r="AF19" s="657"/>
      <c r="AJ19" s="657">
        <v>160</v>
      </c>
      <c r="AK19" s="657">
        <v>35</v>
      </c>
      <c r="AO19" s="657"/>
      <c r="AP19" s="657"/>
      <c r="AQ19" s="12">
        <v>0</v>
      </c>
      <c r="AR19" s="657">
        <f>SUM(AQ19:AQ21)</f>
        <v>164</v>
      </c>
    </row>
    <row r="20" spans="1:47" ht="130.5" customHeight="1">
      <c r="A20" s="660"/>
      <c r="B20" s="86" t="s">
        <v>1412</v>
      </c>
      <c r="F20" s="657"/>
      <c r="G20" s="657"/>
      <c r="K20" s="657"/>
      <c r="L20" s="657"/>
      <c r="P20" s="657"/>
      <c r="Q20" s="657"/>
      <c r="U20" s="657"/>
      <c r="V20" s="657"/>
      <c r="Z20" s="657"/>
      <c r="AA20" s="657"/>
      <c r="AE20" s="657"/>
      <c r="AF20" s="657"/>
      <c r="AJ20" s="657"/>
      <c r="AK20" s="657"/>
      <c r="AO20" s="657"/>
      <c r="AP20" s="657"/>
      <c r="AQ20" s="12">
        <v>41</v>
      </c>
      <c r="AR20" s="657"/>
      <c r="AT20" s="657" t="s">
        <v>1417</v>
      </c>
      <c r="AU20" s="12" t="s">
        <v>1418</v>
      </c>
    </row>
    <row r="21" spans="1:47">
      <c r="A21" s="660"/>
      <c r="B21" s="86" t="s">
        <v>1413</v>
      </c>
      <c r="F21" s="657"/>
      <c r="G21" s="657"/>
      <c r="K21" s="657"/>
      <c r="L21" s="657"/>
      <c r="P21" s="657"/>
      <c r="Q21" s="657"/>
      <c r="U21" s="657"/>
      <c r="V21" s="657"/>
      <c r="Z21" s="657"/>
      <c r="AA21" s="657"/>
      <c r="AE21" s="657"/>
      <c r="AF21" s="657"/>
      <c r="AJ21" s="657"/>
      <c r="AK21" s="657"/>
      <c r="AO21" s="657"/>
      <c r="AP21" s="657"/>
      <c r="AQ21" s="12">
        <v>123</v>
      </c>
      <c r="AR21" s="657"/>
      <c r="AT21" s="657"/>
    </row>
    <row r="22" spans="1:47" ht="43.5" customHeight="1">
      <c r="A22" s="660" t="s">
        <v>922</v>
      </c>
      <c r="B22" s="86" t="s">
        <v>1408</v>
      </c>
      <c r="F22" s="657"/>
      <c r="G22" s="657"/>
      <c r="K22" s="657"/>
      <c r="L22" s="657"/>
      <c r="P22" s="657"/>
      <c r="Q22" s="657"/>
      <c r="U22" s="657"/>
      <c r="V22" s="657"/>
      <c r="Z22" s="657"/>
      <c r="AA22" s="657"/>
      <c r="AE22" s="657"/>
      <c r="AF22" s="657"/>
      <c r="AJ22" s="657"/>
      <c r="AK22" s="657"/>
      <c r="AO22" s="657"/>
      <c r="AP22" s="657"/>
      <c r="AQ22" s="12">
        <v>582</v>
      </c>
      <c r="AR22" s="657">
        <f>SUM(AQ22:AQ24)</f>
        <v>715</v>
      </c>
      <c r="AT22" s="657" t="s">
        <v>1419</v>
      </c>
      <c r="AU22" s="657" t="s">
        <v>1420</v>
      </c>
    </row>
    <row r="23" spans="1:47">
      <c r="A23" s="660"/>
      <c r="B23" s="86" t="s">
        <v>1412</v>
      </c>
      <c r="F23" s="657"/>
      <c r="G23" s="657"/>
      <c r="K23" s="657"/>
      <c r="L23" s="657"/>
      <c r="P23" s="657"/>
      <c r="Q23" s="657"/>
      <c r="U23" s="657"/>
      <c r="V23" s="657"/>
      <c r="Z23" s="657"/>
      <c r="AA23" s="657"/>
      <c r="AE23" s="657"/>
      <c r="AF23" s="657"/>
      <c r="AJ23" s="657"/>
      <c r="AK23" s="657"/>
      <c r="AO23" s="657"/>
      <c r="AP23" s="657"/>
      <c r="AQ23" s="12">
        <v>80</v>
      </c>
      <c r="AR23" s="657"/>
      <c r="AT23" s="657"/>
      <c r="AU23" s="657"/>
    </row>
    <row r="24" spans="1:47">
      <c r="A24" s="660"/>
      <c r="B24" s="86" t="s">
        <v>1413</v>
      </c>
      <c r="F24" s="657"/>
      <c r="G24" s="657"/>
      <c r="K24" s="657"/>
      <c r="L24" s="657"/>
      <c r="P24" s="657"/>
      <c r="Q24" s="657"/>
      <c r="U24" s="657"/>
      <c r="V24" s="657"/>
      <c r="Z24" s="657"/>
      <c r="AA24" s="657"/>
      <c r="AE24" s="657"/>
      <c r="AF24" s="657"/>
      <c r="AJ24" s="657"/>
      <c r="AK24" s="657"/>
      <c r="AO24" s="657"/>
      <c r="AP24" s="657"/>
      <c r="AQ24" s="12">
        <v>53</v>
      </c>
      <c r="AR24" s="657"/>
      <c r="AT24" s="657"/>
      <c r="AU24" s="657"/>
    </row>
    <row r="25" spans="1:47">
      <c r="A25" s="660" t="s">
        <v>270</v>
      </c>
      <c r="B25" s="86" t="s">
        <v>1408</v>
      </c>
      <c r="F25" s="657">
        <v>0</v>
      </c>
      <c r="G25" s="657">
        <v>0</v>
      </c>
      <c r="K25" s="657"/>
      <c r="L25" s="657"/>
      <c r="P25" s="657">
        <v>0</v>
      </c>
      <c r="Q25" s="657">
        <v>0</v>
      </c>
      <c r="U25" s="657"/>
      <c r="V25" s="657"/>
      <c r="Z25" s="657">
        <v>0</v>
      </c>
      <c r="AA25" s="657">
        <v>0</v>
      </c>
      <c r="AE25" s="657"/>
      <c r="AF25" s="657"/>
      <c r="AJ25" s="657">
        <v>0</v>
      </c>
      <c r="AK25" s="657">
        <v>0</v>
      </c>
      <c r="AO25" s="657"/>
      <c r="AP25" s="657"/>
      <c r="AQ25" s="12">
        <v>0</v>
      </c>
      <c r="AR25" s="657">
        <f t="shared" ref="AR25" si="1">SUM(AQ25:AQ27)</f>
        <v>0</v>
      </c>
    </row>
    <row r="26" spans="1:47">
      <c r="A26" s="660"/>
      <c r="B26" s="86" t="s">
        <v>1412</v>
      </c>
      <c r="F26" s="657"/>
      <c r="G26" s="657"/>
      <c r="K26" s="657"/>
      <c r="L26" s="657"/>
      <c r="P26" s="657"/>
      <c r="Q26" s="657"/>
      <c r="U26" s="657"/>
      <c r="V26" s="657"/>
      <c r="Z26" s="657"/>
      <c r="AA26" s="657"/>
      <c r="AE26" s="657"/>
      <c r="AF26" s="657"/>
      <c r="AJ26" s="657"/>
      <c r="AK26" s="657"/>
      <c r="AO26" s="657"/>
      <c r="AP26" s="657"/>
      <c r="AQ26" s="12">
        <v>0</v>
      </c>
      <c r="AR26" s="657"/>
    </row>
    <row r="27" spans="1:47">
      <c r="A27" s="660"/>
      <c r="B27" s="86" t="s">
        <v>1413</v>
      </c>
      <c r="F27" s="657"/>
      <c r="G27" s="657"/>
      <c r="K27" s="657"/>
      <c r="L27" s="657"/>
      <c r="P27" s="657"/>
      <c r="Q27" s="657"/>
      <c r="U27" s="657"/>
      <c r="V27" s="657"/>
      <c r="Z27" s="657"/>
      <c r="AA27" s="657"/>
      <c r="AE27" s="657"/>
      <c r="AF27" s="657"/>
      <c r="AJ27" s="657"/>
      <c r="AK27" s="657"/>
      <c r="AO27" s="657"/>
      <c r="AP27" s="657"/>
      <c r="AQ27" s="12">
        <v>0</v>
      </c>
      <c r="AR27" s="657"/>
    </row>
    <row r="28" spans="1:47" ht="188.5">
      <c r="A28" s="660" t="s">
        <v>857</v>
      </c>
      <c r="B28" s="86" t="s">
        <v>1408</v>
      </c>
      <c r="C28" s="12">
        <v>0</v>
      </c>
      <c r="D28" s="12">
        <v>0</v>
      </c>
      <c r="E28" s="12">
        <v>31</v>
      </c>
      <c r="F28" s="657">
        <v>31</v>
      </c>
      <c r="G28" s="657">
        <v>0</v>
      </c>
      <c r="K28" s="657"/>
      <c r="L28" s="657"/>
      <c r="P28" s="657">
        <v>8</v>
      </c>
      <c r="Q28" s="657">
        <v>0</v>
      </c>
      <c r="U28" s="657"/>
      <c r="V28" s="657"/>
      <c r="Z28" s="657">
        <v>41</v>
      </c>
      <c r="AA28" s="657">
        <v>0</v>
      </c>
      <c r="AE28" s="657"/>
      <c r="AF28" s="657"/>
      <c r="AJ28" s="657">
        <v>5</v>
      </c>
      <c r="AK28" s="657">
        <v>0</v>
      </c>
      <c r="AO28" s="657"/>
      <c r="AP28" s="657"/>
      <c r="AQ28" s="12">
        <v>144</v>
      </c>
      <c r="AR28" s="657">
        <f t="shared" ref="AR28" si="2">SUM(AQ28:AQ30)</f>
        <v>144</v>
      </c>
      <c r="AT28" s="89" t="s">
        <v>1421</v>
      </c>
    </row>
    <row r="29" spans="1:47">
      <c r="A29" s="660"/>
      <c r="B29" s="86" t="s">
        <v>1412</v>
      </c>
      <c r="F29" s="657"/>
      <c r="G29" s="657"/>
      <c r="K29" s="657"/>
      <c r="L29" s="657"/>
      <c r="P29" s="657"/>
      <c r="Q29" s="657"/>
      <c r="U29" s="657"/>
      <c r="V29" s="657"/>
      <c r="Z29" s="657"/>
      <c r="AA29" s="657"/>
      <c r="AE29" s="657"/>
      <c r="AF29" s="657"/>
      <c r="AJ29" s="657"/>
      <c r="AK29" s="657"/>
      <c r="AO29" s="657"/>
      <c r="AP29" s="657"/>
      <c r="AQ29" s="12">
        <v>0</v>
      </c>
      <c r="AR29" s="657"/>
    </row>
    <row r="30" spans="1:47">
      <c r="A30" s="660"/>
      <c r="B30" s="86" t="s">
        <v>1413</v>
      </c>
      <c r="F30" s="657"/>
      <c r="G30" s="657"/>
      <c r="K30" s="657"/>
      <c r="L30" s="657"/>
      <c r="P30" s="657"/>
      <c r="Q30" s="657"/>
      <c r="U30" s="657"/>
      <c r="V30" s="657"/>
      <c r="Z30" s="657"/>
      <c r="AA30" s="657"/>
      <c r="AE30" s="657"/>
      <c r="AF30" s="657"/>
      <c r="AJ30" s="657"/>
      <c r="AK30" s="657"/>
      <c r="AO30" s="657"/>
      <c r="AP30" s="657"/>
      <c r="AQ30" s="12">
        <v>0</v>
      </c>
      <c r="AR30" s="657"/>
    </row>
    <row r="31" spans="1:47" ht="188.5">
      <c r="A31" s="660" t="s">
        <v>1047</v>
      </c>
      <c r="B31" s="86" t="s">
        <v>1408</v>
      </c>
      <c r="C31" s="532">
        <v>0</v>
      </c>
      <c r="D31" s="532">
        <v>13</v>
      </c>
      <c r="E31" s="532">
        <v>32</v>
      </c>
      <c r="F31" s="658">
        <v>98</v>
      </c>
      <c r="G31" s="658">
        <v>0</v>
      </c>
      <c r="H31" s="90">
        <v>0</v>
      </c>
      <c r="I31" s="90">
        <v>13</v>
      </c>
      <c r="J31" s="90">
        <v>25</v>
      </c>
      <c r="K31" s="658">
        <v>91</v>
      </c>
      <c r="L31" s="658">
        <v>0</v>
      </c>
      <c r="M31" s="532">
        <v>30</v>
      </c>
      <c r="N31" s="532">
        <v>20</v>
      </c>
      <c r="O31" s="532">
        <v>20</v>
      </c>
      <c r="P31" s="658">
        <v>140</v>
      </c>
      <c r="Q31" s="658">
        <v>0</v>
      </c>
      <c r="R31" s="90">
        <v>24</v>
      </c>
      <c r="S31" s="90">
        <v>29</v>
      </c>
      <c r="T31" s="90">
        <v>5</v>
      </c>
      <c r="U31" s="658">
        <v>83</v>
      </c>
      <c r="V31" s="658">
        <v>0</v>
      </c>
      <c r="W31" s="532">
        <v>11</v>
      </c>
      <c r="X31" s="532">
        <v>10</v>
      </c>
      <c r="Y31" s="532"/>
      <c r="Z31" s="658">
        <v>91</v>
      </c>
      <c r="AA31" s="658">
        <v>0</v>
      </c>
      <c r="AB31" s="90">
        <v>13</v>
      </c>
      <c r="AC31" s="90"/>
      <c r="AD31" s="90"/>
      <c r="AE31" s="658"/>
      <c r="AF31" s="658"/>
      <c r="AG31" s="532">
        <v>0</v>
      </c>
      <c r="AH31" s="532">
        <v>0</v>
      </c>
      <c r="AI31" s="532">
        <v>0</v>
      </c>
      <c r="AJ31" s="658">
        <v>45</v>
      </c>
      <c r="AK31" s="658">
        <v>0</v>
      </c>
      <c r="AL31" s="90"/>
      <c r="AM31" s="90"/>
      <c r="AN31" s="90"/>
      <c r="AO31" s="658"/>
      <c r="AP31" s="658"/>
      <c r="AQ31" s="532">
        <v>136</v>
      </c>
      <c r="AR31" s="657">
        <f t="shared" ref="AR31" si="3">SUM(AQ31:AQ33)</f>
        <v>136</v>
      </c>
      <c r="AS31" s="12" t="s">
        <v>1422</v>
      </c>
      <c r="AT31" s="89" t="s">
        <v>1423</v>
      </c>
    </row>
    <row r="32" spans="1:47">
      <c r="A32" s="660"/>
      <c r="B32" s="86" t="s">
        <v>1412</v>
      </c>
      <c r="C32" s="532"/>
      <c r="D32" s="532"/>
      <c r="E32" s="532"/>
      <c r="F32" s="658"/>
      <c r="G32" s="658"/>
      <c r="H32" s="90"/>
      <c r="I32" s="90"/>
      <c r="J32" s="90"/>
      <c r="K32" s="658"/>
      <c r="L32" s="658"/>
      <c r="M32" s="532"/>
      <c r="N32" s="532"/>
      <c r="O32" s="532"/>
      <c r="P32" s="658"/>
      <c r="Q32" s="658"/>
      <c r="R32" s="90"/>
      <c r="S32" s="90"/>
      <c r="T32" s="90"/>
      <c r="U32" s="658"/>
      <c r="V32" s="658"/>
      <c r="W32" s="532"/>
      <c r="X32" s="532"/>
      <c r="Y32" s="532"/>
      <c r="Z32" s="658"/>
      <c r="AA32" s="658"/>
      <c r="AB32" s="90"/>
      <c r="AC32" s="90"/>
      <c r="AD32" s="90"/>
      <c r="AE32" s="658"/>
      <c r="AF32" s="658"/>
      <c r="AG32" s="532"/>
      <c r="AH32" s="532"/>
      <c r="AI32" s="532"/>
      <c r="AJ32" s="658"/>
      <c r="AK32" s="658"/>
      <c r="AL32" s="90"/>
      <c r="AM32" s="90"/>
      <c r="AN32" s="90"/>
      <c r="AO32" s="658"/>
      <c r="AP32" s="658"/>
      <c r="AQ32" s="532">
        <v>0</v>
      </c>
      <c r="AR32" s="657"/>
    </row>
    <row r="33" spans="1:47">
      <c r="A33" s="660"/>
      <c r="B33" s="86" t="s">
        <v>1413</v>
      </c>
      <c r="C33" s="532"/>
      <c r="D33" s="532"/>
      <c r="E33" s="532"/>
      <c r="F33" s="658"/>
      <c r="G33" s="658"/>
      <c r="H33" s="90"/>
      <c r="I33" s="90"/>
      <c r="J33" s="90"/>
      <c r="K33" s="658"/>
      <c r="L33" s="658"/>
      <c r="M33" s="532"/>
      <c r="N33" s="532"/>
      <c r="O33" s="532"/>
      <c r="P33" s="658"/>
      <c r="Q33" s="658"/>
      <c r="R33" s="90"/>
      <c r="S33" s="90"/>
      <c r="T33" s="90"/>
      <c r="U33" s="658"/>
      <c r="V33" s="658"/>
      <c r="W33" s="532"/>
      <c r="X33" s="532"/>
      <c r="Y33" s="532"/>
      <c r="Z33" s="658"/>
      <c r="AA33" s="658"/>
      <c r="AB33" s="90"/>
      <c r="AC33" s="90"/>
      <c r="AD33" s="90"/>
      <c r="AE33" s="658"/>
      <c r="AF33" s="658"/>
      <c r="AG33" s="532"/>
      <c r="AH33" s="532"/>
      <c r="AI33" s="532"/>
      <c r="AJ33" s="658"/>
      <c r="AK33" s="658"/>
      <c r="AL33" s="90"/>
      <c r="AM33" s="90"/>
      <c r="AN33" s="90"/>
      <c r="AO33" s="658"/>
      <c r="AP33" s="658"/>
      <c r="AQ33" s="532">
        <v>0</v>
      </c>
      <c r="AR33" s="657"/>
    </row>
    <row r="34" spans="1:47" ht="290">
      <c r="A34" s="660" t="s">
        <v>1048</v>
      </c>
      <c r="B34" s="86" t="s">
        <v>1408</v>
      </c>
      <c r="C34" s="532">
        <v>13</v>
      </c>
      <c r="D34" s="532">
        <v>23</v>
      </c>
      <c r="E34" s="532">
        <v>17</v>
      </c>
      <c r="F34" s="658"/>
      <c r="G34" s="658"/>
      <c r="H34" s="90">
        <v>13</v>
      </c>
      <c r="I34" s="90">
        <v>23</v>
      </c>
      <c r="J34" s="90">
        <v>17</v>
      </c>
      <c r="K34" s="658"/>
      <c r="L34" s="658"/>
      <c r="M34" s="532">
        <v>15</v>
      </c>
      <c r="N34" s="532">
        <v>15</v>
      </c>
      <c r="O34" s="532">
        <v>40</v>
      </c>
      <c r="P34" s="658"/>
      <c r="Q34" s="658"/>
      <c r="R34" s="90">
        <v>7</v>
      </c>
      <c r="S34" s="90">
        <v>12</v>
      </c>
      <c r="T34" s="90">
        <v>6</v>
      </c>
      <c r="U34" s="658"/>
      <c r="V34" s="658"/>
      <c r="W34" s="532">
        <v>20</v>
      </c>
      <c r="X34" s="532">
        <v>20</v>
      </c>
      <c r="Y34" s="532">
        <v>30</v>
      </c>
      <c r="Z34" s="658"/>
      <c r="AA34" s="658"/>
      <c r="AB34" s="90">
        <v>12</v>
      </c>
      <c r="AC34" s="90"/>
      <c r="AD34" s="90"/>
      <c r="AE34" s="658"/>
      <c r="AF34" s="658"/>
      <c r="AG34" s="532">
        <v>15</v>
      </c>
      <c r="AH34" s="532">
        <v>15</v>
      </c>
      <c r="AI34" s="532">
        <v>15</v>
      </c>
      <c r="AJ34" s="658"/>
      <c r="AK34" s="658"/>
      <c r="AL34" s="90"/>
      <c r="AM34" s="90"/>
      <c r="AN34" s="90"/>
      <c r="AO34" s="658"/>
      <c r="AP34" s="658"/>
      <c r="AQ34" s="532">
        <v>238</v>
      </c>
      <c r="AR34" s="657">
        <f t="shared" ref="AR34" si="4">SUM(AQ34:AQ36)</f>
        <v>238</v>
      </c>
      <c r="AS34" s="12" t="s">
        <v>1424</v>
      </c>
      <c r="AT34" s="89" t="s">
        <v>1423</v>
      </c>
    </row>
    <row r="35" spans="1:47">
      <c r="A35" s="660"/>
      <c r="B35" s="86" t="s">
        <v>1412</v>
      </c>
      <c r="C35" s="532"/>
      <c r="D35" s="532"/>
      <c r="E35" s="532"/>
      <c r="F35" s="658"/>
      <c r="G35" s="658"/>
      <c r="H35" s="90"/>
      <c r="I35" s="90"/>
      <c r="J35" s="90"/>
      <c r="K35" s="658"/>
      <c r="L35" s="658"/>
      <c r="M35" s="532"/>
      <c r="N35" s="532"/>
      <c r="O35" s="532"/>
      <c r="P35" s="658"/>
      <c r="Q35" s="658"/>
      <c r="R35" s="90"/>
      <c r="S35" s="90"/>
      <c r="T35" s="90"/>
      <c r="U35" s="658"/>
      <c r="V35" s="658"/>
      <c r="W35" s="532"/>
      <c r="X35" s="532"/>
      <c r="Y35" s="532"/>
      <c r="Z35" s="658"/>
      <c r="AA35" s="658"/>
      <c r="AB35" s="90"/>
      <c r="AC35" s="90"/>
      <c r="AD35" s="90"/>
      <c r="AE35" s="658"/>
      <c r="AF35" s="658"/>
      <c r="AG35" s="532"/>
      <c r="AH35" s="532"/>
      <c r="AI35" s="532"/>
      <c r="AJ35" s="658"/>
      <c r="AK35" s="658"/>
      <c r="AL35" s="90"/>
      <c r="AM35" s="90"/>
      <c r="AN35" s="90"/>
      <c r="AO35" s="658"/>
      <c r="AP35" s="658"/>
      <c r="AQ35" s="532">
        <v>0</v>
      </c>
      <c r="AR35" s="657"/>
    </row>
    <row r="36" spans="1:47">
      <c r="A36" s="660"/>
      <c r="B36" s="86" t="s">
        <v>1413</v>
      </c>
      <c r="C36" s="532"/>
      <c r="D36" s="532"/>
      <c r="E36" s="532"/>
      <c r="F36" s="658"/>
      <c r="G36" s="658"/>
      <c r="H36" s="90"/>
      <c r="I36" s="90"/>
      <c r="J36" s="90"/>
      <c r="K36" s="658"/>
      <c r="L36" s="658"/>
      <c r="M36" s="532"/>
      <c r="N36" s="532"/>
      <c r="O36" s="532"/>
      <c r="P36" s="658"/>
      <c r="Q36" s="658"/>
      <c r="R36" s="90"/>
      <c r="S36" s="90"/>
      <c r="T36" s="90"/>
      <c r="U36" s="658"/>
      <c r="V36" s="658"/>
      <c r="W36" s="532"/>
      <c r="X36" s="532"/>
      <c r="Y36" s="532"/>
      <c r="Z36" s="658"/>
      <c r="AA36" s="658"/>
      <c r="AB36" s="90"/>
      <c r="AC36" s="90"/>
      <c r="AD36" s="90"/>
      <c r="AE36" s="658"/>
      <c r="AF36" s="658"/>
      <c r="AG36" s="532"/>
      <c r="AH36" s="532"/>
      <c r="AI36" s="532"/>
      <c r="AJ36" s="658"/>
      <c r="AK36" s="658"/>
      <c r="AL36" s="90"/>
      <c r="AM36" s="90"/>
      <c r="AN36" s="90"/>
      <c r="AO36" s="658"/>
      <c r="AP36" s="658"/>
      <c r="AQ36" s="532">
        <v>0</v>
      </c>
      <c r="AR36" s="657"/>
    </row>
    <row r="37" spans="1:47">
      <c r="A37" s="660" t="s">
        <v>45</v>
      </c>
      <c r="B37" s="86" t="s">
        <v>1408</v>
      </c>
      <c r="F37" s="657">
        <v>435</v>
      </c>
      <c r="G37" s="657">
        <v>0</v>
      </c>
      <c r="K37" s="657"/>
      <c r="L37" s="657"/>
      <c r="P37" s="657">
        <v>0</v>
      </c>
      <c r="Q37" s="657">
        <v>0</v>
      </c>
      <c r="U37" s="657"/>
      <c r="V37" s="657"/>
      <c r="Z37" s="657">
        <v>0</v>
      </c>
      <c r="AA37" s="657">
        <v>0</v>
      </c>
      <c r="AE37" s="657"/>
      <c r="AF37" s="657"/>
      <c r="AJ37" s="657">
        <v>0</v>
      </c>
      <c r="AK37" s="657">
        <v>0</v>
      </c>
      <c r="AO37" s="657"/>
      <c r="AP37" s="657"/>
      <c r="AQ37" s="12">
        <v>435</v>
      </c>
      <c r="AR37" s="657">
        <f t="shared" ref="AR37" si="5">SUM(AQ37:AQ39)</f>
        <v>435</v>
      </c>
      <c r="AT37" s="12" t="s">
        <v>1425</v>
      </c>
    </row>
    <row r="38" spans="1:47">
      <c r="A38" s="660"/>
      <c r="B38" s="86" t="s">
        <v>1412</v>
      </c>
      <c r="F38" s="657"/>
      <c r="G38" s="657"/>
      <c r="H38" s="81">
        <v>235</v>
      </c>
      <c r="I38" s="81">
        <v>200</v>
      </c>
      <c r="K38" s="657"/>
      <c r="L38" s="657"/>
      <c r="P38" s="657"/>
      <c r="Q38" s="657"/>
      <c r="U38" s="657"/>
      <c r="V38" s="657"/>
      <c r="Z38" s="657"/>
      <c r="AA38" s="657"/>
      <c r="AE38" s="657"/>
      <c r="AF38" s="657"/>
      <c r="AJ38" s="657"/>
      <c r="AK38" s="657"/>
      <c r="AO38" s="657"/>
      <c r="AP38" s="657"/>
      <c r="AQ38" s="12">
        <v>0</v>
      </c>
      <c r="AR38" s="657"/>
    </row>
    <row r="39" spans="1:47">
      <c r="A39" s="660"/>
      <c r="B39" s="86" t="s">
        <v>1413</v>
      </c>
      <c r="F39" s="657"/>
      <c r="G39" s="657"/>
      <c r="K39" s="657"/>
      <c r="L39" s="657"/>
      <c r="P39" s="657"/>
      <c r="Q39" s="657"/>
      <c r="U39" s="657"/>
      <c r="V39" s="657"/>
      <c r="Z39" s="657"/>
      <c r="AA39" s="657"/>
      <c r="AE39" s="657"/>
      <c r="AF39" s="657"/>
      <c r="AJ39" s="657"/>
      <c r="AK39" s="657"/>
      <c r="AO39" s="657"/>
      <c r="AP39" s="657"/>
      <c r="AQ39" s="12">
        <v>0</v>
      </c>
      <c r="AR39" s="657"/>
    </row>
    <row r="40" spans="1:47">
      <c r="A40" s="660" t="s">
        <v>887</v>
      </c>
      <c r="B40" s="86" t="s">
        <v>1408</v>
      </c>
      <c r="F40" s="657">
        <v>10</v>
      </c>
      <c r="G40" s="657">
        <v>0</v>
      </c>
      <c r="H40" s="81">
        <v>0</v>
      </c>
      <c r="I40" s="81">
        <v>0</v>
      </c>
      <c r="J40" s="81">
        <v>3</v>
      </c>
      <c r="K40" s="657">
        <v>3</v>
      </c>
      <c r="L40" s="657">
        <v>0</v>
      </c>
      <c r="P40" s="657">
        <v>20</v>
      </c>
      <c r="Q40" s="657">
        <v>0</v>
      </c>
      <c r="R40" s="81">
        <v>0</v>
      </c>
      <c r="S40" s="81">
        <v>2</v>
      </c>
      <c r="T40" s="81">
        <v>1</v>
      </c>
      <c r="U40" s="657">
        <v>3</v>
      </c>
      <c r="V40" s="657">
        <v>0</v>
      </c>
      <c r="W40" s="12">
        <v>0</v>
      </c>
      <c r="X40" s="12">
        <v>2</v>
      </c>
      <c r="Y40" s="12">
        <v>2</v>
      </c>
      <c r="Z40" s="657">
        <v>15</v>
      </c>
      <c r="AA40" s="657">
        <v>0</v>
      </c>
      <c r="AE40" s="657"/>
      <c r="AF40" s="657"/>
      <c r="AJ40" s="657">
        <v>9</v>
      </c>
      <c r="AK40" s="657">
        <v>0</v>
      </c>
      <c r="AO40" s="657"/>
      <c r="AP40" s="657"/>
      <c r="AQ40" s="12">
        <v>0</v>
      </c>
      <c r="AR40" s="657">
        <f t="shared" ref="AR40" si="6">SUM(AQ40:AQ42)</f>
        <v>54</v>
      </c>
      <c r="AU40" s="657" t="s">
        <v>1426</v>
      </c>
    </row>
    <row r="41" spans="1:47">
      <c r="A41" s="660"/>
      <c r="B41" s="86" t="s">
        <v>1412</v>
      </c>
      <c r="F41" s="657"/>
      <c r="G41" s="657"/>
      <c r="K41" s="657"/>
      <c r="L41" s="657"/>
      <c r="P41" s="657"/>
      <c r="Q41" s="657"/>
      <c r="U41" s="657"/>
      <c r="V41" s="657"/>
      <c r="Z41" s="657"/>
      <c r="AA41" s="657"/>
      <c r="AE41" s="657"/>
      <c r="AF41" s="657"/>
      <c r="AJ41" s="657"/>
      <c r="AK41" s="657"/>
      <c r="AO41" s="657"/>
      <c r="AP41" s="657"/>
      <c r="AQ41" s="12">
        <v>54</v>
      </c>
      <c r="AR41" s="657"/>
      <c r="AU41" s="657"/>
    </row>
    <row r="42" spans="1:47">
      <c r="A42" s="660"/>
      <c r="B42" s="86" t="s">
        <v>1413</v>
      </c>
      <c r="F42" s="657"/>
      <c r="G42" s="657"/>
      <c r="K42" s="657"/>
      <c r="L42" s="657"/>
      <c r="P42" s="657"/>
      <c r="Q42" s="657"/>
      <c r="U42" s="657"/>
      <c r="V42" s="657"/>
      <c r="Z42" s="657"/>
      <c r="AA42" s="657"/>
      <c r="AE42" s="657"/>
      <c r="AF42" s="657"/>
      <c r="AJ42" s="657"/>
      <c r="AK42" s="657"/>
      <c r="AO42" s="657"/>
      <c r="AP42" s="657"/>
      <c r="AQ42" s="12">
        <v>0</v>
      </c>
      <c r="AR42" s="657"/>
      <c r="AU42" s="657"/>
    </row>
    <row r="43" spans="1:47" ht="26.25" customHeight="1">
      <c r="A43" s="660" t="s">
        <v>1427</v>
      </c>
      <c r="B43" s="86" t="s">
        <v>1408</v>
      </c>
      <c r="F43" s="657">
        <v>0</v>
      </c>
      <c r="G43" s="657">
        <v>0</v>
      </c>
      <c r="K43" s="657"/>
      <c r="L43" s="657"/>
      <c r="P43" s="657">
        <v>0</v>
      </c>
      <c r="Q43" s="657">
        <v>0</v>
      </c>
      <c r="U43" s="657"/>
      <c r="V43" s="657"/>
      <c r="Z43" s="657">
        <v>0</v>
      </c>
      <c r="AA43" s="657">
        <v>0</v>
      </c>
      <c r="AE43" s="657"/>
      <c r="AF43" s="657"/>
      <c r="AJ43" s="657">
        <v>0</v>
      </c>
      <c r="AK43" s="657">
        <v>0</v>
      </c>
      <c r="AO43" s="657"/>
      <c r="AP43" s="657"/>
      <c r="AQ43" s="12">
        <v>0</v>
      </c>
      <c r="AR43" s="657">
        <f t="shared" ref="AR43" si="7">SUM(AQ43:AQ45)</f>
        <v>0</v>
      </c>
      <c r="AT43" s="89" t="s">
        <v>1428</v>
      </c>
    </row>
    <row r="44" spans="1:47">
      <c r="A44" s="660"/>
      <c r="B44" s="86" t="s">
        <v>1412</v>
      </c>
      <c r="F44" s="657"/>
      <c r="G44" s="657"/>
      <c r="K44" s="657"/>
      <c r="L44" s="657"/>
      <c r="P44" s="657"/>
      <c r="Q44" s="657"/>
      <c r="U44" s="657"/>
      <c r="V44" s="657"/>
      <c r="Z44" s="657"/>
      <c r="AA44" s="657"/>
      <c r="AE44" s="657"/>
      <c r="AF44" s="657"/>
      <c r="AJ44" s="657"/>
      <c r="AK44" s="657"/>
      <c r="AO44" s="657"/>
      <c r="AP44" s="657"/>
      <c r="AQ44" s="12">
        <v>0</v>
      </c>
      <c r="AR44" s="657"/>
    </row>
    <row r="45" spans="1:47">
      <c r="A45" s="660"/>
      <c r="B45" s="86" t="s">
        <v>1413</v>
      </c>
      <c r="F45" s="657"/>
      <c r="G45" s="657"/>
      <c r="K45" s="657"/>
      <c r="L45" s="657"/>
      <c r="P45" s="657"/>
      <c r="Q45" s="657"/>
      <c r="U45" s="657"/>
      <c r="V45" s="657"/>
      <c r="Z45" s="657"/>
      <c r="AA45" s="657"/>
      <c r="AE45" s="657"/>
      <c r="AF45" s="657"/>
      <c r="AJ45" s="657"/>
      <c r="AK45" s="657"/>
      <c r="AO45" s="657"/>
      <c r="AP45" s="657"/>
      <c r="AQ45" s="12">
        <v>0</v>
      </c>
      <c r="AR45" s="657"/>
    </row>
    <row r="46" spans="1:47" s="86" customFormat="1">
      <c r="A46" s="86" t="s">
        <v>267</v>
      </c>
      <c r="C46" s="86">
        <f t="shared" ref="C46:AI46" si="8">SUM(C4:C45)</f>
        <v>85</v>
      </c>
      <c r="D46" s="86">
        <f t="shared" si="8"/>
        <v>155</v>
      </c>
      <c r="E46" s="86">
        <f t="shared" si="8"/>
        <v>199</v>
      </c>
      <c r="F46" s="91">
        <f t="shared" si="8"/>
        <v>749</v>
      </c>
      <c r="G46" s="86">
        <f t="shared" si="8"/>
        <v>425</v>
      </c>
      <c r="H46" s="531">
        <f t="shared" ref="H46:L46" si="9">SUM(H4:H45)</f>
        <v>333</v>
      </c>
      <c r="I46" s="531">
        <f t="shared" si="9"/>
        <v>330</v>
      </c>
      <c r="J46" s="531">
        <f t="shared" si="9"/>
        <v>182</v>
      </c>
      <c r="K46" s="91">
        <f t="shared" si="9"/>
        <v>94</v>
      </c>
      <c r="L46" s="86">
        <f t="shared" si="9"/>
        <v>0</v>
      </c>
      <c r="M46" s="86">
        <f t="shared" si="8"/>
        <v>107</v>
      </c>
      <c r="N46" s="86">
        <f t="shared" si="8"/>
        <v>235</v>
      </c>
      <c r="O46" s="86">
        <f t="shared" si="8"/>
        <v>190</v>
      </c>
      <c r="P46" s="91">
        <f t="shared" si="8"/>
        <v>451</v>
      </c>
      <c r="Q46" s="86">
        <f t="shared" si="8"/>
        <v>334</v>
      </c>
      <c r="R46" s="531">
        <f t="shared" ref="R46:V46" si="10">SUM(R4:R45)</f>
        <v>113</v>
      </c>
      <c r="S46" s="531">
        <f t="shared" si="10"/>
        <v>217</v>
      </c>
      <c r="T46" s="531">
        <f t="shared" si="10"/>
        <v>154</v>
      </c>
      <c r="U46" s="91">
        <f t="shared" si="10"/>
        <v>86</v>
      </c>
      <c r="V46" s="86">
        <f t="shared" si="10"/>
        <v>0</v>
      </c>
      <c r="W46" s="86">
        <f t="shared" si="8"/>
        <v>108</v>
      </c>
      <c r="X46" s="86">
        <f t="shared" si="8"/>
        <v>162</v>
      </c>
      <c r="Y46" s="86">
        <f t="shared" si="8"/>
        <v>177</v>
      </c>
      <c r="Z46" s="91">
        <f t="shared" si="8"/>
        <v>438</v>
      </c>
      <c r="AA46" s="91">
        <f t="shared" si="8"/>
        <v>449</v>
      </c>
      <c r="AB46" s="531">
        <f t="shared" ref="AB46:AF46" si="11">SUM(AB4:AB45)</f>
        <v>102</v>
      </c>
      <c r="AC46" s="531">
        <f t="shared" si="11"/>
        <v>152</v>
      </c>
      <c r="AD46" s="531">
        <f t="shared" si="11"/>
        <v>130</v>
      </c>
      <c r="AE46" s="91">
        <f t="shared" si="11"/>
        <v>0</v>
      </c>
      <c r="AF46" s="91">
        <f t="shared" si="11"/>
        <v>0</v>
      </c>
      <c r="AG46" s="86">
        <f t="shared" si="8"/>
        <v>75</v>
      </c>
      <c r="AH46" s="86">
        <f t="shared" si="8"/>
        <v>135</v>
      </c>
      <c r="AI46" s="86">
        <f t="shared" si="8"/>
        <v>135</v>
      </c>
      <c r="AJ46" s="91">
        <f t="shared" ref="AJ46:AN46" si="12">SUM(AJ4:AJ45)</f>
        <v>219</v>
      </c>
      <c r="AK46" s="86">
        <f t="shared" si="12"/>
        <v>335</v>
      </c>
      <c r="AL46" s="531">
        <f t="shared" si="12"/>
        <v>0</v>
      </c>
      <c r="AM46" s="531">
        <f t="shared" si="12"/>
        <v>0</v>
      </c>
      <c r="AN46" s="531">
        <f t="shared" si="12"/>
        <v>0</v>
      </c>
      <c r="AO46" s="91">
        <f t="shared" ref="AO46:AP46" si="13">SUM(AO4:AO45)</f>
        <v>0</v>
      </c>
      <c r="AP46" s="86">
        <f t="shared" si="13"/>
        <v>0</v>
      </c>
      <c r="AQ46" s="86">
        <f>SUM(AQ4:AQ45)</f>
        <v>3459</v>
      </c>
      <c r="AR46" s="86">
        <f>SUM(AQ46)</f>
        <v>3459</v>
      </c>
    </row>
  </sheetData>
  <mergeCells count="238">
    <mergeCell ref="AU4:AU9"/>
    <mergeCell ref="AU10:AU12"/>
    <mergeCell ref="A28:A30"/>
    <mergeCell ref="C2:E2"/>
    <mergeCell ref="M2:O2"/>
    <mergeCell ref="W2:Y2"/>
    <mergeCell ref="AG2:AI2"/>
    <mergeCell ref="Z4:Z9"/>
    <mergeCell ref="F16:F18"/>
    <mergeCell ref="G16:G18"/>
    <mergeCell ref="P16:P18"/>
    <mergeCell ref="Q16:Q18"/>
    <mergeCell ref="Z16:Z18"/>
    <mergeCell ref="AA16:AA18"/>
    <mergeCell ref="F2:F3"/>
    <mergeCell ref="L4:L9"/>
    <mergeCell ref="K10:K12"/>
    <mergeCell ref="L10:L12"/>
    <mergeCell ref="K13:K15"/>
    <mergeCell ref="L13:L15"/>
    <mergeCell ref="F10:F12"/>
    <mergeCell ref="G10:G12"/>
    <mergeCell ref="AA4:AA9"/>
    <mergeCell ref="AA10:AA12"/>
    <mergeCell ref="A1:AU1"/>
    <mergeCell ref="K16:K18"/>
    <mergeCell ref="L16:L18"/>
    <mergeCell ref="K19:K24"/>
    <mergeCell ref="L19:L24"/>
    <mergeCell ref="AU40:AU42"/>
    <mergeCell ref="AT20:AT21"/>
    <mergeCell ref="AT22:AT24"/>
    <mergeCell ref="AU22:AU24"/>
    <mergeCell ref="A4:A6"/>
    <mergeCell ref="A7:A9"/>
    <mergeCell ref="A10:A12"/>
    <mergeCell ref="A13:A15"/>
    <mergeCell ref="F28:F30"/>
    <mergeCell ref="G28:G30"/>
    <mergeCell ref="F25:F27"/>
    <mergeCell ref="G25:G27"/>
    <mergeCell ref="F13:F15"/>
    <mergeCell ref="G13:G15"/>
    <mergeCell ref="P13:P15"/>
    <mergeCell ref="P19:P24"/>
    <mergeCell ref="Q19:Q24"/>
    <mergeCell ref="F4:F9"/>
    <mergeCell ref="G4:G9"/>
    <mergeCell ref="A31:A33"/>
    <mergeCell ref="A22:A24"/>
    <mergeCell ref="A25:A27"/>
    <mergeCell ref="G2:G3"/>
    <mergeCell ref="P2:P3"/>
    <mergeCell ref="Q2:Q3"/>
    <mergeCell ref="Z2:Z3"/>
    <mergeCell ref="F19:F24"/>
    <mergeCell ref="G19:G24"/>
    <mergeCell ref="Z19:Z24"/>
    <mergeCell ref="Z13:Z15"/>
    <mergeCell ref="H2:J2"/>
    <mergeCell ref="K2:K3"/>
    <mergeCell ref="L2:L3"/>
    <mergeCell ref="K4:K9"/>
    <mergeCell ref="K25:K27"/>
    <mergeCell ref="L25:L27"/>
    <mergeCell ref="K28:K30"/>
    <mergeCell ref="L28:L30"/>
    <mergeCell ref="P10:P12"/>
    <mergeCell ref="Q10:Q12"/>
    <mergeCell ref="Z10:Z12"/>
    <mergeCell ref="R2:T2"/>
    <mergeCell ref="U2:U3"/>
    <mergeCell ref="V2:V3"/>
    <mergeCell ref="U4:U9"/>
    <mergeCell ref="V4:V9"/>
    <mergeCell ref="U10:U12"/>
    <mergeCell ref="V10:V12"/>
    <mergeCell ref="A43:A45"/>
    <mergeCell ref="AS2:AS3"/>
    <mergeCell ref="P4:P9"/>
    <mergeCell ref="Q4:Q9"/>
    <mergeCell ref="AR25:AR27"/>
    <mergeCell ref="AR28:AR30"/>
    <mergeCell ref="AR31:AR33"/>
    <mergeCell ref="AR34:AR36"/>
    <mergeCell ref="AR37:AR39"/>
    <mergeCell ref="AR7:AR9"/>
    <mergeCell ref="AR10:AR12"/>
    <mergeCell ref="AR13:AR15"/>
    <mergeCell ref="AR16:AR18"/>
    <mergeCell ref="AR19:AR21"/>
    <mergeCell ref="AR22:AR24"/>
    <mergeCell ref="AR4:AR6"/>
    <mergeCell ref="AJ28:AJ30"/>
    <mergeCell ref="AK28:AK30"/>
    <mergeCell ref="A16:A18"/>
    <mergeCell ref="A19:A21"/>
    <mergeCell ref="AA2:AA3"/>
    <mergeCell ref="P25:P27"/>
    <mergeCell ref="A34:A36"/>
    <mergeCell ref="AR40:AR42"/>
    <mergeCell ref="F37:F39"/>
    <mergeCell ref="G37:G39"/>
    <mergeCell ref="P37:P39"/>
    <mergeCell ref="Q37:Q39"/>
    <mergeCell ref="Z37:Z39"/>
    <mergeCell ref="AA37:AA39"/>
    <mergeCell ref="F31:F36"/>
    <mergeCell ref="G31:G36"/>
    <mergeCell ref="A37:A39"/>
    <mergeCell ref="K37:K39"/>
    <mergeCell ref="L37:L39"/>
    <mergeCell ref="K31:K36"/>
    <mergeCell ref="L31:L36"/>
    <mergeCell ref="A40:A42"/>
    <mergeCell ref="AA19:AA24"/>
    <mergeCell ref="AA13:AA15"/>
    <mergeCell ref="P31:P36"/>
    <mergeCell ref="Q31:Q36"/>
    <mergeCell ref="Z31:Z36"/>
    <mergeCell ref="AR43:AR45"/>
    <mergeCell ref="AQ2:AQ3"/>
    <mergeCell ref="AR2:AR3"/>
    <mergeCell ref="AJ13:AJ15"/>
    <mergeCell ref="AK13:AK15"/>
    <mergeCell ref="AJ19:AJ24"/>
    <mergeCell ref="AK19:AK24"/>
    <mergeCell ref="AJ25:AJ27"/>
    <mergeCell ref="AK25:AK27"/>
    <mergeCell ref="AJ2:AJ3"/>
    <mergeCell ref="AK2:AK3"/>
    <mergeCell ref="AK10:AK12"/>
    <mergeCell ref="AK4:AK9"/>
    <mergeCell ref="AJ16:AJ18"/>
    <mergeCell ref="AK16:AK18"/>
    <mergeCell ref="AJ40:AJ42"/>
    <mergeCell ref="AK40:AK42"/>
    <mergeCell ref="AJ10:AJ12"/>
    <mergeCell ref="AJ31:AJ36"/>
    <mergeCell ref="AJ4:AJ9"/>
    <mergeCell ref="AJ37:AJ39"/>
    <mergeCell ref="AK37:AK39"/>
    <mergeCell ref="AK31:AK36"/>
    <mergeCell ref="AO37:AO39"/>
    <mergeCell ref="Q25:Q27"/>
    <mergeCell ref="Z25:Z27"/>
    <mergeCell ref="AA25:AA27"/>
    <mergeCell ref="Q13:Q15"/>
    <mergeCell ref="P28:P30"/>
    <mergeCell ref="Q28:Q30"/>
    <mergeCell ref="Z28:Z30"/>
    <mergeCell ref="U16:U18"/>
    <mergeCell ref="V16:V18"/>
    <mergeCell ref="U19:U24"/>
    <mergeCell ref="V19:V24"/>
    <mergeCell ref="U25:U27"/>
    <mergeCell ref="V25:V27"/>
    <mergeCell ref="U13:U15"/>
    <mergeCell ref="V13:V15"/>
    <mergeCell ref="F43:F45"/>
    <mergeCell ref="G43:G45"/>
    <mergeCell ref="P43:P45"/>
    <mergeCell ref="Q43:Q45"/>
    <mergeCell ref="Z43:Z45"/>
    <mergeCell ref="AA43:AA45"/>
    <mergeCell ref="AJ43:AJ45"/>
    <mergeCell ref="AK43:AK45"/>
    <mergeCell ref="F40:F42"/>
    <mergeCell ref="G40:G42"/>
    <mergeCell ref="P40:P42"/>
    <mergeCell ref="Q40:Q42"/>
    <mergeCell ref="Z40:Z42"/>
    <mergeCell ref="AA40:AA42"/>
    <mergeCell ref="K40:K42"/>
    <mergeCell ref="L40:L42"/>
    <mergeCell ref="K43:K45"/>
    <mergeCell ref="L43:L45"/>
    <mergeCell ref="U43:U45"/>
    <mergeCell ref="V43:V45"/>
    <mergeCell ref="AF28:AF30"/>
    <mergeCell ref="U28:U30"/>
    <mergeCell ref="V28:V30"/>
    <mergeCell ref="U31:U36"/>
    <mergeCell ref="V31:V36"/>
    <mergeCell ref="U37:U39"/>
    <mergeCell ref="V37:V39"/>
    <mergeCell ref="U40:U42"/>
    <mergeCell ref="V40:V42"/>
    <mergeCell ref="AA28:AA30"/>
    <mergeCell ref="AA31:AA36"/>
    <mergeCell ref="AO43:AO45"/>
    <mergeCell ref="AB2:AD2"/>
    <mergeCell ref="AE2:AE3"/>
    <mergeCell ref="AF2:AF3"/>
    <mergeCell ref="AE4:AE9"/>
    <mergeCell ref="AF4:AF9"/>
    <mergeCell ref="AE10:AE12"/>
    <mergeCell ref="AF10:AF12"/>
    <mergeCell ref="AE13:AE15"/>
    <mergeCell ref="AF13:AF15"/>
    <mergeCell ref="AE37:AE39"/>
    <mergeCell ref="AF37:AF39"/>
    <mergeCell ref="AE40:AE42"/>
    <mergeCell ref="AF40:AF42"/>
    <mergeCell ref="AE43:AE45"/>
    <mergeCell ref="AF43:AF45"/>
    <mergeCell ref="AE16:AE18"/>
    <mergeCell ref="AF16:AF18"/>
    <mergeCell ref="AE19:AE24"/>
    <mergeCell ref="AF19:AF24"/>
    <mergeCell ref="AE25:AE27"/>
    <mergeCell ref="AF25:AF27"/>
    <mergeCell ref="AO40:AO42"/>
    <mergeCell ref="AE28:AE30"/>
    <mergeCell ref="AP40:AP42"/>
    <mergeCell ref="AE31:AE36"/>
    <mergeCell ref="AF31:AF36"/>
    <mergeCell ref="AP43:AP45"/>
    <mergeCell ref="AL2:AN2"/>
    <mergeCell ref="AO2:AO3"/>
    <mergeCell ref="AP2:AP3"/>
    <mergeCell ref="AO4:AO9"/>
    <mergeCell ref="AP4:AP9"/>
    <mergeCell ref="AO10:AO12"/>
    <mergeCell ref="AP10:AP12"/>
    <mergeCell ref="AO13:AO15"/>
    <mergeCell ref="AP13:AP15"/>
    <mergeCell ref="AO16:AO18"/>
    <mergeCell ref="AP16:AP18"/>
    <mergeCell ref="AO19:AO24"/>
    <mergeCell ref="AP19:AP24"/>
    <mergeCell ref="AO25:AO27"/>
    <mergeCell ref="AP25:AP27"/>
    <mergeCell ref="AO28:AO30"/>
    <mergeCell ref="AP28:AP30"/>
    <mergeCell ref="AO31:AO36"/>
    <mergeCell ref="AP31:AP36"/>
    <mergeCell ref="AP37:AP39"/>
  </mergeCells>
  <phoneticPr fontId="1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81B2-97BE-4E73-8E35-7834AAF7C4B1}">
  <sheetPr codeName="Sheet10"/>
  <dimension ref="A1:D22"/>
  <sheetViews>
    <sheetView topLeftCell="A3" workbookViewId="0">
      <selection activeCell="A5" sqref="A5"/>
    </sheetView>
  </sheetViews>
  <sheetFormatPr defaultColWidth="8.81640625" defaultRowHeight="14.5"/>
  <cols>
    <col min="1" max="1" width="14.453125" customWidth="1"/>
    <col min="2" max="2" width="28.81640625" customWidth="1"/>
    <col min="3" max="3" width="44.453125" customWidth="1"/>
    <col min="4" max="4" width="28.453125" bestFit="1" customWidth="1"/>
  </cols>
  <sheetData>
    <row r="1" spans="1:4">
      <c r="A1" s="549" t="s">
        <v>872</v>
      </c>
      <c r="B1" s="549"/>
    </row>
    <row r="2" spans="1:4">
      <c r="A2" s="2" t="s">
        <v>345</v>
      </c>
      <c r="B2" s="482" t="s">
        <v>873</v>
      </c>
    </row>
    <row r="3" spans="1:4" ht="101.5">
      <c r="A3" s="2" t="s">
        <v>202</v>
      </c>
      <c r="B3" s="500" t="s">
        <v>874</v>
      </c>
    </row>
    <row r="4" spans="1:4" ht="58">
      <c r="A4" s="2" t="s">
        <v>875</v>
      </c>
      <c r="B4" s="500" t="s">
        <v>876</v>
      </c>
    </row>
    <row r="5" spans="1:4">
      <c r="A5" s="2" t="s">
        <v>260</v>
      </c>
      <c r="B5" s="500" t="s">
        <v>877</v>
      </c>
    </row>
    <row r="6" spans="1:4" ht="58">
      <c r="A6" s="501" t="s">
        <v>862</v>
      </c>
      <c r="B6" s="482" t="s">
        <v>878</v>
      </c>
    </row>
    <row r="7" spans="1:4" ht="29">
      <c r="A7" s="2" t="s">
        <v>162</v>
      </c>
      <c r="B7" s="500" t="s">
        <v>879</v>
      </c>
    </row>
    <row r="8" spans="1:4">
      <c r="A8" s="2" t="s">
        <v>54</v>
      </c>
      <c r="B8" s="500" t="s">
        <v>880</v>
      </c>
    </row>
    <row r="9" spans="1:4">
      <c r="A9" s="401"/>
    </row>
    <row r="11" spans="1:4">
      <c r="A11" s="480" t="s">
        <v>881</v>
      </c>
      <c r="B11" s="480" t="s">
        <v>882</v>
      </c>
      <c r="C11" s="480" t="s">
        <v>883</v>
      </c>
      <c r="D11" s="480" t="s">
        <v>884</v>
      </c>
    </row>
    <row r="12" spans="1:4" ht="116">
      <c r="A12" s="481" t="s">
        <v>885</v>
      </c>
      <c r="B12" s="481" t="s">
        <v>202</v>
      </c>
      <c r="C12" s="482" t="s">
        <v>886</v>
      </c>
      <c r="D12" s="483"/>
    </row>
    <row r="13" spans="1:4">
      <c r="A13" s="481" t="s">
        <v>270</v>
      </c>
      <c r="B13" s="481" t="s">
        <v>345</v>
      </c>
      <c r="C13" s="482" t="s">
        <v>873</v>
      </c>
      <c r="D13" s="483"/>
    </row>
    <row r="14" spans="1:4">
      <c r="A14" s="481" t="s">
        <v>887</v>
      </c>
      <c r="B14" s="481" t="s">
        <v>345</v>
      </c>
      <c r="C14" s="482" t="s">
        <v>873</v>
      </c>
      <c r="D14" s="483"/>
    </row>
    <row r="15" spans="1:4">
      <c r="A15" s="481" t="s">
        <v>782</v>
      </c>
      <c r="B15" s="481" t="s">
        <v>54</v>
      </c>
      <c r="C15" s="482" t="s">
        <v>888</v>
      </c>
      <c r="D15" s="483"/>
    </row>
    <row r="16" spans="1:4" ht="43.5">
      <c r="A16" s="481" t="s">
        <v>45</v>
      </c>
      <c r="B16" s="484" t="s">
        <v>889</v>
      </c>
      <c r="C16" s="482" t="s">
        <v>890</v>
      </c>
      <c r="D16" s="483"/>
    </row>
    <row r="17" spans="1:4" ht="72.5">
      <c r="A17" s="481" t="s">
        <v>891</v>
      </c>
      <c r="B17" s="481" t="s">
        <v>345</v>
      </c>
      <c r="C17" s="482" t="s">
        <v>892</v>
      </c>
      <c r="D17" s="482" t="s">
        <v>893</v>
      </c>
    </row>
    <row r="18" spans="1:4" ht="58">
      <c r="A18" s="481" t="s">
        <v>658</v>
      </c>
      <c r="B18" s="481" t="s">
        <v>345</v>
      </c>
      <c r="C18" s="482" t="s">
        <v>892</v>
      </c>
      <c r="D18" s="482" t="s">
        <v>894</v>
      </c>
    </row>
    <row r="19" spans="1:4" ht="43.5">
      <c r="A19" s="481" t="s">
        <v>895</v>
      </c>
      <c r="B19" s="481" t="s">
        <v>896</v>
      </c>
      <c r="C19" s="482" t="s">
        <v>897</v>
      </c>
      <c r="D19" s="482" t="s">
        <v>898</v>
      </c>
    </row>
    <row r="20" spans="1:4" ht="72.5">
      <c r="A20" s="481" t="s">
        <v>899</v>
      </c>
      <c r="B20" s="481" t="s">
        <v>900</v>
      </c>
      <c r="C20" s="482" t="s">
        <v>901</v>
      </c>
      <c r="D20" s="482" t="s">
        <v>902</v>
      </c>
    </row>
    <row r="21" spans="1:4" ht="43.5">
      <c r="A21" s="481" t="s">
        <v>903</v>
      </c>
      <c r="B21" s="481" t="s">
        <v>54</v>
      </c>
      <c r="C21" s="482" t="s">
        <v>904</v>
      </c>
      <c r="D21" s="482" t="s">
        <v>905</v>
      </c>
    </row>
    <row r="22" spans="1:4" ht="43.5">
      <c r="A22" s="482" t="s">
        <v>906</v>
      </c>
      <c r="B22" s="481" t="s">
        <v>54</v>
      </c>
      <c r="C22" s="482" t="s">
        <v>907</v>
      </c>
      <c r="D22" s="482"/>
    </row>
  </sheetData>
  <mergeCells count="1">
    <mergeCell ref="A1:B1"/>
  </mergeCells>
  <phoneticPr fontId="1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D7BB-CBFC-436B-9620-3F150FFA8B04}">
  <sheetPr codeName="Sheet4"/>
  <dimension ref="A1:I177"/>
  <sheetViews>
    <sheetView zoomScale="120" zoomScaleNormal="120" workbookViewId="0">
      <pane ySplit="1" topLeftCell="A170" activePane="bottomLeft" state="frozen"/>
      <selection pane="bottomLeft" activeCell="A177" sqref="A177"/>
    </sheetView>
  </sheetViews>
  <sheetFormatPr defaultColWidth="8.453125" defaultRowHeight="14.5"/>
  <cols>
    <col min="1" max="1" width="19.453125" style="105" customWidth="1"/>
    <col min="2" max="2" width="34.453125" style="95" customWidth="1"/>
    <col min="3" max="3" width="35.453125" style="14" bestFit="1" customWidth="1"/>
    <col min="4" max="4" width="33.453125" style="96" customWidth="1"/>
    <col min="5" max="5" width="26.453125" bestFit="1" customWidth="1"/>
    <col min="6" max="6" width="17.453125" style="94" bestFit="1" customWidth="1"/>
    <col min="7" max="7" width="44.453125" style="14" bestFit="1" customWidth="1"/>
    <col min="8" max="8" width="33.453125" style="94" customWidth="1"/>
    <col min="9" max="9" width="51.453125" style="94" bestFit="1" customWidth="1"/>
    <col min="10" max="16384" width="8.453125" style="14"/>
  </cols>
  <sheetData>
    <row r="1" spans="1:9" s="94" customFormat="1" ht="43.5">
      <c r="A1" s="105" t="s">
        <v>908</v>
      </c>
      <c r="B1" s="108" t="s">
        <v>909</v>
      </c>
      <c r="C1" s="92" t="s">
        <v>910</v>
      </c>
      <c r="D1" s="93" t="s">
        <v>911</v>
      </c>
      <c r="E1" s="92" t="s">
        <v>912</v>
      </c>
      <c r="F1" s="92" t="s">
        <v>913</v>
      </c>
      <c r="G1" s="92" t="s">
        <v>43</v>
      </c>
      <c r="H1" s="92" t="s">
        <v>914</v>
      </c>
      <c r="I1" s="92" t="s">
        <v>915</v>
      </c>
    </row>
    <row r="2" spans="1:9">
      <c r="A2" s="105" t="s">
        <v>916</v>
      </c>
      <c r="B2" s="95" t="s">
        <v>917</v>
      </c>
      <c r="C2" s="14" t="s">
        <v>918</v>
      </c>
      <c r="D2" s="96">
        <v>44328</v>
      </c>
      <c r="F2" s="94">
        <v>22</v>
      </c>
      <c r="I2" s="97">
        <v>44328</v>
      </c>
    </row>
    <row r="3" spans="1:9">
      <c r="A3" s="103">
        <v>10098298</v>
      </c>
      <c r="B3" s="95" t="s">
        <v>917</v>
      </c>
      <c r="C3" s="14" t="s">
        <v>919</v>
      </c>
      <c r="D3" s="96">
        <v>44376</v>
      </c>
      <c r="E3" t="s">
        <v>920</v>
      </c>
      <c r="F3" s="94">
        <v>27</v>
      </c>
      <c r="I3" s="97" t="s">
        <v>921</v>
      </c>
    </row>
    <row r="4" spans="1:9">
      <c r="A4" s="105" t="s">
        <v>916</v>
      </c>
      <c r="B4" s="95" t="s">
        <v>922</v>
      </c>
      <c r="C4" s="14" t="s">
        <v>918</v>
      </c>
      <c r="D4" s="96">
        <v>44314</v>
      </c>
      <c r="F4" s="94">
        <v>50</v>
      </c>
      <c r="G4" s="14" t="s">
        <v>923</v>
      </c>
      <c r="I4" s="98">
        <v>44314</v>
      </c>
    </row>
    <row r="5" spans="1:9">
      <c r="A5" s="109">
        <v>10099534</v>
      </c>
      <c r="B5" s="95" t="s">
        <v>922</v>
      </c>
      <c r="C5" s="14" t="s">
        <v>919</v>
      </c>
      <c r="D5" s="96">
        <v>44306</v>
      </c>
      <c r="E5" t="s">
        <v>920</v>
      </c>
      <c r="F5" s="94">
        <v>32</v>
      </c>
      <c r="G5" s="14" t="s">
        <v>923</v>
      </c>
      <c r="H5" s="94">
        <v>32</v>
      </c>
      <c r="I5" s="97" t="s">
        <v>924</v>
      </c>
    </row>
    <row r="6" spans="1:9">
      <c r="A6" s="106">
        <v>10099024</v>
      </c>
      <c r="B6" s="95" t="s">
        <v>925</v>
      </c>
      <c r="C6" s="14" t="s">
        <v>918</v>
      </c>
      <c r="D6" s="96">
        <v>44295</v>
      </c>
      <c r="E6" t="s">
        <v>926</v>
      </c>
      <c r="F6" s="94">
        <v>25</v>
      </c>
      <c r="G6" s="14" t="s">
        <v>927</v>
      </c>
      <c r="H6" s="94">
        <v>25</v>
      </c>
      <c r="I6" s="101">
        <v>44295</v>
      </c>
    </row>
    <row r="7" spans="1:9">
      <c r="A7" s="106">
        <v>10099414</v>
      </c>
      <c r="B7" s="95" t="s">
        <v>928</v>
      </c>
      <c r="C7" s="14" t="s">
        <v>919</v>
      </c>
      <c r="D7" s="96">
        <v>44341</v>
      </c>
      <c r="E7" t="s">
        <v>920</v>
      </c>
      <c r="F7" s="94">
        <v>18</v>
      </c>
      <c r="G7" s="14" t="s">
        <v>927</v>
      </c>
      <c r="H7" s="94">
        <v>18</v>
      </c>
      <c r="I7" s="102">
        <v>44341</v>
      </c>
    </row>
    <row r="8" spans="1:9">
      <c r="A8" s="106">
        <v>10099416</v>
      </c>
      <c r="B8" s="95" t="s">
        <v>928</v>
      </c>
      <c r="C8" s="14" t="s">
        <v>919</v>
      </c>
      <c r="D8" s="96">
        <v>44375</v>
      </c>
      <c r="E8" t="s">
        <v>920</v>
      </c>
      <c r="F8" s="94">
        <v>19</v>
      </c>
      <c r="G8" s="14" t="s">
        <v>927</v>
      </c>
      <c r="H8" s="94">
        <v>19</v>
      </c>
      <c r="I8" s="102">
        <v>44375</v>
      </c>
    </row>
    <row r="9" spans="1:9">
      <c r="A9" s="106">
        <v>10099414</v>
      </c>
      <c r="B9" s="95" t="s">
        <v>929</v>
      </c>
      <c r="C9" s="14" t="s">
        <v>919</v>
      </c>
      <c r="D9" s="96">
        <v>44341</v>
      </c>
      <c r="E9" t="s">
        <v>920</v>
      </c>
      <c r="F9" s="94">
        <v>20</v>
      </c>
      <c r="G9" s="14" t="s">
        <v>927</v>
      </c>
      <c r="H9" s="94">
        <v>20</v>
      </c>
      <c r="I9" s="102">
        <v>44341</v>
      </c>
    </row>
    <row r="10" spans="1:9">
      <c r="A10" s="106">
        <v>10099416</v>
      </c>
      <c r="B10" s="95" t="s">
        <v>929</v>
      </c>
      <c r="C10" s="14" t="s">
        <v>919</v>
      </c>
      <c r="D10" s="96">
        <v>44375</v>
      </c>
      <c r="E10" t="s">
        <v>920</v>
      </c>
      <c r="F10" s="94">
        <v>20</v>
      </c>
      <c r="G10" s="14" t="s">
        <v>927</v>
      </c>
      <c r="H10" s="94">
        <v>20</v>
      </c>
      <c r="I10" s="102">
        <v>44375</v>
      </c>
    </row>
    <row r="11" spans="1:9">
      <c r="A11" s="106">
        <v>10099414</v>
      </c>
      <c r="B11" s="95" t="s">
        <v>930</v>
      </c>
      <c r="C11" s="14" t="s">
        <v>919</v>
      </c>
      <c r="D11" s="96">
        <v>44341</v>
      </c>
      <c r="E11" t="s">
        <v>920</v>
      </c>
      <c r="F11" s="94">
        <v>15</v>
      </c>
      <c r="G11" s="14" t="s">
        <v>927</v>
      </c>
      <c r="H11" s="94">
        <v>15</v>
      </c>
      <c r="I11" s="102">
        <v>44341</v>
      </c>
    </row>
    <row r="12" spans="1:9">
      <c r="A12" s="106">
        <v>10099416</v>
      </c>
      <c r="B12" s="95" t="s">
        <v>930</v>
      </c>
      <c r="C12" s="14" t="s">
        <v>919</v>
      </c>
      <c r="D12" s="96">
        <v>44375</v>
      </c>
      <c r="E12" t="s">
        <v>920</v>
      </c>
      <c r="F12" s="94">
        <v>32</v>
      </c>
      <c r="G12" s="14" t="s">
        <v>927</v>
      </c>
      <c r="H12" s="94">
        <v>32</v>
      </c>
      <c r="I12" s="102">
        <v>44375</v>
      </c>
    </row>
    <row r="13" spans="1:9">
      <c r="A13" s="105" t="s">
        <v>916</v>
      </c>
      <c r="B13" s="95" t="s">
        <v>903</v>
      </c>
      <c r="C13" s="14" t="s">
        <v>918</v>
      </c>
      <c r="D13" s="96">
        <v>44298</v>
      </c>
      <c r="F13" s="94">
        <v>30</v>
      </c>
      <c r="G13" s="14" t="s">
        <v>931</v>
      </c>
      <c r="I13" s="98">
        <v>44298</v>
      </c>
    </row>
    <row r="14" spans="1:9">
      <c r="A14" s="105" t="s">
        <v>916</v>
      </c>
      <c r="B14" s="95" t="s">
        <v>903</v>
      </c>
      <c r="C14" s="14" t="s">
        <v>918</v>
      </c>
      <c r="D14" s="96">
        <v>44300</v>
      </c>
      <c r="F14" s="94">
        <v>18</v>
      </c>
      <c r="G14" s="14" t="s">
        <v>932</v>
      </c>
      <c r="I14" s="98">
        <v>44300</v>
      </c>
    </row>
    <row r="15" spans="1:9">
      <c r="A15" s="105" t="s">
        <v>916</v>
      </c>
      <c r="B15" s="95" t="s">
        <v>903</v>
      </c>
      <c r="C15" s="14" t="s">
        <v>918</v>
      </c>
      <c r="D15" s="96">
        <v>44300</v>
      </c>
      <c r="F15" s="94">
        <v>12</v>
      </c>
      <c r="G15" s="14" t="s">
        <v>933</v>
      </c>
      <c r="I15" s="98">
        <v>44300</v>
      </c>
    </row>
    <row r="16" spans="1:9">
      <c r="A16" s="109">
        <v>10099713</v>
      </c>
      <c r="B16" s="95" t="s">
        <v>903</v>
      </c>
      <c r="C16" s="14" t="s">
        <v>919</v>
      </c>
      <c r="D16" s="96">
        <v>44336</v>
      </c>
      <c r="E16" t="s">
        <v>920</v>
      </c>
      <c r="F16" s="94">
        <v>46</v>
      </c>
      <c r="G16" s="14" t="s">
        <v>932</v>
      </c>
      <c r="H16" s="550">
        <v>98</v>
      </c>
      <c r="I16" s="98" t="s">
        <v>934</v>
      </c>
    </row>
    <row r="17" spans="1:9">
      <c r="A17" s="109">
        <v>10099822</v>
      </c>
      <c r="B17" s="95" t="s">
        <v>903</v>
      </c>
      <c r="C17" s="14" t="s">
        <v>919</v>
      </c>
      <c r="D17" s="96">
        <v>44336</v>
      </c>
      <c r="E17" t="s">
        <v>920</v>
      </c>
      <c r="F17" s="94">
        <v>52</v>
      </c>
      <c r="G17" s="14" t="s">
        <v>935</v>
      </c>
      <c r="H17" s="550"/>
      <c r="I17" s="98" t="s">
        <v>934</v>
      </c>
    </row>
    <row r="18" spans="1:9">
      <c r="A18" s="103">
        <v>10099964</v>
      </c>
      <c r="B18" s="95" t="s">
        <v>903</v>
      </c>
      <c r="C18" s="14" t="s">
        <v>919</v>
      </c>
      <c r="D18" s="96">
        <v>44399</v>
      </c>
      <c r="E18" t="s">
        <v>920</v>
      </c>
      <c r="F18" s="94">
        <v>59</v>
      </c>
      <c r="G18" s="14" t="s">
        <v>936</v>
      </c>
      <c r="I18" s="98" t="s">
        <v>937</v>
      </c>
    </row>
    <row r="19" spans="1:9">
      <c r="A19" s="103">
        <v>10099286</v>
      </c>
      <c r="B19" s="95" t="s">
        <v>895</v>
      </c>
      <c r="C19" s="14" t="s">
        <v>918</v>
      </c>
      <c r="D19" s="96">
        <v>44298</v>
      </c>
      <c r="F19" s="94">
        <v>23</v>
      </c>
      <c r="I19" s="94" t="s">
        <v>938</v>
      </c>
    </row>
    <row r="20" spans="1:9">
      <c r="A20" s="103">
        <v>10098118</v>
      </c>
      <c r="B20" s="95" t="s">
        <v>895</v>
      </c>
      <c r="C20" s="14" t="s">
        <v>919</v>
      </c>
      <c r="D20" s="96">
        <v>44305</v>
      </c>
      <c r="E20" t="s">
        <v>920</v>
      </c>
      <c r="F20" s="94">
        <v>23</v>
      </c>
      <c r="G20" s="14" t="s">
        <v>939</v>
      </c>
      <c r="H20" s="94">
        <v>26</v>
      </c>
      <c r="I20" s="98" t="s">
        <v>940</v>
      </c>
    </row>
    <row r="21" spans="1:9">
      <c r="A21" s="105" t="s">
        <v>916</v>
      </c>
      <c r="B21" s="95" t="s">
        <v>941</v>
      </c>
      <c r="C21" s="14" t="s">
        <v>918</v>
      </c>
      <c r="D21" s="96">
        <v>44300</v>
      </c>
      <c r="F21" s="94">
        <v>260</v>
      </c>
      <c r="G21" s="14" t="s">
        <v>942</v>
      </c>
      <c r="I21" s="98">
        <v>44300</v>
      </c>
    </row>
    <row r="22" spans="1:9">
      <c r="A22" s="105" t="s">
        <v>916</v>
      </c>
      <c r="B22" s="95" t="s">
        <v>941</v>
      </c>
      <c r="C22" s="14" t="s">
        <v>918</v>
      </c>
      <c r="D22" s="96">
        <v>44302</v>
      </c>
      <c r="F22" s="94">
        <v>260</v>
      </c>
      <c r="G22" s="14" t="s">
        <v>942</v>
      </c>
      <c r="I22" s="98">
        <v>44302</v>
      </c>
    </row>
    <row r="23" spans="1:9">
      <c r="A23" s="105" t="s">
        <v>916</v>
      </c>
      <c r="B23" s="95" t="s">
        <v>941</v>
      </c>
      <c r="C23" s="14" t="s">
        <v>918</v>
      </c>
      <c r="D23" s="96">
        <v>44524</v>
      </c>
      <c r="F23" s="94">
        <v>20</v>
      </c>
      <c r="G23" s="14" t="s">
        <v>943</v>
      </c>
      <c r="I23" s="98"/>
    </row>
    <row r="24" spans="1:9">
      <c r="A24" s="109">
        <v>10101105</v>
      </c>
      <c r="B24" s="95" t="s">
        <v>941</v>
      </c>
      <c r="C24" s="14" t="s">
        <v>919</v>
      </c>
      <c r="D24" s="96">
        <v>44361</v>
      </c>
      <c r="E24" t="s">
        <v>920</v>
      </c>
      <c r="F24" s="94">
        <v>48</v>
      </c>
      <c r="G24" s="14" t="s">
        <v>944</v>
      </c>
      <c r="I24" s="98" t="s">
        <v>945</v>
      </c>
    </row>
    <row r="25" spans="1:9">
      <c r="A25" s="109">
        <v>10101106</v>
      </c>
      <c r="B25" s="95" t="s">
        <v>941</v>
      </c>
      <c r="C25" s="14" t="s">
        <v>919</v>
      </c>
      <c r="D25" s="96">
        <v>44378</v>
      </c>
      <c r="E25" t="s">
        <v>920</v>
      </c>
      <c r="F25" s="94">
        <v>96</v>
      </c>
      <c r="G25" s="14" t="s">
        <v>946</v>
      </c>
      <c r="I25" s="98" t="s">
        <v>947</v>
      </c>
    </row>
    <row r="26" spans="1:9">
      <c r="A26" s="103">
        <v>10101107</v>
      </c>
      <c r="B26" s="95" t="s">
        <v>941</v>
      </c>
      <c r="C26" s="14" t="s">
        <v>919</v>
      </c>
      <c r="D26" s="96">
        <v>44389</v>
      </c>
      <c r="E26" t="s">
        <v>920</v>
      </c>
      <c r="F26" s="94">
        <v>96</v>
      </c>
      <c r="G26" s="14" t="s">
        <v>946</v>
      </c>
      <c r="I26" s="98" t="s">
        <v>948</v>
      </c>
    </row>
    <row r="27" spans="1:9">
      <c r="A27" s="103">
        <v>10101108</v>
      </c>
      <c r="B27" s="95" t="s">
        <v>941</v>
      </c>
      <c r="C27" s="14" t="s">
        <v>919</v>
      </c>
      <c r="D27" s="96">
        <v>44405</v>
      </c>
      <c r="E27" t="s">
        <v>920</v>
      </c>
      <c r="F27" s="94">
        <v>96</v>
      </c>
      <c r="G27" s="14" t="s">
        <v>946</v>
      </c>
      <c r="I27" s="98" t="s">
        <v>949</v>
      </c>
    </row>
    <row r="28" spans="1:9">
      <c r="A28" s="103">
        <v>10101109</v>
      </c>
      <c r="B28" s="95" t="s">
        <v>941</v>
      </c>
      <c r="C28" s="14" t="s">
        <v>919</v>
      </c>
      <c r="D28" s="96">
        <v>44432</v>
      </c>
      <c r="E28" t="s">
        <v>920</v>
      </c>
      <c r="F28" s="94">
        <v>96</v>
      </c>
      <c r="G28" s="14" t="s">
        <v>946</v>
      </c>
      <c r="I28" s="98" t="s">
        <v>950</v>
      </c>
    </row>
    <row r="29" spans="1:9">
      <c r="A29" s="103">
        <v>10101110</v>
      </c>
      <c r="B29" s="95" t="s">
        <v>941</v>
      </c>
      <c r="C29" s="14" t="s">
        <v>919</v>
      </c>
      <c r="D29" s="96">
        <v>44441</v>
      </c>
      <c r="E29" t="s">
        <v>920</v>
      </c>
      <c r="F29" s="94">
        <v>96</v>
      </c>
      <c r="G29" s="14" t="s">
        <v>946</v>
      </c>
      <c r="I29" s="98" t="s">
        <v>951</v>
      </c>
    </row>
    <row r="30" spans="1:9">
      <c r="A30" s="103">
        <v>10217399</v>
      </c>
      <c r="B30" s="95" t="s">
        <v>941</v>
      </c>
      <c r="C30" s="14" t="s">
        <v>919</v>
      </c>
      <c r="D30" s="96">
        <v>44530</v>
      </c>
      <c r="E30" t="s">
        <v>920</v>
      </c>
      <c r="F30" s="94">
        <v>20</v>
      </c>
      <c r="G30" s="14" t="s">
        <v>946</v>
      </c>
      <c r="I30" s="98"/>
    </row>
    <row r="31" spans="1:9">
      <c r="A31" s="105" t="s">
        <v>916</v>
      </c>
      <c r="B31" s="95" t="s">
        <v>45</v>
      </c>
      <c r="C31" s="14" t="s">
        <v>918</v>
      </c>
      <c r="D31" s="96">
        <v>44298</v>
      </c>
      <c r="F31" s="94">
        <v>700</v>
      </c>
      <c r="G31" s="14" t="s">
        <v>952</v>
      </c>
      <c r="I31" s="98" t="s">
        <v>953</v>
      </c>
    </row>
    <row r="32" spans="1:9">
      <c r="A32" s="103">
        <v>10100667</v>
      </c>
      <c r="B32" s="95" t="s">
        <v>45</v>
      </c>
      <c r="C32" s="14" t="s">
        <v>919</v>
      </c>
      <c r="D32" s="96">
        <v>44319</v>
      </c>
      <c r="E32" t="s">
        <v>920</v>
      </c>
      <c r="F32" s="94">
        <v>80</v>
      </c>
      <c r="G32" s="14" t="s">
        <v>952</v>
      </c>
      <c r="H32" s="94">
        <v>9</v>
      </c>
      <c r="I32" s="94" t="s">
        <v>954</v>
      </c>
    </row>
    <row r="33" spans="1:9">
      <c r="A33" s="105" t="s">
        <v>916</v>
      </c>
      <c r="B33" s="95" t="s">
        <v>955</v>
      </c>
      <c r="C33" s="14" t="s">
        <v>918</v>
      </c>
      <c r="D33" s="96">
        <v>44298</v>
      </c>
      <c r="F33" s="94">
        <v>27</v>
      </c>
      <c r="I33" s="94" t="s">
        <v>956</v>
      </c>
    </row>
    <row r="34" spans="1:9">
      <c r="A34" s="105" t="s">
        <v>916</v>
      </c>
      <c r="B34" s="95" t="s">
        <v>957</v>
      </c>
      <c r="C34" s="14" t="s">
        <v>918</v>
      </c>
      <c r="D34" s="96">
        <v>44298</v>
      </c>
      <c r="F34" s="94">
        <v>25</v>
      </c>
      <c r="I34" s="94" t="s">
        <v>956</v>
      </c>
    </row>
    <row r="35" spans="1:9">
      <c r="A35" s="103" t="s">
        <v>958</v>
      </c>
      <c r="B35" s="95" t="s">
        <v>957</v>
      </c>
      <c r="C35" s="14" t="s">
        <v>919</v>
      </c>
      <c r="D35" s="96">
        <v>44355</v>
      </c>
      <c r="E35" t="s">
        <v>920</v>
      </c>
      <c r="F35" s="94">
        <v>35</v>
      </c>
      <c r="H35" s="550">
        <v>1</v>
      </c>
      <c r="I35" s="94" t="s">
        <v>959</v>
      </c>
    </row>
    <row r="36" spans="1:9">
      <c r="A36" s="103">
        <v>10101450</v>
      </c>
      <c r="B36" s="95" t="s">
        <v>955</v>
      </c>
      <c r="C36" s="14" t="s">
        <v>919</v>
      </c>
      <c r="D36" s="96">
        <v>44353</v>
      </c>
      <c r="E36" t="s">
        <v>920</v>
      </c>
      <c r="F36" s="94">
        <v>28</v>
      </c>
      <c r="H36" s="550"/>
      <c r="I36" s="94" t="s">
        <v>960</v>
      </c>
    </row>
    <row r="37" spans="1:9">
      <c r="A37" s="105" t="s">
        <v>916</v>
      </c>
      <c r="B37" s="95" t="s">
        <v>955</v>
      </c>
      <c r="C37" s="14" t="s">
        <v>918</v>
      </c>
      <c r="D37" s="96">
        <v>44431</v>
      </c>
      <c r="F37" s="94">
        <v>117</v>
      </c>
      <c r="G37" s="14" t="s">
        <v>961</v>
      </c>
      <c r="I37" s="94" t="s">
        <v>962</v>
      </c>
    </row>
    <row r="38" spans="1:9">
      <c r="A38" s="105" t="s">
        <v>916</v>
      </c>
      <c r="B38" s="95" t="s">
        <v>957</v>
      </c>
      <c r="C38" s="14" t="s">
        <v>918</v>
      </c>
      <c r="D38" s="96">
        <v>44431</v>
      </c>
      <c r="F38" s="94">
        <v>154</v>
      </c>
      <c r="G38" s="14" t="s">
        <v>961</v>
      </c>
      <c r="I38" s="94" t="s">
        <v>962</v>
      </c>
    </row>
    <row r="39" spans="1:9">
      <c r="A39" s="106">
        <v>10227248</v>
      </c>
      <c r="B39" s="95" t="s">
        <v>957</v>
      </c>
      <c r="C39" s="14" t="s">
        <v>919</v>
      </c>
      <c r="D39" s="96">
        <v>44527</v>
      </c>
      <c r="E39" t="s">
        <v>963</v>
      </c>
      <c r="F39" s="94">
        <v>75</v>
      </c>
      <c r="G39" s="14" t="s">
        <v>946</v>
      </c>
      <c r="I39" s="94" t="s">
        <v>964</v>
      </c>
    </row>
    <row r="40" spans="1:9" ht="29">
      <c r="A40" s="106">
        <v>10236151</v>
      </c>
      <c r="B40" s="95" t="s">
        <v>955</v>
      </c>
      <c r="C40" s="14" t="s">
        <v>919</v>
      </c>
      <c r="D40" s="96">
        <v>44534</v>
      </c>
      <c r="E40" t="s">
        <v>963</v>
      </c>
      <c r="F40" s="94">
        <v>79</v>
      </c>
      <c r="G40" s="14" t="s">
        <v>946</v>
      </c>
      <c r="I40" s="94" t="s">
        <v>965</v>
      </c>
    </row>
    <row r="41" spans="1:9">
      <c r="A41" s="105" t="s">
        <v>916</v>
      </c>
      <c r="B41" s="95" t="s">
        <v>45</v>
      </c>
      <c r="C41" s="14" t="s">
        <v>918</v>
      </c>
      <c r="D41" s="99">
        <v>44431</v>
      </c>
      <c r="F41" s="94">
        <v>800</v>
      </c>
      <c r="G41" s="14" t="s">
        <v>961</v>
      </c>
      <c r="I41" s="94" t="s">
        <v>966</v>
      </c>
    </row>
    <row r="42" spans="1:9">
      <c r="A42" s="103">
        <v>10101545</v>
      </c>
      <c r="B42" s="95" t="s">
        <v>45</v>
      </c>
      <c r="C42" s="14" t="s">
        <v>919</v>
      </c>
      <c r="D42" s="96">
        <v>44354</v>
      </c>
      <c r="E42" t="s">
        <v>920</v>
      </c>
      <c r="F42" s="94">
        <v>100</v>
      </c>
      <c r="G42" s="14" t="s">
        <v>952</v>
      </c>
      <c r="I42" s="98" t="s">
        <v>967</v>
      </c>
    </row>
    <row r="43" spans="1:9">
      <c r="A43" s="105" t="s">
        <v>916</v>
      </c>
      <c r="B43" s="95" t="s">
        <v>968</v>
      </c>
      <c r="C43" s="14" t="s">
        <v>919</v>
      </c>
      <c r="D43" s="96">
        <v>44461</v>
      </c>
      <c r="E43" t="s">
        <v>920</v>
      </c>
      <c r="F43" s="94">
        <v>18</v>
      </c>
      <c r="G43" s="14" t="s">
        <v>969</v>
      </c>
      <c r="I43" s="98" t="s">
        <v>571</v>
      </c>
    </row>
    <row r="44" spans="1:9">
      <c r="A44" s="105" t="s">
        <v>916</v>
      </c>
      <c r="B44" s="95" t="s">
        <v>917</v>
      </c>
      <c r="C44" s="14" t="s">
        <v>918</v>
      </c>
      <c r="D44" s="96">
        <v>44510</v>
      </c>
      <c r="F44" s="94">
        <v>150</v>
      </c>
      <c r="I44" s="97">
        <v>44510</v>
      </c>
    </row>
    <row r="45" spans="1:9">
      <c r="A45" s="110">
        <v>10226726</v>
      </c>
      <c r="B45" s="95" t="s">
        <v>917</v>
      </c>
      <c r="C45" s="14" t="s">
        <v>919</v>
      </c>
      <c r="D45" s="96">
        <v>44538</v>
      </c>
      <c r="E45" t="s">
        <v>963</v>
      </c>
      <c r="F45" s="94">
        <v>50</v>
      </c>
      <c r="G45" s="14" t="s">
        <v>952</v>
      </c>
      <c r="I45" s="97">
        <v>44538</v>
      </c>
    </row>
    <row r="46" spans="1:9">
      <c r="A46" s="110">
        <v>10226731</v>
      </c>
      <c r="B46" s="95" t="s">
        <v>917</v>
      </c>
      <c r="C46" s="14" t="s">
        <v>919</v>
      </c>
      <c r="D46" s="96">
        <v>44539</v>
      </c>
      <c r="E46" t="s">
        <v>963</v>
      </c>
      <c r="F46" s="94">
        <v>50</v>
      </c>
      <c r="G46" s="14" t="s">
        <v>952</v>
      </c>
      <c r="I46" s="97">
        <v>44539</v>
      </c>
    </row>
    <row r="47" spans="1:9">
      <c r="A47" s="110">
        <v>10226746</v>
      </c>
      <c r="B47" s="95" t="s">
        <v>917</v>
      </c>
      <c r="C47" s="14" t="s">
        <v>919</v>
      </c>
      <c r="D47" s="96">
        <v>44543</v>
      </c>
      <c r="E47" t="s">
        <v>963</v>
      </c>
      <c r="F47" s="94">
        <v>50</v>
      </c>
      <c r="G47" s="14" t="s">
        <v>952</v>
      </c>
      <c r="I47" s="97">
        <v>44543</v>
      </c>
    </row>
    <row r="48" spans="1:9">
      <c r="A48" s="105" t="s">
        <v>916</v>
      </c>
      <c r="B48" s="95" t="s">
        <v>922</v>
      </c>
      <c r="C48" s="14" t="s">
        <v>918</v>
      </c>
      <c r="D48" s="96">
        <v>44501</v>
      </c>
      <c r="F48" s="94">
        <v>50</v>
      </c>
      <c r="I48" s="98" t="s">
        <v>970</v>
      </c>
    </row>
    <row r="49" spans="1:9">
      <c r="A49" s="110">
        <v>10227927</v>
      </c>
      <c r="B49" s="95" t="s">
        <v>922</v>
      </c>
      <c r="C49" s="14" t="s">
        <v>919</v>
      </c>
      <c r="D49" s="96">
        <v>44536</v>
      </c>
      <c r="E49" t="s">
        <v>963</v>
      </c>
      <c r="F49" s="94">
        <v>50</v>
      </c>
      <c r="G49" s="14" t="s">
        <v>971</v>
      </c>
      <c r="I49" s="97">
        <v>44536</v>
      </c>
    </row>
    <row r="50" spans="1:9">
      <c r="A50" s="106">
        <v>10220331</v>
      </c>
      <c r="B50" s="95" t="s">
        <v>925</v>
      </c>
      <c r="C50" s="14" t="s">
        <v>918</v>
      </c>
      <c r="D50" s="96">
        <v>44510</v>
      </c>
      <c r="E50" t="s">
        <v>972</v>
      </c>
      <c r="F50" s="94">
        <v>100</v>
      </c>
      <c r="G50" s="14" t="s">
        <v>927</v>
      </c>
      <c r="H50" s="94">
        <v>100</v>
      </c>
      <c r="I50" s="101">
        <v>44510</v>
      </c>
    </row>
    <row r="51" spans="1:9">
      <c r="A51" s="106">
        <v>10226091</v>
      </c>
      <c r="B51" s="95" t="s">
        <v>928</v>
      </c>
      <c r="C51" s="14" t="s">
        <v>919</v>
      </c>
      <c r="D51" s="96">
        <v>44533</v>
      </c>
      <c r="E51" t="s">
        <v>963</v>
      </c>
      <c r="F51" s="94">
        <v>53</v>
      </c>
      <c r="G51" s="14" t="s">
        <v>927</v>
      </c>
      <c r="H51" s="94">
        <v>53</v>
      </c>
      <c r="I51" s="102">
        <v>44533</v>
      </c>
    </row>
    <row r="52" spans="1:9">
      <c r="A52" s="106">
        <v>10229366</v>
      </c>
      <c r="B52" s="95" t="s">
        <v>928</v>
      </c>
      <c r="C52" s="14" t="s">
        <v>919</v>
      </c>
      <c r="D52" s="96">
        <v>44539</v>
      </c>
      <c r="E52" t="s">
        <v>963</v>
      </c>
      <c r="F52" s="94">
        <v>10</v>
      </c>
      <c r="G52" s="14" t="s">
        <v>927</v>
      </c>
      <c r="H52" s="94">
        <v>10</v>
      </c>
      <c r="I52" s="102">
        <v>44539</v>
      </c>
    </row>
    <row r="53" spans="1:9">
      <c r="A53" s="106">
        <v>10226091</v>
      </c>
      <c r="B53" s="95" t="s">
        <v>929</v>
      </c>
      <c r="C53" s="14" t="s">
        <v>919</v>
      </c>
      <c r="D53" s="96">
        <v>44533</v>
      </c>
      <c r="E53" t="s">
        <v>963</v>
      </c>
      <c r="F53" s="94">
        <v>8</v>
      </c>
      <c r="G53" s="14" t="s">
        <v>927</v>
      </c>
      <c r="H53" s="94">
        <v>8</v>
      </c>
      <c r="I53" s="102">
        <v>44533</v>
      </c>
    </row>
    <row r="54" spans="1:9">
      <c r="A54" s="106">
        <v>10229366</v>
      </c>
      <c r="B54" s="95" t="s">
        <v>929</v>
      </c>
      <c r="C54" s="14" t="s">
        <v>919</v>
      </c>
      <c r="D54" s="96">
        <v>44539</v>
      </c>
      <c r="E54" t="s">
        <v>963</v>
      </c>
      <c r="F54" s="94">
        <v>3</v>
      </c>
      <c r="G54" s="14" t="s">
        <v>927</v>
      </c>
      <c r="H54" s="94">
        <v>3</v>
      </c>
      <c r="I54" s="102">
        <v>44539</v>
      </c>
    </row>
    <row r="55" spans="1:9">
      <c r="A55" s="106">
        <v>10226091</v>
      </c>
      <c r="B55" s="95" t="s">
        <v>930</v>
      </c>
      <c r="C55" s="14" t="s">
        <v>919</v>
      </c>
      <c r="D55" s="96">
        <v>44533</v>
      </c>
      <c r="E55" t="s">
        <v>963</v>
      </c>
      <c r="F55" s="94">
        <v>6</v>
      </c>
      <c r="G55" s="14" t="s">
        <v>927</v>
      </c>
      <c r="H55" s="94">
        <v>6</v>
      </c>
      <c r="I55" s="102">
        <v>44533</v>
      </c>
    </row>
    <row r="56" spans="1:9">
      <c r="A56" s="106">
        <v>10229366</v>
      </c>
      <c r="B56" s="95" t="s">
        <v>973</v>
      </c>
      <c r="C56" s="14" t="s">
        <v>919</v>
      </c>
      <c r="D56" s="96">
        <v>44538</v>
      </c>
      <c r="E56" t="s">
        <v>963</v>
      </c>
      <c r="F56" s="94">
        <v>40</v>
      </c>
      <c r="G56" s="14" t="s">
        <v>974</v>
      </c>
      <c r="I56" s="98">
        <v>44538</v>
      </c>
    </row>
    <row r="57" spans="1:9">
      <c r="A57" s="106">
        <v>10226095</v>
      </c>
      <c r="B57" s="95" t="s">
        <v>928</v>
      </c>
      <c r="C57" s="14" t="s">
        <v>919</v>
      </c>
      <c r="D57" s="96">
        <v>44540</v>
      </c>
      <c r="E57" t="s">
        <v>963</v>
      </c>
      <c r="F57" s="94">
        <v>32</v>
      </c>
      <c r="G57" s="14" t="s">
        <v>927</v>
      </c>
      <c r="H57" s="94">
        <v>32</v>
      </c>
      <c r="I57" s="102">
        <v>44540</v>
      </c>
    </row>
    <row r="58" spans="1:9">
      <c r="A58" s="106">
        <v>10226095</v>
      </c>
      <c r="B58" s="95" t="s">
        <v>929</v>
      </c>
      <c r="C58" s="14" t="s">
        <v>919</v>
      </c>
      <c r="D58" s="96">
        <v>44540</v>
      </c>
      <c r="E58" t="s">
        <v>963</v>
      </c>
      <c r="F58" s="94">
        <v>24</v>
      </c>
      <c r="G58" s="14" t="s">
        <v>927</v>
      </c>
      <c r="H58" s="94">
        <v>24</v>
      </c>
      <c r="I58" s="102">
        <v>44540</v>
      </c>
    </row>
    <row r="59" spans="1:9">
      <c r="A59" s="106">
        <v>10226095</v>
      </c>
      <c r="B59" s="95" t="s">
        <v>930</v>
      </c>
      <c r="C59" s="14" t="s">
        <v>919</v>
      </c>
      <c r="D59" s="96">
        <v>44540</v>
      </c>
      <c r="E59" t="s">
        <v>963</v>
      </c>
      <c r="F59" s="94">
        <v>7</v>
      </c>
      <c r="G59" s="14" t="s">
        <v>927</v>
      </c>
      <c r="H59" s="94">
        <v>7</v>
      </c>
      <c r="I59" s="102">
        <v>44540</v>
      </c>
    </row>
    <row r="60" spans="1:9">
      <c r="A60" s="103">
        <v>10225267</v>
      </c>
      <c r="B60" s="95" t="s">
        <v>895</v>
      </c>
      <c r="C60" s="14" t="s">
        <v>918</v>
      </c>
      <c r="D60" s="96">
        <v>44508</v>
      </c>
      <c r="E60" t="s">
        <v>926</v>
      </c>
      <c r="F60" s="94">
        <v>40</v>
      </c>
      <c r="G60" s="14" t="s">
        <v>539</v>
      </c>
      <c r="I60" s="94" t="s">
        <v>975</v>
      </c>
    </row>
    <row r="61" spans="1:9">
      <c r="A61" s="103">
        <v>10225112</v>
      </c>
      <c r="B61" s="95" t="s">
        <v>895</v>
      </c>
      <c r="C61" s="14" t="s">
        <v>919</v>
      </c>
      <c r="D61" s="96">
        <v>44517</v>
      </c>
      <c r="E61" t="s">
        <v>963</v>
      </c>
      <c r="F61" s="94">
        <v>40</v>
      </c>
      <c r="G61" s="14" t="s">
        <v>952</v>
      </c>
      <c r="H61" s="94">
        <v>26</v>
      </c>
      <c r="I61" s="94" t="s">
        <v>975</v>
      </c>
    </row>
    <row r="62" spans="1:9">
      <c r="A62" s="109">
        <v>10238518</v>
      </c>
      <c r="B62" s="95" t="s">
        <v>45</v>
      </c>
      <c r="C62" s="14" t="s">
        <v>919</v>
      </c>
      <c r="D62" s="96">
        <v>44581</v>
      </c>
      <c r="E62" t="s">
        <v>963</v>
      </c>
      <c r="F62" s="94">
        <v>200</v>
      </c>
      <c r="G62" s="14" t="s">
        <v>539</v>
      </c>
      <c r="I62" s="98" t="s">
        <v>578</v>
      </c>
    </row>
    <row r="63" spans="1:9">
      <c r="A63" s="104">
        <v>10228269</v>
      </c>
      <c r="B63" s="95" t="s">
        <v>968</v>
      </c>
      <c r="C63" s="14" t="s">
        <v>919</v>
      </c>
      <c r="D63" s="96">
        <v>44539</v>
      </c>
      <c r="E63" t="s">
        <v>963</v>
      </c>
      <c r="F63" s="94">
        <v>21</v>
      </c>
      <c r="G63" s="14" t="s">
        <v>976</v>
      </c>
    </row>
    <row r="64" spans="1:9">
      <c r="A64" s="103" t="s">
        <v>916</v>
      </c>
    </row>
    <row r="65" spans="1:9">
      <c r="A65" s="106">
        <v>10254880</v>
      </c>
      <c r="B65" s="95" t="s">
        <v>925</v>
      </c>
      <c r="C65" s="14" t="s">
        <v>918</v>
      </c>
      <c r="D65" s="96">
        <v>44678</v>
      </c>
      <c r="E65" t="s">
        <v>926</v>
      </c>
      <c r="F65" s="94">
        <v>33</v>
      </c>
      <c r="G65" s="14" t="s">
        <v>927</v>
      </c>
      <c r="H65" s="94">
        <v>33</v>
      </c>
      <c r="I65" s="101">
        <v>44678</v>
      </c>
    </row>
    <row r="66" spans="1:9" s="316" customFormat="1" ht="13">
      <c r="A66" s="315">
        <v>10236260</v>
      </c>
      <c r="B66" s="316" t="s">
        <v>929</v>
      </c>
      <c r="C66" s="316" t="s">
        <v>919</v>
      </c>
      <c r="D66" s="317">
        <v>44644</v>
      </c>
      <c r="E66" s="318" t="s">
        <v>963</v>
      </c>
      <c r="F66" s="319">
        <v>1</v>
      </c>
      <c r="G66" s="316" t="s">
        <v>927</v>
      </c>
      <c r="H66" s="319">
        <v>1</v>
      </c>
      <c r="I66" s="320">
        <v>44644</v>
      </c>
    </row>
    <row r="67" spans="1:9" s="316" customFormat="1" ht="13">
      <c r="A67" s="315">
        <v>10236260</v>
      </c>
      <c r="B67" s="316" t="s">
        <v>930</v>
      </c>
      <c r="C67" s="316" t="s">
        <v>919</v>
      </c>
      <c r="D67" s="317">
        <v>44644</v>
      </c>
      <c r="E67" s="318" t="s">
        <v>963</v>
      </c>
      <c r="F67" s="319">
        <v>16</v>
      </c>
      <c r="G67" s="316" t="s">
        <v>927</v>
      </c>
      <c r="H67" s="319">
        <v>16</v>
      </c>
      <c r="I67" s="320">
        <v>44644</v>
      </c>
    </row>
    <row r="68" spans="1:9" s="316" customFormat="1" ht="13">
      <c r="A68" s="315">
        <v>10236260</v>
      </c>
      <c r="B68" s="316" t="s">
        <v>928</v>
      </c>
      <c r="C68" s="316" t="s">
        <v>919</v>
      </c>
      <c r="D68" s="317">
        <v>44644</v>
      </c>
      <c r="E68" s="318" t="s">
        <v>963</v>
      </c>
      <c r="F68" s="319">
        <v>17</v>
      </c>
      <c r="G68" s="316" t="s">
        <v>927</v>
      </c>
      <c r="H68" s="319">
        <v>17</v>
      </c>
      <c r="I68" s="320">
        <v>44644</v>
      </c>
    </row>
    <row r="69" spans="1:9" s="316" customFormat="1" ht="13">
      <c r="A69" s="315">
        <v>10236119</v>
      </c>
      <c r="B69" s="316" t="s">
        <v>929</v>
      </c>
      <c r="C69" s="316" t="s">
        <v>919</v>
      </c>
      <c r="D69" s="317">
        <v>44645</v>
      </c>
      <c r="E69" s="318" t="s">
        <v>963</v>
      </c>
      <c r="F69" s="319">
        <v>5</v>
      </c>
      <c r="G69" s="316" t="s">
        <v>927</v>
      </c>
      <c r="H69" s="319">
        <v>5</v>
      </c>
      <c r="I69" s="321">
        <v>44645</v>
      </c>
    </row>
    <row r="70" spans="1:9" s="316" customFormat="1" ht="13">
      <c r="A70" s="315">
        <v>10236119</v>
      </c>
      <c r="B70" s="316" t="s">
        <v>930</v>
      </c>
      <c r="C70" s="316" t="s">
        <v>919</v>
      </c>
      <c r="D70" s="317">
        <v>44645</v>
      </c>
      <c r="E70" s="318" t="s">
        <v>963</v>
      </c>
      <c r="F70" s="319">
        <v>13</v>
      </c>
      <c r="G70" s="316" t="s">
        <v>927</v>
      </c>
      <c r="H70" s="319">
        <v>13</v>
      </c>
      <c r="I70" s="321">
        <v>44645</v>
      </c>
    </row>
    <row r="71" spans="1:9" s="316" customFormat="1" ht="13">
      <c r="A71" s="315">
        <v>10236119</v>
      </c>
      <c r="B71" s="316" t="s">
        <v>928</v>
      </c>
      <c r="C71" s="316" t="s">
        <v>919</v>
      </c>
      <c r="D71" s="317">
        <v>44645</v>
      </c>
      <c r="E71" s="318" t="s">
        <v>963</v>
      </c>
      <c r="F71" s="319">
        <v>20</v>
      </c>
      <c r="G71" s="316" t="s">
        <v>927</v>
      </c>
      <c r="H71" s="319">
        <v>20</v>
      </c>
      <c r="I71" s="321">
        <v>44645</v>
      </c>
    </row>
    <row r="72" spans="1:9" s="316" customFormat="1" ht="13">
      <c r="A72" s="315" t="s">
        <v>977</v>
      </c>
      <c r="B72" s="316" t="s">
        <v>925</v>
      </c>
      <c r="C72" s="316" t="s">
        <v>919</v>
      </c>
      <c r="D72" s="317">
        <v>44673</v>
      </c>
      <c r="E72" s="318" t="s">
        <v>963</v>
      </c>
      <c r="F72" s="319">
        <v>0</v>
      </c>
      <c r="H72" s="319"/>
      <c r="I72" s="319"/>
    </row>
    <row r="73" spans="1:9" s="316" customFormat="1" ht="13">
      <c r="A73" s="315">
        <v>10254897</v>
      </c>
      <c r="B73" s="316" t="s">
        <v>929</v>
      </c>
      <c r="C73" s="316" t="s">
        <v>919</v>
      </c>
      <c r="D73" s="317">
        <v>44706</v>
      </c>
      <c r="E73" s="318" t="s">
        <v>963</v>
      </c>
      <c r="F73" s="319">
        <v>16</v>
      </c>
      <c r="G73" s="316" t="s">
        <v>927</v>
      </c>
      <c r="H73" s="319">
        <v>16</v>
      </c>
      <c r="I73" s="321">
        <v>44706</v>
      </c>
    </row>
    <row r="74" spans="1:9" s="316" customFormat="1" ht="13">
      <c r="A74" s="315">
        <v>10254897</v>
      </c>
      <c r="B74" s="316" t="s">
        <v>930</v>
      </c>
      <c r="C74" s="316" t="s">
        <v>919</v>
      </c>
      <c r="D74" s="317">
        <v>44706</v>
      </c>
      <c r="E74" s="318" t="s">
        <v>963</v>
      </c>
      <c r="F74" s="319">
        <v>15</v>
      </c>
      <c r="G74" s="316" t="s">
        <v>927</v>
      </c>
      <c r="H74" s="319">
        <v>15</v>
      </c>
      <c r="I74" s="321">
        <v>44706</v>
      </c>
    </row>
    <row r="75" spans="1:9" s="316" customFormat="1" ht="13">
      <c r="A75" s="315">
        <v>10254897</v>
      </c>
      <c r="B75" s="316" t="s">
        <v>928</v>
      </c>
      <c r="C75" s="316" t="s">
        <v>919</v>
      </c>
      <c r="D75" s="317">
        <v>44706</v>
      </c>
      <c r="E75" s="318" t="s">
        <v>963</v>
      </c>
      <c r="F75" s="319">
        <v>10</v>
      </c>
      <c r="G75" s="316" t="s">
        <v>927</v>
      </c>
      <c r="H75" s="319">
        <v>10</v>
      </c>
      <c r="I75" s="321">
        <v>44706</v>
      </c>
    </row>
    <row r="76" spans="1:9" s="316" customFormat="1" ht="13">
      <c r="A76" s="315">
        <v>10254339</v>
      </c>
      <c r="B76" s="316" t="s">
        <v>929</v>
      </c>
      <c r="C76" s="316" t="s">
        <v>919</v>
      </c>
      <c r="D76" s="317">
        <v>44715</v>
      </c>
      <c r="E76" s="318" t="s">
        <v>963</v>
      </c>
      <c r="F76" s="319">
        <v>5</v>
      </c>
      <c r="G76" s="316" t="s">
        <v>927</v>
      </c>
      <c r="H76" s="319">
        <v>5</v>
      </c>
      <c r="I76" s="321">
        <v>44715</v>
      </c>
    </row>
    <row r="77" spans="1:9" s="316" customFormat="1" ht="13">
      <c r="A77" s="315">
        <v>10254339</v>
      </c>
      <c r="B77" s="316" t="s">
        <v>930</v>
      </c>
      <c r="C77" s="316" t="s">
        <v>919</v>
      </c>
      <c r="D77" s="317">
        <v>44715</v>
      </c>
      <c r="E77" s="318" t="s">
        <v>963</v>
      </c>
      <c r="F77" s="319">
        <v>6</v>
      </c>
      <c r="G77" s="316" t="s">
        <v>927</v>
      </c>
      <c r="H77" s="319">
        <v>6</v>
      </c>
      <c r="I77" s="321">
        <v>44715</v>
      </c>
    </row>
    <row r="78" spans="1:9" s="316" customFormat="1" ht="13">
      <c r="A78" s="315">
        <v>10254339</v>
      </c>
      <c r="B78" s="316" t="s">
        <v>928</v>
      </c>
      <c r="C78" s="316" t="s">
        <v>919</v>
      </c>
      <c r="D78" s="317">
        <v>44715</v>
      </c>
      <c r="E78" s="318" t="s">
        <v>963</v>
      </c>
      <c r="F78" s="319">
        <v>5</v>
      </c>
      <c r="G78" s="316" t="s">
        <v>927</v>
      </c>
      <c r="H78" s="319">
        <v>5</v>
      </c>
      <c r="I78" s="321">
        <v>44715</v>
      </c>
    </row>
    <row r="79" spans="1:9" s="316" customFormat="1" ht="13">
      <c r="A79" s="315" t="s">
        <v>977</v>
      </c>
      <c r="B79" s="316" t="s">
        <v>925</v>
      </c>
      <c r="C79" s="316" t="s">
        <v>919</v>
      </c>
      <c r="D79" s="317">
        <v>44722</v>
      </c>
      <c r="E79" s="318" t="s">
        <v>963</v>
      </c>
      <c r="F79" s="319">
        <v>0</v>
      </c>
      <c r="G79" s="316" t="s">
        <v>927</v>
      </c>
      <c r="H79" s="319"/>
      <c r="I79" s="319"/>
    </row>
    <row r="80" spans="1:9" s="316" customFormat="1" ht="13">
      <c r="A80" s="315">
        <v>10275875</v>
      </c>
      <c r="B80" s="316" t="s">
        <v>929</v>
      </c>
      <c r="C80" s="316" t="s">
        <v>919</v>
      </c>
      <c r="D80" s="317">
        <v>44757</v>
      </c>
      <c r="E80" s="318" t="s">
        <v>963</v>
      </c>
      <c r="F80" s="319">
        <v>15</v>
      </c>
      <c r="G80" s="316" t="s">
        <v>927</v>
      </c>
      <c r="H80" s="319">
        <v>15</v>
      </c>
      <c r="I80" s="321">
        <v>44757</v>
      </c>
    </row>
    <row r="81" spans="1:9" s="316" customFormat="1" ht="13">
      <c r="A81" s="315">
        <v>10275875</v>
      </c>
      <c r="B81" s="316" t="s">
        <v>930</v>
      </c>
      <c r="C81" s="316" t="s">
        <v>919</v>
      </c>
      <c r="D81" s="317">
        <v>44757</v>
      </c>
      <c r="E81" s="318" t="s">
        <v>963</v>
      </c>
      <c r="F81" s="319">
        <v>27</v>
      </c>
      <c r="G81" s="316" t="s">
        <v>927</v>
      </c>
      <c r="H81" s="319">
        <v>27</v>
      </c>
      <c r="I81" s="321">
        <v>44757</v>
      </c>
    </row>
    <row r="82" spans="1:9" s="316" customFormat="1" ht="13">
      <c r="A82" s="315">
        <v>10275875</v>
      </c>
      <c r="B82" s="316" t="s">
        <v>928</v>
      </c>
      <c r="C82" s="316" t="s">
        <v>919</v>
      </c>
      <c r="D82" s="317">
        <v>44757</v>
      </c>
      <c r="E82" s="318" t="s">
        <v>963</v>
      </c>
      <c r="F82" s="319">
        <v>29</v>
      </c>
      <c r="G82" s="316" t="s">
        <v>927</v>
      </c>
      <c r="H82" s="319">
        <v>29</v>
      </c>
      <c r="I82" s="321">
        <v>44757</v>
      </c>
    </row>
    <row r="83" spans="1:9" s="316" customFormat="1" ht="13">
      <c r="A83" s="315">
        <v>10282506</v>
      </c>
      <c r="B83" s="316" t="s">
        <v>929</v>
      </c>
      <c r="C83" s="316" t="s">
        <v>919</v>
      </c>
      <c r="D83" s="317">
        <v>44771</v>
      </c>
      <c r="E83" s="318" t="s">
        <v>963</v>
      </c>
      <c r="F83" s="319">
        <v>3</v>
      </c>
      <c r="G83" s="316" t="s">
        <v>927</v>
      </c>
      <c r="H83" s="319">
        <v>3</v>
      </c>
      <c r="I83" s="321">
        <v>44771</v>
      </c>
    </row>
    <row r="84" spans="1:9" s="316" customFormat="1" ht="13">
      <c r="A84" s="315">
        <v>10282506</v>
      </c>
      <c r="B84" s="316" t="s">
        <v>930</v>
      </c>
      <c r="C84" s="316" t="s">
        <v>919</v>
      </c>
      <c r="D84" s="317">
        <v>44771</v>
      </c>
      <c r="E84" s="318" t="s">
        <v>963</v>
      </c>
      <c r="F84" s="319">
        <v>20</v>
      </c>
      <c r="G84" s="316" t="s">
        <v>927</v>
      </c>
      <c r="H84" s="319">
        <v>20</v>
      </c>
      <c r="I84" s="321">
        <v>44771</v>
      </c>
    </row>
    <row r="85" spans="1:9" s="316" customFormat="1" ht="13">
      <c r="A85" s="315">
        <v>10282506</v>
      </c>
      <c r="B85" s="316" t="s">
        <v>928</v>
      </c>
      <c r="C85" s="316" t="s">
        <v>919</v>
      </c>
      <c r="D85" s="317">
        <v>44771</v>
      </c>
      <c r="E85" s="318" t="s">
        <v>963</v>
      </c>
      <c r="F85" s="319">
        <v>17</v>
      </c>
      <c r="G85" s="316" t="s">
        <v>927</v>
      </c>
      <c r="H85" s="319">
        <v>17</v>
      </c>
      <c r="I85" s="321">
        <v>44771</v>
      </c>
    </row>
    <row r="86" spans="1:9" s="316" customFormat="1" ht="13">
      <c r="A86" s="315" t="s">
        <v>977</v>
      </c>
      <c r="B86" s="316" t="s">
        <v>925</v>
      </c>
      <c r="C86" s="316" t="s">
        <v>919</v>
      </c>
      <c r="D86" s="317">
        <v>44799</v>
      </c>
      <c r="E86" s="318" t="s">
        <v>963</v>
      </c>
      <c r="F86" s="319">
        <v>0</v>
      </c>
      <c r="G86" s="316" t="s">
        <v>927</v>
      </c>
      <c r="H86" s="319" t="s">
        <v>978</v>
      </c>
      <c r="I86" s="320" t="s">
        <v>979</v>
      </c>
    </row>
    <row r="87" spans="1:9" s="316" customFormat="1" ht="13">
      <c r="A87" s="315">
        <v>10292540</v>
      </c>
      <c r="B87" s="316" t="s">
        <v>929</v>
      </c>
      <c r="C87" s="316" t="s">
        <v>919</v>
      </c>
      <c r="D87" s="317">
        <v>44820</v>
      </c>
      <c r="E87" s="318" t="s">
        <v>963</v>
      </c>
      <c r="F87" s="319">
        <v>0</v>
      </c>
      <c r="G87" s="316" t="s">
        <v>927</v>
      </c>
      <c r="H87" s="319">
        <v>0</v>
      </c>
      <c r="I87" s="321">
        <v>44820</v>
      </c>
    </row>
    <row r="88" spans="1:9" s="316" customFormat="1" ht="13">
      <c r="A88" s="315">
        <v>10292540</v>
      </c>
      <c r="B88" s="316" t="s">
        <v>930</v>
      </c>
      <c r="C88" s="316" t="s">
        <v>919</v>
      </c>
      <c r="D88" s="317">
        <v>44820</v>
      </c>
      <c r="E88" s="318" t="s">
        <v>963</v>
      </c>
      <c r="F88" s="319">
        <v>9</v>
      </c>
      <c r="G88" s="316" t="s">
        <v>927</v>
      </c>
      <c r="H88" s="319">
        <v>9</v>
      </c>
      <c r="I88" s="321">
        <v>44820</v>
      </c>
    </row>
    <row r="89" spans="1:9" s="316" customFormat="1" ht="13">
      <c r="A89" s="315">
        <v>10292540</v>
      </c>
      <c r="B89" s="316" t="s">
        <v>928</v>
      </c>
      <c r="C89" s="316" t="s">
        <v>919</v>
      </c>
      <c r="D89" s="317">
        <v>44820</v>
      </c>
      <c r="E89" s="318" t="s">
        <v>963</v>
      </c>
      <c r="F89" s="319">
        <v>35</v>
      </c>
      <c r="G89" s="316" t="s">
        <v>927</v>
      </c>
      <c r="H89" s="319">
        <v>35</v>
      </c>
      <c r="I89" s="321">
        <v>44820</v>
      </c>
    </row>
    <row r="90" spans="1:9" s="316" customFormat="1" ht="13">
      <c r="A90" s="315">
        <v>10292560</v>
      </c>
      <c r="B90" s="316" t="s">
        <v>929</v>
      </c>
      <c r="C90" s="316" t="s">
        <v>919</v>
      </c>
      <c r="D90" s="317">
        <v>44834</v>
      </c>
      <c r="E90" s="318" t="s">
        <v>963</v>
      </c>
      <c r="F90" s="319">
        <v>0</v>
      </c>
      <c r="G90" s="316" t="s">
        <v>927</v>
      </c>
      <c r="H90" s="319">
        <v>0</v>
      </c>
      <c r="I90" s="321">
        <v>44834</v>
      </c>
    </row>
    <row r="91" spans="1:9" s="316" customFormat="1" ht="13">
      <c r="A91" s="315">
        <v>10292560</v>
      </c>
      <c r="B91" s="316" t="s">
        <v>930</v>
      </c>
      <c r="C91" s="316" t="s">
        <v>919</v>
      </c>
      <c r="D91" s="317">
        <v>44834</v>
      </c>
      <c r="E91" s="318" t="s">
        <v>963</v>
      </c>
      <c r="F91" s="319">
        <v>4</v>
      </c>
      <c r="G91" s="316" t="s">
        <v>927</v>
      </c>
      <c r="H91" s="319">
        <v>4</v>
      </c>
      <c r="I91" s="321">
        <v>44834</v>
      </c>
    </row>
    <row r="92" spans="1:9" s="316" customFormat="1" ht="13">
      <c r="A92" s="315">
        <v>10292560</v>
      </c>
      <c r="B92" s="316" t="s">
        <v>928</v>
      </c>
      <c r="C92" s="316" t="s">
        <v>919</v>
      </c>
      <c r="D92" s="317">
        <v>44834</v>
      </c>
      <c r="E92" s="318" t="s">
        <v>963</v>
      </c>
      <c r="F92" s="319">
        <v>20</v>
      </c>
      <c r="G92" s="316" t="s">
        <v>927</v>
      </c>
      <c r="H92" s="319">
        <v>20</v>
      </c>
      <c r="I92" s="321">
        <v>44834</v>
      </c>
    </row>
    <row r="93" spans="1:9" s="316" customFormat="1" ht="13">
      <c r="A93" s="315">
        <v>10306810</v>
      </c>
      <c r="B93" s="316" t="s">
        <v>929</v>
      </c>
      <c r="C93" s="316" t="s">
        <v>919</v>
      </c>
      <c r="D93" s="317">
        <v>44896</v>
      </c>
      <c r="E93" s="318" t="s">
        <v>963</v>
      </c>
      <c r="F93" s="319">
        <v>10</v>
      </c>
      <c r="G93" s="316" t="s">
        <v>927</v>
      </c>
      <c r="H93" s="319"/>
      <c r="I93" s="321">
        <v>44896</v>
      </c>
    </row>
    <row r="94" spans="1:9" s="316" customFormat="1" ht="13">
      <c r="A94" s="315">
        <v>10306810</v>
      </c>
      <c r="B94" s="316" t="s">
        <v>930</v>
      </c>
      <c r="C94" s="316" t="s">
        <v>919</v>
      </c>
      <c r="D94" s="317">
        <v>44896</v>
      </c>
      <c r="E94" s="318" t="s">
        <v>963</v>
      </c>
      <c r="F94" s="319">
        <v>10</v>
      </c>
      <c r="G94" s="316" t="s">
        <v>927</v>
      </c>
      <c r="H94" s="319"/>
      <c r="I94" s="321">
        <v>44896</v>
      </c>
    </row>
    <row r="95" spans="1:9" s="316" customFormat="1" ht="13">
      <c r="A95" s="315">
        <v>10306810</v>
      </c>
      <c r="B95" s="316" t="s">
        <v>928</v>
      </c>
      <c r="C95" s="316" t="s">
        <v>919</v>
      </c>
      <c r="D95" s="317">
        <v>44896</v>
      </c>
      <c r="E95" s="318" t="s">
        <v>963</v>
      </c>
      <c r="F95" s="319">
        <v>10</v>
      </c>
      <c r="G95" s="316" t="s">
        <v>927</v>
      </c>
      <c r="H95" s="319"/>
      <c r="I95" s="321">
        <v>44896</v>
      </c>
    </row>
    <row r="96" spans="1:9" s="316" customFormat="1" ht="13">
      <c r="A96" s="315">
        <v>10306805</v>
      </c>
      <c r="B96" s="316" t="s">
        <v>929</v>
      </c>
      <c r="C96" s="316" t="s">
        <v>919</v>
      </c>
      <c r="D96" s="317">
        <v>44897</v>
      </c>
      <c r="E96" s="318" t="s">
        <v>963</v>
      </c>
      <c r="F96" s="319">
        <v>10</v>
      </c>
      <c r="G96" s="316" t="s">
        <v>927</v>
      </c>
      <c r="H96" s="319"/>
      <c r="I96" s="321">
        <v>44897</v>
      </c>
    </row>
    <row r="97" spans="1:9" s="316" customFormat="1" ht="13">
      <c r="A97" s="315">
        <v>10306805</v>
      </c>
      <c r="B97" s="316" t="s">
        <v>930</v>
      </c>
      <c r="C97" s="316" t="s">
        <v>919</v>
      </c>
      <c r="D97" s="317">
        <v>44897</v>
      </c>
      <c r="E97" s="318" t="s">
        <v>963</v>
      </c>
      <c r="F97" s="319">
        <v>10</v>
      </c>
      <c r="G97" s="316" t="s">
        <v>927</v>
      </c>
      <c r="H97" s="319"/>
      <c r="I97" s="321">
        <v>44897</v>
      </c>
    </row>
    <row r="98" spans="1:9" s="316" customFormat="1" ht="13">
      <c r="A98" s="315">
        <v>10306805</v>
      </c>
      <c r="B98" s="316" t="s">
        <v>928</v>
      </c>
      <c r="C98" s="316" t="s">
        <v>919</v>
      </c>
      <c r="D98" s="317">
        <v>44897</v>
      </c>
      <c r="E98" s="318" t="s">
        <v>963</v>
      </c>
      <c r="F98" s="319">
        <v>10</v>
      </c>
      <c r="G98" s="316" t="s">
        <v>927</v>
      </c>
      <c r="H98" s="319"/>
      <c r="I98" s="321">
        <v>44897</v>
      </c>
    </row>
    <row r="99" spans="1:9">
      <c r="A99" s="104">
        <v>10238518</v>
      </c>
      <c r="B99" s="95" t="s">
        <v>45</v>
      </c>
      <c r="C99" s="14" t="s">
        <v>919</v>
      </c>
      <c r="D99" s="96">
        <v>44582</v>
      </c>
      <c r="E99" t="s">
        <v>963</v>
      </c>
      <c r="F99" s="94">
        <v>140</v>
      </c>
      <c r="G99" s="14" t="s">
        <v>539</v>
      </c>
      <c r="I99" s="100">
        <v>44583</v>
      </c>
    </row>
    <row r="100" spans="1:9">
      <c r="A100" s="104">
        <v>10241171</v>
      </c>
      <c r="B100" s="95" t="s">
        <v>45</v>
      </c>
      <c r="C100" s="14" t="s">
        <v>919</v>
      </c>
      <c r="D100" s="96">
        <v>44589</v>
      </c>
      <c r="E100" t="s">
        <v>963</v>
      </c>
      <c r="F100" s="94">
        <v>140</v>
      </c>
      <c r="G100" s="14" t="s">
        <v>539</v>
      </c>
      <c r="I100" s="100">
        <v>44583</v>
      </c>
    </row>
    <row r="101" spans="1:9">
      <c r="A101" s="104">
        <v>10244161</v>
      </c>
      <c r="B101" s="95" t="s">
        <v>45</v>
      </c>
      <c r="C101" s="14" t="s">
        <v>919</v>
      </c>
      <c r="D101" s="96">
        <v>44602</v>
      </c>
      <c r="E101" t="s">
        <v>963</v>
      </c>
      <c r="F101" s="94">
        <v>140</v>
      </c>
      <c r="G101" s="14" t="s">
        <v>539</v>
      </c>
      <c r="I101" s="100">
        <v>44614</v>
      </c>
    </row>
    <row r="102" spans="1:9">
      <c r="A102" s="104">
        <v>10249185</v>
      </c>
      <c r="B102" s="95" t="s">
        <v>45</v>
      </c>
      <c r="C102" s="14" t="s">
        <v>919</v>
      </c>
      <c r="D102" s="96">
        <v>44617</v>
      </c>
      <c r="E102" t="s">
        <v>963</v>
      </c>
      <c r="F102" s="94">
        <v>140</v>
      </c>
      <c r="G102" s="14" t="s">
        <v>539</v>
      </c>
      <c r="I102" s="100">
        <v>44614</v>
      </c>
    </row>
    <row r="103" spans="1:9">
      <c r="A103" s="104">
        <v>10251746</v>
      </c>
      <c r="B103" s="95" t="s">
        <v>45</v>
      </c>
      <c r="C103" s="14" t="s">
        <v>919</v>
      </c>
      <c r="D103" s="96">
        <v>44631</v>
      </c>
      <c r="E103" t="s">
        <v>963</v>
      </c>
      <c r="F103" s="94">
        <v>140</v>
      </c>
      <c r="G103" s="14" t="s">
        <v>539</v>
      </c>
      <c r="I103" s="100">
        <v>44642</v>
      </c>
    </row>
    <row r="104" spans="1:9">
      <c r="A104" s="104">
        <v>10254083</v>
      </c>
      <c r="B104" s="95" t="s">
        <v>45</v>
      </c>
      <c r="C104" s="14" t="s">
        <v>919</v>
      </c>
      <c r="D104" s="96">
        <v>44644</v>
      </c>
      <c r="E104" t="s">
        <v>963</v>
      </c>
      <c r="F104" s="94">
        <v>140</v>
      </c>
      <c r="G104" s="14" t="s">
        <v>539</v>
      </c>
      <c r="I104" s="100">
        <v>44642</v>
      </c>
    </row>
    <row r="105" spans="1:9">
      <c r="A105" s="105" t="s">
        <v>916</v>
      </c>
      <c r="B105" s="95" t="s">
        <v>922</v>
      </c>
      <c r="C105" s="14" t="s">
        <v>918</v>
      </c>
      <c r="D105" s="96" t="s">
        <v>980</v>
      </c>
      <c r="F105" s="94">
        <v>80</v>
      </c>
      <c r="G105" s="14" t="s">
        <v>539</v>
      </c>
    </row>
    <row r="106" spans="1:9">
      <c r="A106" s="105" t="s">
        <v>916</v>
      </c>
      <c r="B106" s="95" t="s">
        <v>981</v>
      </c>
      <c r="C106" s="14" t="s">
        <v>918</v>
      </c>
      <c r="D106" s="96" t="s">
        <v>980</v>
      </c>
      <c r="F106" s="94">
        <v>120</v>
      </c>
      <c r="G106" s="14" t="s">
        <v>539</v>
      </c>
    </row>
    <row r="107" spans="1:9">
      <c r="A107" s="104">
        <v>10259140</v>
      </c>
      <c r="B107" s="95" t="s">
        <v>922</v>
      </c>
      <c r="C107" s="14" t="s">
        <v>919</v>
      </c>
      <c r="D107" s="96">
        <v>44708</v>
      </c>
      <c r="E107" t="s">
        <v>963</v>
      </c>
      <c r="F107" s="94">
        <v>45</v>
      </c>
      <c r="G107" s="14" t="s">
        <v>952</v>
      </c>
    </row>
    <row r="108" spans="1:9">
      <c r="A108" s="104">
        <v>10265125</v>
      </c>
      <c r="B108" s="95" t="s">
        <v>981</v>
      </c>
      <c r="C108" s="14" t="s">
        <v>919</v>
      </c>
      <c r="D108" s="96">
        <v>44706</v>
      </c>
      <c r="E108" t="s">
        <v>963</v>
      </c>
      <c r="F108" s="94">
        <v>45</v>
      </c>
      <c r="G108" s="14" t="s">
        <v>952</v>
      </c>
    </row>
    <row r="109" spans="1:9">
      <c r="A109" s="104">
        <v>10265131</v>
      </c>
      <c r="B109" s="95" t="s">
        <v>981</v>
      </c>
      <c r="C109" s="14" t="s">
        <v>919</v>
      </c>
      <c r="D109" s="96">
        <v>44711</v>
      </c>
      <c r="E109" t="s">
        <v>963</v>
      </c>
      <c r="F109" s="94">
        <v>45</v>
      </c>
      <c r="G109" s="14" t="s">
        <v>952</v>
      </c>
    </row>
    <row r="110" spans="1:9">
      <c r="A110" s="104">
        <v>10267529</v>
      </c>
      <c r="B110" s="95" t="s">
        <v>957</v>
      </c>
      <c r="C110" s="14" t="s">
        <v>919</v>
      </c>
      <c r="D110" s="96">
        <v>44702</v>
      </c>
      <c r="E110" t="s">
        <v>963</v>
      </c>
      <c r="F110" s="94">
        <v>35</v>
      </c>
      <c r="G110" s="14" t="s">
        <v>952</v>
      </c>
    </row>
    <row r="111" spans="1:9">
      <c r="A111" s="104">
        <v>10311036</v>
      </c>
      <c r="B111" s="95" t="s">
        <v>957</v>
      </c>
      <c r="C111" s="14" t="s">
        <v>919</v>
      </c>
      <c r="D111" s="96">
        <v>44883</v>
      </c>
      <c r="E111" t="s">
        <v>963</v>
      </c>
      <c r="F111" s="94">
        <v>100</v>
      </c>
      <c r="G111" s="14" t="s">
        <v>952</v>
      </c>
    </row>
    <row r="112" spans="1:9">
      <c r="A112" s="104">
        <v>10267534</v>
      </c>
      <c r="B112" s="95" t="s">
        <v>955</v>
      </c>
      <c r="C112" s="14" t="s">
        <v>919</v>
      </c>
      <c r="D112" s="96">
        <v>44709</v>
      </c>
      <c r="E112" t="s">
        <v>963</v>
      </c>
      <c r="F112" s="94">
        <v>42</v>
      </c>
      <c r="G112" s="14" t="s">
        <v>952</v>
      </c>
    </row>
    <row r="113" spans="1:8">
      <c r="A113" s="325">
        <v>10305894</v>
      </c>
      <c r="B113" s="95" t="s">
        <v>955</v>
      </c>
      <c r="C113" s="14" t="s">
        <v>919</v>
      </c>
      <c r="D113" s="96">
        <v>44890</v>
      </c>
      <c r="E113" t="s">
        <v>963</v>
      </c>
      <c r="F113" s="94">
        <v>71</v>
      </c>
      <c r="G113" s="14" t="s">
        <v>952</v>
      </c>
      <c r="H113" s="94">
        <v>71</v>
      </c>
    </row>
    <row r="114" spans="1:8">
      <c r="A114" s="103">
        <v>10101105</v>
      </c>
      <c r="B114" s="95" t="s">
        <v>982</v>
      </c>
      <c r="C114" s="14" t="s">
        <v>919</v>
      </c>
      <c r="D114" s="96">
        <v>44725</v>
      </c>
      <c r="E114" t="s">
        <v>963</v>
      </c>
    </row>
    <row r="115" spans="1:8">
      <c r="A115" s="105" t="s">
        <v>916</v>
      </c>
      <c r="B115" s="95" t="s">
        <v>982</v>
      </c>
      <c r="C115" s="14" t="s">
        <v>919</v>
      </c>
      <c r="D115" s="96">
        <v>44732</v>
      </c>
      <c r="E115" t="s">
        <v>963</v>
      </c>
    </row>
    <row r="116" spans="1:8">
      <c r="A116" s="105" t="s">
        <v>916</v>
      </c>
      <c r="B116" s="95" t="s">
        <v>982</v>
      </c>
      <c r="C116" s="14" t="s">
        <v>918</v>
      </c>
      <c r="D116" s="96" t="s">
        <v>547</v>
      </c>
      <c r="E116" t="s">
        <v>963</v>
      </c>
    </row>
    <row r="117" spans="1:8">
      <c r="A117" s="105" t="s">
        <v>916</v>
      </c>
      <c r="B117" s="95" t="s">
        <v>982</v>
      </c>
      <c r="C117" s="14" t="s">
        <v>918</v>
      </c>
      <c r="D117" s="96" t="s">
        <v>547</v>
      </c>
      <c r="E117" t="s">
        <v>963</v>
      </c>
    </row>
    <row r="118" spans="1:8">
      <c r="A118" s="104">
        <v>10266219</v>
      </c>
      <c r="B118" s="95" t="s">
        <v>922</v>
      </c>
      <c r="C118" s="14" t="s">
        <v>919</v>
      </c>
      <c r="D118" s="96">
        <v>44712</v>
      </c>
      <c r="E118" t="s">
        <v>963</v>
      </c>
      <c r="F118" s="94">
        <v>45</v>
      </c>
      <c r="G118" s="14" t="s">
        <v>952</v>
      </c>
    </row>
    <row r="119" spans="1:8">
      <c r="A119" s="105" t="s">
        <v>916</v>
      </c>
      <c r="B119" s="95" t="s">
        <v>957</v>
      </c>
      <c r="C119" s="14" t="s">
        <v>918</v>
      </c>
      <c r="D119" s="96">
        <v>44681</v>
      </c>
      <c r="F119" s="94">
        <v>70</v>
      </c>
      <c r="G119" s="14" t="s">
        <v>952</v>
      </c>
    </row>
    <row r="120" spans="1:8">
      <c r="A120" s="105" t="s">
        <v>916</v>
      </c>
      <c r="B120" s="95" t="s">
        <v>955</v>
      </c>
      <c r="C120" s="14" t="s">
        <v>918</v>
      </c>
      <c r="D120" s="96">
        <v>44681</v>
      </c>
      <c r="F120" s="94">
        <v>68</v>
      </c>
      <c r="G120" s="14" t="s">
        <v>952</v>
      </c>
    </row>
    <row r="121" spans="1:8">
      <c r="A121" s="105">
        <v>10272824</v>
      </c>
      <c r="B121" s="95" t="s">
        <v>968</v>
      </c>
      <c r="C121" s="14" t="s">
        <v>919</v>
      </c>
      <c r="D121" s="96">
        <v>44726</v>
      </c>
      <c r="E121" t="s">
        <v>963</v>
      </c>
      <c r="F121" s="94">
        <v>30</v>
      </c>
      <c r="G121" s="14" t="s">
        <v>976</v>
      </c>
    </row>
    <row r="122" spans="1:8" ht="15" thickBot="1">
      <c r="A122" s="105">
        <v>10259760</v>
      </c>
      <c r="B122" s="95" t="s">
        <v>45</v>
      </c>
      <c r="C122" s="14" t="s">
        <v>919</v>
      </c>
      <c r="D122" s="96">
        <v>44659</v>
      </c>
      <c r="E122" t="s">
        <v>963</v>
      </c>
      <c r="F122" s="94">
        <v>84</v>
      </c>
      <c r="G122" s="14" t="s">
        <v>952</v>
      </c>
    </row>
    <row r="123" spans="1:8" ht="15" thickBot="1">
      <c r="A123" s="107">
        <v>10261955</v>
      </c>
      <c r="B123" s="95" t="s">
        <v>45</v>
      </c>
      <c r="C123" s="14" t="s">
        <v>919</v>
      </c>
      <c r="D123" s="96">
        <v>44673</v>
      </c>
      <c r="E123" t="s">
        <v>963</v>
      </c>
      <c r="F123" s="94">
        <v>82</v>
      </c>
      <c r="G123" s="14" t="s">
        <v>952</v>
      </c>
    </row>
    <row r="124" spans="1:8" ht="15" thickBot="1">
      <c r="A124" s="107">
        <v>10264866</v>
      </c>
      <c r="B124" s="95" t="s">
        <v>45</v>
      </c>
      <c r="C124" s="14" t="s">
        <v>919</v>
      </c>
      <c r="D124" s="96">
        <v>44694</v>
      </c>
      <c r="E124" t="s">
        <v>963</v>
      </c>
      <c r="F124" s="94">
        <v>77</v>
      </c>
      <c r="G124" s="14" t="s">
        <v>952</v>
      </c>
    </row>
    <row r="125" spans="1:8">
      <c r="A125" s="105">
        <v>10272105</v>
      </c>
      <c r="B125" s="95" t="s">
        <v>45</v>
      </c>
      <c r="C125" s="14" t="s">
        <v>919</v>
      </c>
      <c r="D125" s="96">
        <v>44708</v>
      </c>
      <c r="E125" t="s">
        <v>963</v>
      </c>
      <c r="F125" s="94">
        <v>124</v>
      </c>
      <c r="G125" s="14" t="s">
        <v>952</v>
      </c>
    </row>
    <row r="126" spans="1:8">
      <c r="A126" s="105">
        <v>10274874</v>
      </c>
      <c r="B126" s="95" t="s">
        <v>45</v>
      </c>
      <c r="C126" s="14" t="s">
        <v>919</v>
      </c>
      <c r="D126" s="96">
        <v>44722</v>
      </c>
      <c r="E126" t="s">
        <v>963</v>
      </c>
      <c r="F126" s="94">
        <v>88</v>
      </c>
      <c r="G126" s="14" t="s">
        <v>952</v>
      </c>
    </row>
    <row r="127" spans="1:8">
      <c r="A127" s="105">
        <v>10280340</v>
      </c>
      <c r="B127" s="95" t="s">
        <v>45</v>
      </c>
      <c r="C127" s="14" t="s">
        <v>919</v>
      </c>
      <c r="D127" s="96">
        <v>44736</v>
      </c>
      <c r="E127" t="s">
        <v>963</v>
      </c>
      <c r="F127" s="94">
        <v>177</v>
      </c>
      <c r="G127" s="14" t="s">
        <v>952</v>
      </c>
    </row>
    <row r="128" spans="1:8">
      <c r="A128" s="105">
        <v>10272801</v>
      </c>
      <c r="B128" s="95" t="s">
        <v>941</v>
      </c>
      <c r="C128" s="14" t="s">
        <v>919</v>
      </c>
      <c r="D128" s="96">
        <v>44733</v>
      </c>
      <c r="E128" t="s">
        <v>963</v>
      </c>
      <c r="F128" s="94">
        <v>80</v>
      </c>
      <c r="G128" s="14" t="s">
        <v>952</v>
      </c>
    </row>
    <row r="129" spans="1:7">
      <c r="A129" s="105">
        <v>10272805</v>
      </c>
      <c r="B129" s="95" t="s">
        <v>941</v>
      </c>
      <c r="C129" s="14" t="s">
        <v>919</v>
      </c>
      <c r="D129" s="96">
        <v>44749</v>
      </c>
      <c r="E129" t="s">
        <v>963</v>
      </c>
      <c r="F129" s="94">
        <v>90</v>
      </c>
      <c r="G129" s="14" t="s">
        <v>952</v>
      </c>
    </row>
    <row r="130" spans="1:7">
      <c r="A130" s="105">
        <v>10272806</v>
      </c>
      <c r="B130" s="95" t="s">
        <v>941</v>
      </c>
      <c r="C130" s="14" t="s">
        <v>919</v>
      </c>
      <c r="D130" s="96">
        <v>44762</v>
      </c>
      <c r="E130" t="s">
        <v>963</v>
      </c>
      <c r="F130" s="94">
        <v>90</v>
      </c>
      <c r="G130" s="14" t="s">
        <v>952</v>
      </c>
    </row>
    <row r="131" spans="1:7">
      <c r="A131" s="105">
        <v>10272807</v>
      </c>
      <c r="B131" s="95" t="s">
        <v>941</v>
      </c>
      <c r="C131" s="14" t="s">
        <v>919</v>
      </c>
      <c r="D131" s="96">
        <v>44778</v>
      </c>
      <c r="E131" t="s">
        <v>963</v>
      </c>
      <c r="F131" s="94">
        <v>80</v>
      </c>
      <c r="G131" s="14" t="s">
        <v>952</v>
      </c>
    </row>
    <row r="132" spans="1:7">
      <c r="A132" s="105">
        <v>10292311</v>
      </c>
      <c r="B132" s="95" t="s">
        <v>968</v>
      </c>
      <c r="C132" s="14" t="s">
        <v>919</v>
      </c>
      <c r="D132" s="96">
        <v>44795</v>
      </c>
      <c r="E132" t="s">
        <v>963</v>
      </c>
      <c r="F132" s="94">
        <v>22</v>
      </c>
      <c r="G132" s="14" t="s">
        <v>976</v>
      </c>
    </row>
    <row r="133" spans="1:7">
      <c r="A133" s="105">
        <v>10308959</v>
      </c>
      <c r="B133" s="95" t="s">
        <v>968</v>
      </c>
      <c r="C133" s="14" t="s">
        <v>919</v>
      </c>
      <c r="D133" s="96">
        <v>44858</v>
      </c>
      <c r="E133" t="s">
        <v>963</v>
      </c>
      <c r="F133" s="94">
        <v>44</v>
      </c>
      <c r="G133" s="14" t="s">
        <v>976</v>
      </c>
    </row>
    <row r="134" spans="1:7">
      <c r="A134" s="105" t="s">
        <v>983</v>
      </c>
      <c r="B134" s="95" t="s">
        <v>45</v>
      </c>
      <c r="C134" s="14" t="s">
        <v>919</v>
      </c>
      <c r="D134" s="96">
        <v>44848</v>
      </c>
      <c r="E134" t="s">
        <v>963</v>
      </c>
      <c r="F134" s="94">
        <v>300</v>
      </c>
      <c r="G134" s="14" t="s">
        <v>952</v>
      </c>
    </row>
    <row r="135" spans="1:7" ht="15" thickBot="1">
      <c r="A135" s="105">
        <v>10311057</v>
      </c>
      <c r="B135" s="95" t="s">
        <v>45</v>
      </c>
      <c r="C135" s="14" t="s">
        <v>919</v>
      </c>
      <c r="D135" s="96">
        <v>44848</v>
      </c>
      <c r="E135" t="s">
        <v>963</v>
      </c>
      <c r="F135" s="94">
        <v>300</v>
      </c>
      <c r="G135" s="14" t="s">
        <v>952</v>
      </c>
    </row>
    <row r="136" spans="1:7" ht="15" thickBot="1">
      <c r="A136" s="322">
        <v>10261955</v>
      </c>
      <c r="B136" s="95" t="s">
        <v>45</v>
      </c>
      <c r="C136" s="14" t="s">
        <v>919</v>
      </c>
      <c r="D136" s="96">
        <v>44673</v>
      </c>
      <c r="E136" t="s">
        <v>963</v>
      </c>
      <c r="F136" s="94">
        <v>82</v>
      </c>
      <c r="G136" s="14" t="s">
        <v>952</v>
      </c>
    </row>
    <row r="137" spans="1:7" ht="15" thickBot="1">
      <c r="A137" s="322">
        <v>10264866</v>
      </c>
      <c r="B137" s="95" t="s">
        <v>45</v>
      </c>
      <c r="C137" s="14" t="s">
        <v>919</v>
      </c>
      <c r="D137" s="96">
        <v>44694</v>
      </c>
      <c r="E137" t="s">
        <v>963</v>
      </c>
      <c r="F137" s="94">
        <v>77</v>
      </c>
      <c r="G137" s="14" t="s">
        <v>952</v>
      </c>
    </row>
    <row r="138" spans="1:7">
      <c r="A138" s="323">
        <v>10272105</v>
      </c>
      <c r="B138" s="95" t="s">
        <v>45</v>
      </c>
      <c r="C138" s="14" t="s">
        <v>919</v>
      </c>
      <c r="D138" s="96">
        <v>44708</v>
      </c>
      <c r="E138" t="s">
        <v>963</v>
      </c>
      <c r="F138" s="94">
        <v>124</v>
      </c>
      <c r="G138" s="14" t="s">
        <v>952</v>
      </c>
    </row>
    <row r="139" spans="1:7">
      <c r="A139" s="323">
        <v>10274874</v>
      </c>
      <c r="B139" s="95" t="s">
        <v>45</v>
      </c>
      <c r="C139" s="14" t="s">
        <v>919</v>
      </c>
      <c r="D139" s="96">
        <v>44722</v>
      </c>
      <c r="E139" t="s">
        <v>963</v>
      </c>
      <c r="F139" s="94">
        <v>88</v>
      </c>
      <c r="G139" s="14" t="s">
        <v>952</v>
      </c>
    </row>
    <row r="140" spans="1:7">
      <c r="A140" s="323">
        <v>10280340</v>
      </c>
      <c r="B140" s="95" t="s">
        <v>45</v>
      </c>
      <c r="C140" s="14" t="s">
        <v>919</v>
      </c>
      <c r="D140" s="96">
        <v>44736</v>
      </c>
      <c r="E140" t="s">
        <v>963</v>
      </c>
      <c r="F140" s="94">
        <v>177</v>
      </c>
      <c r="G140" s="14" t="s">
        <v>952</v>
      </c>
    </row>
    <row r="141" spans="1:7">
      <c r="A141" s="323" t="s">
        <v>984</v>
      </c>
      <c r="B141" s="95" t="s">
        <v>45</v>
      </c>
      <c r="C141" s="14" t="s">
        <v>919</v>
      </c>
      <c r="D141" s="96">
        <v>44848</v>
      </c>
      <c r="E141" t="s">
        <v>963</v>
      </c>
      <c r="F141" s="94">
        <v>300</v>
      </c>
      <c r="G141" s="14" t="s">
        <v>952</v>
      </c>
    </row>
    <row r="142" spans="1:7">
      <c r="A142" s="323">
        <v>10230860</v>
      </c>
      <c r="B142" s="95" t="s">
        <v>45</v>
      </c>
      <c r="C142" s="14" t="s">
        <v>919</v>
      </c>
      <c r="D142" s="96">
        <v>44582</v>
      </c>
      <c r="E142" t="s">
        <v>963</v>
      </c>
      <c r="F142" s="94">
        <v>54</v>
      </c>
      <c r="G142" s="14" t="s">
        <v>952</v>
      </c>
    </row>
    <row r="143" spans="1:7">
      <c r="A143" s="323">
        <v>10241171</v>
      </c>
      <c r="B143" s="95" t="s">
        <v>45</v>
      </c>
      <c r="C143" s="14" t="s">
        <v>919</v>
      </c>
      <c r="D143" s="96">
        <v>44589</v>
      </c>
      <c r="E143" t="s">
        <v>963</v>
      </c>
      <c r="F143" s="94">
        <v>77</v>
      </c>
      <c r="G143" s="14" t="s">
        <v>952</v>
      </c>
    </row>
    <row r="144" spans="1:7">
      <c r="A144" s="323">
        <v>10244161</v>
      </c>
      <c r="B144" s="95" t="s">
        <v>45</v>
      </c>
      <c r="C144" s="14" t="s">
        <v>919</v>
      </c>
      <c r="D144" s="96">
        <v>44602</v>
      </c>
      <c r="E144" t="s">
        <v>963</v>
      </c>
      <c r="F144" s="94">
        <v>91</v>
      </c>
      <c r="G144" s="14" t="s">
        <v>952</v>
      </c>
    </row>
    <row r="145" spans="1:7">
      <c r="A145" s="323">
        <v>10247101</v>
      </c>
      <c r="B145" s="95" t="s">
        <v>45</v>
      </c>
      <c r="C145" s="14" t="s">
        <v>919</v>
      </c>
      <c r="D145" s="96">
        <v>44610</v>
      </c>
      <c r="E145" t="s">
        <v>963</v>
      </c>
      <c r="F145" s="94">
        <v>92</v>
      </c>
      <c r="G145" s="14" t="s">
        <v>952</v>
      </c>
    </row>
    <row r="146" spans="1:7">
      <c r="A146" s="323">
        <v>10249185</v>
      </c>
      <c r="B146" s="95" t="s">
        <v>45</v>
      </c>
      <c r="C146" s="14" t="s">
        <v>919</v>
      </c>
      <c r="D146" s="96">
        <v>44617</v>
      </c>
      <c r="E146" t="s">
        <v>963</v>
      </c>
      <c r="F146" s="94">
        <v>96</v>
      </c>
      <c r="G146" s="14" t="s">
        <v>952</v>
      </c>
    </row>
    <row r="147" spans="1:7">
      <c r="A147" s="323">
        <v>10251720</v>
      </c>
      <c r="B147" s="95" t="s">
        <v>45</v>
      </c>
      <c r="C147" s="14" t="s">
        <v>919</v>
      </c>
      <c r="D147" s="96">
        <v>44630</v>
      </c>
      <c r="E147" t="s">
        <v>963</v>
      </c>
      <c r="F147" s="94">
        <v>184</v>
      </c>
      <c r="G147" s="14" t="s">
        <v>952</v>
      </c>
    </row>
    <row r="148" spans="1:7">
      <c r="A148" s="323">
        <v>10251746</v>
      </c>
      <c r="B148" s="95" t="s">
        <v>45</v>
      </c>
      <c r="C148" s="14" t="s">
        <v>919</v>
      </c>
      <c r="D148" s="96">
        <v>44631</v>
      </c>
      <c r="E148" t="s">
        <v>963</v>
      </c>
      <c r="F148" s="94">
        <v>203</v>
      </c>
      <c r="G148" s="14" t="s">
        <v>952</v>
      </c>
    </row>
    <row r="149" spans="1:7">
      <c r="A149" s="323">
        <v>10253712</v>
      </c>
      <c r="B149" s="95" t="s">
        <v>45</v>
      </c>
      <c r="C149" s="14" t="s">
        <v>919</v>
      </c>
      <c r="D149" s="96">
        <v>44635</v>
      </c>
      <c r="E149" t="s">
        <v>963</v>
      </c>
      <c r="F149" s="94">
        <v>174</v>
      </c>
      <c r="G149" s="14" t="s">
        <v>952</v>
      </c>
    </row>
    <row r="150" spans="1:7">
      <c r="A150" s="323">
        <v>10254052</v>
      </c>
      <c r="B150" s="95" t="s">
        <v>45</v>
      </c>
      <c r="C150" s="14" t="s">
        <v>919</v>
      </c>
      <c r="D150" s="96">
        <v>44637</v>
      </c>
      <c r="E150" t="s">
        <v>963</v>
      </c>
      <c r="F150" s="94">
        <v>154</v>
      </c>
      <c r="G150" s="14" t="s">
        <v>952</v>
      </c>
    </row>
    <row r="151" spans="1:7">
      <c r="A151" s="323">
        <v>10253737</v>
      </c>
      <c r="B151" s="95" t="s">
        <v>45</v>
      </c>
      <c r="C151" s="14" t="s">
        <v>919</v>
      </c>
      <c r="D151" s="96">
        <v>44642</v>
      </c>
      <c r="E151" t="s">
        <v>963</v>
      </c>
      <c r="F151" s="94">
        <v>197</v>
      </c>
      <c r="G151" s="14" t="s">
        <v>952</v>
      </c>
    </row>
    <row r="152" spans="1:7">
      <c r="A152" s="323">
        <v>10254083</v>
      </c>
      <c r="B152" s="95" t="s">
        <v>45</v>
      </c>
      <c r="C152" s="14" t="s">
        <v>919</v>
      </c>
      <c r="D152" s="96">
        <v>44644</v>
      </c>
      <c r="E152" t="s">
        <v>963</v>
      </c>
      <c r="F152" s="94">
        <v>173</v>
      </c>
      <c r="G152" s="14" t="s">
        <v>952</v>
      </c>
    </row>
    <row r="153" spans="1:7">
      <c r="A153" s="323">
        <v>10254054</v>
      </c>
      <c r="B153" s="95" t="s">
        <v>45</v>
      </c>
      <c r="C153" s="14" t="s">
        <v>919</v>
      </c>
      <c r="D153" s="96">
        <v>44645</v>
      </c>
      <c r="E153" t="s">
        <v>963</v>
      </c>
      <c r="F153" s="94">
        <v>123</v>
      </c>
      <c r="G153" s="14" t="s">
        <v>952</v>
      </c>
    </row>
    <row r="154" spans="1:7">
      <c r="A154" s="323">
        <v>10282141</v>
      </c>
      <c r="B154" s="95" t="s">
        <v>45</v>
      </c>
      <c r="C154" s="14" t="s">
        <v>919</v>
      </c>
      <c r="D154" s="96">
        <v>44750</v>
      </c>
      <c r="E154" t="s">
        <v>963</v>
      </c>
      <c r="F154" s="94">
        <v>233</v>
      </c>
      <c r="G154" s="14" t="s">
        <v>952</v>
      </c>
    </row>
    <row r="155" spans="1:7">
      <c r="A155" s="323">
        <v>10282150</v>
      </c>
      <c r="B155" s="95" t="s">
        <v>45</v>
      </c>
      <c r="C155" s="14" t="s">
        <v>919</v>
      </c>
      <c r="D155" s="96">
        <v>44757</v>
      </c>
      <c r="E155" t="s">
        <v>963</v>
      </c>
      <c r="F155" s="94">
        <v>212</v>
      </c>
      <c r="G155" s="14" t="s">
        <v>952</v>
      </c>
    </row>
    <row r="156" spans="1:7">
      <c r="A156" s="323">
        <v>10282308</v>
      </c>
      <c r="B156" s="95" t="s">
        <v>45</v>
      </c>
      <c r="C156" s="14" t="s">
        <v>919</v>
      </c>
      <c r="D156" s="96">
        <v>44764</v>
      </c>
      <c r="E156" t="s">
        <v>963</v>
      </c>
      <c r="F156" s="94">
        <v>333</v>
      </c>
      <c r="G156" s="14" t="s">
        <v>952</v>
      </c>
    </row>
    <row r="157" spans="1:7">
      <c r="A157" s="323">
        <v>10289218</v>
      </c>
      <c r="B157" s="95" t="s">
        <v>45</v>
      </c>
      <c r="C157" s="14" t="s">
        <v>919</v>
      </c>
      <c r="D157" s="96">
        <v>44778</v>
      </c>
      <c r="E157" t="s">
        <v>963</v>
      </c>
      <c r="F157" s="94">
        <v>142</v>
      </c>
      <c r="G157" s="14" t="s">
        <v>952</v>
      </c>
    </row>
    <row r="158" spans="1:7">
      <c r="A158" s="323">
        <v>10293252</v>
      </c>
      <c r="B158" s="95" t="s">
        <v>45</v>
      </c>
      <c r="C158" s="14" t="s">
        <v>919</v>
      </c>
      <c r="D158" s="96">
        <v>44791</v>
      </c>
      <c r="E158" t="s">
        <v>963</v>
      </c>
      <c r="F158" s="94">
        <v>123</v>
      </c>
      <c r="G158" s="14" t="s">
        <v>952</v>
      </c>
    </row>
    <row r="159" spans="1:7">
      <c r="A159" s="323">
        <v>10294756</v>
      </c>
      <c r="B159" s="95" t="s">
        <v>45</v>
      </c>
      <c r="C159" s="14" t="s">
        <v>919</v>
      </c>
      <c r="D159" s="96">
        <v>44799</v>
      </c>
      <c r="E159" t="s">
        <v>963</v>
      </c>
      <c r="F159" s="94">
        <v>155</v>
      </c>
      <c r="G159" s="14" t="s">
        <v>952</v>
      </c>
    </row>
    <row r="160" spans="1:7">
      <c r="A160" s="323">
        <v>10296758</v>
      </c>
      <c r="B160" s="95" t="s">
        <v>45</v>
      </c>
      <c r="C160" s="14" t="s">
        <v>919</v>
      </c>
      <c r="D160" s="96">
        <v>44813</v>
      </c>
      <c r="E160" t="s">
        <v>963</v>
      </c>
      <c r="F160" s="94">
        <v>76</v>
      </c>
      <c r="G160" s="14" t="s">
        <v>952</v>
      </c>
    </row>
    <row r="161" spans="1:7">
      <c r="A161" s="323">
        <v>10300195</v>
      </c>
      <c r="B161" s="95" t="s">
        <v>45</v>
      </c>
      <c r="C161" s="14" t="s">
        <v>919</v>
      </c>
      <c r="D161" s="96">
        <v>44827</v>
      </c>
      <c r="E161" t="s">
        <v>963</v>
      </c>
      <c r="F161" s="94">
        <v>133</v>
      </c>
      <c r="G161" s="14" t="s">
        <v>952</v>
      </c>
    </row>
    <row r="162" spans="1:7">
      <c r="A162" s="323">
        <v>10305481</v>
      </c>
      <c r="B162" s="95" t="s">
        <v>45</v>
      </c>
      <c r="C162" s="14" t="s">
        <v>919</v>
      </c>
      <c r="D162" s="96">
        <v>44862</v>
      </c>
      <c r="E162" t="s">
        <v>963</v>
      </c>
      <c r="F162" s="94">
        <v>307</v>
      </c>
      <c r="G162" s="14" t="s">
        <v>952</v>
      </c>
    </row>
    <row r="163" spans="1:7">
      <c r="A163" s="323">
        <v>10313615</v>
      </c>
      <c r="B163" s="95" t="s">
        <v>45</v>
      </c>
      <c r="C163" s="14" t="s">
        <v>919</v>
      </c>
      <c r="D163" s="96">
        <v>44876</v>
      </c>
      <c r="E163" t="s">
        <v>963</v>
      </c>
      <c r="F163" s="94">
        <v>300</v>
      </c>
      <c r="G163" s="14" t="s">
        <v>952</v>
      </c>
    </row>
    <row r="164" spans="1:7">
      <c r="B164" s="95" t="s">
        <v>957</v>
      </c>
      <c r="C164" s="14" t="s">
        <v>918</v>
      </c>
      <c r="D164" s="96">
        <v>44916</v>
      </c>
      <c r="F164" s="94">
        <v>138</v>
      </c>
      <c r="G164" s="14" t="s">
        <v>952</v>
      </c>
    </row>
    <row r="165" spans="1:7">
      <c r="B165" s="95" t="s">
        <v>955</v>
      </c>
      <c r="C165" s="14" t="s">
        <v>918</v>
      </c>
      <c r="D165" s="96">
        <v>44916</v>
      </c>
      <c r="F165" s="94">
        <v>160</v>
      </c>
      <c r="G165" s="14" t="s">
        <v>952</v>
      </c>
    </row>
    <row r="166" spans="1:7">
      <c r="A166" s="323">
        <v>10349905</v>
      </c>
      <c r="B166" s="95" t="s">
        <v>955</v>
      </c>
      <c r="C166" s="14" t="s">
        <v>919</v>
      </c>
      <c r="D166" s="96">
        <v>45072</v>
      </c>
      <c r="E166" t="s">
        <v>963</v>
      </c>
      <c r="F166" s="94">
        <v>38</v>
      </c>
      <c r="G166" s="14" t="s">
        <v>952</v>
      </c>
    </row>
    <row r="167" spans="1:7">
      <c r="A167" s="105">
        <v>10323405</v>
      </c>
      <c r="B167" s="95" t="s">
        <v>981</v>
      </c>
      <c r="C167" s="14" t="s">
        <v>919</v>
      </c>
      <c r="D167" s="96">
        <v>44943</v>
      </c>
      <c r="E167" t="s">
        <v>920</v>
      </c>
      <c r="F167" s="94">
        <v>23</v>
      </c>
      <c r="G167" s="14" t="s">
        <v>952</v>
      </c>
    </row>
    <row r="168" spans="1:7">
      <c r="A168" s="384">
        <v>10329268</v>
      </c>
      <c r="B168" s="95" t="s">
        <v>917</v>
      </c>
      <c r="C168" s="14" t="s">
        <v>919</v>
      </c>
      <c r="D168" s="96">
        <v>44978</v>
      </c>
      <c r="E168" t="s">
        <v>920</v>
      </c>
      <c r="F168" s="94">
        <v>48</v>
      </c>
      <c r="G168" s="14" t="s">
        <v>952</v>
      </c>
    </row>
    <row r="169" spans="1:7">
      <c r="A169" s="105">
        <v>10321293</v>
      </c>
      <c r="B169" s="95" t="s">
        <v>917</v>
      </c>
      <c r="C169" s="14" t="s">
        <v>919</v>
      </c>
      <c r="D169" s="96">
        <v>45013</v>
      </c>
      <c r="E169" t="s">
        <v>920</v>
      </c>
      <c r="F169" s="94">
        <v>48</v>
      </c>
      <c r="G169" s="14" t="s">
        <v>952</v>
      </c>
    </row>
    <row r="170" spans="1:7">
      <c r="A170" s="105">
        <v>10349937</v>
      </c>
      <c r="B170" s="95" t="s">
        <v>917</v>
      </c>
      <c r="C170" s="14" t="s">
        <v>919</v>
      </c>
      <c r="D170" s="96">
        <v>45070</v>
      </c>
      <c r="E170" t="s">
        <v>920</v>
      </c>
      <c r="F170" s="94">
        <v>47</v>
      </c>
      <c r="G170" s="14" t="s">
        <v>952</v>
      </c>
    </row>
    <row r="171" spans="1:7">
      <c r="A171" s="105">
        <v>10349939</v>
      </c>
      <c r="B171" s="95" t="s">
        <v>917</v>
      </c>
      <c r="C171" s="14" t="s">
        <v>919</v>
      </c>
      <c r="D171" s="96">
        <v>45077</v>
      </c>
      <c r="E171" t="s">
        <v>920</v>
      </c>
      <c r="F171" s="94">
        <v>47</v>
      </c>
      <c r="G171" s="14" t="s">
        <v>952</v>
      </c>
    </row>
    <row r="172" spans="1:7">
      <c r="A172" s="105">
        <v>10323594</v>
      </c>
      <c r="B172" s="95" t="s">
        <v>922</v>
      </c>
      <c r="C172" s="14" t="s">
        <v>919</v>
      </c>
      <c r="D172" s="96">
        <v>44958</v>
      </c>
      <c r="E172" t="s">
        <v>985</v>
      </c>
      <c r="F172" s="94">
        <v>24</v>
      </c>
      <c r="G172" s="14" t="s">
        <v>952</v>
      </c>
    </row>
    <row r="173" spans="1:7">
      <c r="B173" s="95" t="s">
        <v>922</v>
      </c>
      <c r="C173" s="14" t="s">
        <v>919</v>
      </c>
      <c r="D173" s="96">
        <v>45111</v>
      </c>
      <c r="E173" t="s">
        <v>963</v>
      </c>
      <c r="F173" s="94">
        <v>24</v>
      </c>
      <c r="G173" s="14" t="s">
        <v>952</v>
      </c>
    </row>
    <row r="174" spans="1:7">
      <c r="B174" s="95" t="s">
        <v>917</v>
      </c>
      <c r="C174" s="14" t="s">
        <v>918</v>
      </c>
      <c r="D174" s="96">
        <v>45070</v>
      </c>
    </row>
    <row r="175" spans="1:7">
      <c r="B175" s="95" t="s">
        <v>922</v>
      </c>
      <c r="C175" s="14" t="s">
        <v>918</v>
      </c>
      <c r="D175" s="96">
        <v>45084</v>
      </c>
    </row>
    <row r="176" spans="1:7">
      <c r="B176" s="95" t="s">
        <v>917</v>
      </c>
      <c r="C176" s="14" t="s">
        <v>919</v>
      </c>
      <c r="D176" s="96">
        <v>45132</v>
      </c>
      <c r="E176" t="s">
        <v>920</v>
      </c>
      <c r="F176" s="94">
        <v>48</v>
      </c>
      <c r="G176" s="14" t="s">
        <v>952</v>
      </c>
    </row>
    <row r="177" spans="2:7">
      <c r="B177" s="95" t="s">
        <v>917</v>
      </c>
      <c r="C177" s="14" t="s">
        <v>919</v>
      </c>
      <c r="D177" s="96">
        <v>45139</v>
      </c>
      <c r="E177" t="s">
        <v>920</v>
      </c>
      <c r="F177" s="94">
        <v>48</v>
      </c>
      <c r="G177" s="14" t="s">
        <v>952</v>
      </c>
    </row>
  </sheetData>
  <sortState xmlns:xlrd2="http://schemas.microsoft.com/office/spreadsheetml/2017/richdata2" ref="A66:I98">
    <sortCondition ref="D66:D98"/>
    <sortCondition ref="B66:B98"/>
  </sortState>
  <mergeCells count="2">
    <mergeCell ref="H16:H17"/>
    <mergeCell ref="H35:H36"/>
  </mergeCells>
  <phoneticPr fontId="10"/>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AG19"/>
  <sheetViews>
    <sheetView zoomScale="90" zoomScaleNormal="90" workbookViewId="0">
      <pane xSplit="2" ySplit="3" topLeftCell="I20" activePane="bottomRight" state="frozen"/>
      <selection pane="topRight" activeCell="C1" sqref="C1"/>
      <selection pane="bottomLeft" activeCell="A4" sqref="A4"/>
      <selection pane="bottomRight" activeCell="I20" sqref="I20"/>
    </sheetView>
  </sheetViews>
  <sheetFormatPr defaultColWidth="8.453125" defaultRowHeight="14.5"/>
  <cols>
    <col min="1" max="1" width="8.453125" customWidth="1"/>
    <col min="3" max="14" width="14.453125" customWidth="1"/>
    <col min="15" max="21" width="14.453125" hidden="1" customWidth="1"/>
    <col min="22" max="25" width="14.453125" customWidth="1"/>
    <col min="26" max="27" width="10.453125" customWidth="1"/>
  </cols>
  <sheetData>
    <row r="2" spans="2:33" ht="15" customHeight="1">
      <c r="B2" s="551"/>
      <c r="C2" s="552" t="s">
        <v>986</v>
      </c>
      <c r="D2" s="552"/>
      <c r="E2" s="552"/>
      <c r="F2" s="552"/>
      <c r="G2" s="552"/>
      <c r="H2" s="553"/>
      <c r="I2" s="554" t="s">
        <v>987</v>
      </c>
      <c r="J2" s="554"/>
      <c r="K2" s="554"/>
      <c r="L2" s="554"/>
      <c r="M2" s="554"/>
      <c r="N2" s="555"/>
      <c r="O2" s="556" t="s">
        <v>988</v>
      </c>
      <c r="P2" s="556"/>
      <c r="Q2" s="556"/>
      <c r="R2" s="556"/>
      <c r="S2" s="556"/>
      <c r="T2" s="556"/>
      <c r="U2" s="557"/>
      <c r="V2" s="558" t="s">
        <v>267</v>
      </c>
      <c r="W2" s="558"/>
      <c r="X2" s="558"/>
      <c r="Y2" s="558"/>
    </row>
    <row r="3" spans="2:33" s="14" customFormat="1" ht="46.5" customHeight="1">
      <c r="B3" s="551"/>
      <c r="C3" s="13" t="s">
        <v>989</v>
      </c>
      <c r="D3" s="13" t="s">
        <v>990</v>
      </c>
      <c r="E3" s="13" t="s">
        <v>991</v>
      </c>
      <c r="F3" s="13" t="s">
        <v>992</v>
      </c>
      <c r="G3" s="13" t="s">
        <v>993</v>
      </c>
      <c r="H3" s="13" t="s">
        <v>994</v>
      </c>
      <c r="I3" s="15" t="s">
        <v>989</v>
      </c>
      <c r="J3" s="15" t="s">
        <v>990</v>
      </c>
      <c r="K3" s="15" t="s">
        <v>991</v>
      </c>
      <c r="L3" s="15" t="s">
        <v>992</v>
      </c>
      <c r="M3" s="15" t="s">
        <v>993</v>
      </c>
      <c r="N3" s="15" t="s">
        <v>994</v>
      </c>
      <c r="O3" s="16" t="s">
        <v>995</v>
      </c>
      <c r="P3" s="16" t="s">
        <v>996</v>
      </c>
      <c r="Q3" s="16" t="s">
        <v>997</v>
      </c>
      <c r="R3" s="16" t="s">
        <v>998</v>
      </c>
      <c r="S3" s="16" t="s">
        <v>999</v>
      </c>
      <c r="T3" s="16" t="s">
        <v>1000</v>
      </c>
      <c r="U3" s="16" t="s">
        <v>994</v>
      </c>
      <c r="V3" s="17" t="s">
        <v>997</v>
      </c>
      <c r="W3" s="17" t="s">
        <v>1000</v>
      </c>
      <c r="X3" s="18" t="s">
        <v>1001</v>
      </c>
      <c r="Y3" s="18" t="s">
        <v>1002</v>
      </c>
      <c r="Z3" s="14" t="s">
        <v>1003</v>
      </c>
      <c r="AA3" s="14" t="s">
        <v>1004</v>
      </c>
      <c r="AB3" s="14" t="s">
        <v>1005</v>
      </c>
      <c r="AC3" s="14" t="s">
        <v>1006</v>
      </c>
      <c r="AD3" s="14" t="s">
        <v>1007</v>
      </c>
      <c r="AE3" t="s">
        <v>1008</v>
      </c>
      <c r="AF3" s="14" t="s">
        <v>1009</v>
      </c>
      <c r="AG3" s="14" t="s">
        <v>1010</v>
      </c>
    </row>
    <row r="4" spans="2:33">
      <c r="B4" s="1" t="s">
        <v>1011</v>
      </c>
      <c r="C4" s="4" t="s">
        <v>46</v>
      </c>
      <c r="D4" s="4" t="s">
        <v>46</v>
      </c>
      <c r="E4" s="4" t="s">
        <v>46</v>
      </c>
      <c r="F4" s="4" t="s">
        <v>46</v>
      </c>
      <c r="G4" s="4" t="s">
        <v>46</v>
      </c>
      <c r="H4" s="4" t="s">
        <v>46</v>
      </c>
      <c r="I4" s="1">
        <f>'Geo &amp; CIC Deployment Plan'!V55</f>
        <v>28</v>
      </c>
      <c r="J4" s="1">
        <f>'Geo &amp; CIC Deployment Plan'!V56</f>
        <v>31</v>
      </c>
      <c r="K4" s="1">
        <f>'Geo &amp; CIC Deployment Plan'!V60</f>
        <v>28</v>
      </c>
      <c r="L4" s="1">
        <f>'Geo &amp; CIC Deployment Plan'!V61</f>
        <v>87</v>
      </c>
      <c r="M4" s="10">
        <f>'Geo &amp; CIC Deployment Plan'!V64</f>
        <v>62</v>
      </c>
      <c r="N4" t="e">
        <f>COUNTIFS('Geo &amp; CIC Deployment Plan'!#REF!, "=CIC India")</f>
        <v>#REF!</v>
      </c>
      <c r="O4" s="4" t="s">
        <v>46</v>
      </c>
      <c r="P4" s="4" t="s">
        <v>46</v>
      </c>
      <c r="Q4" s="4" t="s">
        <v>46</v>
      </c>
      <c r="R4" s="4" t="s">
        <v>46</v>
      </c>
      <c r="S4" s="4" t="s">
        <v>46</v>
      </c>
      <c r="T4" s="4" t="s">
        <v>46</v>
      </c>
      <c r="U4" s="4" t="s">
        <v>46</v>
      </c>
      <c r="V4" s="4" t="s">
        <v>46</v>
      </c>
      <c r="W4" s="21">
        <f t="shared" ref="W4:W11" si="0">M4</f>
        <v>62</v>
      </c>
      <c r="X4" s="9">
        <f>M4</f>
        <v>62</v>
      </c>
      <c r="Y4" t="e">
        <f>N4</f>
        <v>#REF!</v>
      </c>
      <c r="Z4" t="str">
        <f>'Geo &amp; CIC Deployment Plan'!AG55</f>
        <v>New GBS Associates Induction</v>
      </c>
      <c r="AA4" t="str">
        <f>'Geo &amp; CIC Deployment Plan'!AG60</f>
        <v>New GBS Associates Induction</v>
      </c>
      <c r="AB4" t="str">
        <f>'Geo &amp; CIC Deployment Plan'!AH60</f>
        <v>Virtual</v>
      </c>
      <c r="AC4" t="str">
        <f>'Geo &amp; CIC Deployment Plan'!AH55</f>
        <v>Virtual</v>
      </c>
      <c r="AD4">
        <f>'Geo &amp; CIC Deployment Plan'!AA55</f>
        <v>0</v>
      </c>
      <c r="AE4">
        <f>'Geo &amp; CIC Deployment Plan'!AA56</f>
        <v>0</v>
      </c>
      <c r="AF4">
        <f>'Geo &amp; CIC Deployment Plan'!AA60</f>
        <v>0</v>
      </c>
      <c r="AG4">
        <f>'Geo &amp; CIC Deployment Plan'!AA61</f>
        <v>0</v>
      </c>
    </row>
    <row r="5" spans="2:33">
      <c r="B5" s="1" t="s">
        <v>885</v>
      </c>
      <c r="C5" s="1">
        <f>'Geo &amp; CIC Deployment Plan'!U97</f>
        <v>0</v>
      </c>
      <c r="D5" s="1">
        <f>'Geo &amp; CIC Deployment Plan'!U98</f>
        <v>0</v>
      </c>
      <c r="E5" s="1">
        <f>'Geo &amp; CIC Deployment Plan'!U99</f>
        <v>0</v>
      </c>
      <c r="F5" s="1">
        <f>'Geo &amp; CIC Deployment Plan'!U100</f>
        <v>0</v>
      </c>
      <c r="G5" s="10">
        <f>'Geo &amp; CIC Deployment Plan'!U101</f>
        <v>0</v>
      </c>
      <c r="H5">
        <f>COUNTIFS('Geo &amp; CIC Deployment Plan'!F65:F75, "=GEO China")</f>
        <v>0</v>
      </c>
      <c r="I5" s="1">
        <f>'Geo &amp; CIC Deployment Plan'!V97</f>
        <v>587</v>
      </c>
      <c r="J5" s="1">
        <f>'Geo &amp; CIC Deployment Plan'!V98</f>
        <v>0</v>
      </c>
      <c r="K5" s="1">
        <f>'Geo &amp; CIC Deployment Plan'!V99</f>
        <v>0</v>
      </c>
      <c r="L5" s="1">
        <f>'Geo &amp; CIC Deployment Plan'!V100</f>
        <v>0</v>
      </c>
      <c r="M5" s="10">
        <f>'Geo &amp; CIC Deployment Plan'!V101</f>
        <v>590</v>
      </c>
      <c r="N5">
        <f>COUNTIFS('Geo &amp; CIC Deployment Plan'!F65:F75, "=CIC China")</f>
        <v>11</v>
      </c>
      <c r="O5" s="4" t="s">
        <v>46</v>
      </c>
      <c r="P5" s="4" t="s">
        <v>46</v>
      </c>
      <c r="Q5" s="4" t="s">
        <v>46</v>
      </c>
      <c r="R5" s="4" t="s">
        <v>46</v>
      </c>
      <c r="S5" s="4" t="s">
        <v>46</v>
      </c>
      <c r="T5" s="4" t="s">
        <v>46</v>
      </c>
      <c r="U5" s="4" t="s">
        <v>46</v>
      </c>
      <c r="V5" s="21">
        <f>G5</f>
        <v>0</v>
      </c>
      <c r="W5" s="21">
        <f t="shared" si="0"/>
        <v>590</v>
      </c>
      <c r="X5" s="9">
        <f>G5+M5</f>
        <v>590</v>
      </c>
      <c r="Y5" s="6">
        <f>H5+N5</f>
        <v>11</v>
      </c>
      <c r="Z5">
        <f>'Geo &amp; CIC Deployment Plan'!AG97</f>
        <v>0</v>
      </c>
      <c r="AA5">
        <f>'Geo &amp; CIC Deployment Plan'!AG99</f>
        <v>0</v>
      </c>
      <c r="AB5">
        <f>'Geo &amp; CIC Deployment Plan'!AH99</f>
        <v>0</v>
      </c>
      <c r="AC5">
        <f>'Geo &amp; CIC Deployment Plan'!AH97</f>
        <v>2</v>
      </c>
      <c r="AD5">
        <f>'Geo &amp; CIC Deployment Plan'!AA97</f>
        <v>0</v>
      </c>
      <c r="AE5">
        <f>'Geo &amp; CIC Deployment Plan'!AA98</f>
        <v>0</v>
      </c>
      <c r="AF5">
        <f>'Geo &amp; CIC Deployment Plan'!AA99</f>
        <v>1</v>
      </c>
      <c r="AG5">
        <f>'Geo &amp; CIC Deployment Plan'!AA100</f>
        <v>0</v>
      </c>
    </row>
    <row r="6" spans="2:33">
      <c r="B6" s="1" t="s">
        <v>276</v>
      </c>
      <c r="C6" s="4" t="s">
        <v>46</v>
      </c>
      <c r="D6" s="4" t="s">
        <v>46</v>
      </c>
      <c r="E6" s="4" t="s">
        <v>46</v>
      </c>
      <c r="F6" s="4" t="s">
        <v>46</v>
      </c>
      <c r="G6" s="4" t="s">
        <v>46</v>
      </c>
      <c r="H6" s="4" t="s">
        <v>46</v>
      </c>
      <c r="I6" s="1">
        <f>'Geo &amp; CIC Deployment Plan'!V123</f>
        <v>1016</v>
      </c>
      <c r="J6" s="1">
        <f>'Geo &amp; CIC Deployment Plan'!V124</f>
        <v>0</v>
      </c>
      <c r="K6" s="1">
        <f>'Geo &amp; CIC Deployment Plan'!V125</f>
        <v>0</v>
      </c>
      <c r="L6" s="1">
        <f>'Geo &amp; CIC Deployment Plan'!V126</f>
        <v>0</v>
      </c>
      <c r="M6" s="10">
        <f>'Geo &amp; CIC Deployment Plan'!V127</f>
        <v>1016</v>
      </c>
      <c r="N6" t="e">
        <f>COUNTIFS('Geo &amp; CIC Deployment Plan'!#REF!, "=CIC CEE")</f>
        <v>#REF!</v>
      </c>
      <c r="O6" s="4" t="s">
        <v>46</v>
      </c>
      <c r="P6" s="4" t="s">
        <v>46</v>
      </c>
      <c r="Q6" s="4" t="s">
        <v>46</v>
      </c>
      <c r="R6" s="4" t="s">
        <v>46</v>
      </c>
      <c r="S6" s="4" t="s">
        <v>46</v>
      </c>
      <c r="T6" s="4" t="s">
        <v>46</v>
      </c>
      <c r="U6" s="4" t="s">
        <v>46</v>
      </c>
      <c r="V6" s="4" t="s">
        <v>46</v>
      </c>
      <c r="W6" s="21">
        <f t="shared" si="0"/>
        <v>1016</v>
      </c>
      <c r="X6" s="9">
        <f>M6</f>
        <v>1016</v>
      </c>
      <c r="Y6" s="6" t="e">
        <f>N6</f>
        <v>#REF!</v>
      </c>
      <c r="Z6">
        <f>'Geo &amp; CIC Deployment Plan'!AG123</f>
        <v>0</v>
      </c>
      <c r="AA6">
        <f>'Geo &amp; CIC Deployment Plan'!AG125</f>
        <v>0</v>
      </c>
      <c r="AB6">
        <f>'Geo &amp; CIC Deployment Plan'!AH125</f>
        <v>19</v>
      </c>
      <c r="AC6">
        <f>'Geo &amp; CIC Deployment Plan'!AH123</f>
        <v>16</v>
      </c>
      <c r="AD6">
        <f>'Geo &amp; CIC Deployment Plan'!AA123</f>
        <v>19</v>
      </c>
      <c r="AE6">
        <f>'Geo &amp; CIC Deployment Plan'!AA124</f>
        <v>0</v>
      </c>
      <c r="AF6">
        <f>'Geo &amp; CIC Deployment Plan'!AA125</f>
        <v>0</v>
      </c>
      <c r="AG6">
        <f>'Geo &amp; CIC Deployment Plan'!AA126</f>
        <v>0</v>
      </c>
    </row>
    <row r="7" spans="2:33">
      <c r="B7" s="1" t="s">
        <v>1012</v>
      </c>
      <c r="C7" s="1">
        <f>'Geo &amp; CIC Deployment Plan'!U196</f>
        <v>0</v>
      </c>
      <c r="D7" s="1">
        <f>'Geo &amp; CIC Deployment Plan'!U197</f>
        <v>0</v>
      </c>
      <c r="E7" s="1">
        <f>'Geo &amp; CIC Deployment Plan'!U198</f>
        <v>0</v>
      </c>
      <c r="F7" s="1">
        <f>'Geo &amp; CIC Deployment Plan'!U199</f>
        <v>0</v>
      </c>
      <c r="G7" s="10" t="e">
        <f>'Geo &amp; CIC Deployment Plan'!#REF!</f>
        <v>#REF!</v>
      </c>
      <c r="H7" s="19">
        <f>COUNTIFS('Geo &amp; CIC Deployment Plan'!F128:F146, "=Geo Western Europe")</f>
        <v>0</v>
      </c>
      <c r="I7" s="1">
        <f>'Geo &amp; CIC Deployment Plan'!V196</f>
        <v>0</v>
      </c>
      <c r="J7" s="1">
        <f>'Geo &amp; CIC Deployment Plan'!V197</f>
        <v>0</v>
      </c>
      <c r="K7" s="1">
        <f>'Geo &amp; CIC Deployment Plan'!V198</f>
        <v>384</v>
      </c>
      <c r="L7" s="1">
        <f>'Geo &amp; CIC Deployment Plan'!V199</f>
        <v>0</v>
      </c>
      <c r="M7" s="10" t="e">
        <f>'Geo &amp; CIC Deployment Plan'!#REF!</f>
        <v>#REF!</v>
      </c>
      <c r="N7" s="19">
        <f>COUNTIFS('Geo &amp; CIC Deployment Plan'!F128:F146, "=CIC Western Europe")</f>
        <v>19</v>
      </c>
      <c r="O7" s="4" t="s">
        <v>46</v>
      </c>
      <c r="P7" s="4" t="s">
        <v>46</v>
      </c>
      <c r="Q7" s="4" t="s">
        <v>46</v>
      </c>
      <c r="R7" s="4" t="s">
        <v>46</v>
      </c>
      <c r="S7" s="4" t="s">
        <v>46</v>
      </c>
      <c r="T7" s="4" t="s">
        <v>46</v>
      </c>
      <c r="U7" s="4" t="s">
        <v>46</v>
      </c>
      <c r="V7" s="21" t="e">
        <f>G7</f>
        <v>#REF!</v>
      </c>
      <c r="W7" s="21" t="e">
        <f t="shared" si="0"/>
        <v>#REF!</v>
      </c>
      <c r="X7" s="9" t="e">
        <f>G7+M7</f>
        <v>#REF!</v>
      </c>
      <c r="Y7" s="6">
        <f>H7+N7</f>
        <v>19</v>
      </c>
      <c r="Z7">
        <f>'Geo &amp; CIC Deployment Plan'!AG196</f>
        <v>0</v>
      </c>
      <c r="AA7">
        <f>'Geo &amp; CIC Deployment Plan'!AG198</f>
        <v>0</v>
      </c>
      <c r="AB7">
        <f>'Geo &amp; CIC Deployment Plan'!AH198</f>
        <v>0</v>
      </c>
      <c r="AC7">
        <f>'Geo &amp; CIC Deployment Plan'!AH196</f>
        <v>16</v>
      </c>
      <c r="AD7">
        <f>'Geo &amp; CIC Deployment Plan'!AA196</f>
        <v>11</v>
      </c>
      <c r="AE7">
        <f>'Geo &amp; CIC Deployment Plan'!AA197</f>
        <v>0</v>
      </c>
      <c r="AF7">
        <f>'Geo &amp; CIC Deployment Plan'!AA198</f>
        <v>3</v>
      </c>
      <c r="AG7">
        <f>'Geo &amp; CIC Deployment Plan'!AA199</f>
        <v>0</v>
      </c>
    </row>
    <row r="8" spans="2:33">
      <c r="B8" s="1" t="s">
        <v>1013</v>
      </c>
      <c r="C8" s="4" t="s">
        <v>46</v>
      </c>
      <c r="D8" s="4" t="s">
        <v>46</v>
      </c>
      <c r="E8" s="4" t="s">
        <v>46</v>
      </c>
      <c r="F8" s="4" t="s">
        <v>46</v>
      </c>
      <c r="G8" s="4" t="s">
        <v>46</v>
      </c>
      <c r="H8" s="4" t="s">
        <v>46</v>
      </c>
      <c r="I8" s="1">
        <f>'Geo &amp; CIC Deployment Plan'!V201</f>
        <v>2</v>
      </c>
      <c r="J8" s="1" t="e">
        <f>'Geo &amp; CIC Deployment Plan'!V215</f>
        <v>#REF!</v>
      </c>
      <c r="K8" s="1" t="e">
        <f>'Geo &amp; CIC Deployment Plan'!V216</f>
        <v>#REF!</v>
      </c>
      <c r="L8" s="1" t="e">
        <f>'Geo &amp; CIC Deployment Plan'!V217</f>
        <v>#REF!</v>
      </c>
      <c r="M8" s="10" t="e">
        <f>'Geo &amp; CIC Deployment Plan'!V218</f>
        <v>#REF!</v>
      </c>
      <c r="N8" s="19" t="e">
        <f>COUNTIFS('Geo &amp; CIC Deployment Plan'!#REF!, "=CIC Philippines")</f>
        <v>#REF!</v>
      </c>
      <c r="O8" s="4" t="s">
        <v>46</v>
      </c>
      <c r="P8" s="4" t="s">
        <v>46</v>
      </c>
      <c r="Q8" s="4" t="s">
        <v>46</v>
      </c>
      <c r="R8" s="4" t="s">
        <v>46</v>
      </c>
      <c r="S8" s="4" t="s">
        <v>46</v>
      </c>
      <c r="T8" s="4" t="s">
        <v>46</v>
      </c>
      <c r="U8" s="4" t="s">
        <v>46</v>
      </c>
      <c r="V8" s="4" t="s">
        <v>46</v>
      </c>
      <c r="W8" s="21" t="e">
        <f t="shared" si="0"/>
        <v>#REF!</v>
      </c>
      <c r="X8" s="9" t="e">
        <f>M8</f>
        <v>#REF!</v>
      </c>
      <c r="Y8" s="6" t="e">
        <f>N8</f>
        <v>#REF!</v>
      </c>
      <c r="Z8" t="str">
        <f>'Geo &amp; CIC Deployment Plan'!AG201</f>
        <v>New GBS Associates Induction</v>
      </c>
      <c r="AA8" t="e">
        <f>'Geo &amp; CIC Deployment Plan'!AG216</f>
        <v>#REF!</v>
      </c>
      <c r="AB8" t="e">
        <f>'Geo &amp; CIC Deployment Plan'!AH216</f>
        <v>#REF!</v>
      </c>
      <c r="AC8" t="str">
        <f>'Geo &amp; CIC Deployment Plan'!AH201</f>
        <v>Virtual</v>
      </c>
      <c r="AD8" t="e">
        <f>'Geo &amp; CIC Deployment Plan'!AA201</f>
        <v>#REF!</v>
      </c>
      <c r="AE8" t="e">
        <f>'Geo &amp; CIC Deployment Plan'!AA215</f>
        <v>#REF!</v>
      </c>
      <c r="AF8" t="e">
        <f>'Geo &amp; CIC Deployment Plan'!AA216</f>
        <v>#REF!</v>
      </c>
      <c r="AG8" t="e">
        <f>'Geo &amp; CIC Deployment Plan'!AA217</f>
        <v>#REF!</v>
      </c>
    </row>
    <row r="9" spans="2:33">
      <c r="B9" s="1" t="s">
        <v>903</v>
      </c>
      <c r="C9" s="4" t="s">
        <v>46</v>
      </c>
      <c r="D9" s="4" t="s">
        <v>46</v>
      </c>
      <c r="E9" s="4" t="s">
        <v>46</v>
      </c>
      <c r="F9" s="4" t="s">
        <v>46</v>
      </c>
      <c r="G9" s="4" t="s">
        <v>46</v>
      </c>
      <c r="H9" s="4" t="s">
        <v>46</v>
      </c>
      <c r="I9" s="1">
        <f>'Geo &amp; CIC Deployment Plan'!V315</f>
        <v>48</v>
      </c>
      <c r="J9" s="1">
        <f>'Geo &amp; CIC Deployment Plan'!V316</f>
        <v>0</v>
      </c>
      <c r="K9" s="1">
        <f>'Geo &amp; CIC Deployment Plan'!V317</f>
        <v>0</v>
      </c>
      <c r="L9" s="1">
        <f>'Geo &amp; CIC Deployment Plan'!V318</f>
        <v>0</v>
      </c>
      <c r="M9" s="10">
        <f>'Geo &amp; CIC Deployment Plan'!V319</f>
        <v>839</v>
      </c>
      <c r="N9" s="24">
        <f>COUNTIFS('Geo &amp; CIC Deployment Plan'!F219:F245, "=CIC LA")</f>
        <v>27</v>
      </c>
      <c r="O9" s="4" t="s">
        <v>46</v>
      </c>
      <c r="P9" s="4" t="s">
        <v>46</v>
      </c>
      <c r="Q9" s="4" t="s">
        <v>46</v>
      </c>
      <c r="R9" s="4" t="s">
        <v>46</v>
      </c>
      <c r="S9" s="4" t="s">
        <v>46</v>
      </c>
      <c r="T9" s="4" t="s">
        <v>46</v>
      </c>
      <c r="U9" s="4" t="s">
        <v>46</v>
      </c>
      <c r="V9" s="4" t="s">
        <v>46</v>
      </c>
      <c r="W9" s="21">
        <f t="shared" si="0"/>
        <v>839</v>
      </c>
      <c r="X9" s="9">
        <f>M9</f>
        <v>839</v>
      </c>
      <c r="Y9" s="8">
        <f>N9</f>
        <v>27</v>
      </c>
      <c r="Z9">
        <f>'Geo &amp; CIC Deployment Plan'!AG315</f>
        <v>0</v>
      </c>
      <c r="AA9">
        <f>'Geo &amp; CIC Deployment Plan'!AG317</f>
        <v>0</v>
      </c>
      <c r="AB9">
        <f>'Geo &amp; CIC Deployment Plan'!AH317</f>
        <v>0</v>
      </c>
      <c r="AC9">
        <f>'Geo &amp; CIC Deployment Plan'!AH315</f>
        <v>27</v>
      </c>
      <c r="AD9">
        <f>'Geo &amp; CIC Deployment Plan'!AA315</f>
        <v>0</v>
      </c>
      <c r="AE9">
        <f>'Geo &amp; CIC Deployment Plan'!AA316</f>
        <v>2</v>
      </c>
      <c r="AF9">
        <f>'Geo &amp; CIC Deployment Plan'!AA317</f>
        <v>0</v>
      </c>
      <c r="AG9">
        <f>'Geo &amp; CIC Deployment Plan'!AA318</f>
        <v>0</v>
      </c>
    </row>
    <row r="10" spans="2:33">
      <c r="B10" s="1" t="s">
        <v>151</v>
      </c>
      <c r="C10" s="1" t="e">
        <f>'Geo &amp; CIC Deployment Plan'!#REF!</f>
        <v>#REF!</v>
      </c>
      <c r="D10" s="1">
        <f>'Geo &amp; CIC Deployment Plan'!U420</f>
        <v>742</v>
      </c>
      <c r="E10" s="1">
        <f>'Geo &amp; CIC Deployment Plan'!U421</f>
        <v>0</v>
      </c>
      <c r="F10" s="1">
        <f>'Geo &amp; CIC Deployment Plan'!U422</f>
        <v>0</v>
      </c>
      <c r="G10" s="10">
        <f>'Geo &amp; CIC Deployment Plan'!U423</f>
        <v>754</v>
      </c>
      <c r="H10" s="7">
        <f>COUNTIFS('Geo &amp; CIC Deployment Plan'!F320:F400, "=Geo NA - US") + COUNTIFS('Geo &amp; CIC Deployment Plan'!F320:F400, "=Geo NA - Canada")</f>
        <v>30</v>
      </c>
      <c r="I10" s="1" t="e">
        <f>'Geo &amp; CIC Deployment Plan'!#REF!</f>
        <v>#REF!</v>
      </c>
      <c r="J10" s="1">
        <f>'Geo &amp; CIC Deployment Plan'!V420</f>
        <v>974</v>
      </c>
      <c r="K10" s="1">
        <f>'Geo &amp; CIC Deployment Plan'!V421</f>
        <v>0</v>
      </c>
      <c r="L10" s="1">
        <f>'Geo &amp; CIC Deployment Plan'!V422</f>
        <v>0</v>
      </c>
      <c r="M10" s="10">
        <f>'Geo &amp; CIC Deployment Plan'!V423</f>
        <v>1062</v>
      </c>
      <c r="N10" s="7">
        <f>COUNTIFS('Geo &amp; CIC Deployment Plan'!F320:F400, "=CIC NA")</f>
        <v>51</v>
      </c>
      <c r="O10" s="4" t="s">
        <v>46</v>
      </c>
      <c r="P10" s="4" t="s">
        <v>46</v>
      </c>
      <c r="Q10" s="4" t="s">
        <v>46</v>
      </c>
      <c r="R10" s="4" t="s">
        <v>46</v>
      </c>
      <c r="S10" s="4" t="s">
        <v>46</v>
      </c>
      <c r="T10" s="4" t="s">
        <v>46</v>
      </c>
      <c r="U10" s="4" t="s">
        <v>46</v>
      </c>
      <c r="V10" s="21">
        <f>G10</f>
        <v>754</v>
      </c>
      <c r="W10" s="21">
        <f t="shared" si="0"/>
        <v>1062</v>
      </c>
      <c r="X10" s="9">
        <f>G10+M10</f>
        <v>1816</v>
      </c>
      <c r="Y10" s="8">
        <f>H10+N10</f>
        <v>81</v>
      </c>
      <c r="Z10" t="e">
        <f>'Geo &amp; CIC Deployment Plan'!#REF!</f>
        <v>#REF!</v>
      </c>
      <c r="AA10">
        <f>'Geo &amp; CIC Deployment Plan'!AG421</f>
        <v>0</v>
      </c>
      <c r="AB10">
        <f>'Geo &amp; CIC Deployment Plan'!AH421</f>
        <v>1</v>
      </c>
      <c r="AC10" t="e">
        <f>'Geo &amp; CIC Deployment Plan'!#REF!</f>
        <v>#REF!</v>
      </c>
      <c r="AD10" t="e">
        <f>'Geo &amp; CIC Deployment Plan'!#REF!</f>
        <v>#REF!</v>
      </c>
      <c r="AE10">
        <f>'Geo &amp; CIC Deployment Plan'!AA420</f>
        <v>0</v>
      </c>
      <c r="AF10">
        <f>'Geo &amp; CIC Deployment Plan'!AA421</f>
        <v>0</v>
      </c>
      <c r="AG10">
        <f>'Geo &amp; CIC Deployment Plan'!AA422</f>
        <v>0</v>
      </c>
    </row>
    <row r="11" spans="2:33">
      <c r="B11" s="1" t="s">
        <v>1014</v>
      </c>
      <c r="C11" s="3">
        <f>'Geo &amp; CIC Deployment Plan'!U434</f>
        <v>0</v>
      </c>
      <c r="D11" s="3">
        <f>'Geo &amp; CIC Deployment Plan'!U435</f>
        <v>0</v>
      </c>
      <c r="E11" s="3">
        <f>'Geo &amp; CIC Deployment Plan'!U436</f>
        <v>0</v>
      </c>
      <c r="F11" s="3">
        <f>'Geo &amp; CIC Deployment Plan'!U437</f>
        <v>0</v>
      </c>
      <c r="G11" s="11">
        <f>'Geo &amp; CIC Deployment Plan'!U438</f>
        <v>0</v>
      </c>
      <c r="H11" s="19">
        <f>COUNTIFS('Geo &amp; CIC Deployment Plan'!F424:F431, "=Geo MEA")</f>
        <v>0</v>
      </c>
      <c r="I11" s="1">
        <f>'Geo &amp; CIC Deployment Plan'!V434</f>
        <v>173</v>
      </c>
      <c r="J11" s="1">
        <f>'Geo &amp; CIC Deployment Plan'!V435</f>
        <v>0</v>
      </c>
      <c r="K11" s="1">
        <f>'Geo &amp; CIC Deployment Plan'!V436</f>
        <v>0</v>
      </c>
      <c r="L11" s="1">
        <f>'Geo &amp; CIC Deployment Plan'!V437</f>
        <v>0</v>
      </c>
      <c r="M11" s="10">
        <f>'Geo &amp; CIC Deployment Plan'!V438</f>
        <v>257</v>
      </c>
      <c r="N11" s="7">
        <f>COUNTIFS('Geo &amp; CIC Deployment Plan'!F424:F431, "=CIC MEA")</f>
        <v>8</v>
      </c>
      <c r="O11" s="4" t="s">
        <v>46</v>
      </c>
      <c r="P11" s="4" t="s">
        <v>46</v>
      </c>
      <c r="Q11" s="4" t="s">
        <v>46</v>
      </c>
      <c r="R11" s="4" t="s">
        <v>46</v>
      </c>
      <c r="S11" s="4" t="s">
        <v>46</v>
      </c>
      <c r="T11" s="4" t="s">
        <v>46</v>
      </c>
      <c r="U11" s="4" t="s">
        <v>46</v>
      </c>
      <c r="V11" s="20">
        <f>G11</f>
        <v>0</v>
      </c>
      <c r="W11" s="21">
        <f t="shared" si="0"/>
        <v>257</v>
      </c>
      <c r="X11" s="25">
        <f>G11+M11</f>
        <v>257</v>
      </c>
      <c r="Y11" s="6">
        <f>H11+N11</f>
        <v>8</v>
      </c>
      <c r="Z11">
        <f>'Geo &amp; CIC Deployment Plan'!AG434</f>
        <v>0</v>
      </c>
      <c r="AA11">
        <f>'Geo &amp; CIC Deployment Plan'!AG436</f>
        <v>0</v>
      </c>
      <c r="AB11">
        <f>'Geo &amp; CIC Deployment Plan'!AH436</f>
        <v>0</v>
      </c>
      <c r="AC11">
        <f>'Geo &amp; CIC Deployment Plan'!AH434</f>
        <v>6</v>
      </c>
      <c r="AD11">
        <f>'Geo &amp; CIC Deployment Plan'!AA434</f>
        <v>6</v>
      </c>
      <c r="AE11">
        <f>'Geo &amp; CIC Deployment Plan'!AA435</f>
        <v>0</v>
      </c>
      <c r="AF11">
        <f>'Geo &amp; CIC Deployment Plan'!AA436</f>
        <v>0</v>
      </c>
      <c r="AG11">
        <f>'Geo &amp; CIC Deployment Plan'!AA437</f>
        <v>0</v>
      </c>
    </row>
    <row r="12" spans="2:33">
      <c r="B12" s="1" t="s">
        <v>899</v>
      </c>
      <c r="C12" s="1" t="e">
        <f>'Geo &amp; CIC Deployment Plan'!U444</f>
        <v>#REF!</v>
      </c>
      <c r="D12" s="1" t="e">
        <f>'Geo &amp; CIC Deployment Plan'!U445</f>
        <v>#REF!</v>
      </c>
      <c r="E12" s="1" t="e">
        <f>'Geo &amp; CIC Deployment Plan'!U446</f>
        <v>#REF!</v>
      </c>
      <c r="F12" s="1" t="e">
        <f>'Geo &amp; CIC Deployment Plan'!U447</f>
        <v>#REF!</v>
      </c>
      <c r="G12" s="10" t="e">
        <f>'Geo &amp; CIC Deployment Plan'!U448</f>
        <v>#REF!</v>
      </c>
      <c r="H12" s="7" t="e">
        <f>COUNTIFS('Geo &amp; CIC Deployment Plan'!#REF!, "=Geo Japan")</f>
        <v>#REF!</v>
      </c>
      <c r="I12" s="4" t="s">
        <v>46</v>
      </c>
      <c r="J12" s="4" t="s">
        <v>46</v>
      </c>
      <c r="K12" s="4" t="s">
        <v>46</v>
      </c>
      <c r="L12" s="4" t="s">
        <v>46</v>
      </c>
      <c r="M12" s="4" t="s">
        <v>46</v>
      </c>
      <c r="N12" s="4" t="s">
        <v>46</v>
      </c>
      <c r="O12" s="4" t="s">
        <v>46</v>
      </c>
      <c r="P12" s="4" t="s">
        <v>46</v>
      </c>
      <c r="Q12" s="4" t="s">
        <v>46</v>
      </c>
      <c r="R12" s="4" t="s">
        <v>46</v>
      </c>
      <c r="S12" s="4" t="s">
        <v>46</v>
      </c>
      <c r="T12" s="4" t="s">
        <v>46</v>
      </c>
      <c r="U12" s="4" t="s">
        <v>46</v>
      </c>
      <c r="V12" s="10" t="e">
        <f>G12</f>
        <v>#REF!</v>
      </c>
      <c r="W12" s="4" t="s">
        <v>46</v>
      </c>
      <c r="X12" s="10" t="e">
        <f>G12</f>
        <v>#REF!</v>
      </c>
      <c r="Y12" s="6" t="e">
        <f>H12</f>
        <v>#REF!</v>
      </c>
      <c r="Z12" t="e">
        <f>'Geo &amp; CIC Deployment Plan'!AG444</f>
        <v>#REF!</v>
      </c>
      <c r="AA12" t="e">
        <f>'Geo &amp; CIC Deployment Plan'!AG446</f>
        <v>#REF!</v>
      </c>
      <c r="AB12" t="e">
        <f>'Geo &amp; CIC Deployment Plan'!AH446</f>
        <v>#REF!</v>
      </c>
      <c r="AC12" t="e">
        <f>'Geo &amp; CIC Deployment Plan'!AH444</f>
        <v>#REF!</v>
      </c>
      <c r="AD12" t="e">
        <f>'Geo &amp; CIC Deployment Plan'!AA444</f>
        <v>#REF!</v>
      </c>
      <c r="AE12" t="e">
        <f>'Geo &amp; CIC Deployment Plan'!AA445</f>
        <v>#REF!</v>
      </c>
      <c r="AF12" t="e">
        <f>'Geo &amp; CIC Deployment Plan'!AA446</f>
        <v>#REF!</v>
      </c>
      <c r="AG12" t="e">
        <f>'Geo &amp; CIC Deployment Plan'!AA447</f>
        <v>#REF!</v>
      </c>
    </row>
    <row r="13" spans="2:33">
      <c r="B13" s="1" t="s">
        <v>895</v>
      </c>
      <c r="C13" s="1">
        <f>'Geo &amp; CIC Deployment Plan'!U450</f>
        <v>17</v>
      </c>
      <c r="D13" s="1" t="e">
        <f>'Geo &amp; CIC Deployment Plan'!#REF!</f>
        <v>#REF!</v>
      </c>
      <c r="E13" s="1">
        <f>'Geo &amp; CIC Deployment Plan'!U454</f>
        <v>26</v>
      </c>
      <c r="F13" s="1" t="e">
        <f>'Geo &amp; CIC Deployment Plan'!#REF!</f>
        <v>#REF!</v>
      </c>
      <c r="G13" s="11" t="e">
        <f>'Geo &amp; CIC Deployment Plan'!#REF!</f>
        <v>#REF!</v>
      </c>
      <c r="H13" s="7" t="e">
        <f>COUNTIFS('Geo &amp; CIC Deployment Plan'!#REF!, "=Geo AP")</f>
        <v>#REF!</v>
      </c>
      <c r="I13" s="4" t="s">
        <v>46</v>
      </c>
      <c r="J13" s="4" t="s">
        <v>46</v>
      </c>
      <c r="K13" s="4" t="s">
        <v>46</v>
      </c>
      <c r="L13" s="4" t="s">
        <v>46</v>
      </c>
      <c r="M13" s="4" t="s">
        <v>46</v>
      </c>
      <c r="N13" s="4" t="s">
        <v>46</v>
      </c>
      <c r="O13" s="4" t="s">
        <v>46</v>
      </c>
      <c r="P13" s="4" t="s">
        <v>46</v>
      </c>
      <c r="Q13" s="4" t="s">
        <v>46</v>
      </c>
      <c r="R13" s="4" t="s">
        <v>46</v>
      </c>
      <c r="S13" s="4" t="s">
        <v>46</v>
      </c>
      <c r="T13" s="4" t="s">
        <v>46</v>
      </c>
      <c r="U13" s="4" t="s">
        <v>46</v>
      </c>
      <c r="V13" s="11" t="e">
        <f>G13</f>
        <v>#REF!</v>
      </c>
      <c r="W13" s="4" t="s">
        <v>46</v>
      </c>
      <c r="X13" s="11" t="e">
        <f>G13</f>
        <v>#REF!</v>
      </c>
      <c r="Y13" s="6" t="e">
        <f>H13</f>
        <v>#REF!</v>
      </c>
      <c r="Z13" t="str">
        <f>'Geo &amp; CIC Deployment Plan'!AG450</f>
        <v>New GBS Associates Induction</v>
      </c>
      <c r="AA13" t="str">
        <f>'Geo &amp; CIC Deployment Plan'!AG454</f>
        <v>New GBS Associates Induction</v>
      </c>
      <c r="AB13" t="str">
        <f>'Geo &amp; CIC Deployment Plan'!AH454</f>
        <v>Virtual</v>
      </c>
      <c r="AC13" t="str">
        <f>'Geo &amp; CIC Deployment Plan'!AH450</f>
        <v>Virtual</v>
      </c>
      <c r="AD13" t="str">
        <f>'Geo &amp; CIC Deployment Plan'!AA450</f>
        <v>In Progress</v>
      </c>
      <c r="AE13" t="e">
        <f>'Geo &amp; CIC Deployment Plan'!#REF!</f>
        <v>#REF!</v>
      </c>
      <c r="AF13" t="str">
        <f>'Geo &amp; CIC Deployment Plan'!AA454</f>
        <v>In Progress</v>
      </c>
      <c r="AG13" t="e">
        <f>'Geo &amp; CIC Deployment Plan'!#REF!</f>
        <v>#REF!</v>
      </c>
    </row>
    <row r="14" spans="2:33">
      <c r="B14" s="2" t="s">
        <v>267</v>
      </c>
      <c r="C14" s="2" t="e">
        <f t="shared" ref="C14:N14" si="1">SUM(C4:C13)</f>
        <v>#REF!</v>
      </c>
      <c r="D14" s="2" t="e">
        <f t="shared" si="1"/>
        <v>#REF!</v>
      </c>
      <c r="E14" s="2" t="e">
        <f t="shared" si="1"/>
        <v>#REF!</v>
      </c>
      <c r="F14" s="2" t="e">
        <f t="shared" si="1"/>
        <v>#REF!</v>
      </c>
      <c r="G14" s="2" t="e">
        <f t="shared" si="1"/>
        <v>#REF!</v>
      </c>
      <c r="H14" s="5" t="e">
        <f t="shared" si="1"/>
        <v>#REF!</v>
      </c>
      <c r="I14" s="2" t="e">
        <f t="shared" si="1"/>
        <v>#REF!</v>
      </c>
      <c r="J14" s="2" t="e">
        <f t="shared" si="1"/>
        <v>#REF!</v>
      </c>
      <c r="K14" s="2" t="e">
        <f t="shared" si="1"/>
        <v>#REF!</v>
      </c>
      <c r="L14" s="2" t="e">
        <f t="shared" si="1"/>
        <v>#REF!</v>
      </c>
      <c r="M14" s="2" t="e">
        <f t="shared" si="1"/>
        <v>#REF!</v>
      </c>
      <c r="N14" s="5" t="e">
        <f t="shared" si="1"/>
        <v>#REF!</v>
      </c>
      <c r="O14" s="2">
        <f t="shared" ref="O14:T14" si="2">SUM(O4:O11)</f>
        <v>0</v>
      </c>
      <c r="P14" s="2">
        <f t="shared" si="2"/>
        <v>0</v>
      </c>
      <c r="Q14" s="2">
        <f t="shared" si="2"/>
        <v>0</v>
      </c>
      <c r="R14" s="2">
        <f t="shared" si="2"/>
        <v>0</v>
      </c>
      <c r="S14" s="2">
        <f t="shared" si="2"/>
        <v>0</v>
      </c>
      <c r="T14" s="2">
        <f t="shared" si="2"/>
        <v>0</v>
      </c>
      <c r="U14" s="5">
        <f t="shared" ref="U14:AG14" si="3">SUM(U4:U13)</f>
        <v>0</v>
      </c>
      <c r="V14" s="5" t="e">
        <f t="shared" si="3"/>
        <v>#REF!</v>
      </c>
      <c r="W14" s="5" t="e">
        <f>SUM(W4:W13)</f>
        <v>#REF!</v>
      </c>
      <c r="X14" s="5" t="e">
        <f t="shared" si="3"/>
        <v>#REF!</v>
      </c>
      <c r="Y14" s="5" t="e">
        <f t="shared" si="3"/>
        <v>#REF!</v>
      </c>
      <c r="Z14" s="5" t="e">
        <f t="shared" si="3"/>
        <v>#REF!</v>
      </c>
      <c r="AA14" s="5" t="e">
        <f t="shared" si="3"/>
        <v>#REF!</v>
      </c>
      <c r="AB14" s="5" t="e">
        <f t="shared" si="3"/>
        <v>#REF!</v>
      </c>
      <c r="AC14" s="5" t="e">
        <f t="shared" si="3"/>
        <v>#REF!</v>
      </c>
      <c r="AD14" s="5" t="e">
        <f t="shared" si="3"/>
        <v>#REF!</v>
      </c>
      <c r="AE14" s="5" t="e">
        <f t="shared" si="3"/>
        <v>#REF!</v>
      </c>
      <c r="AF14" s="5" t="e">
        <f t="shared" si="3"/>
        <v>#REF!</v>
      </c>
      <c r="AG14" s="5" t="e">
        <f t="shared" si="3"/>
        <v>#REF!</v>
      </c>
    </row>
    <row r="16" spans="2:33">
      <c r="G16" s="19"/>
      <c r="H16" t="e">
        <f>C14+I14</f>
        <v>#REF!</v>
      </c>
    </row>
    <row r="17" spans="5:23">
      <c r="L17" t="e">
        <f>F14+E14+L14+K14</f>
        <v>#REF!</v>
      </c>
      <c r="W17">
        <f>2585+1036</f>
        <v>3621</v>
      </c>
    </row>
    <row r="18" spans="5:23">
      <c r="W18">
        <f>1011+1574+292+744</f>
        <v>3621</v>
      </c>
    </row>
    <row r="19" spans="5:23">
      <c r="E19" t="e">
        <f>C14+D14+I14+J14</f>
        <v>#REF!</v>
      </c>
    </row>
  </sheetData>
  <mergeCells count="5">
    <mergeCell ref="B2:B3"/>
    <mergeCell ref="C2:H2"/>
    <mergeCell ref="I2:N2"/>
    <mergeCell ref="O2:U2"/>
    <mergeCell ref="V2:Y2"/>
  </mergeCells>
  <phoneticPr fontId="1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8B3F3-DF55-491D-A4F0-52126B57DE90}">
  <sheetPr codeName="Sheet8"/>
  <dimension ref="A1:I22"/>
  <sheetViews>
    <sheetView workbookViewId="0">
      <selection activeCell="I11" sqref="I11"/>
    </sheetView>
  </sheetViews>
  <sheetFormatPr defaultColWidth="8.453125" defaultRowHeight="14.5"/>
  <cols>
    <col min="2" max="2" width="10.453125" customWidth="1"/>
    <col min="3" max="3" width="32.453125" customWidth="1"/>
    <col min="4" max="4" width="14" customWidth="1"/>
    <col min="5" max="5" width="13.453125" customWidth="1"/>
    <col min="6" max="6" width="11" customWidth="1"/>
    <col min="7" max="7" width="13.453125" customWidth="1"/>
    <col min="8" max="8" width="12.453125" customWidth="1"/>
    <col min="9" max="9" width="11.453125" customWidth="1"/>
  </cols>
  <sheetData>
    <row r="1" spans="1:9">
      <c r="A1" s="559" t="s">
        <v>1015</v>
      </c>
      <c r="B1" s="560"/>
      <c r="C1" s="560"/>
      <c r="D1" s="560"/>
      <c r="E1" s="560"/>
      <c r="F1" s="560"/>
      <c r="G1" s="560"/>
      <c r="H1" s="560"/>
      <c r="I1" s="560"/>
    </row>
    <row r="2" spans="1:9" ht="43.5">
      <c r="B2" s="219" t="s">
        <v>1016</v>
      </c>
      <c r="C2" s="235" t="s">
        <v>1017</v>
      </c>
      <c r="D2" s="235" t="s">
        <v>1018</v>
      </c>
      <c r="E2" s="235" t="s">
        <v>1019</v>
      </c>
      <c r="F2" s="235" t="s">
        <v>1020</v>
      </c>
      <c r="G2" s="235" t="s">
        <v>1021</v>
      </c>
      <c r="H2" s="235" t="s">
        <v>1022</v>
      </c>
      <c r="I2" s="235" t="s">
        <v>1023</v>
      </c>
    </row>
    <row r="3" spans="1:9">
      <c r="B3" s="14" t="s">
        <v>1024</v>
      </c>
      <c r="C3" s="14" t="s">
        <v>1025</v>
      </c>
      <c r="D3" s="14"/>
      <c r="E3" s="14">
        <v>2022</v>
      </c>
      <c r="F3" s="14" t="s">
        <v>47</v>
      </c>
      <c r="G3" s="14" t="s">
        <v>536</v>
      </c>
      <c r="H3" s="14" t="s">
        <v>1026</v>
      </c>
      <c r="I3" s="14" t="s">
        <v>1027</v>
      </c>
    </row>
    <row r="4" spans="1:9">
      <c r="B4" s="14" t="s">
        <v>922</v>
      </c>
      <c r="C4" s="14" t="s">
        <v>1028</v>
      </c>
      <c r="D4" s="14"/>
      <c r="E4" s="14">
        <v>2023</v>
      </c>
      <c r="F4" s="14" t="s">
        <v>78</v>
      </c>
      <c r="G4" s="14" t="s">
        <v>543</v>
      </c>
      <c r="H4" s="14"/>
      <c r="I4" s="14" t="s">
        <v>162</v>
      </c>
    </row>
    <row r="5" spans="1:9">
      <c r="B5" s="14" t="s">
        <v>1029</v>
      </c>
      <c r="C5" s="14" t="s">
        <v>1030</v>
      </c>
      <c r="D5" s="14"/>
      <c r="E5" s="14">
        <v>2024</v>
      </c>
      <c r="F5" s="14" t="s">
        <v>99</v>
      </c>
      <c r="G5" s="14" t="s">
        <v>1031</v>
      </c>
      <c r="H5" s="14"/>
      <c r="I5" s="14" t="s">
        <v>346</v>
      </c>
    </row>
    <row r="6" spans="1:9">
      <c r="B6" s="14" t="s">
        <v>45</v>
      </c>
      <c r="C6" s="14"/>
      <c r="D6" s="14"/>
      <c r="E6" s="14">
        <v>2025</v>
      </c>
      <c r="F6" s="14" t="s">
        <v>121</v>
      </c>
      <c r="G6" s="14" t="s">
        <v>551</v>
      </c>
      <c r="H6" s="14"/>
      <c r="I6" s="14"/>
    </row>
    <row r="7" spans="1:9">
      <c r="B7" s="14" t="s">
        <v>1032</v>
      </c>
      <c r="C7" s="14"/>
      <c r="D7" s="14"/>
      <c r="E7" s="14">
        <v>2026</v>
      </c>
      <c r="F7" s="14"/>
      <c r="G7" s="14" t="s">
        <v>555</v>
      </c>
      <c r="H7" s="14"/>
      <c r="I7" s="14"/>
    </row>
    <row r="8" spans="1:9">
      <c r="B8" s="14" t="s">
        <v>535</v>
      </c>
      <c r="C8" s="14"/>
      <c r="D8" s="14"/>
      <c r="E8" s="14"/>
      <c r="F8" s="14"/>
      <c r="G8" s="14" t="s">
        <v>559</v>
      </c>
      <c r="H8" s="14"/>
      <c r="I8" s="14"/>
    </row>
    <row r="9" spans="1:9">
      <c r="B9" s="14" t="s">
        <v>782</v>
      </c>
      <c r="C9" s="14"/>
      <c r="D9" s="14"/>
      <c r="E9" s="14"/>
      <c r="F9" s="14"/>
      <c r="G9" s="14" t="s">
        <v>564</v>
      </c>
      <c r="H9" s="14"/>
      <c r="I9" s="14"/>
    </row>
    <row r="10" spans="1:9">
      <c r="B10" s="14" t="s">
        <v>658</v>
      </c>
      <c r="C10" s="14"/>
      <c r="D10" s="14"/>
      <c r="E10" s="14"/>
      <c r="F10" s="14"/>
      <c r="G10" s="14" t="s">
        <v>566</v>
      </c>
      <c r="H10" s="14"/>
      <c r="I10" s="14"/>
    </row>
    <row r="11" spans="1:9">
      <c r="B11" s="14" t="s">
        <v>887</v>
      </c>
      <c r="C11" s="14"/>
      <c r="D11" s="14"/>
      <c r="E11" s="14"/>
      <c r="F11" s="14"/>
      <c r="G11" s="14" t="s">
        <v>571</v>
      </c>
      <c r="H11" s="14"/>
      <c r="I11" s="14"/>
    </row>
    <row r="12" spans="1:9">
      <c r="B12" s="14" t="s">
        <v>1033</v>
      </c>
      <c r="C12" s="14"/>
      <c r="D12" s="14"/>
      <c r="E12" s="14"/>
      <c r="F12" s="14"/>
      <c r="G12" s="14" t="s">
        <v>574</v>
      </c>
      <c r="H12" s="14"/>
      <c r="I12" s="14"/>
    </row>
    <row r="13" spans="1:9">
      <c r="B13" s="14" t="s">
        <v>917</v>
      </c>
      <c r="C13" s="14"/>
      <c r="D13" s="14"/>
      <c r="E13" s="14"/>
      <c r="F13" s="14"/>
      <c r="G13" s="14" t="s">
        <v>1034</v>
      </c>
      <c r="H13" s="14"/>
      <c r="I13" s="14"/>
    </row>
    <row r="14" spans="1:9">
      <c r="B14" s="14" t="s">
        <v>1035</v>
      </c>
      <c r="C14" s="14"/>
      <c r="D14" s="14"/>
      <c r="E14" s="14"/>
      <c r="F14" s="14"/>
      <c r="G14" s="14" t="s">
        <v>578</v>
      </c>
      <c r="H14" s="14"/>
      <c r="I14" s="14"/>
    </row>
    <row r="15" spans="1:9">
      <c r="B15" s="14" t="s">
        <v>1036</v>
      </c>
      <c r="C15" s="14"/>
      <c r="D15" s="14"/>
      <c r="E15" s="14"/>
      <c r="F15" s="14"/>
      <c r="G15" s="14"/>
      <c r="H15" s="14"/>
      <c r="I15" s="14"/>
    </row>
    <row r="16" spans="1:9">
      <c r="B16" s="14" t="s">
        <v>812</v>
      </c>
      <c r="C16" s="14"/>
      <c r="D16" s="14"/>
      <c r="E16" s="14"/>
      <c r="F16" s="14"/>
      <c r="G16" s="14"/>
      <c r="H16" s="14"/>
      <c r="I16" s="14"/>
    </row>
    <row r="17" spans="2:9">
      <c r="B17" s="14" t="s">
        <v>1037</v>
      </c>
      <c r="C17" s="14"/>
      <c r="D17" s="14"/>
      <c r="E17" s="14"/>
      <c r="F17" s="14"/>
      <c r="G17" s="14"/>
      <c r="H17" s="14"/>
      <c r="I17" s="14"/>
    </row>
    <row r="18" spans="2:9">
      <c r="B18" s="14" t="s">
        <v>807</v>
      </c>
      <c r="C18" s="14"/>
      <c r="D18" s="14"/>
      <c r="E18" s="14"/>
      <c r="F18" s="14"/>
      <c r="G18" s="14"/>
      <c r="H18" s="14"/>
      <c r="I18" s="14"/>
    </row>
    <row r="19" spans="2:9">
      <c r="B19" s="14" t="s">
        <v>1038</v>
      </c>
      <c r="C19" s="14"/>
      <c r="D19" s="14"/>
      <c r="E19" s="14"/>
      <c r="F19" s="14"/>
      <c r="G19" s="14"/>
      <c r="H19" s="14"/>
      <c r="I19" s="14"/>
    </row>
    <row r="20" spans="2:9">
      <c r="B20" s="14" t="s">
        <v>1039</v>
      </c>
      <c r="C20" s="14"/>
      <c r="D20" s="14"/>
      <c r="E20" s="14"/>
      <c r="F20" s="14"/>
      <c r="G20" s="14"/>
      <c r="H20" s="14"/>
      <c r="I20" s="14"/>
    </row>
    <row r="21" spans="2:9">
      <c r="B21" s="14"/>
      <c r="C21" s="14"/>
      <c r="D21" s="14"/>
      <c r="E21" s="14"/>
      <c r="F21" s="14"/>
      <c r="G21" s="14"/>
      <c r="H21" s="14"/>
      <c r="I21" s="14"/>
    </row>
    <row r="22" spans="2:9">
      <c r="B22" s="14"/>
      <c r="C22" s="14"/>
      <c r="D22" s="14"/>
      <c r="E22" s="14"/>
      <c r="F22" s="14"/>
      <c r="G22" s="14"/>
      <c r="H22" s="14"/>
      <c r="I22" s="14"/>
    </row>
  </sheetData>
  <mergeCells count="1">
    <mergeCell ref="A1:I1"/>
  </mergeCells>
  <phoneticPr fontId="2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7160-D36E-4CF1-8AFF-D615DABD0BCF}">
  <sheetPr codeName="Sheet7"/>
  <dimension ref="A1:M15"/>
  <sheetViews>
    <sheetView zoomScale="98" zoomScaleNormal="98" workbookViewId="0">
      <selection sqref="A1:XFD1"/>
    </sheetView>
  </sheetViews>
  <sheetFormatPr defaultColWidth="8.453125" defaultRowHeight="15.5"/>
  <cols>
    <col min="1" max="1" width="11.453125" style="394" customWidth="1"/>
    <col min="2" max="2" width="45.81640625" style="394" customWidth="1"/>
    <col min="3" max="16384" width="8.453125" style="394"/>
  </cols>
  <sheetData>
    <row r="1" spans="1:13" ht="38.25" customHeight="1">
      <c r="A1" s="397" t="s">
        <v>1040</v>
      </c>
      <c r="B1" s="397" t="s">
        <v>1041</v>
      </c>
      <c r="C1" s="392"/>
      <c r="D1" s="392"/>
      <c r="E1" s="393"/>
      <c r="F1" s="393"/>
      <c r="G1" s="393"/>
      <c r="H1" s="393"/>
      <c r="I1" s="393"/>
      <c r="J1" s="393"/>
      <c r="K1" s="393"/>
      <c r="L1" s="393"/>
      <c r="M1" s="393"/>
    </row>
    <row r="2" spans="1:13" ht="38.25" customHeight="1">
      <c r="A2" s="398" t="s">
        <v>1042</v>
      </c>
      <c r="B2" s="399" t="s">
        <v>1043</v>
      </c>
      <c r="C2" s="395"/>
      <c r="D2" s="395"/>
      <c r="E2" s="396"/>
      <c r="F2" s="396"/>
      <c r="G2" s="396"/>
      <c r="H2" s="396"/>
      <c r="I2" s="396"/>
      <c r="J2" s="396"/>
      <c r="K2" s="396"/>
      <c r="L2" s="396"/>
      <c r="M2" s="396"/>
    </row>
    <row r="3" spans="1:13" ht="38.25" customHeight="1">
      <c r="A3" s="400" t="s">
        <v>928</v>
      </c>
      <c r="B3" s="399" t="s">
        <v>1043</v>
      </c>
      <c r="C3" s="395"/>
      <c r="D3" s="395"/>
      <c r="E3" s="396"/>
      <c r="F3" s="396"/>
      <c r="G3" s="396"/>
      <c r="H3" s="396"/>
      <c r="I3" s="396"/>
      <c r="J3" s="396"/>
      <c r="K3" s="396"/>
      <c r="L3" s="396"/>
      <c r="M3" s="396"/>
    </row>
    <row r="4" spans="1:13" ht="38.25" customHeight="1">
      <c r="A4" s="398" t="s">
        <v>535</v>
      </c>
      <c r="B4" s="418" t="s">
        <v>1028</v>
      </c>
      <c r="C4" s="402"/>
    </row>
    <row r="5" spans="1:13" ht="38.25" customHeight="1">
      <c r="A5" s="398" t="s">
        <v>782</v>
      </c>
      <c r="B5" s="418" t="s">
        <v>1044</v>
      </c>
    </row>
    <row r="6" spans="1:13" ht="38.25" customHeight="1">
      <c r="A6" s="399" t="s">
        <v>917</v>
      </c>
      <c r="B6" s="399" t="s">
        <v>1045</v>
      </c>
    </row>
    <row r="7" spans="1:13" ht="38.25" customHeight="1">
      <c r="A7" s="398" t="s">
        <v>1033</v>
      </c>
      <c r="B7" s="398" t="s">
        <v>1046</v>
      </c>
    </row>
    <row r="8" spans="1:13" ht="38.25" customHeight="1">
      <c r="A8" s="398" t="s">
        <v>1047</v>
      </c>
      <c r="B8" s="398" t="s">
        <v>1044</v>
      </c>
    </row>
    <row r="9" spans="1:13" ht="38.25" customHeight="1">
      <c r="A9" s="398" t="s">
        <v>45</v>
      </c>
      <c r="B9" s="418" t="s">
        <v>1044</v>
      </c>
    </row>
    <row r="10" spans="1:13" ht="38.25" customHeight="1">
      <c r="A10" s="398" t="s">
        <v>1048</v>
      </c>
      <c r="B10" s="398" t="s">
        <v>1044</v>
      </c>
    </row>
    <row r="11" spans="1:13" ht="38.25" customHeight="1">
      <c r="A11" s="398" t="s">
        <v>887</v>
      </c>
      <c r="B11" s="418" t="s">
        <v>1044</v>
      </c>
    </row>
    <row r="12" spans="1:13" ht="38.25" customHeight="1">
      <c r="A12" s="398" t="s">
        <v>658</v>
      </c>
      <c r="B12" s="398" t="s">
        <v>1044</v>
      </c>
    </row>
    <row r="13" spans="1:13" ht="38.25" customHeight="1">
      <c r="A13" s="398" t="s">
        <v>270</v>
      </c>
      <c r="B13" s="418" t="s">
        <v>1044</v>
      </c>
    </row>
    <row r="14" spans="1:13" ht="38.25" customHeight="1">
      <c r="A14" s="398" t="s">
        <v>807</v>
      </c>
      <c r="B14" s="398" t="s">
        <v>1028</v>
      </c>
    </row>
    <row r="15" spans="1:13" ht="38.25" customHeight="1">
      <c r="A15" s="398" t="s">
        <v>812</v>
      </c>
      <c r="B15" s="398" t="s">
        <v>1044</v>
      </c>
    </row>
  </sheetData>
  <phoneticPr fontId="3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10DAC-DE83-4822-8B8C-A8ADA660B030}">
  <sheetPr codeName="Sheet3"/>
  <dimension ref="A1:S521"/>
  <sheetViews>
    <sheetView zoomScale="70" zoomScaleNormal="70" workbookViewId="0">
      <pane xSplit="1" ySplit="3" topLeftCell="B75" activePane="bottomRight" state="frozen"/>
      <selection pane="topRight" activeCell="B1" sqref="B1"/>
      <selection pane="bottomLeft" activeCell="A4" sqref="A4"/>
      <selection pane="bottomRight" activeCell="A3" sqref="A3:XFD3"/>
    </sheetView>
  </sheetViews>
  <sheetFormatPr defaultColWidth="8.453125" defaultRowHeight="14.5"/>
  <cols>
    <col min="1" max="1" width="17.453125" customWidth="1"/>
    <col min="2" max="2" width="20" bestFit="1" customWidth="1"/>
    <col min="3" max="3" width="13.453125" customWidth="1"/>
    <col min="4" max="6" width="8.453125" customWidth="1"/>
    <col min="7" max="7" width="9.453125" customWidth="1"/>
    <col min="8" max="8" width="16.453125" style="275" bestFit="1" customWidth="1"/>
    <col min="9" max="9" width="9" customWidth="1"/>
    <col min="10" max="10" width="41" bestFit="1" customWidth="1"/>
    <col min="11" max="11" width="13.453125" customWidth="1"/>
    <col min="12" max="14" width="8.453125" customWidth="1"/>
    <col min="15" max="16" width="9.453125" customWidth="1"/>
    <col min="17" max="17" width="19.453125" style="275" bestFit="1" customWidth="1"/>
    <col min="18" max="18" width="13.453125" customWidth="1"/>
    <col min="19" max="19" width="13.453125" style="274" customWidth="1"/>
  </cols>
  <sheetData>
    <row r="1" spans="1:19" ht="53.25" customHeight="1" thickBot="1">
      <c r="A1" s="385"/>
      <c r="B1" s="236"/>
      <c r="C1" s="575" t="s">
        <v>1049</v>
      </c>
      <c r="D1" s="575"/>
      <c r="E1" s="575"/>
      <c r="F1" s="575"/>
      <c r="G1" s="575"/>
      <c r="H1" s="575"/>
      <c r="I1" s="575"/>
      <c r="J1" s="575"/>
      <c r="K1" s="575"/>
      <c r="L1" s="575"/>
      <c r="M1" s="575"/>
      <c r="N1" s="575"/>
      <c r="O1" s="575"/>
      <c r="P1" s="575"/>
      <c r="Q1" s="575"/>
      <c r="R1" s="575"/>
      <c r="S1" s="575"/>
    </row>
    <row r="2" spans="1:19" ht="53.25" customHeight="1" thickBot="1">
      <c r="A2" s="236"/>
      <c r="B2" s="236"/>
      <c r="C2" s="580" t="s">
        <v>1050</v>
      </c>
      <c r="D2" s="580"/>
      <c r="E2" s="580"/>
      <c r="F2" s="580"/>
      <c r="G2" s="580"/>
      <c r="H2" s="580"/>
      <c r="I2" s="580"/>
      <c r="J2" s="580"/>
      <c r="K2" s="581" t="s">
        <v>1051</v>
      </c>
      <c r="L2" s="581"/>
      <c r="M2" s="581"/>
      <c r="N2" s="581"/>
      <c r="O2" s="581"/>
      <c r="P2" s="581"/>
      <c r="Q2" s="581"/>
      <c r="R2" s="581"/>
      <c r="S2" s="391"/>
    </row>
    <row r="3" spans="1:19" ht="33.75" customHeight="1" thickBot="1">
      <c r="A3" s="237" t="s">
        <v>1016</v>
      </c>
      <c r="B3" s="237" t="s">
        <v>7</v>
      </c>
      <c r="C3" s="386" t="s">
        <v>1052</v>
      </c>
      <c r="D3" s="387" t="s">
        <v>1053</v>
      </c>
      <c r="E3" s="388" t="s">
        <v>1054</v>
      </c>
      <c r="F3" s="388" t="s">
        <v>1055</v>
      </c>
      <c r="G3" s="388" t="s">
        <v>1056</v>
      </c>
      <c r="H3" s="389" t="s">
        <v>1057</v>
      </c>
      <c r="I3" s="388" t="s">
        <v>1058</v>
      </c>
      <c r="J3" s="390" t="s">
        <v>1059</v>
      </c>
      <c r="K3" s="238" t="s">
        <v>1060</v>
      </c>
      <c r="L3" s="239" t="s">
        <v>1018</v>
      </c>
      <c r="M3" s="240" t="s">
        <v>1061</v>
      </c>
      <c r="N3" s="240" t="s">
        <v>1062</v>
      </c>
      <c r="O3" s="240" t="s">
        <v>1063</v>
      </c>
      <c r="P3" s="240" t="s">
        <v>1064</v>
      </c>
      <c r="Q3" s="241" t="s">
        <v>1065</v>
      </c>
      <c r="R3" s="242" t="s">
        <v>1066</v>
      </c>
      <c r="S3" s="271" t="s">
        <v>1067</v>
      </c>
    </row>
    <row r="4" spans="1:19" ht="24.5">
      <c r="A4" s="243" t="s">
        <v>1038</v>
      </c>
      <c r="B4" s="353"/>
      <c r="C4" s="244" t="s">
        <v>1025</v>
      </c>
      <c r="D4" s="245">
        <v>7</v>
      </c>
      <c r="E4" s="246">
        <v>2022</v>
      </c>
      <c r="F4" s="246" t="s">
        <v>47</v>
      </c>
      <c r="G4" s="246" t="s">
        <v>536</v>
      </c>
      <c r="H4" s="247">
        <v>44565</v>
      </c>
      <c r="I4" s="246" t="s">
        <v>1027</v>
      </c>
      <c r="J4" s="248" t="s">
        <v>1068</v>
      </c>
      <c r="K4" s="244" t="s">
        <v>1028</v>
      </c>
      <c r="L4" s="245">
        <v>7</v>
      </c>
      <c r="M4" s="246">
        <v>2022</v>
      </c>
      <c r="N4" s="246" t="s">
        <v>47</v>
      </c>
      <c r="O4" s="246" t="s">
        <v>536</v>
      </c>
      <c r="P4" s="246"/>
      <c r="Q4" s="247">
        <v>44565</v>
      </c>
      <c r="R4" s="246" t="s">
        <v>1027</v>
      </c>
      <c r="S4" s="272"/>
    </row>
    <row r="5" spans="1:19" ht="24.5">
      <c r="A5" s="249" t="s">
        <v>1038</v>
      </c>
      <c r="B5" s="354"/>
      <c r="C5" s="250" t="s">
        <v>1028</v>
      </c>
      <c r="D5" s="251">
        <v>5</v>
      </c>
      <c r="E5" s="252">
        <v>2022</v>
      </c>
      <c r="F5" s="252" t="s">
        <v>47</v>
      </c>
      <c r="G5" s="252" t="s">
        <v>536</v>
      </c>
      <c r="H5" s="253">
        <v>44565</v>
      </c>
      <c r="I5" s="252" t="s">
        <v>1027</v>
      </c>
      <c r="J5" s="254" t="s">
        <v>1069</v>
      </c>
      <c r="K5" s="250" t="s">
        <v>1028</v>
      </c>
      <c r="L5" s="251">
        <v>5</v>
      </c>
      <c r="M5" s="252">
        <v>2022</v>
      </c>
      <c r="N5" s="252" t="s">
        <v>47</v>
      </c>
      <c r="O5" s="252" t="s">
        <v>536</v>
      </c>
      <c r="P5" s="252"/>
      <c r="Q5" s="253">
        <v>44565</v>
      </c>
      <c r="R5" s="253" t="s">
        <v>1027</v>
      </c>
      <c r="S5" s="273"/>
    </row>
    <row r="6" spans="1:19" ht="24.5">
      <c r="A6" s="255" t="s">
        <v>535</v>
      </c>
      <c r="B6" s="355"/>
      <c r="C6" s="256" t="s">
        <v>1028</v>
      </c>
      <c r="D6" s="257">
        <v>87</v>
      </c>
      <c r="E6" s="258">
        <v>2022</v>
      </c>
      <c r="F6" s="258" t="s">
        <v>47</v>
      </c>
      <c r="G6" s="258" t="s">
        <v>536</v>
      </c>
      <c r="H6" s="259"/>
      <c r="I6" s="258"/>
      <c r="J6" s="248"/>
      <c r="K6" s="256" t="s">
        <v>1028</v>
      </c>
      <c r="L6" s="257">
        <v>72</v>
      </c>
      <c r="M6" s="258">
        <v>2022</v>
      </c>
      <c r="N6" s="258" t="s">
        <v>47</v>
      </c>
      <c r="O6" s="258" t="s">
        <v>536</v>
      </c>
      <c r="P6" s="258"/>
      <c r="Q6" s="259"/>
      <c r="R6" s="259"/>
      <c r="S6" s="272">
        <v>33</v>
      </c>
    </row>
    <row r="7" spans="1:19" ht="24.5">
      <c r="A7" s="249" t="s">
        <v>535</v>
      </c>
      <c r="B7" s="354"/>
      <c r="C7" s="250" t="s">
        <v>1028</v>
      </c>
      <c r="D7" s="251">
        <v>112</v>
      </c>
      <c r="E7" s="252">
        <v>2022</v>
      </c>
      <c r="F7" s="252" t="s">
        <v>47</v>
      </c>
      <c r="G7" s="252" t="s">
        <v>543</v>
      </c>
      <c r="H7" s="253"/>
      <c r="I7" s="252"/>
      <c r="J7" s="254"/>
      <c r="K7" s="250" t="s">
        <v>1028</v>
      </c>
      <c r="L7" s="251">
        <v>94</v>
      </c>
      <c r="M7" s="252">
        <v>2022</v>
      </c>
      <c r="N7" s="252" t="s">
        <v>47</v>
      </c>
      <c r="O7" s="252" t="s">
        <v>543</v>
      </c>
      <c r="P7" s="252"/>
      <c r="Q7" s="253"/>
      <c r="R7" s="253"/>
      <c r="S7" s="273">
        <v>59</v>
      </c>
    </row>
    <row r="8" spans="1:19" ht="24.5">
      <c r="A8" s="255" t="s">
        <v>535</v>
      </c>
      <c r="B8" s="355"/>
      <c r="C8" s="256" t="s">
        <v>1028</v>
      </c>
      <c r="D8" s="257">
        <v>162</v>
      </c>
      <c r="E8" s="258">
        <v>2022</v>
      </c>
      <c r="F8" s="258" t="s">
        <v>47</v>
      </c>
      <c r="G8" s="258" t="s">
        <v>1031</v>
      </c>
      <c r="H8" s="259"/>
      <c r="I8" s="258"/>
      <c r="J8" s="248"/>
      <c r="K8" s="256" t="s">
        <v>1028</v>
      </c>
      <c r="L8" s="257">
        <v>138</v>
      </c>
      <c r="M8" s="258">
        <v>2022</v>
      </c>
      <c r="N8" s="258" t="s">
        <v>47</v>
      </c>
      <c r="O8" s="258" t="s">
        <v>1031</v>
      </c>
      <c r="P8" s="258"/>
      <c r="Q8" s="259"/>
      <c r="R8" s="259"/>
      <c r="S8" s="272">
        <v>41</v>
      </c>
    </row>
    <row r="9" spans="1:19" ht="24.5">
      <c r="A9" s="249" t="s">
        <v>782</v>
      </c>
      <c r="B9" s="354"/>
      <c r="C9" s="250" t="s">
        <v>1025</v>
      </c>
      <c r="D9" s="251">
        <v>83</v>
      </c>
      <c r="E9" s="252">
        <v>2022</v>
      </c>
      <c r="F9" s="252" t="s">
        <v>47</v>
      </c>
      <c r="G9" s="252"/>
      <c r="H9" s="253"/>
      <c r="I9" s="252"/>
      <c r="J9" s="254"/>
      <c r="K9" s="250"/>
      <c r="L9" s="251"/>
      <c r="M9" s="251"/>
      <c r="N9" s="252"/>
      <c r="O9" s="252"/>
      <c r="P9" s="252"/>
      <c r="Q9" s="253"/>
      <c r="R9" s="252"/>
      <c r="S9" s="273"/>
    </row>
    <row r="10" spans="1:19" ht="24.5">
      <c r="A10" s="255" t="s">
        <v>917</v>
      </c>
      <c r="B10" s="355"/>
      <c r="C10" s="256" t="s">
        <v>1025</v>
      </c>
      <c r="D10" s="257">
        <v>85</v>
      </c>
      <c r="E10" s="258">
        <v>2022</v>
      </c>
      <c r="F10" s="258" t="s">
        <v>47</v>
      </c>
      <c r="G10" s="258"/>
      <c r="H10" s="259"/>
      <c r="I10" s="258"/>
      <c r="J10" s="248"/>
      <c r="K10" s="256"/>
      <c r="L10" s="257">
        <v>0</v>
      </c>
      <c r="M10" s="257"/>
      <c r="N10" s="258"/>
      <c r="O10" s="258"/>
      <c r="P10" s="258"/>
      <c r="Q10" s="259"/>
      <c r="R10" s="258"/>
      <c r="S10" s="272"/>
    </row>
    <row r="11" spans="1:19">
      <c r="A11" s="249" t="s">
        <v>917</v>
      </c>
      <c r="B11" s="354"/>
      <c r="C11" s="250"/>
      <c r="D11" s="251">
        <v>122</v>
      </c>
      <c r="E11" s="252">
        <v>2022</v>
      </c>
      <c r="F11" s="252" t="s">
        <v>47</v>
      </c>
      <c r="G11" s="252"/>
      <c r="H11" s="253"/>
      <c r="I11" s="252"/>
      <c r="J11" s="254"/>
      <c r="K11" s="250"/>
      <c r="L11" s="251">
        <v>0</v>
      </c>
      <c r="M11" s="251"/>
      <c r="N11" s="252"/>
      <c r="O11" s="252"/>
      <c r="P11" s="252"/>
      <c r="Q11" s="253"/>
      <c r="R11" s="252"/>
      <c r="S11" s="273"/>
    </row>
    <row r="12" spans="1:19" ht="24.5">
      <c r="A12" s="255" t="s">
        <v>1033</v>
      </c>
      <c r="B12" s="355"/>
      <c r="C12" s="256" t="s">
        <v>1025</v>
      </c>
      <c r="D12" s="257">
        <v>31</v>
      </c>
      <c r="E12" s="258">
        <v>2022</v>
      </c>
      <c r="F12" s="258" t="s">
        <v>47</v>
      </c>
      <c r="G12" s="258" t="s">
        <v>1031</v>
      </c>
      <c r="H12" s="259"/>
      <c r="I12" s="258" t="s">
        <v>346</v>
      </c>
      <c r="J12" s="248" t="s">
        <v>1070</v>
      </c>
      <c r="K12" s="256" t="s">
        <v>1025</v>
      </c>
      <c r="L12" s="257">
        <v>12</v>
      </c>
      <c r="M12" s="257">
        <v>2022</v>
      </c>
      <c r="N12" s="258"/>
      <c r="O12" s="258"/>
      <c r="P12" s="258"/>
      <c r="Q12" s="259"/>
      <c r="R12" s="258" t="s">
        <v>346</v>
      </c>
      <c r="S12" s="272"/>
    </row>
    <row r="13" spans="1:19" ht="24.5">
      <c r="A13" s="249" t="s">
        <v>1035</v>
      </c>
      <c r="B13" s="354"/>
      <c r="C13" s="250" t="s">
        <v>1025</v>
      </c>
      <c r="D13" s="251">
        <v>13</v>
      </c>
      <c r="E13" s="252">
        <v>2022</v>
      </c>
      <c r="F13" s="252" t="s">
        <v>47</v>
      </c>
      <c r="G13" s="252" t="s">
        <v>543</v>
      </c>
      <c r="H13" s="253"/>
      <c r="I13" s="252"/>
      <c r="J13" s="254"/>
      <c r="K13" s="250" t="s">
        <v>1025</v>
      </c>
      <c r="L13" s="251">
        <v>13</v>
      </c>
      <c r="M13" s="252">
        <v>2022</v>
      </c>
      <c r="N13" s="252" t="s">
        <v>47</v>
      </c>
      <c r="O13" s="252" t="s">
        <v>543</v>
      </c>
      <c r="P13" s="252"/>
      <c r="Q13" s="253"/>
      <c r="R13" s="252"/>
      <c r="S13" s="273"/>
    </row>
    <row r="14" spans="1:19" ht="24.5">
      <c r="A14" s="255" t="s">
        <v>1035</v>
      </c>
      <c r="B14" s="355"/>
      <c r="C14" s="256" t="s">
        <v>1025</v>
      </c>
      <c r="D14" s="257">
        <v>32</v>
      </c>
      <c r="E14" s="258">
        <v>2022</v>
      </c>
      <c r="F14" s="258" t="s">
        <v>47</v>
      </c>
      <c r="G14" s="258" t="s">
        <v>1031</v>
      </c>
      <c r="H14" s="259"/>
      <c r="I14" s="258"/>
      <c r="J14" s="248"/>
      <c r="K14" s="256" t="s">
        <v>1025</v>
      </c>
      <c r="L14" s="257">
        <v>25</v>
      </c>
      <c r="M14" s="258">
        <v>2022</v>
      </c>
      <c r="N14" s="258" t="s">
        <v>47</v>
      </c>
      <c r="O14" s="258" t="s">
        <v>1031</v>
      </c>
      <c r="P14" s="258"/>
      <c r="Q14" s="259"/>
      <c r="R14" s="258"/>
      <c r="S14" s="272"/>
    </row>
    <row r="15" spans="1:19" ht="24.5">
      <c r="A15" s="249" t="s">
        <v>1035</v>
      </c>
      <c r="B15" s="354"/>
      <c r="C15" s="250" t="s">
        <v>1025</v>
      </c>
      <c r="D15" s="251">
        <v>20</v>
      </c>
      <c r="E15" s="252">
        <v>2022</v>
      </c>
      <c r="F15" s="252" t="s">
        <v>78</v>
      </c>
      <c r="G15" s="252" t="s">
        <v>551</v>
      </c>
      <c r="H15" s="253"/>
      <c r="I15" s="252"/>
      <c r="J15" s="254"/>
      <c r="K15" s="250" t="s">
        <v>1025</v>
      </c>
      <c r="L15" s="251">
        <v>24</v>
      </c>
      <c r="M15" s="252">
        <v>2022</v>
      </c>
      <c r="N15" s="252" t="s">
        <v>78</v>
      </c>
      <c r="O15" s="252" t="s">
        <v>551</v>
      </c>
      <c r="P15" s="252"/>
      <c r="Q15" s="253"/>
      <c r="R15" s="252"/>
      <c r="S15" s="273"/>
    </row>
    <row r="16" spans="1:19" ht="24.5">
      <c r="A16" s="255" t="s">
        <v>1035</v>
      </c>
      <c r="B16" s="355"/>
      <c r="C16" s="256" t="s">
        <v>1025</v>
      </c>
      <c r="D16" s="257">
        <v>20</v>
      </c>
      <c r="E16" s="258">
        <v>2022</v>
      </c>
      <c r="F16" s="258" t="s">
        <v>78</v>
      </c>
      <c r="G16" s="258" t="s">
        <v>555</v>
      </c>
      <c r="H16" s="259"/>
      <c r="I16" s="258"/>
      <c r="J16" s="248"/>
      <c r="K16" s="256" t="s">
        <v>1025</v>
      </c>
      <c r="L16" s="257">
        <v>29</v>
      </c>
      <c r="M16" s="258">
        <v>2022</v>
      </c>
      <c r="N16" s="258" t="s">
        <v>78</v>
      </c>
      <c r="O16" s="258" t="s">
        <v>555</v>
      </c>
      <c r="P16" s="258"/>
      <c r="Q16" s="259"/>
      <c r="R16" s="258"/>
      <c r="S16" s="272"/>
    </row>
    <row r="17" spans="1:19" ht="24.5">
      <c r="A17" s="249" t="s">
        <v>1035</v>
      </c>
      <c r="B17" s="354"/>
      <c r="C17" s="250" t="s">
        <v>1025</v>
      </c>
      <c r="D17" s="251">
        <v>20</v>
      </c>
      <c r="E17" s="252">
        <v>2022</v>
      </c>
      <c r="F17" s="252" t="s">
        <v>78</v>
      </c>
      <c r="G17" s="252" t="s">
        <v>559</v>
      </c>
      <c r="H17" s="253"/>
      <c r="I17" s="252"/>
      <c r="J17" s="254"/>
      <c r="K17" s="250" t="s">
        <v>1025</v>
      </c>
      <c r="L17" s="251">
        <v>5</v>
      </c>
      <c r="M17" s="252">
        <v>2022</v>
      </c>
      <c r="N17" s="252" t="s">
        <v>78</v>
      </c>
      <c r="O17" s="252" t="s">
        <v>559</v>
      </c>
      <c r="P17" s="252"/>
      <c r="Q17" s="253"/>
      <c r="R17" s="252"/>
      <c r="S17" s="273"/>
    </row>
    <row r="18" spans="1:19" ht="24.5">
      <c r="A18" s="561" t="s">
        <v>45</v>
      </c>
      <c r="B18" s="356"/>
      <c r="C18" s="563" t="s">
        <v>1025</v>
      </c>
      <c r="D18" s="565">
        <v>435</v>
      </c>
      <c r="E18" s="567">
        <v>2022</v>
      </c>
      <c r="F18" s="569" t="s">
        <v>47</v>
      </c>
      <c r="G18" s="569"/>
      <c r="H18" s="578"/>
      <c r="I18" s="569"/>
      <c r="J18" s="576"/>
      <c r="K18" s="256" t="s">
        <v>1025</v>
      </c>
      <c r="L18" s="257">
        <v>235</v>
      </c>
      <c r="M18" s="257">
        <v>2022</v>
      </c>
      <c r="N18" s="258" t="s">
        <v>47</v>
      </c>
      <c r="O18" s="258" t="s">
        <v>536</v>
      </c>
      <c r="P18" s="258"/>
      <c r="Q18" s="259"/>
      <c r="R18" s="258"/>
      <c r="S18" s="272"/>
    </row>
    <row r="19" spans="1:19" ht="24.5">
      <c r="A19" s="562"/>
      <c r="B19" s="357"/>
      <c r="C19" s="564"/>
      <c r="D19" s="566"/>
      <c r="E19" s="568"/>
      <c r="F19" s="570"/>
      <c r="G19" s="570"/>
      <c r="H19" s="579"/>
      <c r="I19" s="570"/>
      <c r="J19" s="577"/>
      <c r="K19" s="250" t="s">
        <v>1025</v>
      </c>
      <c r="L19" s="251">
        <v>200</v>
      </c>
      <c r="M19" s="251">
        <v>2022</v>
      </c>
      <c r="N19" s="252" t="s">
        <v>47</v>
      </c>
      <c r="O19" s="252" t="s">
        <v>543</v>
      </c>
      <c r="P19" s="252"/>
      <c r="Q19" s="253"/>
      <c r="R19" s="252"/>
      <c r="S19" s="273"/>
    </row>
    <row r="20" spans="1:19" ht="24.5">
      <c r="A20" s="255" t="s">
        <v>1029</v>
      </c>
      <c r="B20" s="355"/>
      <c r="C20" s="256" t="s">
        <v>1025</v>
      </c>
      <c r="D20" s="257">
        <v>13</v>
      </c>
      <c r="E20" s="258">
        <v>2022</v>
      </c>
      <c r="F20" s="258" t="s">
        <v>47</v>
      </c>
      <c r="G20" s="258" t="s">
        <v>536</v>
      </c>
      <c r="H20" s="259"/>
      <c r="I20" s="258"/>
      <c r="J20" s="248"/>
      <c r="K20" s="256" t="s">
        <v>1025</v>
      </c>
      <c r="L20" s="257">
        <v>13</v>
      </c>
      <c r="M20" s="257">
        <v>2022</v>
      </c>
      <c r="N20" s="258" t="s">
        <v>47</v>
      </c>
      <c r="O20" s="258" t="s">
        <v>536</v>
      </c>
      <c r="P20" s="258"/>
      <c r="Q20" s="259"/>
      <c r="R20" s="258"/>
      <c r="S20" s="272"/>
    </row>
    <row r="21" spans="1:19" ht="24.5">
      <c r="A21" s="249" t="s">
        <v>1029</v>
      </c>
      <c r="B21" s="354"/>
      <c r="C21" s="250" t="s">
        <v>1025</v>
      </c>
      <c r="D21" s="251">
        <v>23</v>
      </c>
      <c r="E21" s="252">
        <v>2022</v>
      </c>
      <c r="F21" s="252" t="s">
        <v>47</v>
      </c>
      <c r="G21" s="252" t="s">
        <v>543</v>
      </c>
      <c r="H21" s="253"/>
      <c r="I21" s="252"/>
      <c r="J21" s="254"/>
      <c r="K21" s="250" t="s">
        <v>1025</v>
      </c>
      <c r="L21" s="251">
        <v>23</v>
      </c>
      <c r="M21" s="251">
        <v>2022</v>
      </c>
      <c r="N21" s="252" t="s">
        <v>47</v>
      </c>
      <c r="O21" s="252" t="s">
        <v>543</v>
      </c>
      <c r="P21" s="252"/>
      <c r="Q21" s="253"/>
      <c r="R21" s="252"/>
      <c r="S21" s="273"/>
    </row>
    <row r="22" spans="1:19" ht="24.5">
      <c r="A22" s="255" t="s">
        <v>1029</v>
      </c>
      <c r="B22" s="355"/>
      <c r="C22" s="256" t="s">
        <v>1025</v>
      </c>
      <c r="D22" s="257">
        <v>17</v>
      </c>
      <c r="E22" s="258">
        <v>2022</v>
      </c>
      <c r="F22" s="258" t="s">
        <v>47</v>
      </c>
      <c r="G22" s="258" t="s">
        <v>1031</v>
      </c>
      <c r="H22" s="259"/>
      <c r="I22" s="258"/>
      <c r="J22" s="248"/>
      <c r="K22" s="256" t="s">
        <v>1025</v>
      </c>
      <c r="L22" s="257">
        <v>17</v>
      </c>
      <c r="M22" s="257">
        <v>2022</v>
      </c>
      <c r="N22" s="258" t="s">
        <v>47</v>
      </c>
      <c r="O22" s="258" t="s">
        <v>1031</v>
      </c>
      <c r="P22" s="258"/>
      <c r="Q22" s="259"/>
      <c r="R22" s="258"/>
      <c r="S22" s="272"/>
    </row>
    <row r="23" spans="1:19" ht="24.5">
      <c r="A23" s="249" t="s">
        <v>887</v>
      </c>
      <c r="B23" s="354"/>
      <c r="C23" s="250" t="s">
        <v>1025</v>
      </c>
      <c r="D23" s="251">
        <v>10</v>
      </c>
      <c r="E23" s="252">
        <v>2022</v>
      </c>
      <c r="F23" s="252" t="s">
        <v>47</v>
      </c>
      <c r="G23" s="252"/>
      <c r="H23" s="253"/>
      <c r="I23" s="252"/>
      <c r="J23" s="254"/>
      <c r="K23" s="250" t="s">
        <v>1025</v>
      </c>
      <c r="L23" s="251">
        <v>3</v>
      </c>
      <c r="M23" s="252">
        <v>2022</v>
      </c>
      <c r="N23" s="252" t="s">
        <v>47</v>
      </c>
      <c r="O23" s="252" t="s">
        <v>1031</v>
      </c>
      <c r="P23" s="252"/>
      <c r="Q23" s="253"/>
      <c r="R23" s="252"/>
      <c r="S23" s="273"/>
    </row>
    <row r="24" spans="1:19" ht="24.5">
      <c r="A24" s="255" t="s">
        <v>1038</v>
      </c>
      <c r="B24" s="355"/>
      <c r="C24" s="256" t="s">
        <v>1025</v>
      </c>
      <c r="D24" s="257">
        <v>16</v>
      </c>
      <c r="E24" s="258">
        <v>2022</v>
      </c>
      <c r="F24" s="258" t="s">
        <v>78</v>
      </c>
      <c r="G24" s="258" t="s">
        <v>555</v>
      </c>
      <c r="H24" s="259">
        <v>44683</v>
      </c>
      <c r="I24" s="246" t="s">
        <v>1027</v>
      </c>
      <c r="J24" s="248" t="s">
        <v>1068</v>
      </c>
      <c r="K24" s="256" t="s">
        <v>1025</v>
      </c>
      <c r="L24" s="257">
        <v>16</v>
      </c>
      <c r="M24" s="258">
        <v>2022</v>
      </c>
      <c r="N24" s="258" t="s">
        <v>78</v>
      </c>
      <c r="O24" s="258" t="s">
        <v>555</v>
      </c>
      <c r="P24" s="258"/>
      <c r="Q24" s="259">
        <v>44683</v>
      </c>
      <c r="R24" s="246" t="s">
        <v>1027</v>
      </c>
      <c r="S24" s="272"/>
    </row>
    <row r="25" spans="1:19" ht="24.5">
      <c r="A25" s="255" t="s">
        <v>1038</v>
      </c>
      <c r="B25" s="355"/>
      <c r="C25" s="256" t="s">
        <v>1025</v>
      </c>
      <c r="D25" s="257">
        <v>45</v>
      </c>
      <c r="E25" s="258">
        <v>2022</v>
      </c>
      <c r="F25" s="258" t="s">
        <v>78</v>
      </c>
      <c r="G25" s="258" t="s">
        <v>555</v>
      </c>
      <c r="H25" s="259">
        <v>44704</v>
      </c>
      <c r="I25" s="246" t="s">
        <v>1027</v>
      </c>
      <c r="J25" s="248" t="s">
        <v>1069</v>
      </c>
      <c r="K25" s="256" t="s">
        <v>1025</v>
      </c>
      <c r="L25" s="257">
        <v>45</v>
      </c>
      <c r="M25" s="258">
        <v>2022</v>
      </c>
      <c r="N25" s="258" t="s">
        <v>78</v>
      </c>
      <c r="O25" s="258" t="s">
        <v>555</v>
      </c>
      <c r="P25" s="258"/>
      <c r="Q25" s="259">
        <v>44704</v>
      </c>
      <c r="R25" s="246" t="s">
        <v>1027</v>
      </c>
      <c r="S25" s="272"/>
    </row>
    <row r="26" spans="1:19" ht="24.5">
      <c r="A26" s="260" t="s">
        <v>658</v>
      </c>
      <c r="B26" s="358"/>
      <c r="C26" s="261" t="s">
        <v>1025</v>
      </c>
      <c r="D26" s="251">
        <v>14</v>
      </c>
      <c r="E26" s="252">
        <v>2022</v>
      </c>
      <c r="F26" s="252" t="s">
        <v>78</v>
      </c>
      <c r="G26" s="252" t="s">
        <v>555</v>
      </c>
      <c r="H26" s="253">
        <v>44704</v>
      </c>
      <c r="I26" s="252" t="s">
        <v>1027</v>
      </c>
      <c r="J26" s="254" t="s">
        <v>1069</v>
      </c>
      <c r="K26" s="261" t="s">
        <v>1025</v>
      </c>
      <c r="L26" s="251">
        <v>14</v>
      </c>
      <c r="M26" s="252">
        <v>2022</v>
      </c>
      <c r="N26" s="252" t="s">
        <v>78</v>
      </c>
      <c r="O26" s="252" t="s">
        <v>555</v>
      </c>
      <c r="P26" s="252"/>
      <c r="Q26" s="253">
        <v>44704</v>
      </c>
      <c r="R26" s="252" t="s">
        <v>1027</v>
      </c>
      <c r="S26" s="273"/>
    </row>
    <row r="27" spans="1:19" ht="24.5">
      <c r="A27" s="255" t="s">
        <v>535</v>
      </c>
      <c r="B27" s="355"/>
      <c r="C27" s="256" t="s">
        <v>1028</v>
      </c>
      <c r="D27" s="257">
        <v>94</v>
      </c>
      <c r="E27" s="258">
        <v>2022</v>
      </c>
      <c r="F27" s="258" t="s">
        <v>78</v>
      </c>
      <c r="G27" s="258" t="s">
        <v>551</v>
      </c>
      <c r="H27" s="259"/>
      <c r="I27" s="258"/>
      <c r="J27" s="248"/>
      <c r="K27" s="256" t="s">
        <v>1028</v>
      </c>
      <c r="L27" s="257">
        <v>82</v>
      </c>
      <c r="M27" s="257">
        <v>2022</v>
      </c>
      <c r="N27" s="258" t="s">
        <v>78</v>
      </c>
      <c r="O27" s="258" t="s">
        <v>551</v>
      </c>
      <c r="P27" s="258"/>
      <c r="Q27" s="259"/>
      <c r="R27" s="258"/>
      <c r="S27" s="272">
        <v>22</v>
      </c>
    </row>
    <row r="28" spans="1:19" ht="24.5">
      <c r="A28" s="249" t="s">
        <v>535</v>
      </c>
      <c r="B28" s="354"/>
      <c r="C28" s="250" t="s">
        <v>1028</v>
      </c>
      <c r="D28" s="251">
        <v>111</v>
      </c>
      <c r="E28" s="252">
        <v>2022</v>
      </c>
      <c r="F28" s="252" t="s">
        <v>78</v>
      </c>
      <c r="G28" s="252" t="s">
        <v>555</v>
      </c>
      <c r="H28" s="253"/>
      <c r="I28" s="252"/>
      <c r="J28" s="254"/>
      <c r="K28" s="250" t="s">
        <v>1028</v>
      </c>
      <c r="L28" s="251">
        <v>99</v>
      </c>
      <c r="M28" s="251">
        <v>2022</v>
      </c>
      <c r="N28" s="252" t="s">
        <v>78</v>
      </c>
      <c r="O28" s="252" t="s">
        <v>555</v>
      </c>
      <c r="P28" s="252"/>
      <c r="Q28" s="253"/>
      <c r="R28" s="252"/>
      <c r="S28" s="273">
        <v>9</v>
      </c>
    </row>
    <row r="29" spans="1:19" ht="24.5">
      <c r="A29" s="255" t="s">
        <v>535</v>
      </c>
      <c r="B29" s="355"/>
      <c r="C29" s="256" t="s">
        <v>1028</v>
      </c>
      <c r="D29" s="257">
        <v>154</v>
      </c>
      <c r="E29" s="258">
        <v>2022</v>
      </c>
      <c r="F29" s="258" t="s">
        <v>78</v>
      </c>
      <c r="G29" s="258" t="s">
        <v>559</v>
      </c>
      <c r="H29" s="259"/>
      <c r="I29" s="258"/>
      <c r="J29" s="248"/>
      <c r="K29" s="256" t="s">
        <v>1028</v>
      </c>
      <c r="L29" s="257">
        <v>136</v>
      </c>
      <c r="M29" s="257">
        <v>2022</v>
      </c>
      <c r="N29" s="258" t="s">
        <v>78</v>
      </c>
      <c r="O29" s="258" t="s">
        <v>559</v>
      </c>
      <c r="P29" s="258"/>
      <c r="Q29" s="259"/>
      <c r="R29" s="258"/>
      <c r="S29" s="272">
        <v>14</v>
      </c>
    </row>
    <row r="30" spans="1:19">
      <c r="A30" s="249" t="s">
        <v>782</v>
      </c>
      <c r="B30" s="354"/>
      <c r="C30" s="250"/>
      <c r="D30" s="251">
        <v>30</v>
      </c>
      <c r="E30" s="252">
        <v>2022</v>
      </c>
      <c r="F30" s="252" t="s">
        <v>78</v>
      </c>
      <c r="G30" s="252"/>
      <c r="H30" s="253"/>
      <c r="I30" s="252"/>
      <c r="J30" s="254"/>
      <c r="K30" s="250"/>
      <c r="L30" s="251"/>
      <c r="M30" s="251"/>
      <c r="N30" s="252"/>
      <c r="O30" s="252"/>
      <c r="P30" s="252"/>
      <c r="Q30" s="253"/>
      <c r="R30" s="252"/>
      <c r="S30" s="273"/>
    </row>
    <row r="31" spans="1:19" ht="24.5">
      <c r="A31" s="255" t="s">
        <v>981</v>
      </c>
      <c r="B31" s="355"/>
      <c r="C31" s="256" t="s">
        <v>1025</v>
      </c>
      <c r="D31" s="257">
        <v>173</v>
      </c>
      <c r="E31" s="258">
        <v>2022</v>
      </c>
      <c r="F31" s="258" t="s">
        <v>78</v>
      </c>
      <c r="G31" s="258"/>
      <c r="H31" s="259"/>
      <c r="I31" s="258"/>
      <c r="J31" s="248"/>
      <c r="K31" s="256"/>
      <c r="L31" s="257">
        <v>0</v>
      </c>
      <c r="M31" s="257"/>
      <c r="N31" s="258"/>
      <c r="O31" s="258"/>
      <c r="P31" s="258"/>
      <c r="Q31" s="259"/>
      <c r="R31" s="258"/>
      <c r="S31" s="272"/>
    </row>
    <row r="32" spans="1:19" ht="24.5">
      <c r="A32" s="249" t="s">
        <v>981</v>
      </c>
      <c r="B32" s="354"/>
      <c r="C32" s="250" t="s">
        <v>1025</v>
      </c>
      <c r="D32" s="251">
        <v>23</v>
      </c>
      <c r="E32" s="252">
        <v>2022</v>
      </c>
      <c r="F32" s="252" t="s">
        <v>78</v>
      </c>
      <c r="G32" s="252"/>
      <c r="H32" s="253"/>
      <c r="I32" s="252"/>
      <c r="J32" s="254"/>
      <c r="K32" s="250"/>
      <c r="L32" s="251">
        <v>0</v>
      </c>
      <c r="M32" s="251"/>
      <c r="N32" s="252"/>
      <c r="O32" s="252"/>
      <c r="P32" s="252"/>
      <c r="Q32" s="253"/>
      <c r="R32" s="252"/>
      <c r="S32" s="273"/>
    </row>
    <row r="33" spans="1:19" ht="24.5">
      <c r="A33" s="255" t="s">
        <v>1033</v>
      </c>
      <c r="B33" s="355"/>
      <c r="C33" s="256" t="s">
        <v>1025</v>
      </c>
      <c r="D33" s="257">
        <v>8</v>
      </c>
      <c r="E33" s="258">
        <v>2022</v>
      </c>
      <c r="F33" s="258" t="s">
        <v>78</v>
      </c>
      <c r="G33" s="258"/>
      <c r="H33" s="259"/>
      <c r="I33" s="258" t="s">
        <v>346</v>
      </c>
      <c r="J33" s="248" t="s">
        <v>1070</v>
      </c>
      <c r="K33" s="256" t="s">
        <v>1025</v>
      </c>
      <c r="L33" s="257">
        <v>12</v>
      </c>
      <c r="M33" s="257">
        <v>2022</v>
      </c>
      <c r="N33" s="258"/>
      <c r="O33" s="258"/>
      <c r="P33" s="258"/>
      <c r="Q33" s="259"/>
      <c r="R33" s="258" t="s">
        <v>346</v>
      </c>
      <c r="S33" s="272"/>
    </row>
    <row r="34" spans="1:19" ht="24.5">
      <c r="A34" s="249" t="s">
        <v>1029</v>
      </c>
      <c r="B34" s="354"/>
      <c r="C34" s="250" t="s">
        <v>1025</v>
      </c>
      <c r="D34" s="251">
        <v>15</v>
      </c>
      <c r="E34" s="252">
        <v>2022</v>
      </c>
      <c r="F34" s="252" t="s">
        <v>78</v>
      </c>
      <c r="G34" s="252" t="s">
        <v>551</v>
      </c>
      <c r="H34" s="253"/>
      <c r="I34" s="252"/>
      <c r="J34" s="254"/>
      <c r="K34" s="250" t="s">
        <v>1025</v>
      </c>
      <c r="L34" s="251">
        <v>7</v>
      </c>
      <c r="M34" s="251">
        <v>2022</v>
      </c>
      <c r="N34" s="252" t="s">
        <v>78</v>
      </c>
      <c r="O34" s="252" t="s">
        <v>551</v>
      </c>
      <c r="P34" s="252"/>
      <c r="Q34" s="253"/>
      <c r="R34" s="252"/>
      <c r="S34" s="273"/>
    </row>
    <row r="35" spans="1:19" ht="24.5">
      <c r="A35" s="255" t="s">
        <v>1029</v>
      </c>
      <c r="B35" s="355"/>
      <c r="C35" s="256" t="s">
        <v>1025</v>
      </c>
      <c r="D35" s="257">
        <v>15</v>
      </c>
      <c r="E35" s="258">
        <v>2022</v>
      </c>
      <c r="F35" s="258" t="s">
        <v>78</v>
      </c>
      <c r="G35" s="258" t="s">
        <v>555</v>
      </c>
      <c r="H35" s="259"/>
      <c r="I35" s="258"/>
      <c r="J35" s="248"/>
      <c r="K35" s="256" t="s">
        <v>1025</v>
      </c>
      <c r="L35" s="257">
        <v>12</v>
      </c>
      <c r="M35" s="257">
        <v>2022</v>
      </c>
      <c r="N35" s="258" t="s">
        <v>78</v>
      </c>
      <c r="O35" s="258" t="s">
        <v>555</v>
      </c>
      <c r="P35" s="258"/>
      <c r="Q35" s="259"/>
      <c r="R35" s="258"/>
      <c r="S35" s="272"/>
    </row>
    <row r="36" spans="1:19" ht="24.5">
      <c r="A36" s="249" t="s">
        <v>1029</v>
      </c>
      <c r="B36" s="354"/>
      <c r="C36" s="250" t="s">
        <v>1025</v>
      </c>
      <c r="D36" s="251">
        <v>40</v>
      </c>
      <c r="E36" s="252">
        <v>2022</v>
      </c>
      <c r="F36" s="252" t="s">
        <v>78</v>
      </c>
      <c r="G36" s="252" t="s">
        <v>559</v>
      </c>
      <c r="H36" s="253"/>
      <c r="I36" s="252"/>
      <c r="J36" s="254"/>
      <c r="K36" s="250" t="s">
        <v>1025</v>
      </c>
      <c r="L36" s="251">
        <v>6</v>
      </c>
      <c r="M36" s="251">
        <v>2022</v>
      </c>
      <c r="N36" s="252" t="s">
        <v>78</v>
      </c>
      <c r="O36" s="252" t="s">
        <v>559</v>
      </c>
      <c r="P36" s="252"/>
      <c r="Q36" s="253"/>
      <c r="R36" s="252"/>
      <c r="S36" s="273"/>
    </row>
    <row r="37" spans="1:19" ht="24.5">
      <c r="A37" s="582" t="s">
        <v>887</v>
      </c>
      <c r="B37" s="359"/>
      <c r="C37" s="563" t="s">
        <v>1025</v>
      </c>
      <c r="D37" s="584">
        <v>20</v>
      </c>
      <c r="E37" s="586">
        <v>2022</v>
      </c>
      <c r="F37" s="571" t="s">
        <v>78</v>
      </c>
      <c r="G37" s="571"/>
      <c r="H37" s="573"/>
      <c r="I37" s="571"/>
      <c r="J37" s="576"/>
      <c r="K37" s="256" t="s">
        <v>1025</v>
      </c>
      <c r="L37" s="257">
        <v>2</v>
      </c>
      <c r="M37" s="257">
        <v>2022</v>
      </c>
      <c r="N37" s="258" t="s">
        <v>78</v>
      </c>
      <c r="O37" s="258" t="s">
        <v>555</v>
      </c>
      <c r="P37" s="258"/>
      <c r="Q37" s="259"/>
      <c r="R37" s="258"/>
      <c r="S37" s="272">
        <v>1</v>
      </c>
    </row>
    <row r="38" spans="1:19" ht="24.5">
      <c r="A38" s="583"/>
      <c r="B38" s="360"/>
      <c r="C38" s="564"/>
      <c r="D38" s="585"/>
      <c r="E38" s="587"/>
      <c r="F38" s="572"/>
      <c r="G38" s="572"/>
      <c r="H38" s="574"/>
      <c r="I38" s="572"/>
      <c r="J38" s="577"/>
      <c r="K38" s="250" t="s">
        <v>1025</v>
      </c>
      <c r="L38" s="251">
        <v>1</v>
      </c>
      <c r="M38" s="251">
        <v>2022</v>
      </c>
      <c r="N38" s="252" t="s">
        <v>78</v>
      </c>
      <c r="O38" s="252" t="s">
        <v>559</v>
      </c>
      <c r="P38" s="252"/>
      <c r="Q38" s="253"/>
      <c r="R38" s="252"/>
      <c r="S38" s="273"/>
    </row>
    <row r="39" spans="1:19" ht="24.5">
      <c r="A39" s="255" t="s">
        <v>1071</v>
      </c>
      <c r="B39" s="355"/>
      <c r="C39" s="256" t="s">
        <v>1025</v>
      </c>
      <c r="D39" s="257">
        <v>6</v>
      </c>
      <c r="E39" s="258">
        <v>2022</v>
      </c>
      <c r="F39" s="258" t="s">
        <v>78</v>
      </c>
      <c r="G39" s="258" t="s">
        <v>559</v>
      </c>
      <c r="H39" s="259">
        <v>44732</v>
      </c>
      <c r="I39" s="246" t="s">
        <v>1027</v>
      </c>
      <c r="J39" s="248" t="s">
        <v>1069</v>
      </c>
      <c r="K39" s="256" t="s">
        <v>1025</v>
      </c>
      <c r="L39" s="257">
        <v>6</v>
      </c>
      <c r="M39" s="258">
        <v>2022</v>
      </c>
      <c r="N39" s="258" t="s">
        <v>78</v>
      </c>
      <c r="O39" s="258" t="s">
        <v>559</v>
      </c>
      <c r="P39" s="258"/>
      <c r="Q39" s="259">
        <v>44732</v>
      </c>
      <c r="R39" s="246" t="s">
        <v>1027</v>
      </c>
      <c r="S39" s="248"/>
    </row>
    <row r="40" spans="1:19" ht="24.5">
      <c r="A40" s="255" t="s">
        <v>1071</v>
      </c>
      <c r="B40" s="355"/>
      <c r="C40" s="256" t="s">
        <v>1028</v>
      </c>
      <c r="D40" s="257">
        <v>8</v>
      </c>
      <c r="E40" s="258">
        <v>2022</v>
      </c>
      <c r="F40" s="258" t="s">
        <v>99</v>
      </c>
      <c r="G40" s="258" t="s">
        <v>564</v>
      </c>
      <c r="H40" s="259">
        <v>44747</v>
      </c>
      <c r="I40" s="246" t="s">
        <v>1027</v>
      </c>
      <c r="J40" s="248" t="s">
        <v>1069</v>
      </c>
      <c r="K40" s="256" t="s">
        <v>1028</v>
      </c>
      <c r="L40" s="257">
        <v>8</v>
      </c>
      <c r="M40" s="258">
        <v>2022</v>
      </c>
      <c r="N40" s="258" t="s">
        <v>99</v>
      </c>
      <c r="O40" s="258" t="s">
        <v>564</v>
      </c>
      <c r="P40" s="258"/>
      <c r="Q40" s="259">
        <v>44747</v>
      </c>
      <c r="R40" s="246" t="s">
        <v>1027</v>
      </c>
      <c r="S40" s="272"/>
    </row>
    <row r="41" spans="1:19" ht="24.5">
      <c r="A41" s="249" t="s">
        <v>1038</v>
      </c>
      <c r="B41" s="354"/>
      <c r="C41" s="250" t="s">
        <v>1028</v>
      </c>
      <c r="D41" s="251">
        <v>14</v>
      </c>
      <c r="E41" s="252">
        <v>2022</v>
      </c>
      <c r="F41" s="252" t="s">
        <v>99</v>
      </c>
      <c r="G41" s="252" t="s">
        <v>571</v>
      </c>
      <c r="H41" s="253">
        <v>44810</v>
      </c>
      <c r="I41" s="252" t="s">
        <v>1027</v>
      </c>
      <c r="J41" s="254" t="s">
        <v>1068</v>
      </c>
      <c r="K41" s="250" t="s">
        <v>1028</v>
      </c>
      <c r="L41" s="251">
        <v>14</v>
      </c>
      <c r="M41" s="252">
        <v>2022</v>
      </c>
      <c r="N41" s="252" t="s">
        <v>99</v>
      </c>
      <c r="O41" s="252" t="s">
        <v>571</v>
      </c>
      <c r="P41" s="252"/>
      <c r="Q41" s="253">
        <v>44810</v>
      </c>
      <c r="R41" s="252" t="s">
        <v>1027</v>
      </c>
      <c r="S41" s="273"/>
    </row>
    <row r="42" spans="1:19" ht="24.5">
      <c r="A42" s="255" t="s">
        <v>535</v>
      </c>
      <c r="B42" s="355"/>
      <c r="C42" s="256" t="s">
        <v>1028</v>
      </c>
      <c r="D42" s="257">
        <v>165</v>
      </c>
      <c r="E42" s="258">
        <v>2022</v>
      </c>
      <c r="F42" s="258" t="s">
        <v>99</v>
      </c>
      <c r="G42" s="258" t="s">
        <v>564</v>
      </c>
      <c r="H42" s="259"/>
      <c r="I42" s="258"/>
      <c r="J42" s="248"/>
      <c r="K42" s="256" t="s">
        <v>1028</v>
      </c>
      <c r="L42" s="257">
        <v>123</v>
      </c>
      <c r="M42" s="257">
        <v>2022</v>
      </c>
      <c r="N42" s="258" t="s">
        <v>99</v>
      </c>
      <c r="O42" s="258" t="s">
        <v>564</v>
      </c>
      <c r="P42" s="258"/>
      <c r="Q42" s="259"/>
      <c r="R42" s="258"/>
      <c r="S42" s="272">
        <v>8</v>
      </c>
    </row>
    <row r="43" spans="1:19" ht="24.5">
      <c r="A43" s="249" t="s">
        <v>535</v>
      </c>
      <c r="B43" s="354"/>
      <c r="C43" s="250" t="s">
        <v>1028</v>
      </c>
      <c r="D43" s="251">
        <v>174</v>
      </c>
      <c r="E43" s="252">
        <v>2022</v>
      </c>
      <c r="F43" s="252" t="s">
        <v>99</v>
      </c>
      <c r="G43" s="252" t="s">
        <v>566</v>
      </c>
      <c r="H43" s="253"/>
      <c r="I43" s="252"/>
      <c r="J43" s="254"/>
      <c r="K43" s="250" t="s">
        <v>1028</v>
      </c>
      <c r="L43" s="251">
        <v>129</v>
      </c>
      <c r="M43" s="251">
        <v>2022</v>
      </c>
      <c r="N43" s="252" t="s">
        <v>99</v>
      </c>
      <c r="O43" s="252" t="s">
        <v>566</v>
      </c>
      <c r="P43" s="252"/>
      <c r="Q43" s="253"/>
      <c r="R43" s="252"/>
      <c r="S43" s="273">
        <v>10</v>
      </c>
    </row>
    <row r="44" spans="1:19" ht="24.5">
      <c r="A44" s="255" t="s">
        <v>535</v>
      </c>
      <c r="B44" s="355"/>
      <c r="C44" s="256" t="s">
        <v>1028</v>
      </c>
      <c r="D44" s="257">
        <v>115</v>
      </c>
      <c r="E44" s="258">
        <v>2022</v>
      </c>
      <c r="F44" s="258" t="s">
        <v>99</v>
      </c>
      <c r="G44" s="258" t="s">
        <v>571</v>
      </c>
      <c r="H44" s="259"/>
      <c r="I44" s="258"/>
      <c r="J44" s="248"/>
      <c r="K44" s="256" t="s">
        <v>1028</v>
      </c>
      <c r="L44" s="257">
        <v>83</v>
      </c>
      <c r="M44" s="257">
        <v>2022</v>
      </c>
      <c r="N44" s="258" t="s">
        <v>99</v>
      </c>
      <c r="O44" s="258" t="s">
        <v>571</v>
      </c>
      <c r="P44" s="258"/>
      <c r="Q44" s="259"/>
      <c r="R44" s="258"/>
      <c r="S44" s="272" t="s">
        <v>1072</v>
      </c>
    </row>
    <row r="45" spans="1:19" ht="24.5">
      <c r="A45" s="249" t="s">
        <v>782</v>
      </c>
      <c r="B45" s="354"/>
      <c r="C45" s="250" t="s">
        <v>1025</v>
      </c>
      <c r="D45" s="251">
        <v>112</v>
      </c>
      <c r="E45" s="252">
        <v>2022</v>
      </c>
      <c r="F45" s="252" t="s">
        <v>99</v>
      </c>
      <c r="G45" s="252"/>
      <c r="H45" s="253"/>
      <c r="I45" s="252"/>
      <c r="J45" s="254"/>
      <c r="K45" s="250" t="s">
        <v>1025</v>
      </c>
      <c r="L45" s="251">
        <v>30</v>
      </c>
      <c r="M45" s="251">
        <v>2022</v>
      </c>
      <c r="N45" s="252" t="s">
        <v>99</v>
      </c>
      <c r="O45" s="252" t="s">
        <v>566</v>
      </c>
      <c r="P45" s="252"/>
      <c r="Q45" s="253"/>
      <c r="R45" s="252"/>
      <c r="S45" s="273"/>
    </row>
    <row r="46" spans="1:19" ht="24.5">
      <c r="A46" s="255" t="s">
        <v>917</v>
      </c>
      <c r="B46" s="355"/>
      <c r="C46" s="256" t="s">
        <v>1025</v>
      </c>
      <c r="D46" s="257">
        <v>164</v>
      </c>
      <c r="E46" s="258">
        <v>2022</v>
      </c>
      <c r="F46" s="258" t="s">
        <v>99</v>
      </c>
      <c r="G46" s="258"/>
      <c r="H46" s="259"/>
      <c r="I46" s="258"/>
      <c r="J46" s="248"/>
      <c r="K46" s="256"/>
      <c r="L46" s="257">
        <v>0</v>
      </c>
      <c r="M46" s="257"/>
      <c r="N46" s="258"/>
      <c r="O46" s="258"/>
      <c r="P46" s="258"/>
      <c r="Q46" s="259"/>
      <c r="R46" s="258"/>
      <c r="S46" s="272"/>
    </row>
    <row r="47" spans="1:19" ht="24.5">
      <c r="A47" s="255" t="s">
        <v>922</v>
      </c>
      <c r="B47" s="355"/>
      <c r="C47" s="256" t="s">
        <v>1025</v>
      </c>
      <c r="D47" s="257">
        <v>9</v>
      </c>
      <c r="E47" s="258">
        <v>2022</v>
      </c>
      <c r="F47" s="258" t="s">
        <v>47</v>
      </c>
      <c r="G47" s="258" t="s">
        <v>536</v>
      </c>
      <c r="H47" s="259" t="s">
        <v>551</v>
      </c>
      <c r="I47" s="258" t="s">
        <v>1027</v>
      </c>
      <c r="J47" s="248" t="s">
        <v>1073</v>
      </c>
      <c r="K47" s="256" t="s">
        <v>1025</v>
      </c>
      <c r="L47" s="257">
        <v>9</v>
      </c>
      <c r="M47" s="257">
        <v>2022</v>
      </c>
      <c r="N47" s="258" t="s">
        <v>47</v>
      </c>
      <c r="O47" s="258" t="s">
        <v>536</v>
      </c>
      <c r="P47" s="258"/>
      <c r="Q47" s="259">
        <v>44677</v>
      </c>
      <c r="R47" s="258" t="s">
        <v>1027</v>
      </c>
      <c r="S47" s="272"/>
    </row>
    <row r="48" spans="1:19" ht="24.5">
      <c r="A48" s="255" t="s">
        <v>922</v>
      </c>
      <c r="B48" s="355"/>
      <c r="C48" s="256" t="s">
        <v>1025</v>
      </c>
      <c r="D48" s="257">
        <v>34</v>
      </c>
      <c r="E48" s="258">
        <v>2022</v>
      </c>
      <c r="F48" s="258" t="s">
        <v>47</v>
      </c>
      <c r="G48" s="258" t="s">
        <v>543</v>
      </c>
      <c r="H48" s="259" t="s">
        <v>551</v>
      </c>
      <c r="I48" s="258" t="s">
        <v>1027</v>
      </c>
      <c r="J48" s="248" t="s">
        <v>1073</v>
      </c>
      <c r="K48" s="256" t="s">
        <v>1025</v>
      </c>
      <c r="L48" s="257">
        <v>34</v>
      </c>
      <c r="M48" s="257">
        <v>2022</v>
      </c>
      <c r="N48" s="258" t="s">
        <v>47</v>
      </c>
      <c r="O48" s="258" t="s">
        <v>543</v>
      </c>
      <c r="P48" s="258"/>
      <c r="Q48" s="259">
        <v>44677</v>
      </c>
      <c r="R48" s="258" t="s">
        <v>1027</v>
      </c>
      <c r="S48" s="272"/>
    </row>
    <row r="49" spans="1:19" ht="25" thickBot="1">
      <c r="A49" s="255" t="s">
        <v>922</v>
      </c>
      <c r="B49" s="355"/>
      <c r="C49" s="256" t="s">
        <v>1025</v>
      </c>
      <c r="D49" s="257">
        <v>20</v>
      </c>
      <c r="E49" s="258">
        <v>2022</v>
      </c>
      <c r="F49" s="258" t="s">
        <v>47</v>
      </c>
      <c r="G49" s="258" t="s">
        <v>1031</v>
      </c>
      <c r="H49" s="259" t="s">
        <v>551</v>
      </c>
      <c r="I49" s="258" t="s">
        <v>1027</v>
      </c>
      <c r="J49" s="248" t="s">
        <v>1073</v>
      </c>
      <c r="K49" s="256" t="s">
        <v>1025</v>
      </c>
      <c r="L49" s="257">
        <v>20</v>
      </c>
      <c r="M49" s="257">
        <v>2022</v>
      </c>
      <c r="N49" s="258" t="s">
        <v>47</v>
      </c>
      <c r="O49" s="383" t="s">
        <v>1031</v>
      </c>
      <c r="P49" s="381"/>
      <c r="Q49" s="259">
        <v>44677</v>
      </c>
      <c r="R49" s="258" t="s">
        <v>1027</v>
      </c>
      <c r="S49" s="272"/>
    </row>
    <row r="50" spans="1:19" ht="25" thickBot="1">
      <c r="A50" s="255" t="s">
        <v>922</v>
      </c>
      <c r="B50" s="355"/>
      <c r="C50" s="256" t="s">
        <v>1025</v>
      </c>
      <c r="D50" s="257">
        <v>17</v>
      </c>
      <c r="E50" s="258">
        <v>2022</v>
      </c>
      <c r="F50" s="258" t="s">
        <v>78</v>
      </c>
      <c r="G50" s="258" t="s">
        <v>551</v>
      </c>
      <c r="H50" s="257" t="s">
        <v>551</v>
      </c>
      <c r="I50" s="258" t="s">
        <v>1027</v>
      </c>
      <c r="J50" s="257" t="s">
        <v>1074</v>
      </c>
      <c r="K50" s="256" t="s">
        <v>1025</v>
      </c>
      <c r="L50" s="257">
        <v>17</v>
      </c>
      <c r="M50" s="257">
        <v>2022</v>
      </c>
      <c r="N50" s="258" t="s">
        <v>78</v>
      </c>
      <c r="O50" s="383" t="s">
        <v>551</v>
      </c>
      <c r="P50" s="381"/>
      <c r="Q50" s="259">
        <v>44677</v>
      </c>
      <c r="R50" s="257" t="s">
        <v>1027</v>
      </c>
      <c r="S50" s="257"/>
    </row>
    <row r="51" spans="1:19" ht="25" thickBot="1">
      <c r="A51" s="255" t="s">
        <v>922</v>
      </c>
      <c r="B51" s="355"/>
      <c r="C51" s="256" t="s">
        <v>1025</v>
      </c>
      <c r="D51" s="257">
        <v>75</v>
      </c>
      <c r="E51" s="258">
        <v>2022</v>
      </c>
      <c r="F51" s="258" t="s">
        <v>78</v>
      </c>
      <c r="G51" s="258" t="s">
        <v>555</v>
      </c>
      <c r="H51" s="257" t="s">
        <v>555</v>
      </c>
      <c r="I51" s="258" t="s">
        <v>1027</v>
      </c>
      <c r="J51" s="257" t="s">
        <v>1074</v>
      </c>
      <c r="K51" s="256" t="s">
        <v>1025</v>
      </c>
      <c r="L51" s="257">
        <v>75</v>
      </c>
      <c r="M51" s="257">
        <v>2022</v>
      </c>
      <c r="N51" s="258" t="s">
        <v>78</v>
      </c>
      <c r="O51" s="383" t="s">
        <v>555</v>
      </c>
      <c r="P51" s="381"/>
      <c r="Q51" s="259">
        <v>44684</v>
      </c>
      <c r="R51" s="257" t="s">
        <v>1027</v>
      </c>
      <c r="S51" s="257"/>
    </row>
    <row r="52" spans="1:19" ht="25" thickBot="1">
      <c r="A52" s="255" t="s">
        <v>922</v>
      </c>
      <c r="B52" s="355"/>
      <c r="C52" s="256" t="s">
        <v>1025</v>
      </c>
      <c r="D52" s="257">
        <v>33</v>
      </c>
      <c r="E52" s="258">
        <v>2022</v>
      </c>
      <c r="F52" s="258" t="s">
        <v>78</v>
      </c>
      <c r="G52" s="258" t="s">
        <v>559</v>
      </c>
      <c r="H52" s="257" t="s">
        <v>559</v>
      </c>
      <c r="I52" s="258" t="s">
        <v>1027</v>
      </c>
      <c r="J52" s="257" t="s">
        <v>1074</v>
      </c>
      <c r="K52" s="256" t="s">
        <v>1025</v>
      </c>
      <c r="L52" s="257">
        <v>33</v>
      </c>
      <c r="M52" s="257">
        <v>2022</v>
      </c>
      <c r="N52" s="258" t="s">
        <v>78</v>
      </c>
      <c r="O52" s="383" t="s">
        <v>559</v>
      </c>
      <c r="P52" s="381"/>
      <c r="Q52" s="259">
        <v>44726</v>
      </c>
      <c r="R52" s="257" t="s">
        <v>1027</v>
      </c>
      <c r="S52" s="257"/>
    </row>
    <row r="53" spans="1:19" ht="25" thickBot="1">
      <c r="A53" s="255" t="s">
        <v>922</v>
      </c>
      <c r="B53" s="355"/>
      <c r="C53" s="256" t="s">
        <v>1025</v>
      </c>
      <c r="D53" s="257">
        <v>25</v>
      </c>
      <c r="E53" s="258">
        <v>2022</v>
      </c>
      <c r="F53" s="258" t="s">
        <v>99</v>
      </c>
      <c r="G53" s="258" t="s">
        <v>564</v>
      </c>
      <c r="H53" s="257" t="s">
        <v>564</v>
      </c>
      <c r="I53" s="258" t="s">
        <v>1027</v>
      </c>
      <c r="J53" s="257" t="s">
        <v>1074</v>
      </c>
      <c r="K53" s="256" t="s">
        <v>1025</v>
      </c>
      <c r="L53" s="257">
        <v>25</v>
      </c>
      <c r="M53" s="257">
        <v>2022</v>
      </c>
      <c r="N53" s="258" t="s">
        <v>99</v>
      </c>
      <c r="O53" s="383" t="s">
        <v>564</v>
      </c>
      <c r="P53" s="381"/>
      <c r="Q53" s="259">
        <v>44760</v>
      </c>
      <c r="R53" s="257" t="s">
        <v>1027</v>
      </c>
      <c r="S53" s="257"/>
    </row>
    <row r="54" spans="1:19" ht="25" thickBot="1">
      <c r="A54" s="255" t="s">
        <v>922</v>
      </c>
      <c r="B54" s="355"/>
      <c r="C54" s="256" t="s">
        <v>1025</v>
      </c>
      <c r="D54" s="257">
        <v>32</v>
      </c>
      <c r="E54" s="258">
        <v>2022</v>
      </c>
      <c r="F54" s="258" t="s">
        <v>99</v>
      </c>
      <c r="G54" s="258" t="s">
        <v>566</v>
      </c>
      <c r="H54" s="257" t="s">
        <v>566</v>
      </c>
      <c r="I54" s="258" t="s">
        <v>1027</v>
      </c>
      <c r="J54" s="257" t="s">
        <v>1074</v>
      </c>
      <c r="K54" s="256" t="s">
        <v>1025</v>
      </c>
      <c r="L54" s="257">
        <v>32</v>
      </c>
      <c r="M54" s="257">
        <v>2022</v>
      </c>
      <c r="N54" s="258" t="s">
        <v>99</v>
      </c>
      <c r="O54" s="383" t="s">
        <v>566</v>
      </c>
      <c r="P54" s="381"/>
      <c r="Q54" s="259">
        <v>44789</v>
      </c>
      <c r="R54" s="257" t="s">
        <v>1027</v>
      </c>
      <c r="S54" s="257"/>
    </row>
    <row r="55" spans="1:19" ht="25" thickBot="1">
      <c r="A55" s="255" t="s">
        <v>922</v>
      </c>
      <c r="B55" s="355"/>
      <c r="C55" s="256" t="s">
        <v>1025</v>
      </c>
      <c r="D55" s="257">
        <v>73</v>
      </c>
      <c r="E55" s="258">
        <v>2022</v>
      </c>
      <c r="F55" s="258" t="s">
        <v>99</v>
      </c>
      <c r="G55" s="258" t="s">
        <v>571</v>
      </c>
      <c r="H55" s="257" t="s">
        <v>571</v>
      </c>
      <c r="I55" s="258" t="s">
        <v>1027</v>
      </c>
      <c r="J55" s="257" t="s">
        <v>1074</v>
      </c>
      <c r="K55" s="256" t="s">
        <v>1025</v>
      </c>
      <c r="L55" s="257">
        <v>73</v>
      </c>
      <c r="M55" s="257">
        <v>2022</v>
      </c>
      <c r="N55" s="258" t="s">
        <v>99</v>
      </c>
      <c r="O55" s="383" t="s">
        <v>571</v>
      </c>
      <c r="P55" s="381"/>
      <c r="Q55" s="259">
        <v>44823</v>
      </c>
      <c r="R55" s="257" t="s">
        <v>1027</v>
      </c>
      <c r="S55" s="257"/>
    </row>
    <row r="56" spans="1:19" ht="25" thickBot="1">
      <c r="A56" s="255" t="s">
        <v>922</v>
      </c>
      <c r="B56" s="355"/>
      <c r="C56" s="256" t="s">
        <v>1025</v>
      </c>
      <c r="D56" s="257">
        <v>15</v>
      </c>
      <c r="E56" s="258">
        <v>2022</v>
      </c>
      <c r="F56" s="258" t="s">
        <v>121</v>
      </c>
      <c r="G56" s="258" t="s">
        <v>574</v>
      </c>
      <c r="H56" s="257" t="s">
        <v>574</v>
      </c>
      <c r="I56" s="258" t="s">
        <v>1027</v>
      </c>
      <c r="J56" s="257" t="s">
        <v>1074</v>
      </c>
      <c r="K56" s="256" t="s">
        <v>1025</v>
      </c>
      <c r="L56" s="257">
        <v>13</v>
      </c>
      <c r="M56" s="257">
        <v>2022</v>
      </c>
      <c r="N56" s="258" t="s">
        <v>121</v>
      </c>
      <c r="O56" s="383" t="s">
        <v>574</v>
      </c>
      <c r="P56" s="381"/>
      <c r="Q56" s="259">
        <v>44844</v>
      </c>
      <c r="R56" s="257" t="s">
        <v>1027</v>
      </c>
      <c r="S56" s="257"/>
    </row>
    <row r="57" spans="1:19" ht="24.5">
      <c r="A57" s="255" t="s">
        <v>922</v>
      </c>
      <c r="B57" s="355"/>
      <c r="C57" s="256" t="s">
        <v>1025</v>
      </c>
      <c r="D57" s="257">
        <v>10</v>
      </c>
      <c r="E57" s="258">
        <v>2022</v>
      </c>
      <c r="F57" s="258" t="s">
        <v>121</v>
      </c>
      <c r="G57" s="258" t="s">
        <v>1034</v>
      </c>
      <c r="H57" s="257" t="s">
        <v>576</v>
      </c>
      <c r="I57" s="258" t="s">
        <v>1027</v>
      </c>
      <c r="J57" s="257" t="s">
        <v>1074</v>
      </c>
      <c r="K57" s="256" t="s">
        <v>1025</v>
      </c>
      <c r="L57" s="257">
        <v>15</v>
      </c>
      <c r="M57" s="257">
        <v>2022</v>
      </c>
      <c r="N57" s="257" t="s">
        <v>121</v>
      </c>
      <c r="O57" s="257" t="s">
        <v>1034</v>
      </c>
      <c r="P57" s="257"/>
      <c r="Q57" s="338" t="s">
        <v>1075</v>
      </c>
      <c r="R57" s="257" t="s">
        <v>346</v>
      </c>
      <c r="S57" s="257"/>
    </row>
    <row r="58" spans="1:19" ht="24.5">
      <c r="A58" s="255" t="s">
        <v>922</v>
      </c>
      <c r="B58" s="355"/>
      <c r="C58" s="256" t="s">
        <v>1025</v>
      </c>
      <c r="D58" s="257">
        <v>5</v>
      </c>
      <c r="E58" s="258">
        <v>2022</v>
      </c>
      <c r="F58" s="258" t="s">
        <v>121</v>
      </c>
      <c r="G58" s="258" t="s">
        <v>578</v>
      </c>
      <c r="H58" s="257" t="s">
        <v>578</v>
      </c>
      <c r="I58" s="258" t="s">
        <v>1027</v>
      </c>
      <c r="J58" s="257" t="s">
        <v>1074</v>
      </c>
      <c r="K58" s="256" t="s">
        <v>1025</v>
      </c>
      <c r="L58" s="257">
        <v>25</v>
      </c>
      <c r="M58" s="257">
        <v>2022</v>
      </c>
      <c r="N58" s="257" t="s">
        <v>121</v>
      </c>
      <c r="O58" s="257" t="s">
        <v>578</v>
      </c>
      <c r="P58" s="257"/>
      <c r="Q58" s="338" t="s">
        <v>1075</v>
      </c>
      <c r="R58" s="257" t="s">
        <v>346</v>
      </c>
      <c r="S58" s="257"/>
    </row>
    <row r="59" spans="1:19" ht="24.5">
      <c r="A59" s="255" t="s">
        <v>270</v>
      </c>
      <c r="B59" s="355"/>
      <c r="C59" s="256" t="s">
        <v>1025</v>
      </c>
      <c r="D59" s="257">
        <v>15</v>
      </c>
      <c r="E59" s="258">
        <v>2023</v>
      </c>
      <c r="F59" s="258" t="s">
        <v>47</v>
      </c>
      <c r="G59" s="258" t="s">
        <v>536</v>
      </c>
      <c r="H59" s="257" t="s">
        <v>536</v>
      </c>
      <c r="I59" s="258" t="s">
        <v>1027</v>
      </c>
      <c r="J59" s="257" t="s">
        <v>1074</v>
      </c>
      <c r="K59" s="256" t="s">
        <v>1025</v>
      </c>
      <c r="L59" s="257">
        <v>5</v>
      </c>
      <c r="M59" s="257">
        <v>2023</v>
      </c>
      <c r="N59" s="257" t="s">
        <v>47</v>
      </c>
      <c r="O59" s="257" t="s">
        <v>536</v>
      </c>
      <c r="P59" s="257"/>
      <c r="Q59" s="338" t="s">
        <v>1076</v>
      </c>
      <c r="R59" s="257" t="s">
        <v>346</v>
      </c>
      <c r="S59" s="257"/>
    </row>
    <row r="60" spans="1:19" ht="24.5">
      <c r="A60" s="255" t="s">
        <v>270</v>
      </c>
      <c r="B60" s="355"/>
      <c r="C60" s="256" t="s">
        <v>1025</v>
      </c>
      <c r="D60" s="257">
        <v>15</v>
      </c>
      <c r="E60" s="258">
        <v>2023</v>
      </c>
      <c r="F60" s="258" t="s">
        <v>47</v>
      </c>
      <c r="G60" s="258" t="s">
        <v>543</v>
      </c>
      <c r="H60" s="257" t="s">
        <v>543</v>
      </c>
      <c r="I60" s="258" t="s">
        <v>1027</v>
      </c>
      <c r="J60" s="257" t="s">
        <v>1074</v>
      </c>
      <c r="K60" s="256" t="s">
        <v>1025</v>
      </c>
      <c r="L60" s="257">
        <v>15</v>
      </c>
      <c r="M60" s="257">
        <v>2023</v>
      </c>
      <c r="N60" s="257" t="s">
        <v>47</v>
      </c>
      <c r="O60" s="257" t="s">
        <v>543</v>
      </c>
      <c r="P60" s="257"/>
      <c r="Q60" s="338" t="s">
        <v>1076</v>
      </c>
      <c r="R60" s="257" t="s">
        <v>346</v>
      </c>
      <c r="S60" s="257"/>
    </row>
    <row r="61" spans="1:19" ht="24.5">
      <c r="A61" s="255" t="s">
        <v>270</v>
      </c>
      <c r="B61" s="355"/>
      <c r="C61" s="256" t="s">
        <v>1025</v>
      </c>
      <c r="D61" s="257">
        <v>15</v>
      </c>
      <c r="E61" s="258">
        <v>2023</v>
      </c>
      <c r="F61" s="258" t="s">
        <v>47</v>
      </c>
      <c r="G61" s="258" t="s">
        <v>1031</v>
      </c>
      <c r="H61" s="257" t="s">
        <v>547</v>
      </c>
      <c r="I61" s="258" t="s">
        <v>1027</v>
      </c>
      <c r="J61" s="257" t="s">
        <v>1074</v>
      </c>
      <c r="K61" s="256" t="s">
        <v>1025</v>
      </c>
      <c r="L61" s="257">
        <v>18</v>
      </c>
      <c r="M61" s="257">
        <v>2023</v>
      </c>
      <c r="N61" s="257" t="s">
        <v>47</v>
      </c>
      <c r="O61" s="257" t="s">
        <v>1031</v>
      </c>
      <c r="P61" s="257"/>
      <c r="Q61" s="338" t="s">
        <v>1077</v>
      </c>
      <c r="R61" s="257"/>
      <c r="S61" s="257"/>
    </row>
    <row r="62" spans="1:19" ht="24.5">
      <c r="A62" s="255" t="s">
        <v>270</v>
      </c>
      <c r="B62" s="355"/>
      <c r="C62" s="256" t="s">
        <v>1025</v>
      </c>
      <c r="D62" s="257">
        <v>85</v>
      </c>
      <c r="E62" s="258">
        <v>2023</v>
      </c>
      <c r="F62" s="258" t="s">
        <v>78</v>
      </c>
      <c r="G62" s="258" t="s">
        <v>1078</v>
      </c>
      <c r="H62" s="257" t="s">
        <v>78</v>
      </c>
      <c r="I62" s="258"/>
      <c r="J62" s="382" t="s">
        <v>1074</v>
      </c>
      <c r="K62" s="256" t="s">
        <v>1025</v>
      </c>
      <c r="L62" s="257"/>
      <c r="M62" s="257"/>
      <c r="N62" s="257"/>
      <c r="O62" s="257"/>
      <c r="P62" s="257"/>
      <c r="Q62" s="338"/>
      <c r="R62" s="257"/>
      <c r="S62" s="382"/>
    </row>
    <row r="63" spans="1:19" ht="24.5">
      <c r="A63" s="255" t="s">
        <v>1033</v>
      </c>
      <c r="B63" s="355"/>
      <c r="C63" s="256" t="s">
        <v>1025</v>
      </c>
      <c r="D63" s="257">
        <v>41</v>
      </c>
      <c r="E63" s="258">
        <v>2022</v>
      </c>
      <c r="F63" s="258" t="s">
        <v>99</v>
      </c>
      <c r="G63" s="258"/>
      <c r="H63" s="259"/>
      <c r="I63" s="258" t="s">
        <v>346</v>
      </c>
      <c r="J63" s="248" t="s">
        <v>1070</v>
      </c>
      <c r="K63" s="256" t="s">
        <v>1025</v>
      </c>
      <c r="L63" s="257">
        <v>30</v>
      </c>
      <c r="M63" s="257">
        <v>2022</v>
      </c>
      <c r="N63" s="258"/>
      <c r="O63" s="258"/>
      <c r="P63" s="258"/>
      <c r="Q63" s="259"/>
      <c r="R63" s="258" t="s">
        <v>346</v>
      </c>
      <c r="S63" s="272">
        <v>17</v>
      </c>
    </row>
    <row r="64" spans="1:19" ht="24.5">
      <c r="A64" s="249" t="s">
        <v>1035</v>
      </c>
      <c r="B64" s="354"/>
      <c r="C64" s="250" t="s">
        <v>1025</v>
      </c>
      <c r="D64" s="251">
        <v>11</v>
      </c>
      <c r="E64" s="252">
        <v>2022</v>
      </c>
      <c r="F64" s="252" t="s">
        <v>99</v>
      </c>
      <c r="G64" s="252" t="s">
        <v>564</v>
      </c>
      <c r="H64" s="253"/>
      <c r="I64" s="252"/>
      <c r="J64" s="254"/>
      <c r="K64" s="250" t="s">
        <v>1025</v>
      </c>
      <c r="L64" s="251">
        <v>11</v>
      </c>
      <c r="M64" s="252">
        <v>2022</v>
      </c>
      <c r="N64" s="252" t="s">
        <v>99</v>
      </c>
      <c r="O64" s="252" t="s">
        <v>564</v>
      </c>
      <c r="P64" s="252"/>
      <c r="Q64" s="253"/>
      <c r="R64" s="252"/>
      <c r="S64" s="273"/>
    </row>
    <row r="65" spans="1:19" ht="24.5">
      <c r="A65" s="255" t="s">
        <v>1029</v>
      </c>
      <c r="B65" s="355"/>
      <c r="C65" s="256" t="s">
        <v>1025</v>
      </c>
      <c r="D65" s="257">
        <v>20</v>
      </c>
      <c r="E65" s="258">
        <v>2022</v>
      </c>
      <c r="F65" s="258" t="s">
        <v>99</v>
      </c>
      <c r="G65" s="258" t="s">
        <v>564</v>
      </c>
      <c r="H65" s="259"/>
      <c r="I65" s="258"/>
      <c r="J65" s="248"/>
      <c r="K65" s="256" t="s">
        <v>1025</v>
      </c>
      <c r="L65" s="257">
        <v>12</v>
      </c>
      <c r="M65" s="257">
        <v>2022</v>
      </c>
      <c r="N65" s="258" t="s">
        <v>99</v>
      </c>
      <c r="O65" s="258" t="s">
        <v>564</v>
      </c>
      <c r="P65" s="258"/>
      <c r="Q65" s="259"/>
      <c r="R65" s="258"/>
      <c r="S65" s="272"/>
    </row>
    <row r="66" spans="1:19" ht="24.5">
      <c r="A66" s="249" t="s">
        <v>1029</v>
      </c>
      <c r="B66" s="354"/>
      <c r="C66" s="250" t="s">
        <v>1025</v>
      </c>
      <c r="D66" s="251">
        <v>20</v>
      </c>
      <c r="E66" s="252">
        <v>2022</v>
      </c>
      <c r="F66" s="252" t="s">
        <v>99</v>
      </c>
      <c r="G66" s="252" t="s">
        <v>566</v>
      </c>
      <c r="H66" s="253"/>
      <c r="I66" s="252"/>
      <c r="J66" s="254"/>
      <c r="K66" s="250" t="s">
        <v>1025</v>
      </c>
      <c r="L66" s="251">
        <v>0</v>
      </c>
      <c r="M66" s="251">
        <v>2022</v>
      </c>
      <c r="N66" s="252" t="s">
        <v>99</v>
      </c>
      <c r="O66" s="252" t="s">
        <v>566</v>
      </c>
      <c r="P66" s="252"/>
      <c r="Q66" s="253"/>
      <c r="R66" s="252"/>
      <c r="S66" s="273"/>
    </row>
    <row r="67" spans="1:19" ht="24.5">
      <c r="A67" s="255" t="s">
        <v>1029</v>
      </c>
      <c r="B67" s="355"/>
      <c r="C67" s="256" t="s">
        <v>1025</v>
      </c>
      <c r="D67" s="257">
        <v>20</v>
      </c>
      <c r="E67" s="258">
        <v>2022</v>
      </c>
      <c r="F67" s="258" t="s">
        <v>99</v>
      </c>
      <c r="G67" s="258" t="s">
        <v>571</v>
      </c>
      <c r="H67" s="259"/>
      <c r="I67" s="258"/>
      <c r="J67" s="248"/>
      <c r="K67" s="256" t="s">
        <v>1025</v>
      </c>
      <c r="L67" s="257">
        <v>0</v>
      </c>
      <c r="M67" s="257">
        <v>2022</v>
      </c>
      <c r="N67" s="258" t="s">
        <v>99</v>
      </c>
      <c r="O67" s="258" t="s">
        <v>571</v>
      </c>
      <c r="P67" s="258"/>
      <c r="Q67" s="259"/>
      <c r="R67" s="258"/>
      <c r="S67" s="272"/>
    </row>
    <row r="68" spans="1:19" ht="24.5">
      <c r="A68" s="249" t="s">
        <v>887</v>
      </c>
      <c r="B68" s="354"/>
      <c r="C68" s="250" t="s">
        <v>1025</v>
      </c>
      <c r="D68" s="251">
        <v>2</v>
      </c>
      <c r="E68" s="252">
        <v>2022</v>
      </c>
      <c r="F68" s="252" t="s">
        <v>99</v>
      </c>
      <c r="G68" s="252" t="s">
        <v>566</v>
      </c>
      <c r="H68" s="253"/>
      <c r="I68" s="252"/>
      <c r="J68" s="254"/>
      <c r="K68" s="250" t="s">
        <v>1025</v>
      </c>
      <c r="L68" s="251">
        <v>1</v>
      </c>
      <c r="M68" s="252">
        <v>2022</v>
      </c>
      <c r="N68" s="252" t="s">
        <v>78</v>
      </c>
      <c r="O68" s="252" t="s">
        <v>559</v>
      </c>
      <c r="P68" s="252"/>
      <c r="Q68" s="253"/>
      <c r="R68" s="252"/>
      <c r="S68" s="273">
        <v>1</v>
      </c>
    </row>
    <row r="69" spans="1:19" ht="24.5">
      <c r="A69" s="255" t="s">
        <v>887</v>
      </c>
      <c r="B69" s="355"/>
      <c r="C69" s="256" t="s">
        <v>1025</v>
      </c>
      <c r="D69" s="257">
        <v>2</v>
      </c>
      <c r="E69" s="258">
        <v>2022</v>
      </c>
      <c r="F69" s="258" t="s">
        <v>99</v>
      </c>
      <c r="G69" s="258" t="s">
        <v>571</v>
      </c>
      <c r="H69" s="259"/>
      <c r="I69" s="258"/>
      <c r="J69" s="248"/>
      <c r="K69" s="256" t="s">
        <v>1025</v>
      </c>
      <c r="L69" s="257">
        <v>4</v>
      </c>
      <c r="M69" s="257">
        <v>2022</v>
      </c>
      <c r="N69" s="258" t="s">
        <v>99</v>
      </c>
      <c r="O69" s="258" t="s">
        <v>566</v>
      </c>
      <c r="P69" s="258"/>
      <c r="Q69" s="259"/>
      <c r="R69" s="258"/>
      <c r="S69" s="272">
        <v>1</v>
      </c>
    </row>
    <row r="70" spans="1:19" ht="24.5">
      <c r="A70" s="249" t="s">
        <v>535</v>
      </c>
      <c r="B70" s="354"/>
      <c r="C70" s="256" t="s">
        <v>1028</v>
      </c>
      <c r="D70" s="251">
        <v>59</v>
      </c>
      <c r="E70" s="252">
        <v>2022</v>
      </c>
      <c r="F70" s="252" t="s">
        <v>99</v>
      </c>
      <c r="G70" s="252" t="s">
        <v>574</v>
      </c>
      <c r="H70" s="253"/>
      <c r="I70" s="252"/>
      <c r="J70" s="254"/>
      <c r="K70" s="250" t="s">
        <v>1028</v>
      </c>
      <c r="L70" s="251">
        <v>25</v>
      </c>
      <c r="M70" s="251">
        <v>2022</v>
      </c>
      <c r="N70" s="252" t="s">
        <v>121</v>
      </c>
      <c r="O70" s="252" t="s">
        <v>574</v>
      </c>
      <c r="P70" s="252"/>
      <c r="Q70" s="253"/>
      <c r="R70" s="252"/>
      <c r="S70" s="273" t="s">
        <v>1072</v>
      </c>
    </row>
    <row r="71" spans="1:19" ht="24.5">
      <c r="A71" s="255" t="s">
        <v>535</v>
      </c>
      <c r="B71" s="355"/>
      <c r="C71" s="256" t="s">
        <v>1028</v>
      </c>
      <c r="D71" s="257">
        <v>136</v>
      </c>
      <c r="E71" s="258">
        <v>2022</v>
      </c>
      <c r="F71" s="258" t="s">
        <v>99</v>
      </c>
      <c r="G71" s="258" t="s">
        <v>1034</v>
      </c>
      <c r="H71" s="259"/>
      <c r="I71" s="258"/>
      <c r="J71" s="248"/>
      <c r="K71" s="256" t="s">
        <v>1028</v>
      </c>
      <c r="L71" s="257">
        <v>56</v>
      </c>
      <c r="M71" s="257">
        <v>2022</v>
      </c>
      <c r="N71" s="258" t="s">
        <v>121</v>
      </c>
      <c r="O71" s="258" t="s">
        <v>1034</v>
      </c>
      <c r="P71" s="258"/>
      <c r="Q71" s="259"/>
      <c r="R71" s="258"/>
      <c r="S71" s="272" t="s">
        <v>1072</v>
      </c>
    </row>
    <row r="72" spans="1:19" ht="24.5">
      <c r="A72" s="249" t="s">
        <v>535</v>
      </c>
      <c r="B72" s="354"/>
      <c r="C72" s="256" t="s">
        <v>1028</v>
      </c>
      <c r="D72" s="251">
        <v>108</v>
      </c>
      <c r="E72" s="252">
        <v>2022</v>
      </c>
      <c r="F72" s="252" t="s">
        <v>99</v>
      </c>
      <c r="G72" s="252" t="s">
        <v>578</v>
      </c>
      <c r="H72" s="253"/>
      <c r="I72" s="252"/>
      <c r="J72" s="254"/>
      <c r="K72" s="250" t="s">
        <v>1028</v>
      </c>
      <c r="L72" s="251">
        <v>45</v>
      </c>
      <c r="M72" s="251">
        <v>2022</v>
      </c>
      <c r="N72" s="252" t="s">
        <v>121</v>
      </c>
      <c r="O72" s="252" t="s">
        <v>578</v>
      </c>
      <c r="P72" s="252"/>
      <c r="Q72" s="253"/>
      <c r="R72" s="252"/>
      <c r="S72" s="273" t="s">
        <v>1072</v>
      </c>
    </row>
    <row r="73" spans="1:19" ht="24.5">
      <c r="A73" s="255" t="s">
        <v>981</v>
      </c>
      <c r="B73" s="355"/>
      <c r="C73" s="256" t="s">
        <v>1028</v>
      </c>
      <c r="D73" s="257">
        <v>16</v>
      </c>
      <c r="E73" s="258">
        <v>2022</v>
      </c>
      <c r="F73" s="258" t="s">
        <v>121</v>
      </c>
      <c r="G73" s="258" t="s">
        <v>1034</v>
      </c>
      <c r="H73" s="259">
        <v>44893</v>
      </c>
      <c r="I73" s="258" t="s">
        <v>1027</v>
      </c>
      <c r="J73" s="248" t="s">
        <v>1079</v>
      </c>
      <c r="K73" s="256" t="s">
        <v>1028</v>
      </c>
      <c r="L73" s="257">
        <v>12</v>
      </c>
      <c r="M73" s="257">
        <v>2022</v>
      </c>
      <c r="N73" s="258" t="s">
        <v>121</v>
      </c>
      <c r="O73" s="258" t="s">
        <v>1034</v>
      </c>
      <c r="P73" s="258"/>
      <c r="Q73" s="259">
        <v>44893</v>
      </c>
      <c r="R73" s="258" t="s">
        <v>1027</v>
      </c>
      <c r="S73" s="272"/>
    </row>
    <row r="74" spans="1:19" ht="24.5">
      <c r="A74" s="255" t="s">
        <v>1033</v>
      </c>
      <c r="B74" s="355"/>
      <c r="C74" s="256" t="s">
        <v>1025</v>
      </c>
      <c r="D74" s="257">
        <v>5</v>
      </c>
      <c r="E74" s="258">
        <v>2022</v>
      </c>
      <c r="F74" s="258" t="s">
        <v>121</v>
      </c>
      <c r="G74" s="258"/>
      <c r="H74" s="259"/>
      <c r="I74" s="258" t="s">
        <v>346</v>
      </c>
      <c r="J74" s="248" t="s">
        <v>1070</v>
      </c>
      <c r="K74" s="256" t="s">
        <v>1025</v>
      </c>
      <c r="L74" s="257">
        <v>8</v>
      </c>
      <c r="M74" s="257">
        <v>2022</v>
      </c>
      <c r="N74" s="258"/>
      <c r="O74" s="258"/>
      <c r="P74" s="258"/>
      <c r="Q74" s="259"/>
      <c r="R74" s="258" t="s">
        <v>346</v>
      </c>
      <c r="S74" s="272"/>
    </row>
    <row r="75" spans="1:19" ht="24.5">
      <c r="A75" s="249" t="s">
        <v>1029</v>
      </c>
      <c r="B75" s="354"/>
      <c r="C75" s="250" t="s">
        <v>1025</v>
      </c>
      <c r="D75" s="251">
        <v>15</v>
      </c>
      <c r="E75" s="252">
        <v>2022</v>
      </c>
      <c r="F75" s="252" t="s">
        <v>121</v>
      </c>
      <c r="G75" s="252" t="s">
        <v>574</v>
      </c>
      <c r="H75" s="253"/>
      <c r="I75" s="252"/>
      <c r="J75" s="254"/>
      <c r="K75" s="250"/>
      <c r="L75" s="251"/>
      <c r="M75" s="251"/>
      <c r="N75" s="252"/>
      <c r="O75" s="252"/>
      <c r="P75" s="252"/>
      <c r="Q75" s="253"/>
      <c r="R75" s="252"/>
      <c r="S75" s="273"/>
    </row>
    <row r="76" spans="1:19" ht="24.5">
      <c r="A76" s="255" t="s">
        <v>1029</v>
      </c>
      <c r="B76" s="355"/>
      <c r="C76" s="256" t="s">
        <v>1025</v>
      </c>
      <c r="D76" s="257">
        <v>15</v>
      </c>
      <c r="E76" s="258">
        <v>2022</v>
      </c>
      <c r="F76" s="258" t="s">
        <v>121</v>
      </c>
      <c r="G76" s="258" t="s">
        <v>1034</v>
      </c>
      <c r="H76" s="259"/>
      <c r="I76" s="258"/>
      <c r="J76" s="248"/>
      <c r="K76" s="256"/>
      <c r="L76" s="257"/>
      <c r="M76" s="257"/>
      <c r="N76" s="258"/>
      <c r="O76" s="258"/>
      <c r="P76" s="258"/>
      <c r="Q76" s="259"/>
      <c r="R76" s="258"/>
      <c r="S76" s="272"/>
    </row>
    <row r="77" spans="1:19" ht="24.5">
      <c r="A77" s="249" t="s">
        <v>1029</v>
      </c>
      <c r="B77" s="354"/>
      <c r="C77" s="250" t="s">
        <v>1025</v>
      </c>
      <c r="D77" s="251">
        <v>15</v>
      </c>
      <c r="E77" s="252">
        <v>2022</v>
      </c>
      <c r="F77" s="252" t="s">
        <v>121</v>
      </c>
      <c r="G77" s="252" t="s">
        <v>578</v>
      </c>
      <c r="H77" s="253"/>
      <c r="I77" s="252"/>
      <c r="J77" s="254"/>
      <c r="K77" s="250"/>
      <c r="L77" s="251"/>
      <c r="M77" s="251"/>
      <c r="N77" s="252"/>
      <c r="O77" s="252"/>
      <c r="P77" s="252"/>
      <c r="Q77" s="253"/>
      <c r="R77" s="252"/>
      <c r="S77" s="273"/>
    </row>
    <row r="78" spans="1:19" ht="24.5">
      <c r="A78" s="255" t="s">
        <v>887</v>
      </c>
      <c r="B78" s="355"/>
      <c r="C78" s="256" t="s">
        <v>1025</v>
      </c>
      <c r="D78" s="257">
        <v>9</v>
      </c>
      <c r="E78" s="258">
        <v>2022</v>
      </c>
      <c r="F78" s="258" t="s">
        <v>121</v>
      </c>
      <c r="G78" s="258"/>
      <c r="H78" s="259"/>
      <c r="I78" s="258"/>
      <c r="J78" s="248"/>
      <c r="K78" s="256" t="s">
        <v>1025</v>
      </c>
      <c r="L78" s="257">
        <v>7</v>
      </c>
      <c r="M78" s="257">
        <v>2022</v>
      </c>
      <c r="N78" s="258" t="s">
        <v>121</v>
      </c>
      <c r="O78" s="258" t="s">
        <v>574</v>
      </c>
      <c r="P78" s="258"/>
      <c r="Q78" s="259"/>
      <c r="R78" s="258"/>
      <c r="S78" s="272"/>
    </row>
    <row r="79" spans="1:19" ht="24.5">
      <c r="A79" s="249" t="s">
        <v>1038</v>
      </c>
      <c r="B79" s="354"/>
      <c r="C79" s="250" t="s">
        <v>1028</v>
      </c>
      <c r="D79" s="251">
        <v>6</v>
      </c>
      <c r="E79" s="252">
        <v>2023</v>
      </c>
      <c r="F79" s="252" t="s">
        <v>47</v>
      </c>
      <c r="G79" s="252" t="s">
        <v>536</v>
      </c>
      <c r="H79" s="253">
        <v>44929</v>
      </c>
      <c r="I79" s="252" t="s">
        <v>1027</v>
      </c>
      <c r="J79" s="254" t="s">
        <v>1069</v>
      </c>
      <c r="K79" s="250" t="s">
        <v>1028</v>
      </c>
      <c r="L79" s="251">
        <v>4</v>
      </c>
      <c r="M79" s="251">
        <v>2023</v>
      </c>
      <c r="N79" s="252" t="s">
        <v>47</v>
      </c>
      <c r="O79" s="252" t="s">
        <v>536</v>
      </c>
      <c r="P79" s="252"/>
      <c r="Q79" s="253">
        <v>44929</v>
      </c>
      <c r="R79" s="252" t="s">
        <v>1027</v>
      </c>
      <c r="S79" s="273"/>
    </row>
    <row r="80" spans="1:19" ht="24.5">
      <c r="A80" s="255" t="s">
        <v>1038</v>
      </c>
      <c r="B80" s="355"/>
      <c r="C80" s="256" t="s">
        <v>1028</v>
      </c>
      <c r="D80" s="257">
        <v>21</v>
      </c>
      <c r="E80" s="258">
        <v>2023</v>
      </c>
      <c r="F80" s="258" t="s">
        <v>47</v>
      </c>
      <c r="G80" s="258" t="s">
        <v>536</v>
      </c>
      <c r="H80" s="259">
        <v>44929</v>
      </c>
      <c r="I80" s="258" t="s">
        <v>1027</v>
      </c>
      <c r="J80" s="248" t="s">
        <v>1068</v>
      </c>
      <c r="K80" s="256" t="s">
        <v>1028</v>
      </c>
      <c r="L80" s="257">
        <v>16</v>
      </c>
      <c r="M80" s="257">
        <v>2023</v>
      </c>
      <c r="N80" s="258" t="s">
        <v>47</v>
      </c>
      <c r="O80" s="258" t="s">
        <v>536</v>
      </c>
      <c r="P80" s="258"/>
      <c r="Q80" s="259">
        <v>44929</v>
      </c>
      <c r="R80" s="258" t="s">
        <v>1027</v>
      </c>
      <c r="S80" s="272"/>
    </row>
    <row r="81" spans="1:19" ht="24.5">
      <c r="A81" s="249" t="s">
        <v>1038</v>
      </c>
      <c r="B81" s="354"/>
      <c r="C81" s="250" t="s">
        <v>1028</v>
      </c>
      <c r="D81" s="251">
        <v>44</v>
      </c>
      <c r="E81" s="252">
        <v>2023</v>
      </c>
      <c r="F81" s="252" t="s">
        <v>78</v>
      </c>
      <c r="G81" s="252" t="s">
        <v>555</v>
      </c>
      <c r="H81" s="253">
        <v>45047</v>
      </c>
      <c r="I81" s="252" t="s">
        <v>1027</v>
      </c>
      <c r="J81" s="254" t="s">
        <v>1068</v>
      </c>
      <c r="K81" s="250"/>
      <c r="L81" s="251"/>
      <c r="M81" s="251"/>
      <c r="N81" s="252"/>
      <c r="O81" s="252"/>
      <c r="P81" s="252"/>
      <c r="Q81" s="253"/>
      <c r="R81" s="252"/>
      <c r="S81" s="273"/>
    </row>
    <row r="82" spans="1:19" ht="24.5">
      <c r="A82" s="255" t="s">
        <v>1038</v>
      </c>
      <c r="B82" s="355"/>
      <c r="C82" s="256" t="s">
        <v>1028</v>
      </c>
      <c r="D82" s="257">
        <v>30</v>
      </c>
      <c r="E82" s="258">
        <v>2023</v>
      </c>
      <c r="F82" s="258" t="s">
        <v>99</v>
      </c>
      <c r="G82" s="258" t="s">
        <v>571</v>
      </c>
      <c r="H82" s="259">
        <v>45174</v>
      </c>
      <c r="I82" s="258" t="s">
        <v>1027</v>
      </c>
      <c r="J82" s="248" t="s">
        <v>1068</v>
      </c>
      <c r="K82" s="256"/>
      <c r="L82" s="257"/>
      <c r="M82" s="257"/>
      <c r="N82" s="258"/>
      <c r="O82" s="258"/>
      <c r="P82" s="258"/>
      <c r="Q82" s="259"/>
      <c r="R82" s="258"/>
      <c r="S82" s="272"/>
    </row>
    <row r="83" spans="1:19" ht="24.5">
      <c r="A83" s="249" t="s">
        <v>1038</v>
      </c>
      <c r="B83" s="354"/>
      <c r="C83" s="250" t="s">
        <v>1025</v>
      </c>
      <c r="D83" s="251">
        <v>42</v>
      </c>
      <c r="E83" s="252">
        <v>2023</v>
      </c>
      <c r="F83" s="252" t="s">
        <v>78</v>
      </c>
      <c r="G83" s="252" t="s">
        <v>555</v>
      </c>
      <c r="H83" s="253">
        <v>45068</v>
      </c>
      <c r="I83" s="252" t="s">
        <v>1027</v>
      </c>
      <c r="J83" s="254" t="s">
        <v>1069</v>
      </c>
      <c r="K83" s="250"/>
      <c r="L83" s="251"/>
      <c r="M83" s="251"/>
      <c r="N83" s="252"/>
      <c r="O83" s="252"/>
      <c r="P83" s="252"/>
      <c r="Q83" s="253"/>
      <c r="R83" s="252"/>
      <c r="S83" s="273"/>
    </row>
    <row r="84" spans="1:19" ht="24.5">
      <c r="A84" s="255" t="s">
        <v>1038</v>
      </c>
      <c r="B84" s="355"/>
      <c r="C84" s="256" t="s">
        <v>1025</v>
      </c>
      <c r="D84" s="257">
        <v>6</v>
      </c>
      <c r="E84" s="258">
        <v>2023</v>
      </c>
      <c r="F84" s="258" t="s">
        <v>78</v>
      </c>
      <c r="G84" s="258" t="s">
        <v>559</v>
      </c>
      <c r="H84" s="259">
        <v>45096</v>
      </c>
      <c r="I84" s="258" t="s">
        <v>1027</v>
      </c>
      <c r="J84" s="248" t="s">
        <v>1069</v>
      </c>
      <c r="K84" s="256"/>
      <c r="L84" s="257"/>
      <c r="M84" s="257"/>
      <c r="N84" s="258"/>
      <c r="O84" s="258"/>
      <c r="P84" s="258"/>
      <c r="Q84" s="259"/>
      <c r="R84" s="258"/>
      <c r="S84" s="272"/>
    </row>
    <row r="85" spans="1:19" ht="24.5">
      <c r="A85" s="249" t="s">
        <v>1038</v>
      </c>
      <c r="B85" s="354"/>
      <c r="C85" s="250" t="s">
        <v>1028</v>
      </c>
      <c r="D85" s="251">
        <v>6</v>
      </c>
      <c r="E85" s="252">
        <v>2023</v>
      </c>
      <c r="F85" s="252" t="s">
        <v>99</v>
      </c>
      <c r="G85" s="252" t="s">
        <v>564</v>
      </c>
      <c r="H85" s="253">
        <v>45112</v>
      </c>
      <c r="I85" s="252" t="s">
        <v>1027</v>
      </c>
      <c r="J85" s="254" t="s">
        <v>1069</v>
      </c>
      <c r="K85" s="250"/>
      <c r="L85" s="251"/>
      <c r="M85" s="251"/>
      <c r="N85" s="252"/>
      <c r="O85" s="252"/>
      <c r="P85" s="252"/>
      <c r="Q85" s="253"/>
      <c r="R85" s="252"/>
      <c r="S85" s="273"/>
    </row>
    <row r="86" spans="1:19" ht="24.5">
      <c r="A86" s="255" t="s">
        <v>658</v>
      </c>
      <c r="B86" s="355"/>
      <c r="C86" s="256" t="s">
        <v>1025</v>
      </c>
      <c r="D86" s="257">
        <v>13</v>
      </c>
      <c r="E86" s="258">
        <v>2023</v>
      </c>
      <c r="F86" s="258" t="s">
        <v>78</v>
      </c>
      <c r="G86" s="258" t="s">
        <v>555</v>
      </c>
      <c r="H86" s="259">
        <v>45068</v>
      </c>
      <c r="I86" s="258" t="s">
        <v>1027</v>
      </c>
      <c r="J86" s="248" t="s">
        <v>1069</v>
      </c>
      <c r="K86" s="256"/>
      <c r="L86" s="257"/>
      <c r="M86" s="257"/>
      <c r="N86" s="258"/>
      <c r="O86" s="258"/>
      <c r="P86" s="258"/>
      <c r="Q86" s="259"/>
      <c r="R86" s="258"/>
      <c r="S86" s="272"/>
    </row>
    <row r="87" spans="1:19" ht="24.5">
      <c r="A87" s="249" t="s">
        <v>887</v>
      </c>
      <c r="B87" s="354"/>
      <c r="C87" s="250" t="s">
        <v>1025</v>
      </c>
      <c r="D87" s="251">
        <v>15</v>
      </c>
      <c r="E87" s="252">
        <v>2023</v>
      </c>
      <c r="F87" s="252" t="s">
        <v>47</v>
      </c>
      <c r="G87" s="252" t="s">
        <v>543</v>
      </c>
      <c r="H87" s="253"/>
      <c r="I87" s="252"/>
      <c r="J87" s="254"/>
      <c r="K87" s="250"/>
      <c r="L87" s="251"/>
      <c r="M87" s="251"/>
      <c r="N87" s="252"/>
      <c r="O87" s="252"/>
      <c r="P87" s="252"/>
      <c r="Q87" s="253"/>
      <c r="R87" s="252"/>
      <c r="S87" s="273"/>
    </row>
    <row r="88" spans="1:19" ht="24.5">
      <c r="A88" s="255" t="s">
        <v>887</v>
      </c>
      <c r="B88" s="355"/>
      <c r="C88" s="256" t="s">
        <v>1025</v>
      </c>
      <c r="D88" s="257">
        <v>15</v>
      </c>
      <c r="E88" s="258">
        <v>2023</v>
      </c>
      <c r="F88" s="258" t="s">
        <v>47</v>
      </c>
      <c r="G88" s="258" t="s">
        <v>1031</v>
      </c>
      <c r="H88" s="259"/>
      <c r="I88" s="258"/>
      <c r="J88" s="248"/>
      <c r="K88" s="256"/>
      <c r="L88" s="257"/>
      <c r="M88" s="257"/>
      <c r="N88" s="258"/>
      <c r="O88" s="258"/>
      <c r="P88" s="258"/>
      <c r="Q88" s="259"/>
      <c r="R88" s="258"/>
      <c r="S88" s="272"/>
    </row>
    <row r="89" spans="1:19" ht="24.5">
      <c r="A89" s="249" t="s">
        <v>887</v>
      </c>
      <c r="B89" s="354"/>
      <c r="C89" s="250" t="s">
        <v>1025</v>
      </c>
      <c r="D89" s="251">
        <v>15</v>
      </c>
      <c r="E89" s="252">
        <v>2023</v>
      </c>
      <c r="F89" s="252" t="s">
        <v>78</v>
      </c>
      <c r="G89" s="252" t="s">
        <v>551</v>
      </c>
      <c r="H89" s="253"/>
      <c r="I89" s="252"/>
      <c r="J89" s="254"/>
      <c r="K89" s="250"/>
      <c r="L89" s="251"/>
      <c r="M89" s="251"/>
      <c r="N89" s="252"/>
      <c r="O89" s="252"/>
      <c r="P89" s="252"/>
      <c r="Q89" s="253"/>
      <c r="R89" s="252"/>
      <c r="S89" s="273"/>
    </row>
    <row r="90" spans="1:19" ht="24.5">
      <c r="A90" s="255" t="s">
        <v>887</v>
      </c>
      <c r="B90" s="355"/>
      <c r="C90" s="256" t="s">
        <v>1025</v>
      </c>
      <c r="D90" s="257">
        <v>15</v>
      </c>
      <c r="E90" s="258">
        <v>2023</v>
      </c>
      <c r="F90" s="258" t="s">
        <v>78</v>
      </c>
      <c r="G90" s="258" t="s">
        <v>555</v>
      </c>
      <c r="H90" s="259"/>
      <c r="I90" s="258"/>
      <c r="J90" s="248"/>
      <c r="K90" s="256"/>
      <c r="L90" s="257"/>
      <c r="M90" s="257"/>
      <c r="N90" s="258"/>
      <c r="O90" s="258"/>
      <c r="P90" s="258"/>
      <c r="Q90" s="259"/>
      <c r="R90" s="258"/>
      <c r="S90" s="272"/>
    </row>
    <row r="91" spans="1:19" ht="24.5">
      <c r="A91" s="249" t="s">
        <v>887</v>
      </c>
      <c r="B91" s="354"/>
      <c r="C91" s="250" t="s">
        <v>1025</v>
      </c>
      <c r="D91" s="251">
        <v>15</v>
      </c>
      <c r="E91" s="252">
        <v>2023</v>
      </c>
      <c r="F91" s="252" t="s">
        <v>78</v>
      </c>
      <c r="G91" s="252" t="s">
        <v>559</v>
      </c>
      <c r="H91" s="253"/>
      <c r="I91" s="252"/>
      <c r="J91" s="254"/>
      <c r="K91" s="250"/>
      <c r="L91" s="251"/>
      <c r="M91" s="251"/>
      <c r="N91" s="252"/>
      <c r="O91" s="252"/>
      <c r="P91" s="252"/>
      <c r="Q91" s="253"/>
      <c r="R91" s="252"/>
      <c r="S91" s="273"/>
    </row>
    <row r="92" spans="1:19" ht="24.5">
      <c r="A92" s="255" t="s">
        <v>1033</v>
      </c>
      <c r="B92" s="355"/>
      <c r="C92" s="256" t="s">
        <v>1025</v>
      </c>
      <c r="D92" s="257">
        <v>63</v>
      </c>
      <c r="E92" s="258">
        <v>2023</v>
      </c>
      <c r="F92" s="258" t="s">
        <v>47</v>
      </c>
      <c r="G92" s="258"/>
      <c r="H92" s="259"/>
      <c r="I92" s="258" t="s">
        <v>346</v>
      </c>
      <c r="J92" s="248" t="s">
        <v>1080</v>
      </c>
      <c r="K92" s="256"/>
      <c r="L92" s="257"/>
      <c r="M92" s="257"/>
      <c r="N92" s="258"/>
      <c r="O92" s="258"/>
      <c r="P92" s="258"/>
      <c r="Q92" s="259"/>
      <c r="R92" s="258"/>
      <c r="S92" s="272"/>
    </row>
    <row r="93" spans="1:19" ht="24.5">
      <c r="A93" s="249" t="s">
        <v>1033</v>
      </c>
      <c r="B93" s="354"/>
      <c r="C93" s="250" t="s">
        <v>1025</v>
      </c>
      <c r="D93" s="251">
        <v>53</v>
      </c>
      <c r="E93" s="252">
        <v>2023</v>
      </c>
      <c r="F93" s="252" t="s">
        <v>99</v>
      </c>
      <c r="G93" s="252"/>
      <c r="H93" s="253"/>
      <c r="I93" s="252" t="s">
        <v>346</v>
      </c>
      <c r="J93" s="254" t="s">
        <v>1080</v>
      </c>
      <c r="K93" s="250"/>
      <c r="L93" s="251"/>
      <c r="M93" s="251"/>
      <c r="N93" s="252"/>
      <c r="O93" s="252"/>
      <c r="P93" s="252"/>
      <c r="Q93" s="253"/>
      <c r="R93" s="252"/>
      <c r="S93" s="273"/>
    </row>
    <row r="94" spans="1:19" ht="24.5">
      <c r="A94" s="255" t="s">
        <v>45</v>
      </c>
      <c r="B94" s="355"/>
      <c r="C94" s="256" t="s">
        <v>1025</v>
      </c>
      <c r="D94" s="257">
        <v>100</v>
      </c>
      <c r="E94" s="258">
        <v>2023</v>
      </c>
      <c r="F94" s="258" t="s">
        <v>47</v>
      </c>
      <c r="G94" s="258" t="s">
        <v>543</v>
      </c>
      <c r="H94" s="259" t="s">
        <v>1081</v>
      </c>
      <c r="I94" s="258" t="s">
        <v>346</v>
      </c>
      <c r="J94" s="524" t="s">
        <v>1082</v>
      </c>
      <c r="K94" s="256" t="s">
        <v>1025</v>
      </c>
      <c r="L94" s="257">
        <v>31</v>
      </c>
      <c r="M94" s="257">
        <v>2023</v>
      </c>
      <c r="N94" s="258" t="s">
        <v>47</v>
      </c>
      <c r="O94" s="258" t="s">
        <v>536</v>
      </c>
      <c r="P94" s="258"/>
      <c r="Q94" s="341">
        <v>44942</v>
      </c>
      <c r="R94" s="258" t="s">
        <v>1027</v>
      </c>
      <c r="S94" s="272">
        <v>31</v>
      </c>
    </row>
    <row r="95" spans="1:19" ht="24.5">
      <c r="A95" s="249" t="s">
        <v>782</v>
      </c>
      <c r="B95" s="354"/>
      <c r="C95" s="256" t="s">
        <v>1025</v>
      </c>
      <c r="D95" s="251">
        <v>29</v>
      </c>
      <c r="E95" s="252">
        <v>2023</v>
      </c>
      <c r="F95" s="252" t="s">
        <v>47</v>
      </c>
      <c r="G95" s="252"/>
      <c r="H95" s="253"/>
      <c r="I95" s="252"/>
      <c r="J95" s="254"/>
      <c r="K95" s="250"/>
      <c r="L95" s="251"/>
      <c r="M95" s="251"/>
      <c r="N95" s="252"/>
      <c r="O95" s="252"/>
      <c r="P95" s="252"/>
      <c r="Q95" s="253"/>
      <c r="R95" s="252"/>
      <c r="S95" s="273"/>
    </row>
    <row r="96" spans="1:19" ht="24.5">
      <c r="A96" s="255" t="s">
        <v>807</v>
      </c>
      <c r="B96" s="355"/>
      <c r="C96" s="256" t="s">
        <v>1028</v>
      </c>
      <c r="D96" s="257">
        <v>9</v>
      </c>
      <c r="E96" s="258">
        <v>2023</v>
      </c>
      <c r="F96" s="258" t="s">
        <v>78</v>
      </c>
      <c r="G96" s="258"/>
      <c r="H96" s="259"/>
      <c r="I96" s="258" t="s">
        <v>1027</v>
      </c>
      <c r="J96" s="248" t="s">
        <v>1083</v>
      </c>
      <c r="K96" s="256"/>
      <c r="L96" s="257"/>
      <c r="M96" s="257"/>
      <c r="N96" s="258"/>
      <c r="O96" s="258"/>
      <c r="P96" s="258"/>
      <c r="Q96" s="259"/>
      <c r="R96" s="258"/>
      <c r="S96" s="272"/>
    </row>
    <row r="97" spans="1:19" ht="24.5">
      <c r="A97" s="249" t="s">
        <v>807</v>
      </c>
      <c r="B97" s="354"/>
      <c r="C97" s="250" t="s">
        <v>1028</v>
      </c>
      <c r="D97" s="251">
        <v>9</v>
      </c>
      <c r="E97" s="252">
        <v>2023</v>
      </c>
      <c r="F97" s="252" t="s">
        <v>121</v>
      </c>
      <c r="G97" s="252"/>
      <c r="H97" s="253"/>
      <c r="I97" s="252" t="s">
        <v>1027</v>
      </c>
      <c r="J97" s="254" t="s">
        <v>1083</v>
      </c>
      <c r="K97" s="250"/>
      <c r="L97" s="251"/>
      <c r="M97" s="251"/>
      <c r="N97" s="252"/>
      <c r="O97" s="252"/>
      <c r="P97" s="252"/>
      <c r="Q97" s="253"/>
      <c r="R97" s="252"/>
      <c r="S97" s="273"/>
    </row>
    <row r="98" spans="1:19" ht="24.5">
      <c r="A98" s="255" t="s">
        <v>812</v>
      </c>
      <c r="B98" s="355"/>
      <c r="C98" s="256" t="s">
        <v>1025</v>
      </c>
      <c r="D98" s="257">
        <v>275</v>
      </c>
      <c r="E98" s="258">
        <v>2023</v>
      </c>
      <c r="F98" s="258" t="s">
        <v>99</v>
      </c>
      <c r="G98" s="258" t="s">
        <v>566</v>
      </c>
      <c r="H98" s="259"/>
      <c r="I98" s="258"/>
      <c r="J98" s="248"/>
      <c r="K98" s="256"/>
      <c r="L98" s="257"/>
      <c r="M98" s="257"/>
      <c r="N98" s="258"/>
      <c r="O98" s="258"/>
      <c r="P98" s="258"/>
      <c r="Q98" s="259"/>
      <c r="R98" s="258"/>
      <c r="S98" s="272"/>
    </row>
    <row r="99" spans="1:19">
      <c r="A99" s="249"/>
      <c r="B99" s="354"/>
      <c r="C99" s="250"/>
      <c r="D99" s="251"/>
      <c r="E99" s="252"/>
      <c r="F99" s="252"/>
      <c r="G99" s="252"/>
      <c r="H99" s="253"/>
      <c r="I99" s="252"/>
      <c r="J99" s="254"/>
      <c r="K99" s="250"/>
      <c r="L99" s="251"/>
      <c r="M99" s="251"/>
      <c r="N99" s="252"/>
      <c r="O99" s="252"/>
      <c r="P99" s="252"/>
      <c r="Q99" s="253"/>
      <c r="R99" s="252"/>
      <c r="S99" s="273"/>
    </row>
    <row r="100" spans="1:19">
      <c r="A100" s="255"/>
      <c r="B100" s="355"/>
      <c r="C100" s="256"/>
      <c r="D100" s="257"/>
      <c r="E100" s="258"/>
      <c r="F100" s="258"/>
      <c r="G100" s="258"/>
      <c r="H100" s="259"/>
      <c r="I100" s="258"/>
      <c r="J100" s="248"/>
      <c r="K100" s="256"/>
      <c r="L100" s="257"/>
      <c r="M100" s="257"/>
      <c r="N100" s="258"/>
      <c r="O100" s="258"/>
      <c r="P100" s="258"/>
      <c r="Q100" s="259"/>
      <c r="R100" s="258"/>
      <c r="S100" s="272"/>
    </row>
    <row r="101" spans="1:19">
      <c r="A101" s="249"/>
      <c r="B101" s="354"/>
      <c r="C101" s="250"/>
      <c r="D101" s="251"/>
      <c r="E101" s="252"/>
      <c r="F101" s="252"/>
      <c r="G101" s="252"/>
      <c r="H101" s="253"/>
      <c r="I101" s="252"/>
      <c r="J101" s="254"/>
      <c r="K101" s="250"/>
      <c r="L101" s="251"/>
      <c r="M101" s="251"/>
      <c r="N101" s="252"/>
      <c r="O101" s="252"/>
      <c r="P101" s="252"/>
      <c r="Q101" s="253"/>
      <c r="R101" s="252"/>
      <c r="S101" s="273"/>
    </row>
    <row r="102" spans="1:19">
      <c r="A102" s="255"/>
      <c r="B102" s="355"/>
      <c r="C102" s="256"/>
      <c r="D102" s="257"/>
      <c r="E102" s="258"/>
      <c r="F102" s="258"/>
      <c r="G102" s="258"/>
      <c r="H102" s="259"/>
      <c r="I102" s="258"/>
      <c r="J102" s="248"/>
      <c r="K102" s="256"/>
      <c r="L102" s="257"/>
      <c r="M102" s="257"/>
      <c r="N102" s="258"/>
      <c r="O102" s="258"/>
      <c r="P102" s="258"/>
      <c r="Q102" s="259"/>
      <c r="R102" s="258"/>
      <c r="S102" s="272"/>
    </row>
    <row r="103" spans="1:19">
      <c r="A103" s="249"/>
      <c r="B103" s="354"/>
      <c r="C103" s="250"/>
      <c r="D103" s="251"/>
      <c r="E103" s="252"/>
      <c r="F103" s="252"/>
      <c r="G103" s="252"/>
      <c r="H103" s="253"/>
      <c r="I103" s="252"/>
      <c r="J103" s="254"/>
      <c r="K103" s="250"/>
      <c r="L103" s="251"/>
      <c r="M103" s="251"/>
      <c r="N103" s="252"/>
      <c r="O103" s="252"/>
      <c r="P103" s="252"/>
      <c r="Q103" s="253"/>
      <c r="R103" s="252"/>
      <c r="S103" s="273"/>
    </row>
    <row r="104" spans="1:19">
      <c r="A104" s="255"/>
      <c r="B104" s="355"/>
      <c r="C104" s="256"/>
      <c r="D104" s="257"/>
      <c r="E104" s="258"/>
      <c r="F104" s="258"/>
      <c r="G104" s="258"/>
      <c r="H104" s="259"/>
      <c r="I104" s="258"/>
      <c r="J104" s="248"/>
      <c r="K104" s="256"/>
      <c r="L104" s="257"/>
      <c r="M104" s="257"/>
      <c r="N104" s="258"/>
      <c r="O104" s="258"/>
      <c r="P104" s="258"/>
      <c r="Q104" s="259"/>
      <c r="R104" s="258"/>
      <c r="S104" s="272"/>
    </row>
    <row r="105" spans="1:19">
      <c r="A105" s="249"/>
      <c r="B105" s="354"/>
      <c r="C105" s="250"/>
      <c r="D105" s="251"/>
      <c r="E105" s="252"/>
      <c r="F105" s="252"/>
      <c r="G105" s="252"/>
      <c r="H105" s="253"/>
      <c r="I105" s="252"/>
      <c r="J105" s="254"/>
      <c r="K105" s="250"/>
      <c r="L105" s="251"/>
      <c r="M105" s="251"/>
      <c r="N105" s="252"/>
      <c r="O105" s="252"/>
      <c r="P105" s="252"/>
      <c r="Q105" s="253"/>
      <c r="R105" s="252"/>
      <c r="S105" s="273"/>
    </row>
    <row r="106" spans="1:19">
      <c r="A106" s="255"/>
      <c r="B106" s="355"/>
      <c r="C106" s="256"/>
      <c r="D106" s="257"/>
      <c r="E106" s="258"/>
      <c r="F106" s="258"/>
      <c r="G106" s="258"/>
      <c r="H106" s="259"/>
      <c r="I106" s="258"/>
      <c r="J106" s="248"/>
      <c r="K106" s="256"/>
      <c r="L106" s="257"/>
      <c r="M106" s="257"/>
      <c r="N106" s="258"/>
      <c r="O106" s="258"/>
      <c r="P106" s="258"/>
      <c r="Q106" s="259"/>
      <c r="R106" s="258"/>
      <c r="S106" s="272"/>
    </row>
    <row r="107" spans="1:19">
      <c r="A107" s="249"/>
      <c r="B107" s="354"/>
      <c r="C107" s="250"/>
      <c r="D107" s="251"/>
      <c r="E107" s="252"/>
      <c r="F107" s="252"/>
      <c r="G107" s="252"/>
      <c r="H107" s="253"/>
      <c r="I107" s="252"/>
      <c r="J107" s="254"/>
      <c r="K107" s="250"/>
      <c r="L107" s="251"/>
      <c r="M107" s="251"/>
      <c r="N107" s="252"/>
      <c r="O107" s="252"/>
      <c r="P107" s="252"/>
      <c r="Q107" s="253"/>
      <c r="R107" s="252"/>
      <c r="S107" s="273"/>
    </row>
    <row r="108" spans="1:19">
      <c r="A108" s="255"/>
      <c r="B108" s="355"/>
      <c r="C108" s="256"/>
      <c r="D108" s="257"/>
      <c r="E108" s="258"/>
      <c r="F108" s="258"/>
      <c r="G108" s="258"/>
      <c r="H108" s="259"/>
      <c r="I108" s="258"/>
      <c r="J108" s="248"/>
      <c r="K108" s="256"/>
      <c r="L108" s="257"/>
      <c r="M108" s="257"/>
      <c r="N108" s="258"/>
      <c r="O108" s="258"/>
      <c r="P108" s="258"/>
      <c r="Q108" s="259"/>
      <c r="R108" s="258"/>
      <c r="S108" s="272"/>
    </row>
    <row r="109" spans="1:19">
      <c r="A109" s="249"/>
      <c r="B109" s="354"/>
      <c r="C109" s="250"/>
      <c r="D109" s="251"/>
      <c r="E109" s="252"/>
      <c r="F109" s="252"/>
      <c r="G109" s="252"/>
      <c r="H109" s="253"/>
      <c r="I109" s="252"/>
      <c r="J109" s="254"/>
      <c r="K109" s="250"/>
      <c r="L109" s="251"/>
      <c r="M109" s="251"/>
      <c r="N109" s="252"/>
      <c r="O109" s="252"/>
      <c r="P109" s="252"/>
      <c r="Q109" s="253"/>
      <c r="R109" s="252"/>
      <c r="S109" s="273"/>
    </row>
    <row r="110" spans="1:19">
      <c r="A110" s="255"/>
      <c r="B110" s="355"/>
      <c r="C110" s="256"/>
      <c r="D110" s="257"/>
      <c r="E110" s="258"/>
      <c r="F110" s="258"/>
      <c r="G110" s="258"/>
      <c r="H110" s="259"/>
      <c r="I110" s="258"/>
      <c r="J110" s="248"/>
      <c r="K110" s="256"/>
      <c r="L110" s="257"/>
      <c r="M110" s="257"/>
      <c r="N110" s="258"/>
      <c r="O110" s="258"/>
      <c r="P110" s="258"/>
      <c r="Q110" s="259"/>
      <c r="R110" s="258"/>
      <c r="S110" s="272"/>
    </row>
    <row r="111" spans="1:19">
      <c r="A111" s="249"/>
      <c r="B111" s="354"/>
      <c r="C111" s="250"/>
      <c r="D111" s="251"/>
      <c r="E111" s="252"/>
      <c r="F111" s="252"/>
      <c r="G111" s="252"/>
      <c r="H111" s="253"/>
      <c r="I111" s="252"/>
      <c r="J111" s="254"/>
      <c r="K111" s="250"/>
      <c r="L111" s="251"/>
      <c r="M111" s="251"/>
      <c r="N111" s="252"/>
      <c r="O111" s="252"/>
      <c r="P111" s="252"/>
      <c r="Q111" s="253"/>
      <c r="R111" s="252"/>
      <c r="S111" s="273"/>
    </row>
    <row r="112" spans="1:19">
      <c r="A112" s="255"/>
      <c r="B112" s="355"/>
      <c r="C112" s="256"/>
      <c r="D112" s="257"/>
      <c r="E112" s="258"/>
      <c r="F112" s="258"/>
      <c r="G112" s="258"/>
      <c r="H112" s="259"/>
      <c r="I112" s="258"/>
      <c r="J112" s="248"/>
      <c r="K112" s="256"/>
      <c r="L112" s="257"/>
      <c r="M112" s="257"/>
      <c r="N112" s="258"/>
      <c r="O112" s="258"/>
      <c r="P112" s="258"/>
      <c r="Q112" s="259"/>
      <c r="R112" s="258"/>
      <c r="S112" s="272"/>
    </row>
    <row r="113" spans="1:19">
      <c r="A113" s="249"/>
      <c r="B113" s="354"/>
      <c r="C113" s="250"/>
      <c r="D113" s="251"/>
      <c r="E113" s="252"/>
      <c r="F113" s="252"/>
      <c r="G113" s="252"/>
      <c r="H113" s="253"/>
      <c r="I113" s="252"/>
      <c r="J113" s="254"/>
      <c r="K113" s="250"/>
      <c r="L113" s="251"/>
      <c r="M113" s="251"/>
      <c r="N113" s="252"/>
      <c r="O113" s="252"/>
      <c r="P113" s="252"/>
      <c r="Q113" s="253"/>
      <c r="R113" s="252"/>
      <c r="S113" s="273"/>
    </row>
    <row r="114" spans="1:19">
      <c r="A114" s="255"/>
      <c r="B114" s="355"/>
      <c r="C114" s="256"/>
      <c r="D114" s="257"/>
      <c r="E114" s="258"/>
      <c r="F114" s="258"/>
      <c r="G114" s="258"/>
      <c r="H114" s="259"/>
      <c r="I114" s="258"/>
      <c r="J114" s="248"/>
      <c r="K114" s="256"/>
      <c r="L114" s="257"/>
      <c r="M114" s="257"/>
      <c r="N114" s="258"/>
      <c r="O114" s="258"/>
      <c r="P114" s="258"/>
      <c r="Q114" s="259"/>
      <c r="R114" s="258"/>
      <c r="S114" s="272"/>
    </row>
    <row r="115" spans="1:19">
      <c r="A115" s="249"/>
      <c r="B115" s="354"/>
      <c r="C115" s="250"/>
      <c r="D115" s="251"/>
      <c r="E115" s="252"/>
      <c r="F115" s="252"/>
      <c r="G115" s="252"/>
      <c r="H115" s="253"/>
      <c r="I115" s="252"/>
      <c r="J115" s="254"/>
      <c r="K115" s="250"/>
      <c r="L115" s="251"/>
      <c r="M115" s="251"/>
      <c r="N115" s="252"/>
      <c r="O115" s="252"/>
      <c r="P115" s="252"/>
      <c r="Q115" s="253"/>
      <c r="R115" s="252"/>
      <c r="S115" s="273"/>
    </row>
    <row r="116" spans="1:19">
      <c r="A116" s="255"/>
      <c r="B116" s="355"/>
      <c r="C116" s="256"/>
      <c r="D116" s="257"/>
      <c r="E116" s="258"/>
      <c r="F116" s="258"/>
      <c r="G116" s="258"/>
      <c r="H116" s="259"/>
      <c r="I116" s="258"/>
      <c r="J116" s="248"/>
      <c r="K116" s="256"/>
      <c r="L116" s="257"/>
      <c r="M116" s="257"/>
      <c r="N116" s="258"/>
      <c r="O116" s="258"/>
      <c r="P116" s="258"/>
      <c r="Q116" s="259"/>
      <c r="R116" s="258"/>
      <c r="S116" s="272"/>
    </row>
    <row r="117" spans="1:19">
      <c r="A117" s="249"/>
      <c r="B117" s="354"/>
      <c r="C117" s="250"/>
      <c r="D117" s="251"/>
      <c r="E117" s="252"/>
      <c r="F117" s="252"/>
      <c r="G117" s="252"/>
      <c r="H117" s="253"/>
      <c r="I117" s="252"/>
      <c r="J117" s="254"/>
      <c r="K117" s="250"/>
      <c r="L117" s="251"/>
      <c r="M117" s="251"/>
      <c r="N117" s="252"/>
      <c r="O117" s="252"/>
      <c r="P117" s="252"/>
      <c r="Q117" s="253"/>
      <c r="R117" s="252"/>
      <c r="S117" s="273"/>
    </row>
    <row r="118" spans="1:19">
      <c r="A118" s="255"/>
      <c r="B118" s="355"/>
      <c r="C118" s="256"/>
      <c r="D118" s="257"/>
      <c r="E118" s="258"/>
      <c r="F118" s="258"/>
      <c r="G118" s="258"/>
      <c r="H118" s="259"/>
      <c r="I118" s="258"/>
      <c r="J118" s="248"/>
      <c r="K118" s="256"/>
      <c r="L118" s="257"/>
      <c r="M118" s="257"/>
      <c r="N118" s="258"/>
      <c r="O118" s="258"/>
      <c r="P118" s="258"/>
      <c r="Q118" s="259"/>
      <c r="R118" s="258"/>
      <c r="S118" s="272"/>
    </row>
    <row r="119" spans="1:19">
      <c r="A119" s="249"/>
      <c r="B119" s="354"/>
      <c r="C119" s="250"/>
      <c r="D119" s="251"/>
      <c r="E119" s="252"/>
      <c r="F119" s="252"/>
      <c r="G119" s="252"/>
      <c r="H119" s="253"/>
      <c r="I119" s="252"/>
      <c r="J119" s="254"/>
      <c r="K119" s="250"/>
      <c r="L119" s="251"/>
      <c r="M119" s="251"/>
      <c r="N119" s="252"/>
      <c r="O119" s="252"/>
      <c r="P119" s="252"/>
      <c r="Q119" s="253"/>
      <c r="R119" s="252"/>
      <c r="S119" s="273"/>
    </row>
    <row r="120" spans="1:19">
      <c r="A120" s="255"/>
      <c r="B120" s="355"/>
      <c r="C120" s="256"/>
      <c r="D120" s="257"/>
      <c r="E120" s="258"/>
      <c r="F120" s="258"/>
      <c r="G120" s="258"/>
      <c r="H120" s="259"/>
      <c r="I120" s="258"/>
      <c r="J120" s="248"/>
      <c r="K120" s="256"/>
      <c r="L120" s="257"/>
      <c r="M120" s="257"/>
      <c r="N120" s="258"/>
      <c r="O120" s="258"/>
      <c r="P120" s="258"/>
      <c r="Q120" s="259"/>
      <c r="R120" s="258"/>
      <c r="S120" s="272"/>
    </row>
    <row r="121" spans="1:19">
      <c r="A121" s="249"/>
      <c r="B121" s="354"/>
      <c r="C121" s="250"/>
      <c r="D121" s="251"/>
      <c r="E121" s="252"/>
      <c r="F121" s="252"/>
      <c r="G121" s="252"/>
      <c r="H121" s="253"/>
      <c r="I121" s="252"/>
      <c r="J121" s="254"/>
      <c r="K121" s="250"/>
      <c r="L121" s="251"/>
      <c r="M121" s="251"/>
      <c r="N121" s="252"/>
      <c r="O121" s="252"/>
      <c r="P121" s="252"/>
      <c r="Q121" s="253"/>
      <c r="R121" s="252"/>
      <c r="S121" s="273"/>
    </row>
    <row r="122" spans="1:19">
      <c r="A122" s="255"/>
      <c r="B122" s="355"/>
      <c r="C122" s="256"/>
      <c r="D122" s="257"/>
      <c r="E122" s="258"/>
      <c r="F122" s="258"/>
      <c r="G122" s="258"/>
      <c r="H122" s="259"/>
      <c r="I122" s="258"/>
      <c r="J122" s="248"/>
      <c r="K122" s="256"/>
      <c r="L122" s="257"/>
      <c r="M122" s="257"/>
      <c r="N122" s="258"/>
      <c r="O122" s="258"/>
      <c r="P122" s="258"/>
      <c r="Q122" s="259"/>
      <c r="R122" s="258"/>
      <c r="S122" s="272"/>
    </row>
    <row r="123" spans="1:19">
      <c r="A123" s="249"/>
      <c r="B123" s="354"/>
      <c r="C123" s="250"/>
      <c r="D123" s="251"/>
      <c r="E123" s="252"/>
      <c r="F123" s="252"/>
      <c r="G123" s="252"/>
      <c r="H123" s="253"/>
      <c r="I123" s="252"/>
      <c r="J123" s="254"/>
      <c r="K123" s="250"/>
      <c r="L123" s="251"/>
      <c r="M123" s="251"/>
      <c r="N123" s="252"/>
      <c r="O123" s="252"/>
      <c r="P123" s="252"/>
      <c r="Q123" s="253"/>
      <c r="R123" s="252"/>
      <c r="S123" s="273"/>
    </row>
    <row r="124" spans="1:19">
      <c r="A124" s="255"/>
      <c r="B124" s="355"/>
      <c r="C124" s="256"/>
      <c r="D124" s="257"/>
      <c r="E124" s="258"/>
      <c r="F124" s="258"/>
      <c r="G124" s="258"/>
      <c r="H124" s="259"/>
      <c r="I124" s="258"/>
      <c r="J124" s="248"/>
      <c r="K124" s="256"/>
      <c r="L124" s="257"/>
      <c r="M124" s="257"/>
      <c r="N124" s="258"/>
      <c r="O124" s="258"/>
      <c r="P124" s="258"/>
      <c r="Q124" s="259"/>
      <c r="R124" s="258"/>
      <c r="S124" s="272"/>
    </row>
    <row r="125" spans="1:19">
      <c r="A125" s="249"/>
      <c r="B125" s="354"/>
      <c r="C125" s="250"/>
      <c r="D125" s="251"/>
      <c r="E125" s="252"/>
      <c r="F125" s="252"/>
      <c r="G125" s="252"/>
      <c r="H125" s="253"/>
      <c r="I125" s="252"/>
      <c r="J125" s="254"/>
      <c r="K125" s="250"/>
      <c r="L125" s="251"/>
      <c r="M125" s="251"/>
      <c r="N125" s="252"/>
      <c r="O125" s="252"/>
      <c r="P125" s="252"/>
      <c r="Q125" s="253"/>
      <c r="R125" s="252"/>
      <c r="S125" s="273"/>
    </row>
    <row r="126" spans="1:19">
      <c r="A126" s="255"/>
      <c r="B126" s="355"/>
      <c r="C126" s="256"/>
      <c r="D126" s="257"/>
      <c r="E126" s="258"/>
      <c r="F126" s="258"/>
      <c r="G126" s="258"/>
      <c r="H126" s="259"/>
      <c r="I126" s="258"/>
      <c r="J126" s="248"/>
      <c r="K126" s="256"/>
      <c r="L126" s="257"/>
      <c r="M126" s="257"/>
      <c r="N126" s="258"/>
      <c r="O126" s="258"/>
      <c r="P126" s="258"/>
      <c r="Q126" s="259"/>
      <c r="R126" s="258"/>
      <c r="S126" s="272"/>
    </row>
    <row r="127" spans="1:19">
      <c r="A127" s="249"/>
      <c r="B127" s="354"/>
      <c r="C127" s="250"/>
      <c r="D127" s="251"/>
      <c r="E127" s="252"/>
      <c r="F127" s="252"/>
      <c r="G127" s="252"/>
      <c r="H127" s="253"/>
      <c r="I127" s="252"/>
      <c r="J127" s="254"/>
      <c r="K127" s="250"/>
      <c r="L127" s="251"/>
      <c r="M127" s="251"/>
      <c r="N127" s="252"/>
      <c r="O127" s="252"/>
      <c r="P127" s="252"/>
      <c r="Q127" s="253"/>
      <c r="R127" s="252"/>
      <c r="S127" s="273"/>
    </row>
    <row r="128" spans="1:19">
      <c r="A128" s="255"/>
      <c r="B128" s="355"/>
      <c r="C128" s="256"/>
      <c r="D128" s="257"/>
      <c r="E128" s="258"/>
      <c r="F128" s="258"/>
      <c r="G128" s="258"/>
      <c r="H128" s="259"/>
      <c r="I128" s="258"/>
      <c r="J128" s="248"/>
      <c r="K128" s="256"/>
      <c r="L128" s="257"/>
      <c r="M128" s="257"/>
      <c r="N128" s="258"/>
      <c r="O128" s="258"/>
      <c r="P128" s="258"/>
      <c r="Q128" s="259"/>
      <c r="R128" s="258"/>
      <c r="S128" s="272"/>
    </row>
    <row r="129" spans="1:19">
      <c r="A129" s="249"/>
      <c r="B129" s="354"/>
      <c r="C129" s="250"/>
      <c r="D129" s="251"/>
      <c r="E129" s="252"/>
      <c r="F129" s="252"/>
      <c r="G129" s="252"/>
      <c r="H129" s="253"/>
      <c r="I129" s="252"/>
      <c r="J129" s="254"/>
      <c r="K129" s="250"/>
      <c r="L129" s="251"/>
      <c r="M129" s="251"/>
      <c r="N129" s="252"/>
      <c r="O129" s="252"/>
      <c r="P129" s="252"/>
      <c r="Q129" s="253"/>
      <c r="R129" s="252"/>
      <c r="S129" s="273"/>
    </row>
    <row r="130" spans="1:19">
      <c r="A130" s="255"/>
      <c r="B130" s="355"/>
      <c r="C130" s="256"/>
      <c r="D130" s="257"/>
      <c r="E130" s="258"/>
      <c r="F130" s="258"/>
      <c r="G130" s="258"/>
      <c r="H130" s="259"/>
      <c r="I130" s="258"/>
      <c r="J130" s="248"/>
      <c r="K130" s="256"/>
      <c r="L130" s="257"/>
      <c r="M130" s="257"/>
      <c r="N130" s="258"/>
      <c r="O130" s="258"/>
      <c r="P130" s="258"/>
      <c r="Q130" s="259"/>
      <c r="R130" s="258"/>
      <c r="S130" s="272"/>
    </row>
    <row r="131" spans="1:19">
      <c r="A131" s="249"/>
      <c r="B131" s="354"/>
      <c r="C131" s="250"/>
      <c r="D131" s="251"/>
      <c r="E131" s="252"/>
      <c r="F131" s="252"/>
      <c r="G131" s="252"/>
      <c r="H131" s="253"/>
      <c r="I131" s="252"/>
      <c r="J131" s="254"/>
      <c r="K131" s="250"/>
      <c r="L131" s="251"/>
      <c r="M131" s="251"/>
      <c r="N131" s="252"/>
      <c r="O131" s="252"/>
      <c r="P131" s="252"/>
      <c r="Q131" s="253"/>
      <c r="R131" s="252"/>
      <c r="S131" s="273"/>
    </row>
    <row r="132" spans="1:19">
      <c r="A132" s="255"/>
      <c r="B132" s="355"/>
      <c r="C132" s="256"/>
      <c r="D132" s="257"/>
      <c r="E132" s="258"/>
      <c r="F132" s="258"/>
      <c r="G132" s="258"/>
      <c r="H132" s="259"/>
      <c r="I132" s="258"/>
      <c r="J132" s="248"/>
      <c r="K132" s="256"/>
      <c r="L132" s="257"/>
      <c r="M132" s="257"/>
      <c r="N132" s="258"/>
      <c r="O132" s="258"/>
      <c r="P132" s="258"/>
      <c r="Q132" s="259"/>
      <c r="R132" s="258"/>
      <c r="S132" s="272"/>
    </row>
    <row r="133" spans="1:19">
      <c r="A133" s="249"/>
      <c r="B133" s="354"/>
      <c r="C133" s="250"/>
      <c r="D133" s="251"/>
      <c r="E133" s="252"/>
      <c r="F133" s="252"/>
      <c r="G133" s="252"/>
      <c r="H133" s="253"/>
      <c r="I133" s="252"/>
      <c r="J133" s="254"/>
      <c r="K133" s="250"/>
      <c r="L133" s="251"/>
      <c r="M133" s="251"/>
      <c r="N133" s="252"/>
      <c r="O133" s="252"/>
      <c r="P133" s="252"/>
      <c r="Q133" s="253"/>
      <c r="R133" s="252"/>
      <c r="S133" s="273"/>
    </row>
    <row r="134" spans="1:19">
      <c r="A134" s="255"/>
      <c r="B134" s="355"/>
      <c r="C134" s="256"/>
      <c r="D134" s="257"/>
      <c r="E134" s="258"/>
      <c r="F134" s="258"/>
      <c r="G134" s="258"/>
      <c r="H134" s="259"/>
      <c r="I134" s="258"/>
      <c r="J134" s="248"/>
      <c r="K134" s="256"/>
      <c r="L134" s="257"/>
      <c r="M134" s="257"/>
      <c r="N134" s="258"/>
      <c r="O134" s="258"/>
      <c r="P134" s="258"/>
      <c r="Q134" s="259"/>
      <c r="R134" s="258"/>
      <c r="S134" s="272"/>
    </row>
    <row r="135" spans="1:19">
      <c r="A135" s="249"/>
      <c r="B135" s="354"/>
      <c r="C135" s="250"/>
      <c r="D135" s="251"/>
      <c r="E135" s="252"/>
      <c r="F135" s="252"/>
      <c r="G135" s="252"/>
      <c r="H135" s="253"/>
      <c r="I135" s="252"/>
      <c r="J135" s="254"/>
      <c r="K135" s="250"/>
      <c r="L135" s="251"/>
      <c r="M135" s="251"/>
      <c r="N135" s="252"/>
      <c r="O135" s="252"/>
      <c r="P135" s="252"/>
      <c r="Q135" s="253"/>
      <c r="R135" s="252"/>
      <c r="S135" s="273"/>
    </row>
    <row r="136" spans="1:19">
      <c r="A136" s="255"/>
      <c r="B136" s="355"/>
      <c r="C136" s="256"/>
      <c r="D136" s="257"/>
      <c r="E136" s="258"/>
      <c r="F136" s="258"/>
      <c r="G136" s="258"/>
      <c r="H136" s="259"/>
      <c r="I136" s="258"/>
      <c r="J136" s="248"/>
      <c r="K136" s="256"/>
      <c r="L136" s="257"/>
      <c r="M136" s="257"/>
      <c r="N136" s="258"/>
      <c r="O136" s="258"/>
      <c r="P136" s="258"/>
      <c r="Q136" s="259"/>
      <c r="R136" s="258"/>
      <c r="S136" s="272"/>
    </row>
    <row r="137" spans="1:19">
      <c r="A137" s="249"/>
      <c r="B137" s="354"/>
      <c r="C137" s="250"/>
      <c r="D137" s="251"/>
      <c r="E137" s="252"/>
      <c r="F137" s="252"/>
      <c r="G137" s="252"/>
      <c r="H137" s="253"/>
      <c r="I137" s="252"/>
      <c r="J137" s="254"/>
      <c r="K137" s="250"/>
      <c r="L137" s="251"/>
      <c r="M137" s="251"/>
      <c r="N137" s="252"/>
      <c r="O137" s="252"/>
      <c r="P137" s="252"/>
      <c r="Q137" s="253"/>
      <c r="R137" s="252"/>
      <c r="S137" s="273"/>
    </row>
    <row r="138" spans="1:19">
      <c r="A138" s="255"/>
      <c r="B138" s="355"/>
      <c r="C138" s="256"/>
      <c r="D138" s="257"/>
      <c r="E138" s="258"/>
      <c r="F138" s="258"/>
      <c r="G138" s="258"/>
      <c r="H138" s="259"/>
      <c r="I138" s="258"/>
      <c r="J138" s="248"/>
      <c r="K138" s="256"/>
      <c r="L138" s="257"/>
      <c r="M138" s="257"/>
      <c r="N138" s="258"/>
      <c r="O138" s="258"/>
      <c r="P138" s="258"/>
      <c r="Q138" s="259"/>
      <c r="R138" s="258"/>
      <c r="S138" s="272"/>
    </row>
    <row r="139" spans="1:19">
      <c r="A139" s="249"/>
      <c r="B139" s="354"/>
      <c r="C139" s="250"/>
      <c r="D139" s="251"/>
      <c r="E139" s="252"/>
      <c r="F139" s="252"/>
      <c r="G139" s="252"/>
      <c r="H139" s="253"/>
      <c r="I139" s="252"/>
      <c r="J139" s="254"/>
      <c r="K139" s="250"/>
      <c r="L139" s="251"/>
      <c r="M139" s="251"/>
      <c r="N139" s="252"/>
      <c r="O139" s="252"/>
      <c r="P139" s="252"/>
      <c r="Q139" s="253"/>
      <c r="R139" s="252"/>
      <c r="S139" s="273"/>
    </row>
    <row r="140" spans="1:19">
      <c r="A140" s="255"/>
      <c r="B140" s="355"/>
      <c r="C140" s="256"/>
      <c r="D140" s="257"/>
      <c r="E140" s="258"/>
      <c r="F140" s="258"/>
      <c r="G140" s="258"/>
      <c r="H140" s="259"/>
      <c r="I140" s="258"/>
      <c r="J140" s="248"/>
      <c r="K140" s="256"/>
      <c r="L140" s="257"/>
      <c r="M140" s="257"/>
      <c r="N140" s="258"/>
      <c r="O140" s="258"/>
      <c r="P140" s="258"/>
      <c r="Q140" s="259"/>
      <c r="R140" s="258"/>
      <c r="S140" s="272"/>
    </row>
    <row r="141" spans="1:19">
      <c r="A141" s="249"/>
      <c r="B141" s="354"/>
      <c r="C141" s="250"/>
      <c r="D141" s="251"/>
      <c r="E141" s="252"/>
      <c r="F141" s="252"/>
      <c r="G141" s="252"/>
      <c r="H141" s="253"/>
      <c r="I141" s="252"/>
      <c r="J141" s="254"/>
      <c r="K141" s="250"/>
      <c r="L141" s="251"/>
      <c r="M141" s="251"/>
      <c r="N141" s="252"/>
      <c r="O141" s="252"/>
      <c r="P141" s="252"/>
      <c r="Q141" s="253"/>
      <c r="R141" s="252"/>
      <c r="S141" s="273"/>
    </row>
    <row r="142" spans="1:19">
      <c r="A142" s="255"/>
      <c r="B142" s="355"/>
      <c r="C142" s="256"/>
      <c r="D142" s="257"/>
      <c r="E142" s="258"/>
      <c r="F142" s="258"/>
      <c r="G142" s="258"/>
      <c r="H142" s="259"/>
      <c r="I142" s="258"/>
      <c r="J142" s="248"/>
      <c r="K142" s="256"/>
      <c r="L142" s="257"/>
      <c r="M142" s="257"/>
      <c r="N142" s="258"/>
      <c r="O142" s="258"/>
      <c r="P142" s="258"/>
      <c r="Q142" s="259"/>
      <c r="R142" s="258"/>
      <c r="S142" s="272"/>
    </row>
    <row r="143" spans="1:19">
      <c r="A143" s="249"/>
      <c r="B143" s="354"/>
      <c r="C143" s="250"/>
      <c r="D143" s="251"/>
      <c r="E143" s="252"/>
      <c r="F143" s="252"/>
      <c r="G143" s="252"/>
      <c r="H143" s="253"/>
      <c r="I143" s="252"/>
      <c r="J143" s="254"/>
      <c r="K143" s="250"/>
      <c r="L143" s="251"/>
      <c r="M143" s="251"/>
      <c r="N143" s="252"/>
      <c r="O143" s="252"/>
      <c r="P143" s="252"/>
      <c r="Q143" s="253"/>
      <c r="R143" s="252"/>
      <c r="S143" s="273"/>
    </row>
    <row r="144" spans="1:19">
      <c r="A144" s="255"/>
      <c r="B144" s="355"/>
      <c r="C144" s="256"/>
      <c r="D144" s="257"/>
      <c r="E144" s="258"/>
      <c r="F144" s="258"/>
      <c r="G144" s="258"/>
      <c r="H144" s="259"/>
      <c r="I144" s="258"/>
      <c r="J144" s="248"/>
      <c r="K144" s="256"/>
      <c r="L144" s="257"/>
      <c r="M144" s="257"/>
      <c r="N144" s="258"/>
      <c r="O144" s="258"/>
      <c r="P144" s="258"/>
      <c r="Q144" s="259"/>
      <c r="R144" s="258"/>
      <c r="S144" s="272"/>
    </row>
    <row r="145" spans="1:19">
      <c r="A145" s="249"/>
      <c r="B145" s="354"/>
      <c r="C145" s="250"/>
      <c r="D145" s="251"/>
      <c r="E145" s="252"/>
      <c r="F145" s="252"/>
      <c r="G145" s="252"/>
      <c r="H145" s="253"/>
      <c r="I145" s="252"/>
      <c r="J145" s="254"/>
      <c r="K145" s="250"/>
      <c r="L145" s="251"/>
      <c r="M145" s="251"/>
      <c r="N145" s="252"/>
      <c r="O145" s="252"/>
      <c r="P145" s="252"/>
      <c r="Q145" s="253"/>
      <c r="R145" s="252"/>
      <c r="S145" s="273"/>
    </row>
    <row r="146" spans="1:19">
      <c r="A146" s="255"/>
      <c r="B146" s="355"/>
      <c r="C146" s="256"/>
      <c r="D146" s="257"/>
      <c r="E146" s="258"/>
      <c r="F146" s="258"/>
      <c r="G146" s="258"/>
      <c r="H146" s="259"/>
      <c r="I146" s="258"/>
      <c r="J146" s="248"/>
      <c r="K146" s="256"/>
      <c r="L146" s="257"/>
      <c r="M146" s="257"/>
      <c r="N146" s="258"/>
      <c r="O146" s="258"/>
      <c r="P146" s="258"/>
      <c r="Q146" s="259"/>
      <c r="R146" s="258"/>
      <c r="S146" s="272"/>
    </row>
    <row r="147" spans="1:19">
      <c r="A147" s="249"/>
      <c r="B147" s="354"/>
      <c r="C147" s="250"/>
      <c r="D147" s="251"/>
      <c r="E147" s="252"/>
      <c r="F147" s="252"/>
      <c r="G147" s="252"/>
      <c r="H147" s="253"/>
      <c r="I147" s="252"/>
      <c r="J147" s="254"/>
      <c r="K147" s="250"/>
      <c r="L147" s="251"/>
      <c r="M147" s="251"/>
      <c r="N147" s="252"/>
      <c r="O147" s="252"/>
      <c r="P147" s="252"/>
      <c r="Q147" s="253"/>
      <c r="R147" s="252"/>
      <c r="S147" s="273"/>
    </row>
    <row r="148" spans="1:19">
      <c r="A148" s="255"/>
      <c r="B148" s="355"/>
      <c r="C148" s="256"/>
      <c r="D148" s="257"/>
      <c r="E148" s="258"/>
      <c r="F148" s="258"/>
      <c r="G148" s="258"/>
      <c r="H148" s="259"/>
      <c r="I148" s="258"/>
      <c r="J148" s="248"/>
      <c r="K148" s="256"/>
      <c r="L148" s="257"/>
      <c r="M148" s="257"/>
      <c r="N148" s="258"/>
      <c r="O148" s="258"/>
      <c r="P148" s="258"/>
      <c r="Q148" s="259"/>
      <c r="R148" s="258"/>
      <c r="S148" s="272"/>
    </row>
    <row r="149" spans="1:19">
      <c r="A149" s="249"/>
      <c r="B149" s="354"/>
      <c r="C149" s="250"/>
      <c r="D149" s="251"/>
      <c r="E149" s="252"/>
      <c r="F149" s="252"/>
      <c r="G149" s="252"/>
      <c r="H149" s="253"/>
      <c r="I149" s="252"/>
      <c r="J149" s="254"/>
      <c r="K149" s="250"/>
      <c r="L149" s="251"/>
      <c r="M149" s="251"/>
      <c r="N149" s="252"/>
      <c r="O149" s="252"/>
      <c r="P149" s="252"/>
      <c r="Q149" s="253"/>
      <c r="R149" s="252"/>
      <c r="S149" s="273"/>
    </row>
    <row r="150" spans="1:19">
      <c r="A150" s="255"/>
      <c r="B150" s="355"/>
      <c r="C150" s="256"/>
      <c r="D150" s="257"/>
      <c r="E150" s="258"/>
      <c r="F150" s="258"/>
      <c r="G150" s="258"/>
      <c r="H150" s="259"/>
      <c r="I150" s="258"/>
      <c r="J150" s="248"/>
      <c r="K150" s="256"/>
      <c r="L150" s="257"/>
      <c r="M150" s="257"/>
      <c r="N150" s="258"/>
      <c r="O150" s="258"/>
      <c r="P150" s="258"/>
      <c r="Q150" s="259"/>
      <c r="R150" s="258"/>
      <c r="S150" s="272"/>
    </row>
    <row r="151" spans="1:19">
      <c r="A151" s="249"/>
      <c r="B151" s="354"/>
      <c r="C151" s="250"/>
      <c r="D151" s="251"/>
      <c r="E151" s="252"/>
      <c r="F151" s="252"/>
      <c r="G151" s="252"/>
      <c r="H151" s="253"/>
      <c r="I151" s="252"/>
      <c r="J151" s="254"/>
      <c r="K151" s="250"/>
      <c r="L151" s="251"/>
      <c r="M151" s="251"/>
      <c r="N151" s="252"/>
      <c r="O151" s="252"/>
      <c r="P151" s="252"/>
      <c r="Q151" s="253"/>
      <c r="R151" s="252"/>
      <c r="S151" s="273"/>
    </row>
    <row r="152" spans="1:19">
      <c r="A152" s="255"/>
      <c r="B152" s="355"/>
      <c r="C152" s="256"/>
      <c r="D152" s="257"/>
      <c r="E152" s="258"/>
      <c r="F152" s="258"/>
      <c r="G152" s="258"/>
      <c r="H152" s="259"/>
      <c r="I152" s="258"/>
      <c r="J152" s="248"/>
      <c r="K152" s="256"/>
      <c r="L152" s="257"/>
      <c r="M152" s="257"/>
      <c r="N152" s="258"/>
      <c r="O152" s="258"/>
      <c r="P152" s="258"/>
      <c r="Q152" s="259"/>
      <c r="R152" s="258"/>
      <c r="S152" s="272"/>
    </row>
    <row r="153" spans="1:19">
      <c r="A153" s="249"/>
      <c r="B153" s="354"/>
      <c r="C153" s="250"/>
      <c r="D153" s="251"/>
      <c r="E153" s="252"/>
      <c r="F153" s="252"/>
      <c r="G153" s="252"/>
      <c r="H153" s="253"/>
      <c r="I153" s="252"/>
      <c r="J153" s="254"/>
      <c r="K153" s="250"/>
      <c r="L153" s="251"/>
      <c r="M153" s="251"/>
      <c r="N153" s="252"/>
      <c r="O153" s="252"/>
      <c r="P153" s="252"/>
      <c r="Q153" s="253"/>
      <c r="R153" s="252"/>
      <c r="S153" s="273"/>
    </row>
    <row r="154" spans="1:19">
      <c r="A154" s="255"/>
      <c r="B154" s="355"/>
      <c r="C154" s="256"/>
      <c r="D154" s="257"/>
      <c r="E154" s="258"/>
      <c r="F154" s="258"/>
      <c r="G154" s="258"/>
      <c r="H154" s="259"/>
      <c r="I154" s="258"/>
      <c r="J154" s="248"/>
      <c r="K154" s="256"/>
      <c r="L154" s="257"/>
      <c r="M154" s="257"/>
      <c r="N154" s="258"/>
      <c r="O154" s="258"/>
      <c r="P154" s="258"/>
      <c r="Q154" s="259"/>
      <c r="R154" s="258"/>
      <c r="S154" s="272"/>
    </row>
    <row r="155" spans="1:19">
      <c r="A155" s="249"/>
      <c r="B155" s="354"/>
      <c r="C155" s="250"/>
      <c r="D155" s="251"/>
      <c r="E155" s="252"/>
      <c r="F155" s="252"/>
      <c r="G155" s="252"/>
      <c r="H155" s="253"/>
      <c r="I155" s="252"/>
      <c r="J155" s="254"/>
      <c r="K155" s="250"/>
      <c r="L155" s="251"/>
      <c r="M155" s="251"/>
      <c r="N155" s="252"/>
      <c r="O155" s="252"/>
      <c r="P155" s="252"/>
      <c r="Q155" s="253"/>
      <c r="R155" s="252"/>
      <c r="S155" s="273"/>
    </row>
    <row r="156" spans="1:19">
      <c r="A156" s="255"/>
      <c r="B156" s="355"/>
      <c r="C156" s="256"/>
      <c r="D156" s="257"/>
      <c r="E156" s="258"/>
      <c r="F156" s="258"/>
      <c r="G156" s="258"/>
      <c r="H156" s="259"/>
      <c r="I156" s="258"/>
      <c r="J156" s="248"/>
      <c r="K156" s="256"/>
      <c r="L156" s="257"/>
      <c r="M156" s="257"/>
      <c r="N156" s="258"/>
      <c r="O156" s="258"/>
      <c r="P156" s="258"/>
      <c r="Q156" s="259"/>
      <c r="R156" s="258"/>
      <c r="S156" s="272"/>
    </row>
    <row r="157" spans="1:19">
      <c r="A157" s="249"/>
      <c r="B157" s="354"/>
      <c r="C157" s="250"/>
      <c r="D157" s="251"/>
      <c r="E157" s="252"/>
      <c r="F157" s="252"/>
      <c r="G157" s="252"/>
      <c r="H157" s="253"/>
      <c r="I157" s="252"/>
      <c r="J157" s="254"/>
      <c r="K157" s="250"/>
      <c r="L157" s="251"/>
      <c r="M157" s="251"/>
      <c r="N157" s="252"/>
      <c r="O157" s="252"/>
      <c r="P157" s="252"/>
      <c r="Q157" s="253"/>
      <c r="R157" s="252"/>
      <c r="S157" s="273"/>
    </row>
    <row r="158" spans="1:19">
      <c r="A158" s="255"/>
      <c r="B158" s="355"/>
      <c r="C158" s="256"/>
      <c r="D158" s="257"/>
      <c r="E158" s="258"/>
      <c r="F158" s="258"/>
      <c r="G158" s="258"/>
      <c r="H158" s="259"/>
      <c r="I158" s="258"/>
      <c r="J158" s="248"/>
      <c r="K158" s="256"/>
      <c r="L158" s="257"/>
      <c r="M158" s="257"/>
      <c r="N158" s="258"/>
      <c r="O158" s="258"/>
      <c r="P158" s="258"/>
      <c r="Q158" s="259"/>
      <c r="R158" s="258"/>
      <c r="S158" s="272"/>
    </row>
    <row r="159" spans="1:19">
      <c r="A159" s="249"/>
      <c r="B159" s="354"/>
      <c r="C159" s="250"/>
      <c r="D159" s="251"/>
      <c r="E159" s="252"/>
      <c r="F159" s="252"/>
      <c r="G159" s="252"/>
      <c r="H159" s="253"/>
      <c r="I159" s="252"/>
      <c r="J159" s="254"/>
      <c r="K159" s="250"/>
      <c r="L159" s="251"/>
      <c r="M159" s="251"/>
      <c r="N159" s="252"/>
      <c r="O159" s="252"/>
      <c r="P159" s="252"/>
      <c r="Q159" s="253"/>
      <c r="R159" s="252"/>
      <c r="S159" s="273"/>
    </row>
    <row r="160" spans="1:19">
      <c r="A160" s="255"/>
      <c r="B160" s="355"/>
      <c r="C160" s="256"/>
      <c r="D160" s="257"/>
      <c r="E160" s="258"/>
      <c r="F160" s="258"/>
      <c r="G160" s="258"/>
      <c r="H160" s="259"/>
      <c r="I160" s="258"/>
      <c r="J160" s="248"/>
      <c r="K160" s="256"/>
      <c r="L160" s="257"/>
      <c r="M160" s="257"/>
      <c r="N160" s="258"/>
      <c r="O160" s="258"/>
      <c r="P160" s="258"/>
      <c r="Q160" s="259"/>
      <c r="R160" s="258"/>
      <c r="S160" s="272"/>
    </row>
    <row r="161" spans="1:19">
      <c r="A161" s="249"/>
      <c r="B161" s="354"/>
      <c r="C161" s="250"/>
      <c r="D161" s="251"/>
      <c r="E161" s="252"/>
      <c r="F161" s="252"/>
      <c r="G161" s="252"/>
      <c r="H161" s="253"/>
      <c r="I161" s="252"/>
      <c r="J161" s="254"/>
      <c r="K161" s="250"/>
      <c r="L161" s="251"/>
      <c r="M161" s="251"/>
      <c r="N161" s="252"/>
      <c r="O161" s="252"/>
      <c r="P161" s="252"/>
      <c r="Q161" s="253"/>
      <c r="R161" s="252"/>
      <c r="S161" s="273"/>
    </row>
    <row r="162" spans="1:19">
      <c r="A162" s="255"/>
      <c r="B162" s="355"/>
      <c r="C162" s="256"/>
      <c r="D162" s="257"/>
      <c r="E162" s="258"/>
      <c r="F162" s="258"/>
      <c r="G162" s="258"/>
      <c r="H162" s="259"/>
      <c r="I162" s="258"/>
      <c r="J162" s="248"/>
      <c r="K162" s="256"/>
      <c r="L162" s="257"/>
      <c r="M162" s="257"/>
      <c r="N162" s="258"/>
      <c r="O162" s="258"/>
      <c r="P162" s="258"/>
      <c r="Q162" s="259"/>
      <c r="R162" s="258"/>
      <c r="S162" s="272"/>
    </row>
    <row r="163" spans="1:19">
      <c r="A163" s="249"/>
      <c r="B163" s="354"/>
      <c r="C163" s="250"/>
      <c r="D163" s="251"/>
      <c r="E163" s="252"/>
      <c r="F163" s="252"/>
      <c r="G163" s="252"/>
      <c r="H163" s="253"/>
      <c r="I163" s="252"/>
      <c r="J163" s="254"/>
      <c r="K163" s="250"/>
      <c r="L163" s="251"/>
      <c r="M163" s="251"/>
      <c r="N163" s="252"/>
      <c r="O163" s="252"/>
      <c r="P163" s="252"/>
      <c r="Q163" s="253"/>
      <c r="R163" s="252"/>
      <c r="S163" s="273"/>
    </row>
    <row r="164" spans="1:19">
      <c r="A164" s="255"/>
      <c r="B164" s="355"/>
      <c r="C164" s="256"/>
      <c r="D164" s="257"/>
      <c r="E164" s="258"/>
      <c r="F164" s="258"/>
      <c r="G164" s="258"/>
      <c r="H164" s="259"/>
      <c r="I164" s="258"/>
      <c r="J164" s="248"/>
      <c r="K164" s="256"/>
      <c r="L164" s="257"/>
      <c r="M164" s="257"/>
      <c r="N164" s="258"/>
      <c r="O164" s="258"/>
      <c r="P164" s="258"/>
      <c r="Q164" s="259"/>
      <c r="R164" s="258"/>
      <c r="S164" s="272"/>
    </row>
    <row r="165" spans="1:19">
      <c r="A165" s="249"/>
      <c r="B165" s="354"/>
      <c r="C165" s="250"/>
      <c r="D165" s="251"/>
      <c r="E165" s="252"/>
      <c r="F165" s="252"/>
      <c r="G165" s="252"/>
      <c r="H165" s="253"/>
      <c r="I165" s="252"/>
      <c r="J165" s="254"/>
      <c r="K165" s="250"/>
      <c r="L165" s="251"/>
      <c r="M165" s="251"/>
      <c r="N165" s="252"/>
      <c r="O165" s="252"/>
      <c r="P165" s="252"/>
      <c r="Q165" s="253"/>
      <c r="R165" s="252"/>
      <c r="S165" s="273"/>
    </row>
    <row r="166" spans="1:19">
      <c r="A166" s="255"/>
      <c r="B166" s="355"/>
      <c r="C166" s="256"/>
      <c r="D166" s="257"/>
      <c r="E166" s="258"/>
      <c r="F166" s="258"/>
      <c r="G166" s="258"/>
      <c r="H166" s="259"/>
      <c r="I166" s="258"/>
      <c r="J166" s="248"/>
      <c r="K166" s="256"/>
      <c r="L166" s="257"/>
      <c r="M166" s="257"/>
      <c r="N166" s="258"/>
      <c r="O166" s="258"/>
      <c r="P166" s="258"/>
      <c r="Q166" s="259"/>
      <c r="R166" s="258"/>
      <c r="S166" s="272"/>
    </row>
    <row r="167" spans="1:19">
      <c r="A167" s="249"/>
      <c r="B167" s="354"/>
      <c r="C167" s="250"/>
      <c r="D167" s="251"/>
      <c r="E167" s="252"/>
      <c r="F167" s="252"/>
      <c r="G167" s="252"/>
      <c r="H167" s="253"/>
      <c r="I167" s="252"/>
      <c r="J167" s="254"/>
      <c r="K167" s="250"/>
      <c r="L167" s="251"/>
      <c r="M167" s="251"/>
      <c r="N167" s="252"/>
      <c r="O167" s="252"/>
      <c r="P167" s="252"/>
      <c r="Q167" s="253"/>
      <c r="R167" s="252"/>
      <c r="S167" s="273"/>
    </row>
    <row r="168" spans="1:19">
      <c r="A168" s="255"/>
      <c r="B168" s="355"/>
      <c r="C168" s="256"/>
      <c r="D168" s="257"/>
      <c r="E168" s="258"/>
      <c r="F168" s="258"/>
      <c r="G168" s="258"/>
      <c r="H168" s="259"/>
      <c r="I168" s="258"/>
      <c r="J168" s="248"/>
      <c r="K168" s="256"/>
      <c r="L168" s="257"/>
      <c r="M168" s="257"/>
      <c r="N168" s="258"/>
      <c r="O168" s="258"/>
      <c r="P168" s="258"/>
      <c r="Q168" s="259"/>
      <c r="R168" s="258"/>
      <c r="S168" s="272"/>
    </row>
    <row r="169" spans="1:19">
      <c r="A169" s="249"/>
      <c r="B169" s="354"/>
      <c r="C169" s="250"/>
      <c r="D169" s="251"/>
      <c r="E169" s="252"/>
      <c r="F169" s="252"/>
      <c r="G169" s="252"/>
      <c r="H169" s="253"/>
      <c r="I169" s="252"/>
      <c r="J169" s="254"/>
      <c r="K169" s="250"/>
      <c r="L169" s="251"/>
      <c r="M169" s="251"/>
      <c r="N169" s="252"/>
      <c r="O169" s="252"/>
      <c r="P169" s="252"/>
      <c r="Q169" s="253"/>
      <c r="R169" s="252"/>
      <c r="S169" s="273"/>
    </row>
    <row r="170" spans="1:19">
      <c r="A170" s="255"/>
      <c r="B170" s="355"/>
      <c r="C170" s="256"/>
      <c r="D170" s="257"/>
      <c r="E170" s="258"/>
      <c r="F170" s="258"/>
      <c r="G170" s="258"/>
      <c r="H170" s="259"/>
      <c r="I170" s="258"/>
      <c r="J170" s="248"/>
      <c r="K170" s="256"/>
      <c r="L170" s="257"/>
      <c r="M170" s="257"/>
      <c r="N170" s="258"/>
      <c r="O170" s="258"/>
      <c r="P170" s="258"/>
      <c r="Q170" s="259"/>
      <c r="R170" s="258"/>
      <c r="S170" s="272"/>
    </row>
    <row r="171" spans="1:19">
      <c r="A171" s="249"/>
      <c r="B171" s="354"/>
      <c r="C171" s="250"/>
      <c r="D171" s="251"/>
      <c r="E171" s="252"/>
      <c r="F171" s="252"/>
      <c r="G171" s="252"/>
      <c r="H171" s="253"/>
      <c r="I171" s="252"/>
      <c r="J171" s="254"/>
      <c r="K171" s="250"/>
      <c r="L171" s="251"/>
      <c r="M171" s="251"/>
      <c r="N171" s="252"/>
      <c r="O171" s="252"/>
      <c r="P171" s="252"/>
      <c r="Q171" s="253"/>
      <c r="R171" s="252"/>
      <c r="S171" s="273"/>
    </row>
    <row r="172" spans="1:19">
      <c r="A172" s="255"/>
      <c r="B172" s="355"/>
      <c r="C172" s="256"/>
      <c r="D172" s="257"/>
      <c r="E172" s="258"/>
      <c r="F172" s="258"/>
      <c r="G172" s="258"/>
      <c r="H172" s="259"/>
      <c r="I172" s="258"/>
      <c r="J172" s="248"/>
      <c r="K172" s="256"/>
      <c r="L172" s="257"/>
      <c r="M172" s="257"/>
      <c r="N172" s="258"/>
      <c r="O172" s="258"/>
      <c r="P172" s="258"/>
      <c r="Q172" s="259"/>
      <c r="R172" s="258"/>
      <c r="S172" s="272"/>
    </row>
    <row r="173" spans="1:19">
      <c r="A173" s="249"/>
      <c r="B173" s="354"/>
      <c r="C173" s="250"/>
      <c r="D173" s="251"/>
      <c r="E173" s="252"/>
      <c r="F173" s="252"/>
      <c r="G173" s="252"/>
      <c r="H173" s="253"/>
      <c r="I173" s="252"/>
      <c r="J173" s="254"/>
      <c r="K173" s="250"/>
      <c r="L173" s="251"/>
      <c r="M173" s="251"/>
      <c r="N173" s="252"/>
      <c r="O173" s="252"/>
      <c r="P173" s="252"/>
      <c r="Q173" s="253"/>
      <c r="R173" s="252"/>
      <c r="S173" s="273"/>
    </row>
    <row r="174" spans="1:19">
      <c r="A174" s="255"/>
      <c r="B174" s="355"/>
      <c r="C174" s="256"/>
      <c r="D174" s="257"/>
      <c r="E174" s="258"/>
      <c r="F174" s="258"/>
      <c r="G174" s="258"/>
      <c r="H174" s="259"/>
      <c r="I174" s="258"/>
      <c r="J174" s="248"/>
      <c r="K174" s="256"/>
      <c r="L174" s="257"/>
      <c r="M174" s="257"/>
      <c r="N174" s="258"/>
      <c r="O174" s="258"/>
      <c r="P174" s="258"/>
      <c r="Q174" s="259"/>
      <c r="R174" s="258"/>
      <c r="S174" s="272"/>
    </row>
    <row r="175" spans="1:19">
      <c r="A175" s="249"/>
      <c r="B175" s="354"/>
      <c r="C175" s="250"/>
      <c r="D175" s="251"/>
      <c r="E175" s="252"/>
      <c r="F175" s="252"/>
      <c r="G175" s="252"/>
      <c r="H175" s="253"/>
      <c r="I175" s="252"/>
      <c r="J175" s="254"/>
      <c r="K175" s="250"/>
      <c r="L175" s="251"/>
      <c r="M175" s="251"/>
      <c r="N175" s="252"/>
      <c r="O175" s="252"/>
      <c r="P175" s="252"/>
      <c r="Q175" s="253"/>
      <c r="R175" s="252"/>
      <c r="S175" s="273"/>
    </row>
    <row r="176" spans="1:19">
      <c r="A176" s="255"/>
      <c r="B176" s="355"/>
      <c r="C176" s="256"/>
      <c r="D176" s="257"/>
      <c r="E176" s="258"/>
      <c r="F176" s="258"/>
      <c r="G176" s="258"/>
      <c r="H176" s="259"/>
      <c r="I176" s="258"/>
      <c r="J176" s="248"/>
      <c r="K176" s="256"/>
      <c r="L176" s="257"/>
      <c r="M176" s="257"/>
      <c r="N176" s="258"/>
      <c r="O176" s="258"/>
      <c r="P176" s="258"/>
      <c r="Q176" s="259"/>
      <c r="R176" s="258"/>
      <c r="S176" s="272"/>
    </row>
    <row r="177" spans="1:19">
      <c r="A177" s="249"/>
      <c r="B177" s="354"/>
      <c r="C177" s="250"/>
      <c r="D177" s="251"/>
      <c r="E177" s="252"/>
      <c r="F177" s="252"/>
      <c r="G177" s="252"/>
      <c r="H177" s="253"/>
      <c r="I177" s="252"/>
      <c r="J177" s="254"/>
      <c r="K177" s="250"/>
      <c r="L177" s="251"/>
      <c r="M177" s="251"/>
      <c r="N177" s="252"/>
      <c r="O177" s="252"/>
      <c r="P177" s="252"/>
      <c r="Q177" s="253"/>
      <c r="R177" s="252"/>
      <c r="S177" s="273"/>
    </row>
    <row r="178" spans="1:19">
      <c r="A178" s="255"/>
      <c r="B178" s="355"/>
      <c r="C178" s="256"/>
      <c r="D178" s="257"/>
      <c r="E178" s="258"/>
      <c r="F178" s="258"/>
      <c r="G178" s="258"/>
      <c r="H178" s="259"/>
      <c r="I178" s="258"/>
      <c r="J178" s="248"/>
      <c r="K178" s="256"/>
      <c r="L178" s="257"/>
      <c r="M178" s="257"/>
      <c r="N178" s="258"/>
      <c r="O178" s="258"/>
      <c r="P178" s="258"/>
      <c r="Q178" s="259"/>
      <c r="R178" s="258"/>
      <c r="S178" s="272"/>
    </row>
    <row r="179" spans="1:19">
      <c r="A179" s="249"/>
      <c r="B179" s="354"/>
      <c r="C179" s="250"/>
      <c r="D179" s="251"/>
      <c r="E179" s="252"/>
      <c r="F179" s="252"/>
      <c r="G179" s="252"/>
      <c r="H179" s="253"/>
      <c r="I179" s="252"/>
      <c r="J179" s="254"/>
      <c r="K179" s="250"/>
      <c r="L179" s="251"/>
      <c r="M179" s="251"/>
      <c r="N179" s="252"/>
      <c r="O179" s="252"/>
      <c r="P179" s="252"/>
      <c r="Q179" s="253"/>
      <c r="R179" s="252"/>
      <c r="S179" s="273"/>
    </row>
    <row r="180" spans="1:19">
      <c r="A180" s="255"/>
      <c r="B180" s="355"/>
      <c r="C180" s="256"/>
      <c r="D180" s="257"/>
      <c r="E180" s="258"/>
      <c r="F180" s="258"/>
      <c r="G180" s="258"/>
      <c r="H180" s="259"/>
      <c r="I180" s="258"/>
      <c r="J180" s="248"/>
      <c r="K180" s="256"/>
      <c r="L180" s="257"/>
      <c r="M180" s="257"/>
      <c r="N180" s="258"/>
      <c r="O180" s="258"/>
      <c r="P180" s="258"/>
      <c r="Q180" s="259"/>
      <c r="R180" s="258"/>
      <c r="S180" s="272"/>
    </row>
    <row r="181" spans="1:19">
      <c r="A181" s="249"/>
      <c r="B181" s="354"/>
      <c r="C181" s="250"/>
      <c r="D181" s="251"/>
      <c r="E181" s="252"/>
      <c r="F181" s="252"/>
      <c r="G181" s="252"/>
      <c r="H181" s="253"/>
      <c r="I181" s="252"/>
      <c r="J181" s="254"/>
      <c r="K181" s="250"/>
      <c r="L181" s="251"/>
      <c r="M181" s="251"/>
      <c r="N181" s="252"/>
      <c r="O181" s="252"/>
      <c r="P181" s="252"/>
      <c r="Q181" s="253"/>
      <c r="R181" s="252"/>
      <c r="S181" s="273"/>
    </row>
    <row r="182" spans="1:19">
      <c r="A182" s="255"/>
      <c r="B182" s="355"/>
      <c r="C182" s="256"/>
      <c r="D182" s="257"/>
      <c r="E182" s="258"/>
      <c r="F182" s="258"/>
      <c r="G182" s="258"/>
      <c r="H182" s="259"/>
      <c r="I182" s="258"/>
      <c r="J182" s="248"/>
      <c r="K182" s="256"/>
      <c r="L182" s="257"/>
      <c r="M182" s="257"/>
      <c r="N182" s="258"/>
      <c r="O182" s="258"/>
      <c r="P182" s="258"/>
      <c r="Q182" s="259"/>
      <c r="R182" s="258"/>
      <c r="S182" s="272"/>
    </row>
    <row r="183" spans="1:19">
      <c r="A183" s="249"/>
      <c r="B183" s="354"/>
      <c r="C183" s="250"/>
      <c r="D183" s="251"/>
      <c r="E183" s="252"/>
      <c r="F183" s="252"/>
      <c r="G183" s="252"/>
      <c r="H183" s="253"/>
      <c r="I183" s="252"/>
      <c r="J183" s="254"/>
      <c r="K183" s="250"/>
      <c r="L183" s="251"/>
      <c r="M183" s="251"/>
      <c r="N183" s="252"/>
      <c r="O183" s="252"/>
      <c r="P183" s="252"/>
      <c r="Q183" s="253"/>
      <c r="R183" s="252"/>
      <c r="S183" s="273"/>
    </row>
    <row r="184" spans="1:19">
      <c r="A184" s="255"/>
      <c r="B184" s="355"/>
      <c r="C184" s="256"/>
      <c r="D184" s="257"/>
      <c r="E184" s="258"/>
      <c r="F184" s="258"/>
      <c r="G184" s="258"/>
      <c r="H184" s="259"/>
      <c r="I184" s="258"/>
      <c r="J184" s="248"/>
      <c r="K184" s="256"/>
      <c r="L184" s="257"/>
      <c r="M184" s="257"/>
      <c r="N184" s="258"/>
      <c r="O184" s="258"/>
      <c r="P184" s="258"/>
      <c r="Q184" s="259"/>
      <c r="R184" s="258"/>
      <c r="S184" s="272"/>
    </row>
    <row r="185" spans="1:19">
      <c r="A185" s="249"/>
      <c r="B185" s="354"/>
      <c r="C185" s="250"/>
      <c r="D185" s="251"/>
      <c r="E185" s="252"/>
      <c r="F185" s="252"/>
      <c r="G185" s="252"/>
      <c r="H185" s="253"/>
      <c r="I185" s="252"/>
      <c r="J185" s="254"/>
      <c r="K185" s="250"/>
      <c r="L185" s="251"/>
      <c r="M185" s="251"/>
      <c r="N185" s="252"/>
      <c r="O185" s="252"/>
      <c r="P185" s="252"/>
      <c r="Q185" s="253"/>
      <c r="R185" s="252"/>
      <c r="S185" s="273"/>
    </row>
    <row r="186" spans="1:19">
      <c r="A186" s="255"/>
      <c r="B186" s="355"/>
      <c r="C186" s="256"/>
      <c r="D186" s="257"/>
      <c r="E186" s="258"/>
      <c r="F186" s="258"/>
      <c r="G186" s="258"/>
      <c r="H186" s="259"/>
      <c r="I186" s="258"/>
      <c r="J186" s="248"/>
      <c r="K186" s="256"/>
      <c r="L186" s="257"/>
      <c r="M186" s="257"/>
      <c r="N186" s="258"/>
      <c r="O186" s="258"/>
      <c r="P186" s="258"/>
      <c r="Q186" s="259"/>
      <c r="R186" s="258"/>
      <c r="S186" s="272"/>
    </row>
    <row r="187" spans="1:19">
      <c r="A187" s="249"/>
      <c r="B187" s="354"/>
      <c r="C187" s="250"/>
      <c r="D187" s="251"/>
      <c r="E187" s="252"/>
      <c r="F187" s="252"/>
      <c r="G187" s="252"/>
      <c r="H187" s="253"/>
      <c r="I187" s="252"/>
      <c r="J187" s="254"/>
      <c r="K187" s="250"/>
      <c r="L187" s="251"/>
      <c r="M187" s="251"/>
      <c r="N187" s="252"/>
      <c r="O187" s="252"/>
      <c r="P187" s="252"/>
      <c r="Q187" s="253"/>
      <c r="R187" s="252"/>
      <c r="S187" s="273"/>
    </row>
    <row r="188" spans="1:19">
      <c r="A188" s="255"/>
      <c r="B188" s="355"/>
      <c r="C188" s="256"/>
      <c r="D188" s="257"/>
      <c r="E188" s="258"/>
      <c r="F188" s="258"/>
      <c r="G188" s="258"/>
      <c r="H188" s="259"/>
      <c r="I188" s="258"/>
      <c r="J188" s="248"/>
      <c r="K188" s="256"/>
      <c r="L188" s="257"/>
      <c r="M188" s="257"/>
      <c r="N188" s="258"/>
      <c r="O188" s="258"/>
      <c r="P188" s="258"/>
      <c r="Q188" s="259"/>
      <c r="R188" s="258"/>
      <c r="S188" s="272"/>
    </row>
    <row r="189" spans="1:19">
      <c r="A189" s="249"/>
      <c r="B189" s="354"/>
      <c r="C189" s="250"/>
      <c r="D189" s="251"/>
      <c r="E189" s="252"/>
      <c r="F189" s="252"/>
      <c r="G189" s="252"/>
      <c r="H189" s="253"/>
      <c r="I189" s="252"/>
      <c r="J189" s="254"/>
      <c r="K189" s="250"/>
      <c r="L189" s="251"/>
      <c r="M189" s="251"/>
      <c r="N189" s="252"/>
      <c r="O189" s="252"/>
      <c r="P189" s="252"/>
      <c r="Q189" s="253"/>
      <c r="R189" s="252"/>
      <c r="S189" s="273"/>
    </row>
    <row r="190" spans="1:19">
      <c r="A190" s="255"/>
      <c r="B190" s="355"/>
      <c r="C190" s="256"/>
      <c r="D190" s="257"/>
      <c r="E190" s="258"/>
      <c r="F190" s="258"/>
      <c r="G190" s="258"/>
      <c r="H190" s="259"/>
      <c r="I190" s="258"/>
      <c r="J190" s="248"/>
      <c r="K190" s="256"/>
      <c r="L190" s="257"/>
      <c r="M190" s="257"/>
      <c r="N190" s="258"/>
      <c r="O190" s="258"/>
      <c r="P190" s="258"/>
      <c r="Q190" s="259"/>
      <c r="R190" s="258"/>
      <c r="S190" s="272"/>
    </row>
    <row r="191" spans="1:19">
      <c r="A191" s="249"/>
      <c r="B191" s="354"/>
      <c r="C191" s="250"/>
      <c r="D191" s="251"/>
      <c r="E191" s="252"/>
      <c r="F191" s="252"/>
      <c r="G191" s="252"/>
      <c r="H191" s="253"/>
      <c r="I191" s="252"/>
      <c r="J191" s="254"/>
      <c r="K191" s="250"/>
      <c r="L191" s="251"/>
      <c r="M191" s="251"/>
      <c r="N191" s="252"/>
      <c r="O191" s="252"/>
      <c r="P191" s="252"/>
      <c r="Q191" s="253"/>
      <c r="R191" s="252"/>
      <c r="S191" s="273"/>
    </row>
    <row r="192" spans="1:19">
      <c r="A192" s="255"/>
      <c r="B192" s="355"/>
      <c r="C192" s="256"/>
      <c r="D192" s="257"/>
      <c r="E192" s="258"/>
      <c r="F192" s="258"/>
      <c r="G192" s="258"/>
      <c r="H192" s="259"/>
      <c r="I192" s="258"/>
      <c r="J192" s="248"/>
      <c r="K192" s="256"/>
      <c r="L192" s="257"/>
      <c r="M192" s="257"/>
      <c r="N192" s="258"/>
      <c r="O192" s="258"/>
      <c r="P192" s="258"/>
      <c r="Q192" s="259"/>
      <c r="R192" s="258"/>
      <c r="S192" s="272"/>
    </row>
    <row r="193" spans="1:19">
      <c r="A193" s="249"/>
      <c r="B193" s="354"/>
      <c r="C193" s="250"/>
      <c r="D193" s="251"/>
      <c r="E193" s="252"/>
      <c r="F193" s="252"/>
      <c r="G193" s="252"/>
      <c r="H193" s="253"/>
      <c r="I193" s="252"/>
      <c r="J193" s="254"/>
      <c r="K193" s="250"/>
      <c r="L193" s="251"/>
      <c r="M193" s="251"/>
      <c r="N193" s="252"/>
      <c r="O193" s="252"/>
      <c r="P193" s="252"/>
      <c r="Q193" s="253"/>
      <c r="R193" s="252"/>
      <c r="S193" s="273"/>
    </row>
    <row r="194" spans="1:19">
      <c r="A194" s="255"/>
      <c r="B194" s="355"/>
      <c r="C194" s="256"/>
      <c r="D194" s="257"/>
      <c r="E194" s="258"/>
      <c r="F194" s="258"/>
      <c r="G194" s="258"/>
      <c r="H194" s="259"/>
      <c r="I194" s="258"/>
      <c r="J194" s="248"/>
      <c r="K194" s="256"/>
      <c r="L194" s="257"/>
      <c r="M194" s="257"/>
      <c r="N194" s="258"/>
      <c r="O194" s="258"/>
      <c r="P194" s="258"/>
      <c r="Q194" s="259"/>
      <c r="R194" s="258"/>
      <c r="S194" s="272"/>
    </row>
    <row r="195" spans="1:19">
      <c r="A195" s="249"/>
      <c r="B195" s="354"/>
      <c r="C195" s="250"/>
      <c r="D195" s="251"/>
      <c r="E195" s="252"/>
      <c r="F195" s="252"/>
      <c r="G195" s="252"/>
      <c r="H195" s="253"/>
      <c r="I195" s="252"/>
      <c r="J195" s="254"/>
      <c r="K195" s="250"/>
      <c r="L195" s="251"/>
      <c r="M195" s="251"/>
      <c r="N195" s="252"/>
      <c r="O195" s="252"/>
      <c r="P195" s="252"/>
      <c r="Q195" s="253"/>
      <c r="R195" s="252"/>
      <c r="S195" s="273"/>
    </row>
    <row r="196" spans="1:19">
      <c r="A196" s="255"/>
      <c r="B196" s="355"/>
      <c r="C196" s="256"/>
      <c r="D196" s="257"/>
      <c r="E196" s="258"/>
      <c r="F196" s="258"/>
      <c r="G196" s="258"/>
      <c r="H196" s="259"/>
      <c r="I196" s="258"/>
      <c r="J196" s="248"/>
      <c r="K196" s="256"/>
      <c r="L196" s="257"/>
      <c r="M196" s="257"/>
      <c r="N196" s="258"/>
      <c r="O196" s="258"/>
      <c r="P196" s="258"/>
      <c r="Q196" s="259"/>
      <c r="R196" s="258"/>
      <c r="S196" s="272"/>
    </row>
    <row r="197" spans="1:19">
      <c r="A197" s="249"/>
      <c r="B197" s="354"/>
      <c r="C197" s="250"/>
      <c r="D197" s="251"/>
      <c r="E197" s="252"/>
      <c r="F197" s="252"/>
      <c r="G197" s="252"/>
      <c r="H197" s="253"/>
      <c r="I197" s="252"/>
      <c r="J197" s="254"/>
      <c r="K197" s="250"/>
      <c r="L197" s="251"/>
      <c r="M197" s="251"/>
      <c r="N197" s="252"/>
      <c r="O197" s="252"/>
      <c r="P197" s="252"/>
      <c r="Q197" s="253"/>
      <c r="R197" s="252"/>
      <c r="S197" s="273"/>
    </row>
    <row r="198" spans="1:19">
      <c r="A198" s="255"/>
      <c r="B198" s="355"/>
      <c r="C198" s="256"/>
      <c r="D198" s="257"/>
      <c r="E198" s="258"/>
      <c r="F198" s="258"/>
      <c r="G198" s="258"/>
      <c r="H198" s="259"/>
      <c r="I198" s="258"/>
      <c r="J198" s="248"/>
      <c r="K198" s="256"/>
      <c r="L198" s="257"/>
      <c r="M198" s="257"/>
      <c r="N198" s="258"/>
      <c r="O198" s="258"/>
      <c r="P198" s="258"/>
      <c r="Q198" s="259"/>
      <c r="R198" s="258"/>
      <c r="S198" s="272"/>
    </row>
    <row r="199" spans="1:19">
      <c r="A199" s="249"/>
      <c r="B199" s="354"/>
      <c r="C199" s="250"/>
      <c r="D199" s="251"/>
      <c r="E199" s="252"/>
      <c r="F199" s="252"/>
      <c r="G199" s="252"/>
      <c r="H199" s="253"/>
      <c r="I199" s="252"/>
      <c r="J199" s="254"/>
      <c r="K199" s="250"/>
      <c r="L199" s="251"/>
      <c r="M199" s="251"/>
      <c r="N199" s="252"/>
      <c r="O199" s="252"/>
      <c r="P199" s="252"/>
      <c r="Q199" s="253"/>
      <c r="R199" s="252"/>
      <c r="S199" s="273"/>
    </row>
    <row r="200" spans="1:19">
      <c r="A200" s="255"/>
      <c r="B200" s="355"/>
      <c r="C200" s="256"/>
      <c r="D200" s="257"/>
      <c r="E200" s="258"/>
      <c r="F200" s="258"/>
      <c r="G200" s="258"/>
      <c r="H200" s="259"/>
      <c r="I200" s="258"/>
      <c r="J200" s="248"/>
      <c r="K200" s="256"/>
      <c r="L200" s="257"/>
      <c r="M200" s="257"/>
      <c r="N200" s="258"/>
      <c r="O200" s="258"/>
      <c r="P200" s="258"/>
      <c r="Q200" s="259"/>
      <c r="R200" s="258"/>
      <c r="S200" s="272"/>
    </row>
    <row r="201" spans="1:19">
      <c r="A201" s="249"/>
      <c r="B201" s="354"/>
      <c r="C201" s="250"/>
      <c r="D201" s="251"/>
      <c r="E201" s="252"/>
      <c r="F201" s="252"/>
      <c r="G201" s="252"/>
      <c r="H201" s="253"/>
      <c r="I201" s="252"/>
      <c r="J201" s="254"/>
      <c r="K201" s="250"/>
      <c r="L201" s="251"/>
      <c r="M201" s="251"/>
      <c r="N201" s="252"/>
      <c r="O201" s="252"/>
      <c r="P201" s="252"/>
      <c r="Q201" s="253"/>
      <c r="R201" s="252"/>
      <c r="S201" s="273"/>
    </row>
    <row r="202" spans="1:19">
      <c r="A202" s="255"/>
      <c r="B202" s="355"/>
      <c r="C202" s="256"/>
      <c r="D202" s="257"/>
      <c r="E202" s="258"/>
      <c r="F202" s="258"/>
      <c r="G202" s="258"/>
      <c r="H202" s="259"/>
      <c r="I202" s="258"/>
      <c r="J202" s="248"/>
      <c r="K202" s="256"/>
      <c r="L202" s="257"/>
      <c r="M202" s="257"/>
      <c r="N202" s="258"/>
      <c r="O202" s="258"/>
      <c r="P202" s="258"/>
      <c r="Q202" s="259"/>
      <c r="R202" s="258"/>
      <c r="S202" s="272"/>
    </row>
    <row r="203" spans="1:19">
      <c r="A203" s="249"/>
      <c r="B203" s="354"/>
      <c r="C203" s="250"/>
      <c r="D203" s="251"/>
      <c r="E203" s="252"/>
      <c r="F203" s="252"/>
      <c r="G203" s="252"/>
      <c r="H203" s="253"/>
      <c r="I203" s="252"/>
      <c r="J203" s="254"/>
      <c r="K203" s="250"/>
      <c r="L203" s="251"/>
      <c r="M203" s="251"/>
      <c r="N203" s="252"/>
      <c r="O203" s="252"/>
      <c r="P203" s="252"/>
      <c r="Q203" s="253"/>
      <c r="R203" s="252"/>
      <c r="S203" s="273"/>
    </row>
    <row r="204" spans="1:19">
      <c r="A204" s="255"/>
      <c r="B204" s="355"/>
      <c r="C204" s="256"/>
      <c r="D204" s="257"/>
      <c r="E204" s="258"/>
      <c r="F204" s="258"/>
      <c r="G204" s="258"/>
      <c r="H204" s="259"/>
      <c r="I204" s="258"/>
      <c r="J204" s="248"/>
      <c r="K204" s="256"/>
      <c r="L204" s="257"/>
      <c r="M204" s="257"/>
      <c r="N204" s="258"/>
      <c r="O204" s="258"/>
      <c r="P204" s="258"/>
      <c r="Q204" s="259"/>
      <c r="R204" s="258"/>
      <c r="S204" s="272"/>
    </row>
    <row r="205" spans="1:19">
      <c r="A205" s="249"/>
      <c r="B205" s="354"/>
      <c r="C205" s="250"/>
      <c r="D205" s="251"/>
      <c r="E205" s="252"/>
      <c r="F205" s="252"/>
      <c r="G205" s="252"/>
      <c r="H205" s="253"/>
      <c r="I205" s="252"/>
      <c r="J205" s="254"/>
      <c r="K205" s="250"/>
      <c r="L205" s="251"/>
      <c r="M205" s="251"/>
      <c r="N205" s="252"/>
      <c r="O205" s="252"/>
      <c r="P205" s="252"/>
      <c r="Q205" s="253"/>
      <c r="R205" s="252"/>
      <c r="S205" s="273"/>
    </row>
    <row r="206" spans="1:19">
      <c r="A206" s="255"/>
      <c r="B206" s="355"/>
      <c r="C206" s="256"/>
      <c r="D206" s="257"/>
      <c r="E206" s="258"/>
      <c r="F206" s="258"/>
      <c r="G206" s="258"/>
      <c r="H206" s="259"/>
      <c r="I206" s="258"/>
      <c r="J206" s="248"/>
      <c r="K206" s="256"/>
      <c r="L206" s="257"/>
      <c r="M206" s="257"/>
      <c r="N206" s="258"/>
      <c r="O206" s="258"/>
      <c r="P206" s="258"/>
      <c r="Q206" s="259"/>
      <c r="R206" s="258"/>
      <c r="S206" s="272"/>
    </row>
    <row r="207" spans="1:19">
      <c r="A207" s="249"/>
      <c r="B207" s="354"/>
      <c r="C207" s="250"/>
      <c r="D207" s="251"/>
      <c r="E207" s="252"/>
      <c r="F207" s="252"/>
      <c r="G207" s="252"/>
      <c r="H207" s="253"/>
      <c r="I207" s="252"/>
      <c r="J207" s="254"/>
      <c r="K207" s="250"/>
      <c r="L207" s="251"/>
      <c r="M207" s="251"/>
      <c r="N207" s="252"/>
      <c r="O207" s="252"/>
      <c r="P207" s="252"/>
      <c r="Q207" s="253"/>
      <c r="R207" s="252"/>
      <c r="S207" s="273"/>
    </row>
    <row r="208" spans="1:19">
      <c r="A208" s="255"/>
      <c r="B208" s="355"/>
      <c r="C208" s="256"/>
      <c r="D208" s="257"/>
      <c r="E208" s="258"/>
      <c r="F208" s="258"/>
      <c r="G208" s="258"/>
      <c r="H208" s="259"/>
      <c r="I208" s="258"/>
      <c r="J208" s="248"/>
      <c r="K208" s="256"/>
      <c r="L208" s="257"/>
      <c r="M208" s="257"/>
      <c r="N208" s="258"/>
      <c r="O208" s="258"/>
      <c r="P208" s="258"/>
      <c r="Q208" s="259"/>
      <c r="R208" s="258"/>
      <c r="S208" s="272"/>
    </row>
    <row r="209" spans="1:19">
      <c r="A209" s="249"/>
      <c r="B209" s="354"/>
      <c r="C209" s="250"/>
      <c r="D209" s="251"/>
      <c r="E209" s="252"/>
      <c r="F209" s="252"/>
      <c r="G209" s="252"/>
      <c r="H209" s="253"/>
      <c r="I209" s="252"/>
      <c r="J209" s="254"/>
      <c r="K209" s="250"/>
      <c r="L209" s="251"/>
      <c r="M209" s="251"/>
      <c r="N209" s="252"/>
      <c r="O209" s="252"/>
      <c r="P209" s="252"/>
      <c r="Q209" s="253"/>
      <c r="R209" s="252"/>
      <c r="S209" s="273"/>
    </row>
    <row r="210" spans="1:19">
      <c r="A210" s="255"/>
      <c r="B210" s="355"/>
      <c r="C210" s="256"/>
      <c r="D210" s="257"/>
      <c r="E210" s="258"/>
      <c r="F210" s="258"/>
      <c r="G210" s="258"/>
      <c r="H210" s="259"/>
      <c r="I210" s="258"/>
      <c r="J210" s="248"/>
      <c r="K210" s="256"/>
      <c r="L210" s="257"/>
      <c r="M210" s="257"/>
      <c r="N210" s="258"/>
      <c r="O210" s="258"/>
      <c r="P210" s="258"/>
      <c r="Q210" s="259"/>
      <c r="R210" s="258"/>
      <c r="S210" s="272"/>
    </row>
    <row r="211" spans="1:19">
      <c r="A211" s="249"/>
      <c r="B211" s="354"/>
      <c r="C211" s="250"/>
      <c r="D211" s="251"/>
      <c r="E211" s="252"/>
      <c r="F211" s="252"/>
      <c r="G211" s="252"/>
      <c r="H211" s="253"/>
      <c r="I211" s="252"/>
      <c r="J211" s="254"/>
      <c r="K211" s="250"/>
      <c r="L211" s="251"/>
      <c r="M211" s="251"/>
      <c r="N211" s="252"/>
      <c r="O211" s="252"/>
      <c r="P211" s="252"/>
      <c r="Q211" s="253"/>
      <c r="R211" s="252"/>
      <c r="S211" s="273"/>
    </row>
    <row r="212" spans="1:19">
      <c r="A212" s="255"/>
      <c r="B212" s="355"/>
      <c r="C212" s="256"/>
      <c r="D212" s="257"/>
      <c r="E212" s="258"/>
      <c r="F212" s="258"/>
      <c r="G212" s="258"/>
      <c r="H212" s="259"/>
      <c r="I212" s="258"/>
      <c r="J212" s="248"/>
      <c r="K212" s="256"/>
      <c r="L212" s="257"/>
      <c r="M212" s="257"/>
      <c r="N212" s="258"/>
      <c r="O212" s="258"/>
      <c r="P212" s="258"/>
      <c r="Q212" s="259"/>
      <c r="R212" s="258"/>
      <c r="S212" s="272"/>
    </row>
    <row r="213" spans="1:19">
      <c r="A213" s="249"/>
      <c r="B213" s="354"/>
      <c r="C213" s="250"/>
      <c r="D213" s="251"/>
      <c r="E213" s="252"/>
      <c r="F213" s="252"/>
      <c r="G213" s="252"/>
      <c r="H213" s="253"/>
      <c r="I213" s="252"/>
      <c r="J213" s="254"/>
      <c r="K213" s="250"/>
      <c r="L213" s="251"/>
      <c r="M213" s="251"/>
      <c r="N213" s="252"/>
      <c r="O213" s="252"/>
      <c r="P213" s="252"/>
      <c r="Q213" s="253"/>
      <c r="R213" s="252"/>
      <c r="S213" s="273"/>
    </row>
    <row r="214" spans="1:19">
      <c r="A214" s="255"/>
      <c r="B214" s="355"/>
      <c r="C214" s="256"/>
      <c r="D214" s="257"/>
      <c r="E214" s="258"/>
      <c r="F214" s="258"/>
      <c r="G214" s="258"/>
      <c r="H214" s="259"/>
      <c r="I214" s="258"/>
      <c r="J214" s="248"/>
      <c r="K214" s="256"/>
      <c r="L214" s="257"/>
      <c r="M214" s="257"/>
      <c r="N214" s="258"/>
      <c r="O214" s="258"/>
      <c r="P214" s="258"/>
      <c r="Q214" s="259"/>
      <c r="R214" s="258"/>
      <c r="S214" s="272"/>
    </row>
    <row r="215" spans="1:19">
      <c r="A215" s="249"/>
      <c r="B215" s="354"/>
      <c r="C215" s="250"/>
      <c r="D215" s="251"/>
      <c r="E215" s="252"/>
      <c r="F215" s="252"/>
      <c r="G215" s="252"/>
      <c r="H215" s="253"/>
      <c r="I215" s="252"/>
      <c r="J215" s="254"/>
      <c r="K215" s="250"/>
      <c r="L215" s="251"/>
      <c r="M215" s="251"/>
      <c r="N215" s="252"/>
      <c r="O215" s="252"/>
      <c r="P215" s="252"/>
      <c r="Q215" s="253"/>
      <c r="R215" s="252"/>
      <c r="S215" s="273"/>
    </row>
    <row r="216" spans="1:19">
      <c r="A216" s="255"/>
      <c r="B216" s="355"/>
      <c r="C216" s="256"/>
      <c r="D216" s="257"/>
      <c r="E216" s="258"/>
      <c r="F216" s="258"/>
      <c r="G216" s="258"/>
      <c r="H216" s="259"/>
      <c r="I216" s="258"/>
      <c r="J216" s="248"/>
      <c r="K216" s="256"/>
      <c r="L216" s="257"/>
      <c r="M216" s="257"/>
      <c r="N216" s="258"/>
      <c r="O216" s="258"/>
      <c r="P216" s="258"/>
      <c r="Q216" s="259"/>
      <c r="R216" s="258"/>
      <c r="S216" s="272"/>
    </row>
    <row r="217" spans="1:19">
      <c r="A217" s="249"/>
      <c r="B217" s="354"/>
      <c r="C217" s="250"/>
      <c r="D217" s="251"/>
      <c r="E217" s="252"/>
      <c r="F217" s="252"/>
      <c r="G217" s="252"/>
      <c r="H217" s="253"/>
      <c r="I217" s="252"/>
      <c r="J217" s="254"/>
      <c r="K217" s="250"/>
      <c r="L217" s="251"/>
      <c r="M217" s="251"/>
      <c r="N217" s="252"/>
      <c r="O217" s="252"/>
      <c r="P217" s="252"/>
      <c r="Q217" s="253"/>
      <c r="R217" s="252"/>
      <c r="S217" s="273"/>
    </row>
    <row r="218" spans="1:19">
      <c r="A218" s="255"/>
      <c r="B218" s="355"/>
      <c r="C218" s="256"/>
      <c r="D218" s="257"/>
      <c r="E218" s="258"/>
      <c r="F218" s="258"/>
      <c r="G218" s="258"/>
      <c r="H218" s="259"/>
      <c r="I218" s="258"/>
      <c r="J218" s="248"/>
      <c r="K218" s="256"/>
      <c r="L218" s="257"/>
      <c r="M218" s="257"/>
      <c r="N218" s="258"/>
      <c r="O218" s="258"/>
      <c r="P218" s="258"/>
      <c r="Q218" s="259"/>
      <c r="R218" s="258"/>
      <c r="S218" s="272"/>
    </row>
    <row r="219" spans="1:19">
      <c r="A219" s="249"/>
      <c r="B219" s="354"/>
      <c r="C219" s="250"/>
      <c r="D219" s="251"/>
      <c r="E219" s="252"/>
      <c r="F219" s="252"/>
      <c r="G219" s="252"/>
      <c r="H219" s="253"/>
      <c r="I219" s="252"/>
      <c r="J219" s="254"/>
      <c r="K219" s="250"/>
      <c r="L219" s="251"/>
      <c r="M219" s="251"/>
      <c r="N219" s="252"/>
      <c r="O219" s="252"/>
      <c r="P219" s="252"/>
      <c r="Q219" s="253"/>
      <c r="R219" s="252"/>
      <c r="S219" s="273"/>
    </row>
    <row r="220" spans="1:19">
      <c r="A220" s="255"/>
      <c r="B220" s="355"/>
      <c r="C220" s="256"/>
      <c r="D220" s="257"/>
      <c r="E220" s="258"/>
      <c r="F220" s="258"/>
      <c r="G220" s="258"/>
      <c r="H220" s="259"/>
      <c r="I220" s="258"/>
      <c r="J220" s="248"/>
      <c r="K220" s="256"/>
      <c r="L220" s="257"/>
      <c r="M220" s="257"/>
      <c r="N220" s="258"/>
      <c r="O220" s="258"/>
      <c r="P220" s="258"/>
      <c r="Q220" s="259"/>
      <c r="R220" s="258"/>
      <c r="S220" s="272"/>
    </row>
    <row r="221" spans="1:19">
      <c r="A221" s="249"/>
      <c r="B221" s="354"/>
      <c r="C221" s="250"/>
      <c r="D221" s="251"/>
      <c r="E221" s="252"/>
      <c r="F221" s="252"/>
      <c r="G221" s="252"/>
      <c r="H221" s="253"/>
      <c r="I221" s="252"/>
      <c r="J221" s="254"/>
      <c r="K221" s="250"/>
      <c r="L221" s="251"/>
      <c r="M221" s="251"/>
      <c r="N221" s="252"/>
      <c r="O221" s="252"/>
      <c r="P221" s="252"/>
      <c r="Q221" s="253"/>
      <c r="R221" s="252"/>
      <c r="S221" s="273"/>
    </row>
    <row r="222" spans="1:19">
      <c r="A222" s="255"/>
      <c r="B222" s="355"/>
      <c r="C222" s="256"/>
      <c r="D222" s="257"/>
      <c r="E222" s="258"/>
      <c r="F222" s="258"/>
      <c r="G222" s="258"/>
      <c r="H222" s="259"/>
      <c r="I222" s="258"/>
      <c r="J222" s="248"/>
      <c r="K222" s="256"/>
      <c r="L222" s="257"/>
      <c r="M222" s="257"/>
      <c r="N222" s="258"/>
      <c r="O222" s="258"/>
      <c r="P222" s="258"/>
      <c r="Q222" s="259"/>
      <c r="R222" s="258"/>
      <c r="S222" s="272"/>
    </row>
    <row r="223" spans="1:19">
      <c r="A223" s="249"/>
      <c r="B223" s="354"/>
      <c r="C223" s="250"/>
      <c r="D223" s="251"/>
      <c r="E223" s="252"/>
      <c r="F223" s="252"/>
      <c r="G223" s="252"/>
      <c r="H223" s="253"/>
      <c r="I223" s="252"/>
      <c r="J223" s="254"/>
      <c r="K223" s="250"/>
      <c r="L223" s="251"/>
      <c r="M223" s="251"/>
      <c r="N223" s="252"/>
      <c r="O223" s="252"/>
      <c r="P223" s="252"/>
      <c r="Q223" s="253"/>
      <c r="R223" s="252"/>
      <c r="S223" s="273"/>
    </row>
    <row r="224" spans="1:19">
      <c r="A224" s="255"/>
      <c r="B224" s="355"/>
      <c r="C224" s="256"/>
      <c r="D224" s="257"/>
      <c r="E224" s="258"/>
      <c r="F224" s="258"/>
      <c r="G224" s="258"/>
      <c r="H224" s="259"/>
      <c r="I224" s="258"/>
      <c r="J224" s="248"/>
      <c r="K224" s="256"/>
      <c r="L224" s="257"/>
      <c r="M224" s="257"/>
      <c r="N224" s="258"/>
      <c r="O224" s="258"/>
      <c r="P224" s="258"/>
      <c r="Q224" s="259"/>
      <c r="R224" s="258"/>
      <c r="S224" s="272"/>
    </row>
    <row r="225" spans="1:19">
      <c r="A225" s="249"/>
      <c r="B225" s="354"/>
      <c r="C225" s="250"/>
      <c r="D225" s="251"/>
      <c r="E225" s="252"/>
      <c r="F225" s="252"/>
      <c r="G225" s="252"/>
      <c r="H225" s="253"/>
      <c r="I225" s="252"/>
      <c r="J225" s="254"/>
      <c r="K225" s="250"/>
      <c r="L225" s="251"/>
      <c r="M225" s="251"/>
      <c r="N225" s="252"/>
      <c r="O225" s="252"/>
      <c r="P225" s="252"/>
      <c r="Q225" s="253"/>
      <c r="R225" s="252"/>
      <c r="S225" s="273"/>
    </row>
    <row r="226" spans="1:19">
      <c r="A226" s="255"/>
      <c r="B226" s="355"/>
      <c r="C226" s="256"/>
      <c r="D226" s="257"/>
      <c r="E226" s="258"/>
      <c r="F226" s="258"/>
      <c r="G226" s="258"/>
      <c r="H226" s="259"/>
      <c r="I226" s="258"/>
      <c r="J226" s="248"/>
      <c r="K226" s="256"/>
      <c r="L226" s="257"/>
      <c r="M226" s="257"/>
      <c r="N226" s="258"/>
      <c r="O226" s="258"/>
      <c r="P226" s="258"/>
      <c r="Q226" s="259"/>
      <c r="R226" s="258"/>
      <c r="S226" s="272"/>
    </row>
    <row r="227" spans="1:19">
      <c r="A227" s="249"/>
      <c r="B227" s="354"/>
      <c r="C227" s="250"/>
      <c r="D227" s="251"/>
      <c r="E227" s="252"/>
      <c r="F227" s="252"/>
      <c r="G227" s="252"/>
      <c r="H227" s="253"/>
      <c r="I227" s="252"/>
      <c r="J227" s="254"/>
      <c r="K227" s="250"/>
      <c r="L227" s="251"/>
      <c r="M227" s="251"/>
      <c r="N227" s="252"/>
      <c r="O227" s="252"/>
      <c r="P227" s="252"/>
      <c r="Q227" s="253"/>
      <c r="R227" s="252"/>
      <c r="S227" s="273"/>
    </row>
    <row r="228" spans="1:19">
      <c r="A228" s="255"/>
      <c r="B228" s="355"/>
      <c r="C228" s="256"/>
      <c r="D228" s="257"/>
      <c r="E228" s="258"/>
      <c r="F228" s="258"/>
      <c r="G228" s="258"/>
      <c r="H228" s="259"/>
      <c r="I228" s="258"/>
      <c r="J228" s="248"/>
      <c r="K228" s="256"/>
      <c r="L228" s="257"/>
      <c r="M228" s="257"/>
      <c r="N228" s="258"/>
      <c r="O228" s="258"/>
      <c r="P228" s="258"/>
      <c r="Q228" s="259"/>
      <c r="R228" s="258"/>
      <c r="S228" s="272"/>
    </row>
    <row r="229" spans="1:19">
      <c r="A229" s="249"/>
      <c r="B229" s="354"/>
      <c r="C229" s="250"/>
      <c r="D229" s="251"/>
      <c r="E229" s="252"/>
      <c r="F229" s="252"/>
      <c r="G229" s="252"/>
      <c r="H229" s="253"/>
      <c r="I229" s="252"/>
      <c r="J229" s="254"/>
      <c r="K229" s="250"/>
      <c r="L229" s="251"/>
      <c r="M229" s="251"/>
      <c r="N229" s="252"/>
      <c r="O229" s="252"/>
      <c r="P229" s="252"/>
      <c r="Q229" s="253"/>
      <c r="R229" s="252"/>
      <c r="S229" s="273"/>
    </row>
    <row r="230" spans="1:19">
      <c r="A230" s="255"/>
      <c r="B230" s="355"/>
      <c r="C230" s="256"/>
      <c r="D230" s="257"/>
      <c r="E230" s="258"/>
      <c r="F230" s="258"/>
      <c r="G230" s="258"/>
      <c r="H230" s="259"/>
      <c r="I230" s="258"/>
      <c r="J230" s="248"/>
      <c r="K230" s="256"/>
      <c r="L230" s="257"/>
      <c r="M230" s="257"/>
      <c r="N230" s="258"/>
      <c r="O230" s="258"/>
      <c r="P230" s="258"/>
      <c r="Q230" s="259"/>
      <c r="R230" s="258"/>
      <c r="S230" s="272"/>
    </row>
    <row r="231" spans="1:19">
      <c r="A231" s="249"/>
      <c r="B231" s="354"/>
      <c r="C231" s="250"/>
      <c r="D231" s="251"/>
      <c r="E231" s="252"/>
      <c r="F231" s="252"/>
      <c r="G231" s="252"/>
      <c r="H231" s="253"/>
      <c r="I231" s="252"/>
      <c r="J231" s="254"/>
      <c r="K231" s="250"/>
      <c r="L231" s="251"/>
      <c r="M231" s="251"/>
      <c r="N231" s="252"/>
      <c r="O231" s="252"/>
      <c r="P231" s="252"/>
      <c r="Q231" s="253"/>
      <c r="R231" s="252"/>
      <c r="S231" s="273"/>
    </row>
    <row r="232" spans="1:19">
      <c r="A232" s="255"/>
      <c r="B232" s="355"/>
      <c r="C232" s="256"/>
      <c r="D232" s="257"/>
      <c r="E232" s="258"/>
      <c r="F232" s="258"/>
      <c r="G232" s="258"/>
      <c r="H232" s="259"/>
      <c r="I232" s="258"/>
      <c r="J232" s="248"/>
      <c r="K232" s="256"/>
      <c r="L232" s="257"/>
      <c r="M232" s="257"/>
      <c r="N232" s="258"/>
      <c r="O232" s="258"/>
      <c r="P232" s="258"/>
      <c r="Q232" s="259"/>
      <c r="R232" s="258"/>
      <c r="S232" s="272"/>
    </row>
    <row r="233" spans="1:19">
      <c r="A233" s="249"/>
      <c r="B233" s="354"/>
      <c r="C233" s="250"/>
      <c r="D233" s="251"/>
      <c r="E233" s="252"/>
      <c r="F233" s="252"/>
      <c r="G233" s="252"/>
      <c r="H233" s="253"/>
      <c r="I233" s="252"/>
      <c r="J233" s="254"/>
      <c r="K233" s="250"/>
      <c r="L233" s="251"/>
      <c r="M233" s="251"/>
      <c r="N233" s="252"/>
      <c r="O233" s="252"/>
      <c r="P233" s="252"/>
      <c r="Q233" s="253"/>
      <c r="R233" s="252"/>
      <c r="S233" s="273"/>
    </row>
    <row r="234" spans="1:19">
      <c r="A234" s="255"/>
      <c r="B234" s="355"/>
      <c r="C234" s="256"/>
      <c r="D234" s="257"/>
      <c r="E234" s="258"/>
      <c r="F234" s="258"/>
      <c r="G234" s="258"/>
      <c r="H234" s="259"/>
      <c r="I234" s="258"/>
      <c r="J234" s="248"/>
      <c r="K234" s="256"/>
      <c r="L234" s="257"/>
      <c r="M234" s="257"/>
      <c r="N234" s="258"/>
      <c r="O234" s="258"/>
      <c r="P234" s="258"/>
      <c r="Q234" s="259"/>
      <c r="R234" s="258"/>
      <c r="S234" s="272"/>
    </row>
    <row r="235" spans="1:19">
      <c r="A235" s="249"/>
      <c r="B235" s="354"/>
      <c r="C235" s="250"/>
      <c r="D235" s="251"/>
      <c r="E235" s="252"/>
      <c r="F235" s="252"/>
      <c r="G235" s="252"/>
      <c r="H235" s="253"/>
      <c r="I235" s="252"/>
      <c r="J235" s="254"/>
      <c r="K235" s="250"/>
      <c r="L235" s="251"/>
      <c r="M235" s="251"/>
      <c r="N235" s="252"/>
      <c r="O235" s="252"/>
      <c r="P235" s="252"/>
      <c r="Q235" s="253"/>
      <c r="R235" s="252"/>
      <c r="S235" s="273"/>
    </row>
    <row r="236" spans="1:19">
      <c r="A236" s="255"/>
      <c r="B236" s="355"/>
      <c r="C236" s="256"/>
      <c r="D236" s="257"/>
      <c r="E236" s="258"/>
      <c r="F236" s="258"/>
      <c r="G236" s="258"/>
      <c r="H236" s="259"/>
      <c r="I236" s="258"/>
      <c r="J236" s="248"/>
      <c r="K236" s="256"/>
      <c r="L236" s="257"/>
      <c r="M236" s="257"/>
      <c r="N236" s="258"/>
      <c r="O236" s="258"/>
      <c r="P236" s="258"/>
      <c r="Q236" s="259"/>
      <c r="R236" s="258"/>
      <c r="S236" s="272"/>
    </row>
    <row r="237" spans="1:19">
      <c r="A237" s="249"/>
      <c r="B237" s="354"/>
      <c r="C237" s="250"/>
      <c r="D237" s="251"/>
      <c r="E237" s="252"/>
      <c r="F237" s="252"/>
      <c r="G237" s="252"/>
      <c r="H237" s="253"/>
      <c r="I237" s="252"/>
      <c r="J237" s="254"/>
      <c r="K237" s="250"/>
      <c r="L237" s="251"/>
      <c r="M237" s="251"/>
      <c r="N237" s="252"/>
      <c r="O237" s="252"/>
      <c r="P237" s="252"/>
      <c r="Q237" s="253"/>
      <c r="R237" s="252"/>
      <c r="S237" s="273"/>
    </row>
    <row r="238" spans="1:19">
      <c r="A238" s="255"/>
      <c r="B238" s="355"/>
      <c r="C238" s="256"/>
      <c r="D238" s="257"/>
      <c r="E238" s="258"/>
      <c r="F238" s="258"/>
      <c r="G238" s="258"/>
      <c r="H238" s="259"/>
      <c r="I238" s="258"/>
      <c r="J238" s="248"/>
      <c r="K238" s="256"/>
      <c r="L238" s="257"/>
      <c r="M238" s="257"/>
      <c r="N238" s="258"/>
      <c r="O238" s="258"/>
      <c r="P238" s="258"/>
      <c r="Q238" s="259"/>
      <c r="R238" s="258"/>
      <c r="S238" s="272"/>
    </row>
    <row r="239" spans="1:19">
      <c r="A239" s="249"/>
      <c r="B239" s="354"/>
      <c r="C239" s="250"/>
      <c r="D239" s="251"/>
      <c r="E239" s="252"/>
      <c r="F239" s="252"/>
      <c r="G239" s="252"/>
      <c r="H239" s="253"/>
      <c r="I239" s="252"/>
      <c r="J239" s="254"/>
      <c r="K239" s="250"/>
      <c r="L239" s="251"/>
      <c r="M239" s="251"/>
      <c r="N239" s="252"/>
      <c r="O239" s="252"/>
      <c r="P239" s="252"/>
      <c r="Q239" s="253"/>
      <c r="R239" s="252"/>
      <c r="S239" s="273"/>
    </row>
    <row r="240" spans="1:19">
      <c r="A240" s="255"/>
      <c r="B240" s="355"/>
      <c r="C240" s="256"/>
      <c r="D240" s="257"/>
      <c r="E240" s="258"/>
      <c r="F240" s="258"/>
      <c r="G240" s="258"/>
      <c r="H240" s="259"/>
      <c r="I240" s="258"/>
      <c r="J240" s="248"/>
      <c r="K240" s="256"/>
      <c r="L240" s="257"/>
      <c r="M240" s="257"/>
      <c r="N240" s="258"/>
      <c r="O240" s="258"/>
      <c r="P240" s="258"/>
      <c r="Q240" s="259"/>
      <c r="R240" s="258"/>
      <c r="S240" s="272"/>
    </row>
    <row r="241" spans="1:19">
      <c r="A241" s="249"/>
      <c r="B241" s="354"/>
      <c r="C241" s="250"/>
      <c r="D241" s="251"/>
      <c r="E241" s="252"/>
      <c r="F241" s="252"/>
      <c r="G241" s="252"/>
      <c r="H241" s="253"/>
      <c r="I241" s="252"/>
      <c r="J241" s="254"/>
      <c r="K241" s="250"/>
      <c r="L241" s="251"/>
      <c r="M241" s="251"/>
      <c r="N241" s="252"/>
      <c r="O241" s="252"/>
      <c r="P241" s="252"/>
      <c r="Q241" s="253"/>
      <c r="R241" s="252"/>
      <c r="S241" s="273"/>
    </row>
    <row r="242" spans="1:19">
      <c r="A242" s="255"/>
      <c r="B242" s="355"/>
      <c r="C242" s="256"/>
      <c r="D242" s="257"/>
      <c r="E242" s="258"/>
      <c r="F242" s="258"/>
      <c r="G242" s="258"/>
      <c r="H242" s="259"/>
      <c r="I242" s="258"/>
      <c r="J242" s="248"/>
      <c r="K242" s="256"/>
      <c r="L242" s="257"/>
      <c r="M242" s="257"/>
      <c r="N242" s="258"/>
      <c r="O242" s="258"/>
      <c r="P242" s="258"/>
      <c r="Q242" s="259"/>
      <c r="R242" s="258"/>
      <c r="S242" s="272"/>
    </row>
    <row r="243" spans="1:19">
      <c r="A243" s="249"/>
      <c r="B243" s="354"/>
      <c r="C243" s="250"/>
      <c r="D243" s="251"/>
      <c r="E243" s="252"/>
      <c r="F243" s="252"/>
      <c r="G243" s="252"/>
      <c r="H243" s="253"/>
      <c r="I243" s="252"/>
      <c r="J243" s="254"/>
      <c r="K243" s="250"/>
      <c r="L243" s="251"/>
      <c r="M243" s="251"/>
      <c r="N243" s="252"/>
      <c r="O243" s="252"/>
      <c r="P243" s="252"/>
      <c r="Q243" s="253"/>
      <c r="R243" s="252"/>
      <c r="S243" s="273"/>
    </row>
    <row r="244" spans="1:19">
      <c r="A244" s="255"/>
      <c r="B244" s="355"/>
      <c r="C244" s="256"/>
      <c r="D244" s="257"/>
      <c r="E244" s="258"/>
      <c r="F244" s="258"/>
      <c r="G244" s="258"/>
      <c r="H244" s="259"/>
      <c r="I244" s="258"/>
      <c r="J244" s="248"/>
      <c r="K244" s="256"/>
      <c r="L244" s="257"/>
      <c r="M244" s="257"/>
      <c r="N244" s="258"/>
      <c r="O244" s="258"/>
      <c r="P244" s="258"/>
      <c r="Q244" s="259"/>
      <c r="R244" s="258"/>
      <c r="S244" s="272"/>
    </row>
    <row r="245" spans="1:19">
      <c r="A245" s="249"/>
      <c r="B245" s="354"/>
      <c r="C245" s="250"/>
      <c r="D245" s="251"/>
      <c r="E245" s="252"/>
      <c r="F245" s="252"/>
      <c r="G245" s="252"/>
      <c r="H245" s="253"/>
      <c r="I245" s="252"/>
      <c r="J245" s="254"/>
      <c r="K245" s="250"/>
      <c r="L245" s="251"/>
      <c r="M245" s="251"/>
      <c r="N245" s="252"/>
      <c r="O245" s="252"/>
      <c r="P245" s="252"/>
      <c r="Q245" s="253"/>
      <c r="R245" s="252"/>
      <c r="S245" s="273"/>
    </row>
    <row r="246" spans="1:19">
      <c r="A246" s="255"/>
      <c r="B246" s="355"/>
      <c r="C246" s="256"/>
      <c r="D246" s="257"/>
      <c r="E246" s="258"/>
      <c r="F246" s="258"/>
      <c r="G246" s="258"/>
      <c r="H246" s="259"/>
      <c r="I246" s="258"/>
      <c r="J246" s="248"/>
      <c r="K246" s="256"/>
      <c r="L246" s="257"/>
      <c r="M246" s="257"/>
      <c r="N246" s="258"/>
      <c r="O246" s="258"/>
      <c r="P246" s="258"/>
      <c r="Q246" s="259"/>
      <c r="R246" s="258"/>
      <c r="S246" s="272"/>
    </row>
    <row r="247" spans="1:19">
      <c r="A247" s="249"/>
      <c r="B247" s="354"/>
      <c r="C247" s="250"/>
      <c r="D247" s="251"/>
      <c r="E247" s="252"/>
      <c r="F247" s="252"/>
      <c r="G247" s="252"/>
      <c r="H247" s="253"/>
      <c r="I247" s="252"/>
      <c r="J247" s="254"/>
      <c r="K247" s="250"/>
      <c r="L247" s="251"/>
      <c r="M247" s="251"/>
      <c r="N247" s="252"/>
      <c r="O247" s="252"/>
      <c r="P247" s="252"/>
      <c r="Q247" s="253"/>
      <c r="R247" s="252"/>
      <c r="S247" s="273"/>
    </row>
    <row r="248" spans="1:19">
      <c r="A248" s="255"/>
      <c r="B248" s="355"/>
      <c r="C248" s="256"/>
      <c r="D248" s="257"/>
      <c r="E248" s="258"/>
      <c r="F248" s="258"/>
      <c r="G248" s="258"/>
      <c r="H248" s="259"/>
      <c r="I248" s="258"/>
      <c r="J248" s="248"/>
      <c r="K248" s="256"/>
      <c r="L248" s="257"/>
      <c r="M248" s="257"/>
      <c r="N248" s="258"/>
      <c r="O248" s="258"/>
      <c r="P248" s="258"/>
      <c r="Q248" s="259"/>
      <c r="R248" s="258"/>
      <c r="S248" s="272"/>
    </row>
    <row r="249" spans="1:19">
      <c r="A249" s="249"/>
      <c r="B249" s="354"/>
      <c r="C249" s="250"/>
      <c r="D249" s="251"/>
      <c r="E249" s="252"/>
      <c r="F249" s="252"/>
      <c r="G249" s="252"/>
      <c r="H249" s="253"/>
      <c r="I249" s="252"/>
      <c r="J249" s="254"/>
      <c r="K249" s="250"/>
      <c r="L249" s="251"/>
      <c r="M249" s="251"/>
      <c r="N249" s="252"/>
      <c r="O249" s="252"/>
      <c r="P249" s="252"/>
      <c r="Q249" s="253"/>
      <c r="R249" s="252"/>
      <c r="S249" s="273"/>
    </row>
    <row r="250" spans="1:19">
      <c r="A250" s="255"/>
      <c r="B250" s="355"/>
      <c r="C250" s="256"/>
      <c r="D250" s="257"/>
      <c r="E250" s="258"/>
      <c r="F250" s="258"/>
      <c r="G250" s="258"/>
      <c r="H250" s="259"/>
      <c r="I250" s="258"/>
      <c r="J250" s="248"/>
      <c r="K250" s="256"/>
      <c r="L250" s="257"/>
      <c r="M250" s="257"/>
      <c r="N250" s="258"/>
      <c r="O250" s="258"/>
      <c r="P250" s="258"/>
      <c r="Q250" s="259"/>
      <c r="R250" s="258"/>
      <c r="S250" s="272"/>
    </row>
    <row r="251" spans="1:19">
      <c r="A251" s="249"/>
      <c r="B251" s="354"/>
      <c r="C251" s="250"/>
      <c r="D251" s="251"/>
      <c r="E251" s="252"/>
      <c r="F251" s="252"/>
      <c r="G251" s="252"/>
      <c r="H251" s="253"/>
      <c r="I251" s="252"/>
      <c r="J251" s="254"/>
      <c r="K251" s="250"/>
      <c r="L251" s="251"/>
      <c r="M251" s="251"/>
      <c r="N251" s="252"/>
      <c r="O251" s="252"/>
      <c r="P251" s="252"/>
      <c r="Q251" s="253"/>
      <c r="R251" s="252"/>
      <c r="S251" s="273"/>
    </row>
    <row r="252" spans="1:19">
      <c r="A252" s="255"/>
      <c r="B252" s="355"/>
      <c r="C252" s="256"/>
      <c r="D252" s="257"/>
      <c r="E252" s="258"/>
      <c r="F252" s="258"/>
      <c r="G252" s="258"/>
      <c r="H252" s="259"/>
      <c r="I252" s="258"/>
      <c r="J252" s="248"/>
      <c r="K252" s="256"/>
      <c r="L252" s="257"/>
      <c r="M252" s="257"/>
      <c r="N252" s="258"/>
      <c r="O252" s="258"/>
      <c r="P252" s="258"/>
      <c r="Q252" s="259"/>
      <c r="R252" s="258"/>
      <c r="S252" s="272"/>
    </row>
    <row r="253" spans="1:19">
      <c r="A253" s="249"/>
      <c r="B253" s="354"/>
      <c r="C253" s="250"/>
      <c r="D253" s="251"/>
      <c r="E253" s="252"/>
      <c r="F253" s="252"/>
      <c r="G253" s="252"/>
      <c r="H253" s="253"/>
      <c r="I253" s="252"/>
      <c r="J253" s="254"/>
      <c r="K253" s="250"/>
      <c r="L253" s="251"/>
      <c r="M253" s="251"/>
      <c r="N253" s="252"/>
      <c r="O253" s="252"/>
      <c r="P253" s="252"/>
      <c r="Q253" s="253"/>
      <c r="R253" s="252"/>
      <c r="S253" s="273"/>
    </row>
    <row r="254" spans="1:19">
      <c r="A254" s="255"/>
      <c r="B254" s="355"/>
      <c r="C254" s="256"/>
      <c r="D254" s="257"/>
      <c r="E254" s="258"/>
      <c r="F254" s="258"/>
      <c r="G254" s="258"/>
      <c r="H254" s="259"/>
      <c r="I254" s="258"/>
      <c r="J254" s="248"/>
      <c r="K254" s="256"/>
      <c r="L254" s="257"/>
      <c r="M254" s="257"/>
      <c r="N254" s="258"/>
      <c r="O254" s="258"/>
      <c r="P254" s="258"/>
      <c r="Q254" s="259"/>
      <c r="R254" s="258"/>
      <c r="S254" s="272"/>
    </row>
    <row r="255" spans="1:19">
      <c r="A255" s="249"/>
      <c r="B255" s="354"/>
      <c r="C255" s="250"/>
      <c r="D255" s="251"/>
      <c r="E255" s="252"/>
      <c r="F255" s="252"/>
      <c r="G255" s="252"/>
      <c r="H255" s="253"/>
      <c r="I255" s="252"/>
      <c r="J255" s="254"/>
      <c r="K255" s="250"/>
      <c r="L255" s="251"/>
      <c r="M255" s="251"/>
      <c r="N255" s="252"/>
      <c r="O255" s="252"/>
      <c r="P255" s="252"/>
      <c r="Q255" s="253"/>
      <c r="R255" s="252"/>
      <c r="S255" s="273"/>
    </row>
    <row r="256" spans="1:19">
      <c r="A256" s="255"/>
      <c r="B256" s="355"/>
      <c r="C256" s="256"/>
      <c r="D256" s="257"/>
      <c r="E256" s="258"/>
      <c r="F256" s="258"/>
      <c r="G256" s="258"/>
      <c r="H256" s="259"/>
      <c r="I256" s="258"/>
      <c r="J256" s="248"/>
      <c r="K256" s="256"/>
      <c r="L256" s="257"/>
      <c r="M256" s="257"/>
      <c r="N256" s="258"/>
      <c r="O256" s="258"/>
      <c r="P256" s="258"/>
      <c r="Q256" s="259"/>
      <c r="R256" s="258"/>
      <c r="S256" s="272"/>
    </row>
    <row r="257" spans="1:19">
      <c r="A257" s="249"/>
      <c r="B257" s="354"/>
      <c r="C257" s="250"/>
      <c r="D257" s="251"/>
      <c r="E257" s="252"/>
      <c r="F257" s="252"/>
      <c r="G257" s="252"/>
      <c r="H257" s="253"/>
      <c r="I257" s="252"/>
      <c r="J257" s="254"/>
      <c r="K257" s="250"/>
      <c r="L257" s="251"/>
      <c r="M257" s="251"/>
      <c r="N257" s="252"/>
      <c r="O257" s="252"/>
      <c r="P257" s="252"/>
      <c r="Q257" s="253"/>
      <c r="R257" s="252"/>
      <c r="S257" s="273"/>
    </row>
    <row r="258" spans="1:19">
      <c r="A258" s="255"/>
      <c r="B258" s="355"/>
      <c r="C258" s="256"/>
      <c r="D258" s="257"/>
      <c r="E258" s="258"/>
      <c r="F258" s="258"/>
      <c r="G258" s="258"/>
      <c r="H258" s="259"/>
      <c r="I258" s="258"/>
      <c r="J258" s="248"/>
      <c r="K258" s="256"/>
      <c r="L258" s="257"/>
      <c r="M258" s="257"/>
      <c r="N258" s="258"/>
      <c r="O258" s="258"/>
      <c r="P258" s="258"/>
      <c r="Q258" s="259"/>
      <c r="R258" s="258"/>
      <c r="S258" s="272"/>
    </row>
    <row r="259" spans="1:19">
      <c r="A259" s="249"/>
      <c r="B259" s="354"/>
      <c r="C259" s="250"/>
      <c r="D259" s="251"/>
      <c r="E259" s="252"/>
      <c r="F259" s="252"/>
      <c r="G259" s="252"/>
      <c r="H259" s="253"/>
      <c r="I259" s="252"/>
      <c r="J259" s="254"/>
      <c r="K259" s="250"/>
      <c r="L259" s="251"/>
      <c r="M259" s="251"/>
      <c r="N259" s="252"/>
      <c r="O259" s="252"/>
      <c r="P259" s="252"/>
      <c r="Q259" s="253"/>
      <c r="R259" s="252"/>
      <c r="S259" s="273"/>
    </row>
    <row r="260" spans="1:19">
      <c r="A260" s="255"/>
      <c r="B260" s="355"/>
      <c r="C260" s="256"/>
      <c r="D260" s="257"/>
      <c r="E260" s="258"/>
      <c r="F260" s="258"/>
      <c r="G260" s="258"/>
      <c r="H260" s="259"/>
      <c r="I260" s="258"/>
      <c r="J260" s="248"/>
      <c r="K260" s="256"/>
      <c r="L260" s="257"/>
      <c r="M260" s="257"/>
      <c r="N260" s="258"/>
      <c r="O260" s="258"/>
      <c r="P260" s="258"/>
      <c r="Q260" s="259"/>
      <c r="R260" s="258"/>
      <c r="S260" s="272"/>
    </row>
    <row r="261" spans="1:19">
      <c r="A261" s="249"/>
      <c r="B261" s="354"/>
      <c r="C261" s="250"/>
      <c r="D261" s="251"/>
      <c r="E261" s="252"/>
      <c r="F261" s="252"/>
      <c r="G261" s="252"/>
      <c r="H261" s="253"/>
      <c r="I261" s="252"/>
      <c r="J261" s="254"/>
      <c r="K261" s="250"/>
      <c r="L261" s="251"/>
      <c r="M261" s="251"/>
      <c r="N261" s="252"/>
      <c r="O261" s="252"/>
      <c r="P261" s="252"/>
      <c r="Q261" s="253"/>
      <c r="R261" s="252"/>
      <c r="S261" s="273"/>
    </row>
    <row r="262" spans="1:19">
      <c r="A262" s="255"/>
      <c r="B262" s="355"/>
      <c r="C262" s="256"/>
      <c r="D262" s="257"/>
      <c r="E262" s="258"/>
      <c r="F262" s="258"/>
      <c r="G262" s="258"/>
      <c r="H262" s="259"/>
      <c r="I262" s="258"/>
      <c r="J262" s="248"/>
      <c r="K262" s="256"/>
      <c r="L262" s="257"/>
      <c r="M262" s="257"/>
      <c r="N262" s="258"/>
      <c r="O262" s="258"/>
      <c r="P262" s="258"/>
      <c r="Q262" s="259"/>
      <c r="R262" s="258"/>
      <c r="S262" s="272"/>
    </row>
    <row r="263" spans="1:19">
      <c r="A263" s="249"/>
      <c r="B263" s="354"/>
      <c r="C263" s="250"/>
      <c r="D263" s="251"/>
      <c r="E263" s="252"/>
      <c r="F263" s="252"/>
      <c r="G263" s="252"/>
      <c r="H263" s="253"/>
      <c r="I263" s="252"/>
      <c r="J263" s="254"/>
      <c r="K263" s="250"/>
      <c r="L263" s="251"/>
      <c r="M263" s="251"/>
      <c r="N263" s="252"/>
      <c r="O263" s="252"/>
      <c r="P263" s="252"/>
      <c r="Q263" s="253"/>
      <c r="R263" s="252"/>
      <c r="S263" s="273"/>
    </row>
    <row r="264" spans="1:19">
      <c r="A264" s="255"/>
      <c r="B264" s="355"/>
      <c r="C264" s="256"/>
      <c r="D264" s="257"/>
      <c r="E264" s="258"/>
      <c r="F264" s="258"/>
      <c r="G264" s="258"/>
      <c r="H264" s="259"/>
      <c r="I264" s="258"/>
      <c r="J264" s="248"/>
      <c r="K264" s="256"/>
      <c r="L264" s="257"/>
      <c r="M264" s="257"/>
      <c r="N264" s="258"/>
      <c r="O264" s="258"/>
      <c r="P264" s="258"/>
      <c r="Q264" s="259"/>
      <c r="R264" s="258"/>
      <c r="S264" s="272"/>
    </row>
    <row r="265" spans="1:19">
      <c r="A265" s="249"/>
      <c r="B265" s="354"/>
      <c r="C265" s="250"/>
      <c r="D265" s="251"/>
      <c r="E265" s="252"/>
      <c r="F265" s="252"/>
      <c r="G265" s="252"/>
      <c r="H265" s="253"/>
      <c r="I265" s="252"/>
      <c r="J265" s="254"/>
      <c r="K265" s="250"/>
      <c r="L265" s="251"/>
      <c r="M265" s="251"/>
      <c r="N265" s="252"/>
      <c r="O265" s="252"/>
      <c r="P265" s="252"/>
      <c r="Q265" s="253"/>
      <c r="R265" s="252"/>
      <c r="S265" s="273"/>
    </row>
    <row r="266" spans="1:19">
      <c r="A266" s="255"/>
      <c r="B266" s="355"/>
      <c r="C266" s="256"/>
      <c r="D266" s="257"/>
      <c r="E266" s="258"/>
      <c r="F266" s="258"/>
      <c r="G266" s="258"/>
      <c r="H266" s="259"/>
      <c r="I266" s="258"/>
      <c r="J266" s="248"/>
      <c r="K266" s="256"/>
      <c r="L266" s="257"/>
      <c r="M266" s="257"/>
      <c r="N266" s="258"/>
      <c r="O266" s="258"/>
      <c r="P266" s="258"/>
      <c r="Q266" s="259"/>
      <c r="R266" s="258"/>
      <c r="S266" s="272"/>
    </row>
    <row r="267" spans="1:19">
      <c r="A267" s="249"/>
      <c r="B267" s="354"/>
      <c r="C267" s="250"/>
      <c r="D267" s="251"/>
      <c r="E267" s="252"/>
      <c r="F267" s="252"/>
      <c r="G267" s="252"/>
      <c r="H267" s="253"/>
      <c r="I267" s="252"/>
      <c r="J267" s="254"/>
      <c r="K267" s="250"/>
      <c r="L267" s="251"/>
      <c r="M267" s="251"/>
      <c r="N267" s="252"/>
      <c r="O267" s="252"/>
      <c r="P267" s="252"/>
      <c r="Q267" s="253"/>
      <c r="R267" s="252"/>
      <c r="S267" s="273"/>
    </row>
    <row r="268" spans="1:19">
      <c r="A268" s="255"/>
      <c r="B268" s="355"/>
      <c r="C268" s="256"/>
      <c r="D268" s="257"/>
      <c r="E268" s="258"/>
      <c r="F268" s="258"/>
      <c r="G268" s="258"/>
      <c r="H268" s="259"/>
      <c r="I268" s="258"/>
      <c r="J268" s="248"/>
      <c r="K268" s="256"/>
      <c r="L268" s="257"/>
      <c r="M268" s="257"/>
      <c r="N268" s="258"/>
      <c r="O268" s="258"/>
      <c r="P268" s="258"/>
      <c r="Q268" s="259"/>
      <c r="R268" s="258"/>
      <c r="S268" s="272"/>
    </row>
    <row r="269" spans="1:19">
      <c r="A269" s="249"/>
      <c r="B269" s="354"/>
      <c r="C269" s="250"/>
      <c r="D269" s="251"/>
      <c r="E269" s="252"/>
      <c r="F269" s="252"/>
      <c r="G269" s="252"/>
      <c r="H269" s="253"/>
      <c r="I269" s="252"/>
      <c r="J269" s="254"/>
      <c r="K269" s="250"/>
      <c r="L269" s="251"/>
      <c r="M269" s="251"/>
      <c r="N269" s="252"/>
      <c r="O269" s="252"/>
      <c r="P269" s="252"/>
      <c r="Q269" s="253"/>
      <c r="R269" s="252"/>
      <c r="S269" s="273"/>
    </row>
    <row r="270" spans="1:19">
      <c r="A270" s="255"/>
      <c r="B270" s="355"/>
      <c r="C270" s="256"/>
      <c r="D270" s="257"/>
      <c r="E270" s="258"/>
      <c r="F270" s="258"/>
      <c r="G270" s="258"/>
      <c r="H270" s="259"/>
      <c r="I270" s="258"/>
      <c r="J270" s="248"/>
      <c r="K270" s="256"/>
      <c r="L270" s="257"/>
      <c r="M270" s="257"/>
      <c r="N270" s="258"/>
      <c r="O270" s="258"/>
      <c r="P270" s="258"/>
      <c r="Q270" s="259"/>
      <c r="R270" s="258"/>
      <c r="S270" s="272"/>
    </row>
    <row r="271" spans="1:19">
      <c r="A271" s="249"/>
      <c r="B271" s="354"/>
      <c r="C271" s="250"/>
      <c r="D271" s="251"/>
      <c r="E271" s="252"/>
      <c r="F271" s="252"/>
      <c r="G271" s="252"/>
      <c r="H271" s="253"/>
      <c r="I271" s="252"/>
      <c r="J271" s="254"/>
      <c r="K271" s="250"/>
      <c r="L271" s="251"/>
      <c r="M271" s="251"/>
      <c r="N271" s="252"/>
      <c r="O271" s="252"/>
      <c r="P271" s="252"/>
      <c r="Q271" s="253"/>
      <c r="R271" s="252"/>
      <c r="S271" s="273"/>
    </row>
    <row r="272" spans="1:19">
      <c r="A272" s="255"/>
      <c r="B272" s="355"/>
      <c r="C272" s="256"/>
      <c r="D272" s="257"/>
      <c r="E272" s="258"/>
      <c r="F272" s="258"/>
      <c r="G272" s="258"/>
      <c r="H272" s="259"/>
      <c r="I272" s="258"/>
      <c r="J272" s="248"/>
      <c r="K272" s="256"/>
      <c r="L272" s="257"/>
      <c r="M272" s="257"/>
      <c r="N272" s="258"/>
      <c r="O272" s="258"/>
      <c r="P272" s="258"/>
      <c r="Q272" s="259"/>
      <c r="R272" s="258"/>
      <c r="S272" s="272"/>
    </row>
    <row r="273" spans="1:19">
      <c r="A273" s="249"/>
      <c r="B273" s="354"/>
      <c r="C273" s="250"/>
      <c r="D273" s="251"/>
      <c r="E273" s="252"/>
      <c r="F273" s="252"/>
      <c r="G273" s="252"/>
      <c r="H273" s="253"/>
      <c r="I273" s="252"/>
      <c r="J273" s="254"/>
      <c r="K273" s="250"/>
      <c r="L273" s="251"/>
      <c r="M273" s="251"/>
      <c r="N273" s="252"/>
      <c r="O273" s="252"/>
      <c r="P273" s="252"/>
      <c r="Q273" s="253"/>
      <c r="R273" s="252"/>
      <c r="S273" s="273"/>
    </row>
    <row r="274" spans="1:19">
      <c r="A274" s="255"/>
      <c r="B274" s="355"/>
      <c r="C274" s="256"/>
      <c r="D274" s="257"/>
      <c r="E274" s="258"/>
      <c r="F274" s="258"/>
      <c r="G274" s="258"/>
      <c r="H274" s="259"/>
      <c r="I274" s="258"/>
      <c r="J274" s="248"/>
      <c r="K274" s="256"/>
      <c r="L274" s="257"/>
      <c r="M274" s="257"/>
      <c r="N274" s="258"/>
      <c r="O274" s="258"/>
      <c r="P274" s="258"/>
      <c r="Q274" s="259"/>
      <c r="R274" s="258"/>
      <c r="S274" s="272"/>
    </row>
    <row r="275" spans="1:19">
      <c r="A275" s="249"/>
      <c r="B275" s="354"/>
      <c r="C275" s="250"/>
      <c r="D275" s="251"/>
      <c r="E275" s="252"/>
      <c r="F275" s="252"/>
      <c r="G275" s="252"/>
      <c r="H275" s="253"/>
      <c r="I275" s="252"/>
      <c r="J275" s="254"/>
      <c r="K275" s="250"/>
      <c r="L275" s="251"/>
      <c r="M275" s="251"/>
      <c r="N275" s="252"/>
      <c r="O275" s="252"/>
      <c r="P275" s="252"/>
      <c r="Q275" s="253"/>
      <c r="R275" s="252"/>
      <c r="S275" s="273"/>
    </row>
    <row r="276" spans="1:19">
      <c r="A276" s="255"/>
      <c r="B276" s="355"/>
      <c r="C276" s="256"/>
      <c r="D276" s="257"/>
      <c r="E276" s="258"/>
      <c r="F276" s="258"/>
      <c r="G276" s="258"/>
      <c r="H276" s="259"/>
      <c r="I276" s="258"/>
      <c r="J276" s="248"/>
      <c r="K276" s="256"/>
      <c r="L276" s="257"/>
      <c r="M276" s="257"/>
      <c r="N276" s="258"/>
      <c r="O276" s="258"/>
      <c r="P276" s="258"/>
      <c r="Q276" s="259"/>
      <c r="R276" s="258"/>
      <c r="S276" s="272"/>
    </row>
    <row r="277" spans="1:19">
      <c r="A277" s="249"/>
      <c r="B277" s="354"/>
      <c r="C277" s="250"/>
      <c r="D277" s="251"/>
      <c r="E277" s="252"/>
      <c r="F277" s="252"/>
      <c r="G277" s="252"/>
      <c r="H277" s="253"/>
      <c r="I277" s="252"/>
      <c r="J277" s="254"/>
      <c r="K277" s="250"/>
      <c r="L277" s="251"/>
      <c r="M277" s="251"/>
      <c r="N277" s="252"/>
      <c r="O277" s="252"/>
      <c r="P277" s="252"/>
      <c r="Q277" s="253"/>
      <c r="R277" s="252"/>
      <c r="S277" s="273"/>
    </row>
    <row r="278" spans="1:19">
      <c r="A278" s="255"/>
      <c r="B278" s="355"/>
      <c r="C278" s="256"/>
      <c r="D278" s="257"/>
      <c r="E278" s="258"/>
      <c r="F278" s="258"/>
      <c r="G278" s="258"/>
      <c r="H278" s="259"/>
      <c r="I278" s="258"/>
      <c r="J278" s="248"/>
      <c r="K278" s="256"/>
      <c r="L278" s="257"/>
      <c r="M278" s="257"/>
      <c r="N278" s="258"/>
      <c r="O278" s="258"/>
      <c r="P278" s="258"/>
      <c r="Q278" s="259"/>
      <c r="R278" s="258"/>
      <c r="S278" s="272"/>
    </row>
    <row r="279" spans="1:19">
      <c r="A279" s="249"/>
      <c r="B279" s="354"/>
      <c r="C279" s="250"/>
      <c r="D279" s="251"/>
      <c r="E279" s="252"/>
      <c r="F279" s="252"/>
      <c r="G279" s="252"/>
      <c r="H279" s="253"/>
      <c r="I279" s="252"/>
      <c r="J279" s="254"/>
      <c r="K279" s="250"/>
      <c r="L279" s="251"/>
      <c r="M279" s="251"/>
      <c r="N279" s="252"/>
      <c r="O279" s="252"/>
      <c r="P279" s="252"/>
      <c r="Q279" s="253"/>
      <c r="R279" s="252"/>
      <c r="S279" s="273"/>
    </row>
    <row r="280" spans="1:19">
      <c r="A280" s="255"/>
      <c r="B280" s="355"/>
      <c r="C280" s="256"/>
      <c r="D280" s="257"/>
      <c r="E280" s="258"/>
      <c r="F280" s="258"/>
      <c r="G280" s="258"/>
      <c r="H280" s="259"/>
      <c r="I280" s="258"/>
      <c r="J280" s="248"/>
      <c r="K280" s="256"/>
      <c r="L280" s="257"/>
      <c r="M280" s="257"/>
      <c r="N280" s="258"/>
      <c r="O280" s="258"/>
      <c r="P280" s="258"/>
      <c r="Q280" s="259"/>
      <c r="R280" s="258"/>
      <c r="S280" s="272"/>
    </row>
    <row r="281" spans="1:19">
      <c r="A281" s="249"/>
      <c r="B281" s="354"/>
      <c r="C281" s="250"/>
      <c r="D281" s="251"/>
      <c r="E281" s="252"/>
      <c r="F281" s="252"/>
      <c r="G281" s="252"/>
      <c r="H281" s="253"/>
      <c r="I281" s="252"/>
      <c r="J281" s="254"/>
      <c r="K281" s="250"/>
      <c r="L281" s="251"/>
      <c r="M281" s="251"/>
      <c r="N281" s="252"/>
      <c r="O281" s="252"/>
      <c r="P281" s="252"/>
      <c r="Q281" s="253"/>
      <c r="R281" s="252"/>
      <c r="S281" s="273"/>
    </row>
    <row r="282" spans="1:19">
      <c r="A282" s="255"/>
      <c r="B282" s="355"/>
      <c r="C282" s="256"/>
      <c r="D282" s="257"/>
      <c r="E282" s="258"/>
      <c r="F282" s="258"/>
      <c r="G282" s="258"/>
      <c r="H282" s="259"/>
      <c r="I282" s="258"/>
      <c r="J282" s="248"/>
      <c r="K282" s="256"/>
      <c r="L282" s="257"/>
      <c r="M282" s="257"/>
      <c r="N282" s="258"/>
      <c r="O282" s="258"/>
      <c r="P282" s="258"/>
      <c r="Q282" s="259"/>
      <c r="R282" s="258"/>
      <c r="S282" s="272"/>
    </row>
    <row r="283" spans="1:19">
      <c r="A283" s="249"/>
      <c r="B283" s="354"/>
      <c r="C283" s="250"/>
      <c r="D283" s="251"/>
      <c r="E283" s="252"/>
      <c r="F283" s="252"/>
      <c r="G283" s="252"/>
      <c r="H283" s="253"/>
      <c r="I283" s="252"/>
      <c r="J283" s="254"/>
      <c r="K283" s="250"/>
      <c r="L283" s="251"/>
      <c r="M283" s="251"/>
      <c r="N283" s="252"/>
      <c r="O283" s="252"/>
      <c r="P283" s="252"/>
      <c r="Q283" s="253"/>
      <c r="R283" s="252"/>
      <c r="S283" s="273"/>
    </row>
    <row r="284" spans="1:19">
      <c r="A284" s="255"/>
      <c r="B284" s="355"/>
      <c r="C284" s="256"/>
      <c r="D284" s="257"/>
      <c r="E284" s="258"/>
      <c r="F284" s="258"/>
      <c r="G284" s="258"/>
      <c r="H284" s="259"/>
      <c r="I284" s="258"/>
      <c r="J284" s="248"/>
      <c r="K284" s="256"/>
      <c r="L284" s="257"/>
      <c r="M284" s="257"/>
      <c r="N284" s="258"/>
      <c r="O284" s="258"/>
      <c r="P284" s="258"/>
      <c r="Q284" s="259"/>
      <c r="R284" s="258"/>
      <c r="S284" s="272"/>
    </row>
    <row r="285" spans="1:19">
      <c r="A285" s="249"/>
      <c r="B285" s="354"/>
      <c r="C285" s="250"/>
      <c r="D285" s="251"/>
      <c r="E285" s="252"/>
      <c r="F285" s="252"/>
      <c r="G285" s="252"/>
      <c r="H285" s="253"/>
      <c r="I285" s="252"/>
      <c r="J285" s="254"/>
      <c r="K285" s="250"/>
      <c r="L285" s="251"/>
      <c r="M285" s="251"/>
      <c r="N285" s="252"/>
      <c r="O285" s="252"/>
      <c r="P285" s="252"/>
      <c r="Q285" s="253"/>
      <c r="R285" s="252"/>
      <c r="S285" s="273"/>
    </row>
    <row r="286" spans="1:19">
      <c r="A286" s="255"/>
      <c r="B286" s="355"/>
      <c r="C286" s="256"/>
      <c r="D286" s="257"/>
      <c r="E286" s="258"/>
      <c r="F286" s="258"/>
      <c r="G286" s="258"/>
      <c r="H286" s="259"/>
      <c r="I286" s="258"/>
      <c r="J286" s="248"/>
      <c r="K286" s="256"/>
      <c r="L286" s="257"/>
      <c r="M286" s="257"/>
      <c r="N286" s="258"/>
      <c r="O286" s="258"/>
      <c r="P286" s="258"/>
      <c r="Q286" s="259"/>
      <c r="R286" s="258"/>
      <c r="S286" s="272"/>
    </row>
    <row r="287" spans="1:19">
      <c r="A287" s="249"/>
      <c r="B287" s="354"/>
      <c r="C287" s="250"/>
      <c r="D287" s="251"/>
      <c r="E287" s="252"/>
      <c r="F287" s="252"/>
      <c r="G287" s="252"/>
      <c r="H287" s="253"/>
      <c r="I287" s="252"/>
      <c r="J287" s="254"/>
      <c r="K287" s="250"/>
      <c r="L287" s="251"/>
      <c r="M287" s="251"/>
      <c r="N287" s="252"/>
      <c r="O287" s="252"/>
      <c r="P287" s="252"/>
      <c r="Q287" s="253"/>
      <c r="R287" s="252"/>
      <c r="S287" s="273"/>
    </row>
    <row r="288" spans="1:19">
      <c r="A288" s="255"/>
      <c r="B288" s="355"/>
      <c r="C288" s="256"/>
      <c r="D288" s="257"/>
      <c r="E288" s="258"/>
      <c r="F288" s="258"/>
      <c r="G288" s="258"/>
      <c r="H288" s="259"/>
      <c r="I288" s="258"/>
      <c r="J288" s="248"/>
      <c r="K288" s="256"/>
      <c r="L288" s="257"/>
      <c r="M288" s="257"/>
      <c r="N288" s="258"/>
      <c r="O288" s="258"/>
      <c r="P288" s="258"/>
      <c r="Q288" s="259"/>
      <c r="R288" s="258"/>
      <c r="S288" s="272"/>
    </row>
    <row r="289" spans="1:19">
      <c r="A289" s="249"/>
      <c r="B289" s="354"/>
      <c r="C289" s="250"/>
      <c r="D289" s="251"/>
      <c r="E289" s="252"/>
      <c r="F289" s="252"/>
      <c r="G289" s="252"/>
      <c r="H289" s="253"/>
      <c r="I289" s="252"/>
      <c r="J289" s="254"/>
      <c r="K289" s="250"/>
      <c r="L289" s="251"/>
      <c r="M289" s="251"/>
      <c r="N289" s="252"/>
      <c r="O289" s="252"/>
      <c r="P289" s="252"/>
      <c r="Q289" s="253"/>
      <c r="R289" s="252"/>
      <c r="S289" s="273"/>
    </row>
    <row r="290" spans="1:19">
      <c r="A290" s="255"/>
      <c r="B290" s="355"/>
      <c r="C290" s="256"/>
      <c r="D290" s="257"/>
      <c r="E290" s="258"/>
      <c r="F290" s="258"/>
      <c r="G290" s="258"/>
      <c r="H290" s="259"/>
      <c r="I290" s="258"/>
      <c r="J290" s="248"/>
      <c r="K290" s="256"/>
      <c r="L290" s="257"/>
      <c r="M290" s="257"/>
      <c r="N290" s="258"/>
      <c r="O290" s="258"/>
      <c r="P290" s="258"/>
      <c r="Q290" s="259"/>
      <c r="R290" s="258"/>
      <c r="S290" s="272"/>
    </row>
    <row r="291" spans="1:19">
      <c r="A291" s="249"/>
      <c r="B291" s="354"/>
      <c r="C291" s="250"/>
      <c r="D291" s="251"/>
      <c r="E291" s="252"/>
      <c r="F291" s="252"/>
      <c r="G291" s="252"/>
      <c r="H291" s="253"/>
      <c r="I291" s="252"/>
      <c r="J291" s="254"/>
      <c r="K291" s="250"/>
      <c r="L291" s="251"/>
      <c r="M291" s="251"/>
      <c r="N291" s="252"/>
      <c r="O291" s="252"/>
      <c r="P291" s="252"/>
      <c r="Q291" s="253"/>
      <c r="R291" s="252"/>
      <c r="S291" s="273"/>
    </row>
    <row r="292" spans="1:19">
      <c r="A292" s="255"/>
      <c r="B292" s="355"/>
      <c r="C292" s="256"/>
      <c r="D292" s="257"/>
      <c r="E292" s="258"/>
      <c r="F292" s="258"/>
      <c r="G292" s="258"/>
      <c r="H292" s="259"/>
      <c r="I292" s="258"/>
      <c r="J292" s="248"/>
      <c r="K292" s="256"/>
      <c r="L292" s="257"/>
      <c r="M292" s="257"/>
      <c r="N292" s="258"/>
      <c r="O292" s="258"/>
      <c r="P292" s="258"/>
      <c r="Q292" s="259"/>
      <c r="R292" s="258"/>
      <c r="S292" s="272"/>
    </row>
    <row r="293" spans="1:19">
      <c r="A293" s="249"/>
      <c r="B293" s="354"/>
      <c r="C293" s="250"/>
      <c r="D293" s="251"/>
      <c r="E293" s="252"/>
      <c r="F293" s="252"/>
      <c r="G293" s="252"/>
      <c r="H293" s="253"/>
      <c r="I293" s="252"/>
      <c r="J293" s="254"/>
      <c r="K293" s="250"/>
      <c r="L293" s="251"/>
      <c r="M293" s="251"/>
      <c r="N293" s="252"/>
      <c r="O293" s="252"/>
      <c r="P293" s="252"/>
      <c r="Q293" s="253"/>
      <c r="R293" s="252"/>
      <c r="S293" s="273"/>
    </row>
    <row r="294" spans="1:19">
      <c r="A294" s="255"/>
      <c r="B294" s="355"/>
      <c r="C294" s="256"/>
      <c r="D294" s="257"/>
      <c r="E294" s="258"/>
      <c r="F294" s="258"/>
      <c r="G294" s="258"/>
      <c r="H294" s="259"/>
      <c r="I294" s="258"/>
      <c r="J294" s="248"/>
      <c r="K294" s="256"/>
      <c r="L294" s="257"/>
      <c r="M294" s="257"/>
      <c r="N294" s="258"/>
      <c r="O294" s="258"/>
      <c r="P294" s="258"/>
      <c r="Q294" s="259"/>
      <c r="R294" s="258"/>
      <c r="S294" s="272"/>
    </row>
    <row r="295" spans="1:19">
      <c r="A295" s="249"/>
      <c r="B295" s="354"/>
      <c r="C295" s="250"/>
      <c r="D295" s="251"/>
      <c r="E295" s="252"/>
      <c r="F295" s="252"/>
      <c r="G295" s="252"/>
      <c r="H295" s="253"/>
      <c r="I295" s="252"/>
      <c r="J295" s="254"/>
      <c r="K295" s="250"/>
      <c r="L295" s="251"/>
      <c r="M295" s="251"/>
      <c r="N295" s="252"/>
      <c r="O295" s="252"/>
      <c r="P295" s="252"/>
      <c r="Q295" s="253"/>
      <c r="R295" s="252"/>
      <c r="S295" s="273"/>
    </row>
    <row r="296" spans="1:19">
      <c r="A296" s="255"/>
      <c r="B296" s="355"/>
      <c r="C296" s="256"/>
      <c r="D296" s="257"/>
      <c r="E296" s="258"/>
      <c r="F296" s="258"/>
      <c r="G296" s="258"/>
      <c r="H296" s="259"/>
      <c r="I296" s="258"/>
      <c r="J296" s="248"/>
      <c r="K296" s="256"/>
      <c r="L296" s="257"/>
      <c r="M296" s="257"/>
      <c r="N296" s="258"/>
      <c r="O296" s="258"/>
      <c r="P296" s="258"/>
      <c r="Q296" s="259"/>
      <c r="R296" s="258"/>
      <c r="S296" s="272"/>
    </row>
    <row r="297" spans="1:19">
      <c r="A297" s="249"/>
      <c r="B297" s="354"/>
      <c r="C297" s="250"/>
      <c r="D297" s="251"/>
      <c r="E297" s="252"/>
      <c r="F297" s="252"/>
      <c r="G297" s="252"/>
      <c r="H297" s="253"/>
      <c r="I297" s="252"/>
      <c r="J297" s="254"/>
      <c r="K297" s="250"/>
      <c r="L297" s="251"/>
      <c r="M297" s="251"/>
      <c r="N297" s="252"/>
      <c r="O297" s="252"/>
      <c r="P297" s="252"/>
      <c r="Q297" s="253"/>
      <c r="R297" s="252"/>
      <c r="S297" s="273"/>
    </row>
    <row r="298" spans="1:19">
      <c r="A298" s="255"/>
      <c r="B298" s="355"/>
      <c r="C298" s="256"/>
      <c r="D298" s="257"/>
      <c r="E298" s="258"/>
      <c r="F298" s="258"/>
      <c r="G298" s="258"/>
      <c r="H298" s="259"/>
      <c r="I298" s="258"/>
      <c r="J298" s="248"/>
      <c r="K298" s="256"/>
      <c r="L298" s="257"/>
      <c r="M298" s="257"/>
      <c r="N298" s="258"/>
      <c r="O298" s="258"/>
      <c r="P298" s="258"/>
      <c r="Q298" s="259"/>
      <c r="R298" s="258"/>
      <c r="S298" s="272"/>
    </row>
    <row r="299" spans="1:19">
      <c r="A299" s="249"/>
      <c r="B299" s="354"/>
      <c r="C299" s="250"/>
      <c r="D299" s="251"/>
      <c r="E299" s="252"/>
      <c r="F299" s="252"/>
      <c r="G299" s="252"/>
      <c r="H299" s="253"/>
      <c r="I299" s="252"/>
      <c r="J299" s="254"/>
      <c r="K299" s="250"/>
      <c r="L299" s="251"/>
      <c r="M299" s="251"/>
      <c r="N299" s="252"/>
      <c r="O299" s="252"/>
      <c r="P299" s="252"/>
      <c r="Q299" s="253"/>
      <c r="R299" s="252"/>
      <c r="S299" s="273"/>
    </row>
    <row r="300" spans="1:19">
      <c r="A300" s="255"/>
      <c r="B300" s="355"/>
      <c r="C300" s="256"/>
      <c r="D300" s="257"/>
      <c r="E300" s="258"/>
      <c r="F300" s="258"/>
      <c r="G300" s="258"/>
      <c r="H300" s="259"/>
      <c r="I300" s="258"/>
      <c r="J300" s="248"/>
      <c r="K300" s="256"/>
      <c r="L300" s="257"/>
      <c r="M300" s="257"/>
      <c r="N300" s="258"/>
      <c r="O300" s="258"/>
      <c r="P300" s="258"/>
      <c r="Q300" s="259"/>
      <c r="R300" s="258"/>
      <c r="S300" s="272"/>
    </row>
    <row r="301" spans="1:19">
      <c r="A301" s="249"/>
      <c r="B301" s="354"/>
      <c r="C301" s="250"/>
      <c r="D301" s="251"/>
      <c r="E301" s="252"/>
      <c r="F301" s="252"/>
      <c r="G301" s="252"/>
      <c r="H301" s="253"/>
      <c r="I301" s="252"/>
      <c r="J301" s="254"/>
      <c r="K301" s="250"/>
      <c r="L301" s="251"/>
      <c r="M301" s="251"/>
      <c r="N301" s="252"/>
      <c r="O301" s="252"/>
      <c r="P301" s="252"/>
      <c r="Q301" s="253"/>
      <c r="R301" s="252"/>
      <c r="S301" s="273"/>
    </row>
    <row r="302" spans="1:19">
      <c r="A302" s="255"/>
      <c r="B302" s="355"/>
      <c r="C302" s="256"/>
      <c r="D302" s="257"/>
      <c r="E302" s="258"/>
      <c r="F302" s="258"/>
      <c r="G302" s="258"/>
      <c r="H302" s="259"/>
      <c r="I302" s="258"/>
      <c r="J302" s="248"/>
      <c r="K302" s="256"/>
      <c r="L302" s="257"/>
      <c r="M302" s="257"/>
      <c r="N302" s="258"/>
      <c r="O302" s="258"/>
      <c r="P302" s="258"/>
      <c r="Q302" s="259"/>
      <c r="R302" s="258"/>
      <c r="S302" s="272"/>
    </row>
    <row r="303" spans="1:19">
      <c r="A303" s="249"/>
      <c r="B303" s="354"/>
      <c r="C303" s="250"/>
      <c r="D303" s="251"/>
      <c r="E303" s="252"/>
      <c r="F303" s="252"/>
      <c r="G303" s="252"/>
      <c r="H303" s="253"/>
      <c r="I303" s="252"/>
      <c r="J303" s="254"/>
      <c r="K303" s="250"/>
      <c r="L303" s="251"/>
      <c r="M303" s="251"/>
      <c r="N303" s="252"/>
      <c r="O303" s="252"/>
      <c r="P303" s="252"/>
      <c r="Q303" s="253"/>
      <c r="R303" s="252"/>
      <c r="S303" s="273"/>
    </row>
    <row r="304" spans="1:19">
      <c r="A304" s="255"/>
      <c r="B304" s="355"/>
      <c r="C304" s="256"/>
      <c r="D304" s="257"/>
      <c r="E304" s="258"/>
      <c r="F304" s="258"/>
      <c r="G304" s="258"/>
      <c r="H304" s="259"/>
      <c r="I304" s="258"/>
      <c r="J304" s="248"/>
      <c r="K304" s="256"/>
      <c r="L304" s="257"/>
      <c r="M304" s="257"/>
      <c r="N304" s="258"/>
      <c r="O304" s="258"/>
      <c r="P304" s="258"/>
      <c r="Q304" s="259"/>
      <c r="R304" s="258"/>
      <c r="S304" s="272"/>
    </row>
    <row r="305" spans="1:19">
      <c r="A305" s="249"/>
      <c r="B305" s="354"/>
      <c r="C305" s="250"/>
      <c r="D305" s="251"/>
      <c r="E305" s="252"/>
      <c r="F305" s="252"/>
      <c r="G305" s="252"/>
      <c r="H305" s="253"/>
      <c r="I305" s="252"/>
      <c r="J305" s="254"/>
      <c r="K305" s="250"/>
      <c r="L305" s="251"/>
      <c r="M305" s="251"/>
      <c r="N305" s="252"/>
      <c r="O305" s="252"/>
      <c r="P305" s="252"/>
      <c r="Q305" s="253"/>
      <c r="R305" s="252"/>
      <c r="S305" s="273"/>
    </row>
    <row r="306" spans="1:19">
      <c r="A306" s="255"/>
      <c r="B306" s="355"/>
      <c r="C306" s="256"/>
      <c r="D306" s="257"/>
      <c r="E306" s="258"/>
      <c r="F306" s="258"/>
      <c r="G306" s="258"/>
      <c r="H306" s="259"/>
      <c r="I306" s="258"/>
      <c r="J306" s="248"/>
      <c r="K306" s="256"/>
      <c r="L306" s="257"/>
      <c r="M306" s="257"/>
      <c r="N306" s="258"/>
      <c r="O306" s="258"/>
      <c r="P306" s="258"/>
      <c r="Q306" s="259"/>
      <c r="R306" s="258"/>
      <c r="S306" s="272"/>
    </row>
    <row r="307" spans="1:19">
      <c r="A307" s="249"/>
      <c r="B307" s="354"/>
      <c r="C307" s="250"/>
      <c r="D307" s="251"/>
      <c r="E307" s="252"/>
      <c r="F307" s="252"/>
      <c r="G307" s="252"/>
      <c r="H307" s="253"/>
      <c r="I307" s="252"/>
      <c r="J307" s="254"/>
      <c r="K307" s="250"/>
      <c r="L307" s="251"/>
      <c r="M307" s="251"/>
      <c r="N307" s="252"/>
      <c r="O307" s="252"/>
      <c r="P307" s="252"/>
      <c r="Q307" s="253"/>
      <c r="R307" s="252"/>
      <c r="S307" s="273"/>
    </row>
    <row r="308" spans="1:19">
      <c r="A308" s="255"/>
      <c r="B308" s="355"/>
      <c r="C308" s="256"/>
      <c r="D308" s="257"/>
      <c r="E308" s="258"/>
      <c r="F308" s="258"/>
      <c r="G308" s="258"/>
      <c r="H308" s="259"/>
      <c r="I308" s="258"/>
      <c r="J308" s="248"/>
      <c r="K308" s="256"/>
      <c r="L308" s="257"/>
      <c r="M308" s="257"/>
      <c r="N308" s="258"/>
      <c r="O308" s="258"/>
      <c r="P308" s="258"/>
      <c r="Q308" s="259"/>
      <c r="R308" s="258"/>
      <c r="S308" s="272"/>
    </row>
    <row r="309" spans="1:19">
      <c r="A309" s="249"/>
      <c r="B309" s="354"/>
      <c r="C309" s="250"/>
      <c r="D309" s="251"/>
      <c r="E309" s="252"/>
      <c r="F309" s="252"/>
      <c r="G309" s="252"/>
      <c r="H309" s="253"/>
      <c r="I309" s="252"/>
      <c r="J309" s="254"/>
      <c r="K309" s="250"/>
      <c r="L309" s="251"/>
      <c r="M309" s="251"/>
      <c r="N309" s="252"/>
      <c r="O309" s="252"/>
      <c r="P309" s="252"/>
      <c r="Q309" s="253"/>
      <c r="R309" s="252"/>
      <c r="S309" s="273"/>
    </row>
    <row r="310" spans="1:19">
      <c r="A310" s="255"/>
      <c r="B310" s="355"/>
      <c r="C310" s="256"/>
      <c r="D310" s="257"/>
      <c r="E310" s="258"/>
      <c r="F310" s="258"/>
      <c r="G310" s="258"/>
      <c r="H310" s="259"/>
      <c r="I310" s="258"/>
      <c r="J310" s="248"/>
      <c r="K310" s="256"/>
      <c r="L310" s="257"/>
      <c r="M310" s="257"/>
      <c r="N310" s="258"/>
      <c r="O310" s="258"/>
      <c r="P310" s="258"/>
      <c r="Q310" s="259"/>
      <c r="R310" s="258"/>
      <c r="S310" s="272"/>
    </row>
    <row r="311" spans="1:19">
      <c r="A311" s="249"/>
      <c r="B311" s="354"/>
      <c r="C311" s="250"/>
      <c r="D311" s="251"/>
      <c r="E311" s="252"/>
      <c r="F311" s="252"/>
      <c r="G311" s="252"/>
      <c r="H311" s="253"/>
      <c r="I311" s="252"/>
      <c r="J311" s="254"/>
      <c r="K311" s="250"/>
      <c r="L311" s="251"/>
      <c r="M311" s="251"/>
      <c r="N311" s="252"/>
      <c r="O311" s="252"/>
      <c r="P311" s="252"/>
      <c r="Q311" s="253"/>
      <c r="R311" s="252"/>
      <c r="S311" s="273"/>
    </row>
    <row r="312" spans="1:19">
      <c r="A312" s="255"/>
      <c r="B312" s="355"/>
      <c r="C312" s="256"/>
      <c r="D312" s="257"/>
      <c r="E312" s="258"/>
      <c r="F312" s="258"/>
      <c r="G312" s="258"/>
      <c r="H312" s="259"/>
      <c r="I312" s="258"/>
      <c r="J312" s="248"/>
      <c r="K312" s="256"/>
      <c r="L312" s="257"/>
      <c r="M312" s="257"/>
      <c r="N312" s="258"/>
      <c r="O312" s="258"/>
      <c r="P312" s="258"/>
      <c r="Q312" s="259"/>
      <c r="R312" s="258"/>
      <c r="S312" s="272"/>
    </row>
    <row r="313" spans="1:19">
      <c r="A313" s="249"/>
      <c r="B313" s="354"/>
      <c r="C313" s="250"/>
      <c r="D313" s="251"/>
      <c r="E313" s="252"/>
      <c r="F313" s="252"/>
      <c r="G313" s="252"/>
      <c r="H313" s="253"/>
      <c r="I313" s="252"/>
      <c r="J313" s="254"/>
      <c r="K313" s="250"/>
      <c r="L313" s="251"/>
      <c r="M313" s="251"/>
      <c r="N313" s="252"/>
      <c r="O313" s="252"/>
      <c r="P313" s="252"/>
      <c r="Q313" s="253"/>
      <c r="R313" s="252"/>
      <c r="S313" s="273"/>
    </row>
    <row r="314" spans="1:19">
      <c r="A314" s="255"/>
      <c r="B314" s="355"/>
      <c r="C314" s="256"/>
      <c r="D314" s="257"/>
      <c r="E314" s="258"/>
      <c r="F314" s="258"/>
      <c r="G314" s="258"/>
      <c r="H314" s="259"/>
      <c r="I314" s="258"/>
      <c r="J314" s="248"/>
      <c r="K314" s="256"/>
      <c r="L314" s="257"/>
      <c r="M314" s="257"/>
      <c r="N314" s="258"/>
      <c r="O314" s="258"/>
      <c r="P314" s="258"/>
      <c r="Q314" s="259"/>
      <c r="R314" s="258"/>
      <c r="S314" s="272"/>
    </row>
    <row r="315" spans="1:19">
      <c r="A315" s="249"/>
      <c r="B315" s="354"/>
      <c r="C315" s="250"/>
      <c r="D315" s="251"/>
      <c r="E315" s="252"/>
      <c r="F315" s="252"/>
      <c r="G315" s="252"/>
      <c r="H315" s="253"/>
      <c r="I315" s="252"/>
      <c r="J315" s="254"/>
      <c r="K315" s="250"/>
      <c r="L315" s="251"/>
      <c r="M315" s="251"/>
      <c r="N315" s="252"/>
      <c r="O315" s="252"/>
      <c r="P315" s="252"/>
      <c r="Q315" s="253"/>
      <c r="R315" s="252"/>
      <c r="S315" s="273"/>
    </row>
    <row r="316" spans="1:19">
      <c r="A316" s="255"/>
      <c r="B316" s="355"/>
      <c r="C316" s="256"/>
      <c r="D316" s="257"/>
      <c r="E316" s="258"/>
      <c r="F316" s="258"/>
      <c r="G316" s="258"/>
      <c r="H316" s="259"/>
      <c r="I316" s="258"/>
      <c r="J316" s="248"/>
      <c r="K316" s="256"/>
      <c r="L316" s="257"/>
      <c r="M316" s="257"/>
      <c r="N316" s="258"/>
      <c r="O316" s="258"/>
      <c r="P316" s="258"/>
      <c r="Q316" s="259"/>
      <c r="R316" s="258"/>
      <c r="S316" s="272"/>
    </row>
    <row r="317" spans="1:19">
      <c r="A317" s="249"/>
      <c r="B317" s="354"/>
      <c r="C317" s="250"/>
      <c r="D317" s="251"/>
      <c r="E317" s="252"/>
      <c r="F317" s="252"/>
      <c r="G317" s="252"/>
      <c r="H317" s="253"/>
      <c r="I317" s="252"/>
      <c r="J317" s="254"/>
      <c r="K317" s="250"/>
      <c r="L317" s="251"/>
      <c r="M317" s="251"/>
      <c r="N317" s="252"/>
      <c r="O317" s="252"/>
      <c r="P317" s="252"/>
      <c r="Q317" s="253"/>
      <c r="R317" s="252"/>
      <c r="S317" s="273"/>
    </row>
    <row r="318" spans="1:19">
      <c r="A318" s="255"/>
      <c r="B318" s="355"/>
      <c r="C318" s="256"/>
      <c r="D318" s="257"/>
      <c r="E318" s="258"/>
      <c r="F318" s="258"/>
      <c r="G318" s="258"/>
      <c r="H318" s="259"/>
      <c r="I318" s="258"/>
      <c r="J318" s="248"/>
      <c r="K318" s="256"/>
      <c r="L318" s="257"/>
      <c r="M318" s="257"/>
      <c r="N318" s="258"/>
      <c r="O318" s="258"/>
      <c r="P318" s="258"/>
      <c r="Q318" s="259"/>
      <c r="R318" s="258"/>
      <c r="S318" s="272"/>
    </row>
    <row r="319" spans="1:19">
      <c r="A319" s="249"/>
      <c r="B319" s="354"/>
      <c r="C319" s="250"/>
      <c r="D319" s="251"/>
      <c r="E319" s="252"/>
      <c r="F319" s="252"/>
      <c r="G319" s="252"/>
      <c r="H319" s="253"/>
      <c r="I319" s="252"/>
      <c r="J319" s="254"/>
      <c r="K319" s="250"/>
      <c r="L319" s="251"/>
      <c r="M319" s="251"/>
      <c r="N319" s="252"/>
      <c r="O319" s="252"/>
      <c r="P319" s="252"/>
      <c r="Q319" s="253"/>
      <c r="R319" s="252"/>
      <c r="S319" s="273"/>
    </row>
    <row r="320" spans="1:19">
      <c r="A320" s="255"/>
      <c r="B320" s="355"/>
      <c r="C320" s="256"/>
      <c r="D320" s="257"/>
      <c r="E320" s="258"/>
      <c r="F320" s="258"/>
      <c r="G320" s="258"/>
      <c r="H320" s="259"/>
      <c r="I320" s="258"/>
      <c r="J320" s="248"/>
      <c r="K320" s="256"/>
      <c r="L320" s="257"/>
      <c r="M320" s="257"/>
      <c r="N320" s="258"/>
      <c r="O320" s="258"/>
      <c r="P320" s="258"/>
      <c r="Q320" s="259"/>
      <c r="R320" s="258"/>
      <c r="S320" s="272"/>
    </row>
    <row r="321" spans="1:19">
      <c r="A321" s="249"/>
      <c r="B321" s="354"/>
      <c r="C321" s="250"/>
      <c r="D321" s="251"/>
      <c r="E321" s="252"/>
      <c r="F321" s="252"/>
      <c r="G321" s="252"/>
      <c r="H321" s="253"/>
      <c r="I321" s="252"/>
      <c r="J321" s="254"/>
      <c r="K321" s="250"/>
      <c r="L321" s="251"/>
      <c r="M321" s="251"/>
      <c r="N321" s="252"/>
      <c r="O321" s="252"/>
      <c r="P321" s="252"/>
      <c r="Q321" s="253"/>
      <c r="R321" s="252"/>
      <c r="S321" s="273"/>
    </row>
    <row r="322" spans="1:19">
      <c r="A322" s="255"/>
      <c r="B322" s="355"/>
      <c r="C322" s="256"/>
      <c r="D322" s="257"/>
      <c r="E322" s="258"/>
      <c r="F322" s="258"/>
      <c r="G322" s="258"/>
      <c r="H322" s="259"/>
      <c r="I322" s="258"/>
      <c r="J322" s="248"/>
      <c r="K322" s="256"/>
      <c r="L322" s="257"/>
      <c r="M322" s="257"/>
      <c r="N322" s="258"/>
      <c r="O322" s="258"/>
      <c r="P322" s="258"/>
      <c r="Q322" s="259"/>
      <c r="R322" s="258"/>
      <c r="S322" s="272"/>
    </row>
    <row r="323" spans="1:19">
      <c r="A323" s="249"/>
      <c r="B323" s="354"/>
      <c r="C323" s="250"/>
      <c r="D323" s="251"/>
      <c r="E323" s="252"/>
      <c r="F323" s="252"/>
      <c r="G323" s="252"/>
      <c r="H323" s="253"/>
      <c r="I323" s="252"/>
      <c r="J323" s="254"/>
      <c r="K323" s="250"/>
      <c r="L323" s="251"/>
      <c r="M323" s="251"/>
      <c r="N323" s="252"/>
      <c r="O323" s="252"/>
      <c r="P323" s="252"/>
      <c r="Q323" s="253"/>
      <c r="R323" s="252"/>
      <c r="S323" s="273"/>
    </row>
    <row r="324" spans="1:19">
      <c r="A324" s="255"/>
      <c r="B324" s="355"/>
      <c r="C324" s="256"/>
      <c r="D324" s="257"/>
      <c r="E324" s="258"/>
      <c r="F324" s="258"/>
      <c r="G324" s="258"/>
      <c r="H324" s="259"/>
      <c r="I324" s="258"/>
      <c r="J324" s="248"/>
      <c r="K324" s="256"/>
      <c r="L324" s="257"/>
      <c r="M324" s="257"/>
      <c r="N324" s="258"/>
      <c r="O324" s="258"/>
      <c r="P324" s="258"/>
      <c r="Q324" s="259"/>
      <c r="R324" s="258"/>
      <c r="S324" s="272"/>
    </row>
    <row r="325" spans="1:19">
      <c r="A325" s="249"/>
      <c r="B325" s="354"/>
      <c r="C325" s="250"/>
      <c r="D325" s="251"/>
      <c r="E325" s="252"/>
      <c r="F325" s="252"/>
      <c r="G325" s="252"/>
      <c r="H325" s="253"/>
      <c r="I325" s="252"/>
      <c r="J325" s="254"/>
      <c r="K325" s="250"/>
      <c r="L325" s="251"/>
      <c r="M325" s="251"/>
      <c r="N325" s="252"/>
      <c r="O325" s="252"/>
      <c r="P325" s="252"/>
      <c r="Q325" s="253"/>
      <c r="R325" s="252"/>
      <c r="S325" s="273"/>
    </row>
    <row r="326" spans="1:19">
      <c r="A326" s="255"/>
      <c r="B326" s="355"/>
      <c r="C326" s="256"/>
      <c r="D326" s="257"/>
      <c r="E326" s="258"/>
      <c r="F326" s="258"/>
      <c r="G326" s="258"/>
      <c r="H326" s="259"/>
      <c r="I326" s="258"/>
      <c r="J326" s="248"/>
      <c r="K326" s="256"/>
      <c r="L326" s="257"/>
      <c r="M326" s="257"/>
      <c r="N326" s="258"/>
      <c r="O326" s="258"/>
      <c r="P326" s="258"/>
      <c r="Q326" s="259"/>
      <c r="R326" s="258"/>
      <c r="S326" s="272"/>
    </row>
    <row r="327" spans="1:19">
      <c r="A327" s="249"/>
      <c r="B327" s="354"/>
      <c r="C327" s="250"/>
      <c r="D327" s="251"/>
      <c r="E327" s="252"/>
      <c r="F327" s="252"/>
      <c r="G327" s="252"/>
      <c r="H327" s="253"/>
      <c r="I327" s="252"/>
      <c r="J327" s="254"/>
      <c r="K327" s="250"/>
      <c r="L327" s="251"/>
      <c r="M327" s="251"/>
      <c r="N327" s="252"/>
      <c r="O327" s="252"/>
      <c r="P327" s="252"/>
      <c r="Q327" s="253"/>
      <c r="R327" s="252"/>
      <c r="S327" s="273"/>
    </row>
    <row r="328" spans="1:19">
      <c r="A328" s="255"/>
      <c r="B328" s="355"/>
      <c r="C328" s="256"/>
      <c r="D328" s="257"/>
      <c r="E328" s="258"/>
      <c r="F328" s="258"/>
      <c r="G328" s="258"/>
      <c r="H328" s="259"/>
      <c r="I328" s="258"/>
      <c r="J328" s="248"/>
      <c r="K328" s="256"/>
      <c r="L328" s="257"/>
      <c r="M328" s="257"/>
      <c r="N328" s="258"/>
      <c r="O328" s="258"/>
      <c r="P328" s="258"/>
      <c r="Q328" s="259"/>
      <c r="R328" s="258"/>
      <c r="S328" s="272"/>
    </row>
    <row r="329" spans="1:19">
      <c r="A329" s="249"/>
      <c r="B329" s="354"/>
      <c r="C329" s="250"/>
      <c r="D329" s="251"/>
      <c r="E329" s="252"/>
      <c r="F329" s="252"/>
      <c r="G329" s="252"/>
      <c r="H329" s="253"/>
      <c r="I329" s="252"/>
      <c r="J329" s="254"/>
      <c r="K329" s="250"/>
      <c r="L329" s="251"/>
      <c r="M329" s="251"/>
      <c r="N329" s="252"/>
      <c r="O329" s="252"/>
      <c r="P329" s="252"/>
      <c r="Q329" s="253"/>
      <c r="R329" s="252"/>
      <c r="S329" s="273"/>
    </row>
    <row r="330" spans="1:19">
      <c r="A330" s="255"/>
      <c r="B330" s="355"/>
      <c r="C330" s="256"/>
      <c r="D330" s="257"/>
      <c r="E330" s="258"/>
      <c r="F330" s="258"/>
      <c r="G330" s="258"/>
      <c r="H330" s="259"/>
      <c r="I330" s="258"/>
      <c r="J330" s="248"/>
      <c r="K330" s="256"/>
      <c r="L330" s="257"/>
      <c r="M330" s="257"/>
      <c r="N330" s="258"/>
      <c r="O330" s="258"/>
      <c r="P330" s="258"/>
      <c r="Q330" s="259"/>
      <c r="R330" s="258"/>
      <c r="S330" s="272"/>
    </row>
    <row r="331" spans="1:19">
      <c r="A331" s="249"/>
      <c r="B331" s="354"/>
      <c r="C331" s="250"/>
      <c r="D331" s="251"/>
      <c r="E331" s="252"/>
      <c r="F331" s="252"/>
      <c r="G331" s="252"/>
      <c r="H331" s="253"/>
      <c r="I331" s="252"/>
      <c r="J331" s="254"/>
      <c r="K331" s="250"/>
      <c r="L331" s="251"/>
      <c r="M331" s="251"/>
      <c r="N331" s="252"/>
      <c r="O331" s="252"/>
      <c r="P331" s="252"/>
      <c r="Q331" s="253"/>
      <c r="R331" s="252"/>
      <c r="S331" s="273"/>
    </row>
    <row r="332" spans="1:19">
      <c r="A332" s="255"/>
      <c r="B332" s="355"/>
      <c r="C332" s="256"/>
      <c r="D332" s="257"/>
      <c r="E332" s="258"/>
      <c r="F332" s="258"/>
      <c r="G332" s="258"/>
      <c r="H332" s="259"/>
      <c r="I332" s="258"/>
      <c r="J332" s="248"/>
      <c r="K332" s="256"/>
      <c r="L332" s="257"/>
      <c r="M332" s="257"/>
      <c r="N332" s="258"/>
      <c r="O332" s="258"/>
      <c r="P332" s="258"/>
      <c r="Q332" s="259"/>
      <c r="R332" s="258"/>
      <c r="S332" s="272"/>
    </row>
    <row r="333" spans="1:19">
      <c r="A333" s="249"/>
      <c r="B333" s="354"/>
      <c r="C333" s="250"/>
      <c r="D333" s="251"/>
      <c r="E333" s="252"/>
      <c r="F333" s="252"/>
      <c r="G333" s="252"/>
      <c r="H333" s="253"/>
      <c r="I333" s="252"/>
      <c r="J333" s="254"/>
      <c r="K333" s="250"/>
      <c r="L333" s="251"/>
      <c r="M333" s="251"/>
      <c r="N333" s="252"/>
      <c r="O333" s="252"/>
      <c r="P333" s="252"/>
      <c r="Q333" s="253"/>
      <c r="R333" s="252"/>
      <c r="S333" s="273"/>
    </row>
    <row r="334" spans="1:19">
      <c r="A334" s="255"/>
      <c r="B334" s="355"/>
      <c r="C334" s="256"/>
      <c r="D334" s="257"/>
      <c r="E334" s="258"/>
      <c r="F334" s="258"/>
      <c r="G334" s="258"/>
      <c r="H334" s="259"/>
      <c r="I334" s="258"/>
      <c r="J334" s="248"/>
      <c r="K334" s="256"/>
      <c r="L334" s="257"/>
      <c r="M334" s="257"/>
      <c r="N334" s="258"/>
      <c r="O334" s="258"/>
      <c r="P334" s="258"/>
      <c r="Q334" s="259"/>
      <c r="R334" s="258"/>
      <c r="S334" s="272"/>
    </row>
    <row r="335" spans="1:19">
      <c r="A335" s="249"/>
      <c r="B335" s="354"/>
      <c r="C335" s="250"/>
      <c r="D335" s="251"/>
      <c r="E335" s="252"/>
      <c r="F335" s="252"/>
      <c r="G335" s="252"/>
      <c r="H335" s="253"/>
      <c r="I335" s="252"/>
      <c r="J335" s="254"/>
      <c r="K335" s="250"/>
      <c r="L335" s="251"/>
      <c r="M335" s="251"/>
      <c r="N335" s="252"/>
      <c r="O335" s="252"/>
      <c r="P335" s="252"/>
      <c r="Q335" s="253"/>
      <c r="R335" s="252"/>
      <c r="S335" s="273"/>
    </row>
    <row r="336" spans="1:19">
      <c r="A336" s="255"/>
      <c r="B336" s="355"/>
      <c r="C336" s="256"/>
      <c r="D336" s="257"/>
      <c r="E336" s="258"/>
      <c r="F336" s="258"/>
      <c r="G336" s="258"/>
      <c r="H336" s="259"/>
      <c r="I336" s="258"/>
      <c r="J336" s="248"/>
      <c r="K336" s="256"/>
      <c r="L336" s="257"/>
      <c r="M336" s="257"/>
      <c r="N336" s="258"/>
      <c r="O336" s="258"/>
      <c r="P336" s="258"/>
      <c r="Q336" s="259"/>
      <c r="R336" s="258"/>
      <c r="S336" s="272"/>
    </row>
    <row r="337" spans="1:19">
      <c r="A337" s="249"/>
      <c r="B337" s="354"/>
      <c r="C337" s="250"/>
      <c r="D337" s="251"/>
      <c r="E337" s="252"/>
      <c r="F337" s="252"/>
      <c r="G337" s="252"/>
      <c r="H337" s="253"/>
      <c r="I337" s="252"/>
      <c r="J337" s="254"/>
      <c r="K337" s="250"/>
      <c r="L337" s="251"/>
      <c r="M337" s="251"/>
      <c r="N337" s="252"/>
      <c r="O337" s="252"/>
      <c r="P337" s="252"/>
      <c r="Q337" s="253"/>
      <c r="R337" s="252"/>
      <c r="S337" s="273"/>
    </row>
    <row r="338" spans="1:19">
      <c r="A338" s="255"/>
      <c r="B338" s="355"/>
      <c r="C338" s="256"/>
      <c r="D338" s="257"/>
      <c r="E338" s="258"/>
      <c r="F338" s="258"/>
      <c r="G338" s="258"/>
      <c r="H338" s="259"/>
      <c r="I338" s="258"/>
      <c r="J338" s="248"/>
      <c r="K338" s="256"/>
      <c r="L338" s="257"/>
      <c r="M338" s="257"/>
      <c r="N338" s="258"/>
      <c r="O338" s="258"/>
      <c r="P338" s="258"/>
      <c r="Q338" s="259"/>
      <c r="R338" s="258"/>
      <c r="S338" s="272"/>
    </row>
    <row r="339" spans="1:19">
      <c r="A339" s="249"/>
      <c r="B339" s="354"/>
      <c r="C339" s="250"/>
      <c r="D339" s="251"/>
      <c r="E339" s="252"/>
      <c r="F339" s="252"/>
      <c r="G339" s="252"/>
      <c r="H339" s="253"/>
      <c r="I339" s="252"/>
      <c r="J339" s="254"/>
      <c r="K339" s="250"/>
      <c r="L339" s="251"/>
      <c r="M339" s="251"/>
      <c r="N339" s="252"/>
      <c r="O339" s="252"/>
      <c r="P339" s="252"/>
      <c r="Q339" s="253"/>
      <c r="R339" s="252"/>
      <c r="S339" s="273"/>
    </row>
    <row r="340" spans="1:19">
      <c r="A340" s="255"/>
      <c r="B340" s="355"/>
      <c r="C340" s="256"/>
      <c r="D340" s="257"/>
      <c r="E340" s="258"/>
      <c r="F340" s="258"/>
      <c r="G340" s="258"/>
      <c r="H340" s="259"/>
      <c r="I340" s="258"/>
      <c r="J340" s="248"/>
      <c r="K340" s="256"/>
      <c r="L340" s="257"/>
      <c r="M340" s="257"/>
      <c r="N340" s="258"/>
      <c r="O340" s="258"/>
      <c r="P340" s="258"/>
      <c r="Q340" s="259"/>
      <c r="R340" s="258"/>
      <c r="S340" s="272"/>
    </row>
    <row r="341" spans="1:19">
      <c r="A341" s="249"/>
      <c r="B341" s="354"/>
      <c r="C341" s="250"/>
      <c r="D341" s="251"/>
      <c r="E341" s="252"/>
      <c r="F341" s="252"/>
      <c r="G341" s="252"/>
      <c r="H341" s="253"/>
      <c r="I341" s="252"/>
      <c r="J341" s="254"/>
      <c r="K341" s="250"/>
      <c r="L341" s="251"/>
      <c r="M341" s="251"/>
      <c r="N341" s="252"/>
      <c r="O341" s="252"/>
      <c r="P341" s="252"/>
      <c r="Q341" s="253"/>
      <c r="R341" s="252"/>
      <c r="S341" s="273"/>
    </row>
    <row r="342" spans="1:19">
      <c r="A342" s="255"/>
      <c r="B342" s="355"/>
      <c r="C342" s="256"/>
      <c r="D342" s="257"/>
      <c r="E342" s="258"/>
      <c r="F342" s="258"/>
      <c r="G342" s="258"/>
      <c r="H342" s="259"/>
      <c r="I342" s="258"/>
      <c r="J342" s="248"/>
      <c r="K342" s="256"/>
      <c r="L342" s="257"/>
      <c r="M342" s="257"/>
      <c r="N342" s="258"/>
      <c r="O342" s="258"/>
      <c r="P342" s="258"/>
      <c r="Q342" s="259"/>
      <c r="R342" s="258"/>
      <c r="S342" s="272"/>
    </row>
    <row r="343" spans="1:19">
      <c r="A343" s="249"/>
      <c r="B343" s="354"/>
      <c r="C343" s="250"/>
      <c r="D343" s="251"/>
      <c r="E343" s="252"/>
      <c r="F343" s="252"/>
      <c r="G343" s="252"/>
      <c r="H343" s="253"/>
      <c r="I343" s="252"/>
      <c r="J343" s="254"/>
      <c r="K343" s="250"/>
      <c r="L343" s="251"/>
      <c r="M343" s="251"/>
      <c r="N343" s="252"/>
      <c r="O343" s="252"/>
      <c r="P343" s="252"/>
      <c r="Q343" s="253"/>
      <c r="R343" s="252"/>
      <c r="S343" s="273"/>
    </row>
    <row r="344" spans="1:19">
      <c r="A344" s="255"/>
      <c r="B344" s="355"/>
      <c r="C344" s="256"/>
      <c r="D344" s="257"/>
      <c r="E344" s="258"/>
      <c r="F344" s="258"/>
      <c r="G344" s="258"/>
      <c r="H344" s="259"/>
      <c r="I344" s="258"/>
      <c r="J344" s="248"/>
      <c r="K344" s="256"/>
      <c r="L344" s="257"/>
      <c r="M344" s="257"/>
      <c r="N344" s="258"/>
      <c r="O344" s="258"/>
      <c r="P344" s="258"/>
      <c r="Q344" s="259"/>
      <c r="R344" s="258"/>
      <c r="S344" s="272"/>
    </row>
    <row r="345" spans="1:19">
      <c r="A345" s="249"/>
      <c r="B345" s="354"/>
      <c r="C345" s="250"/>
      <c r="D345" s="251"/>
      <c r="E345" s="252"/>
      <c r="F345" s="252"/>
      <c r="G345" s="252"/>
      <c r="H345" s="253"/>
      <c r="I345" s="252"/>
      <c r="J345" s="254"/>
      <c r="K345" s="250"/>
      <c r="L345" s="251"/>
      <c r="M345" s="251"/>
      <c r="N345" s="252"/>
      <c r="O345" s="252"/>
      <c r="P345" s="252"/>
      <c r="Q345" s="253"/>
      <c r="R345" s="252"/>
      <c r="S345" s="273"/>
    </row>
    <row r="346" spans="1:19">
      <c r="A346" s="255"/>
      <c r="B346" s="355"/>
      <c r="C346" s="256"/>
      <c r="D346" s="257"/>
      <c r="E346" s="258"/>
      <c r="F346" s="258"/>
      <c r="G346" s="258"/>
      <c r="H346" s="259"/>
      <c r="I346" s="258"/>
      <c r="J346" s="248"/>
      <c r="K346" s="256"/>
      <c r="L346" s="257"/>
      <c r="M346" s="257"/>
      <c r="N346" s="258"/>
      <c r="O346" s="258"/>
      <c r="P346" s="258"/>
      <c r="Q346" s="259"/>
      <c r="R346" s="258"/>
      <c r="S346" s="272"/>
    </row>
    <row r="347" spans="1:19">
      <c r="A347" s="249"/>
      <c r="B347" s="354"/>
      <c r="C347" s="250"/>
      <c r="D347" s="251"/>
      <c r="E347" s="252"/>
      <c r="F347" s="252"/>
      <c r="G347" s="252"/>
      <c r="H347" s="253"/>
      <c r="I347" s="252"/>
      <c r="J347" s="254"/>
      <c r="K347" s="250"/>
      <c r="L347" s="251"/>
      <c r="M347" s="251"/>
      <c r="N347" s="252"/>
      <c r="O347" s="252"/>
      <c r="P347" s="252"/>
      <c r="Q347" s="253"/>
      <c r="R347" s="252"/>
      <c r="S347" s="273"/>
    </row>
    <row r="348" spans="1:19">
      <c r="A348" s="255"/>
      <c r="B348" s="355"/>
      <c r="C348" s="256"/>
      <c r="D348" s="257"/>
      <c r="E348" s="258"/>
      <c r="F348" s="258"/>
      <c r="G348" s="258"/>
      <c r="H348" s="259"/>
      <c r="I348" s="258"/>
      <c r="J348" s="248"/>
      <c r="K348" s="256"/>
      <c r="L348" s="257"/>
      <c r="M348" s="257"/>
      <c r="N348" s="258"/>
      <c r="O348" s="258"/>
      <c r="P348" s="258"/>
      <c r="Q348" s="259"/>
      <c r="R348" s="258"/>
      <c r="S348" s="272"/>
    </row>
    <row r="349" spans="1:19">
      <c r="A349" s="249"/>
      <c r="B349" s="354"/>
      <c r="C349" s="250"/>
      <c r="D349" s="251"/>
      <c r="E349" s="252"/>
      <c r="F349" s="252"/>
      <c r="G349" s="252"/>
      <c r="H349" s="253"/>
      <c r="I349" s="252"/>
      <c r="J349" s="254"/>
      <c r="K349" s="250"/>
      <c r="L349" s="251"/>
      <c r="M349" s="251"/>
      <c r="N349" s="252"/>
      <c r="O349" s="252"/>
      <c r="P349" s="252"/>
      <c r="Q349" s="253"/>
      <c r="R349" s="252"/>
      <c r="S349" s="273"/>
    </row>
    <row r="350" spans="1:19">
      <c r="A350" s="255"/>
      <c r="B350" s="355"/>
      <c r="C350" s="256"/>
      <c r="D350" s="257"/>
      <c r="E350" s="258"/>
      <c r="F350" s="258"/>
      <c r="G350" s="258"/>
      <c r="H350" s="259"/>
      <c r="I350" s="258"/>
      <c r="J350" s="248"/>
      <c r="K350" s="256"/>
      <c r="L350" s="257"/>
      <c r="M350" s="257"/>
      <c r="N350" s="258"/>
      <c r="O350" s="258"/>
      <c r="P350" s="258"/>
      <c r="Q350" s="259"/>
      <c r="R350" s="258"/>
      <c r="S350" s="272"/>
    </row>
    <row r="351" spans="1:19">
      <c r="A351" s="249"/>
      <c r="B351" s="354"/>
      <c r="C351" s="250"/>
      <c r="D351" s="251"/>
      <c r="E351" s="252"/>
      <c r="F351" s="252"/>
      <c r="G351" s="252"/>
      <c r="H351" s="253"/>
      <c r="I351" s="252"/>
      <c r="J351" s="254"/>
      <c r="K351" s="250"/>
      <c r="L351" s="251"/>
      <c r="M351" s="251"/>
      <c r="N351" s="252"/>
      <c r="O351" s="252"/>
      <c r="P351" s="252"/>
      <c r="Q351" s="253"/>
      <c r="R351" s="252"/>
      <c r="S351" s="273"/>
    </row>
    <row r="352" spans="1:19">
      <c r="A352" s="255"/>
      <c r="B352" s="355"/>
      <c r="C352" s="256"/>
      <c r="D352" s="257"/>
      <c r="E352" s="258"/>
      <c r="F352" s="258"/>
      <c r="G352" s="258"/>
      <c r="H352" s="259"/>
      <c r="I352" s="258"/>
      <c r="J352" s="248"/>
      <c r="K352" s="256"/>
      <c r="L352" s="257"/>
      <c r="M352" s="257"/>
      <c r="N352" s="258"/>
      <c r="O352" s="258"/>
      <c r="P352" s="258"/>
      <c r="Q352" s="259"/>
      <c r="R352" s="258"/>
      <c r="S352" s="272"/>
    </row>
    <row r="353" spans="1:19">
      <c r="A353" s="249"/>
      <c r="B353" s="354"/>
      <c r="C353" s="250"/>
      <c r="D353" s="251"/>
      <c r="E353" s="252"/>
      <c r="F353" s="252"/>
      <c r="G353" s="252"/>
      <c r="H353" s="253"/>
      <c r="I353" s="252"/>
      <c r="J353" s="254"/>
      <c r="K353" s="250"/>
      <c r="L353" s="251"/>
      <c r="M353" s="251"/>
      <c r="N353" s="252"/>
      <c r="O353" s="252"/>
      <c r="P353" s="252"/>
      <c r="Q353" s="253"/>
      <c r="R353" s="252"/>
      <c r="S353" s="273"/>
    </row>
    <row r="354" spans="1:19">
      <c r="A354" s="255"/>
      <c r="B354" s="355"/>
      <c r="C354" s="256"/>
      <c r="D354" s="257"/>
      <c r="E354" s="258"/>
      <c r="F354" s="258"/>
      <c r="G354" s="258"/>
      <c r="H354" s="259"/>
      <c r="I354" s="258"/>
      <c r="J354" s="248"/>
      <c r="K354" s="256"/>
      <c r="L354" s="257"/>
      <c r="M354" s="257"/>
      <c r="N354" s="258"/>
      <c r="O354" s="258"/>
      <c r="P354" s="258"/>
      <c r="Q354" s="259"/>
      <c r="R354" s="258"/>
      <c r="S354" s="272"/>
    </row>
    <row r="355" spans="1:19">
      <c r="A355" s="249"/>
      <c r="B355" s="354"/>
      <c r="C355" s="250"/>
      <c r="D355" s="251"/>
      <c r="E355" s="252"/>
      <c r="F355" s="252"/>
      <c r="G355" s="252"/>
      <c r="H355" s="253"/>
      <c r="I355" s="252"/>
      <c r="J355" s="254"/>
      <c r="K355" s="250"/>
      <c r="L355" s="251"/>
      <c r="M355" s="251"/>
      <c r="N355" s="252"/>
      <c r="O355" s="252"/>
      <c r="P355" s="252"/>
      <c r="Q355" s="253"/>
      <c r="R355" s="252"/>
      <c r="S355" s="273"/>
    </row>
    <row r="356" spans="1:19">
      <c r="A356" s="255"/>
      <c r="B356" s="355"/>
      <c r="C356" s="256"/>
      <c r="D356" s="257"/>
      <c r="E356" s="258"/>
      <c r="F356" s="258"/>
      <c r="G356" s="258"/>
      <c r="H356" s="259"/>
      <c r="I356" s="258"/>
      <c r="J356" s="248"/>
      <c r="K356" s="256"/>
      <c r="L356" s="257"/>
      <c r="M356" s="257"/>
      <c r="N356" s="258"/>
      <c r="O356" s="258"/>
      <c r="P356" s="258"/>
      <c r="Q356" s="259"/>
      <c r="R356" s="258"/>
      <c r="S356" s="272"/>
    </row>
    <row r="357" spans="1:19">
      <c r="A357" s="249"/>
      <c r="B357" s="354"/>
      <c r="C357" s="250"/>
      <c r="D357" s="251"/>
      <c r="E357" s="252"/>
      <c r="F357" s="252"/>
      <c r="G357" s="252"/>
      <c r="H357" s="253"/>
      <c r="I357" s="252"/>
      <c r="J357" s="254"/>
      <c r="K357" s="250"/>
      <c r="L357" s="251"/>
      <c r="M357" s="251"/>
      <c r="N357" s="252"/>
      <c r="O357" s="252"/>
      <c r="P357" s="252"/>
      <c r="Q357" s="253"/>
      <c r="R357" s="252"/>
      <c r="S357" s="273"/>
    </row>
    <row r="358" spans="1:19">
      <c r="A358" s="255"/>
      <c r="B358" s="355"/>
      <c r="C358" s="256"/>
      <c r="D358" s="257"/>
      <c r="E358" s="258"/>
      <c r="F358" s="258"/>
      <c r="G358" s="258"/>
      <c r="H358" s="259"/>
      <c r="I358" s="258"/>
      <c r="J358" s="248"/>
      <c r="K358" s="256"/>
      <c r="L358" s="257"/>
      <c r="M358" s="257"/>
      <c r="N358" s="258"/>
      <c r="O358" s="258"/>
      <c r="P358" s="258"/>
      <c r="Q358" s="259"/>
      <c r="R358" s="258"/>
      <c r="S358" s="272"/>
    </row>
    <row r="359" spans="1:19">
      <c r="A359" s="249"/>
      <c r="B359" s="354"/>
      <c r="C359" s="250"/>
      <c r="D359" s="251"/>
      <c r="E359" s="252"/>
      <c r="F359" s="252"/>
      <c r="G359" s="252"/>
      <c r="H359" s="253"/>
      <c r="I359" s="252"/>
      <c r="J359" s="254"/>
      <c r="K359" s="250"/>
      <c r="L359" s="251"/>
      <c r="M359" s="251"/>
      <c r="N359" s="252"/>
      <c r="O359" s="252"/>
      <c r="P359" s="252"/>
      <c r="Q359" s="253"/>
      <c r="R359" s="252"/>
      <c r="S359" s="273"/>
    </row>
    <row r="360" spans="1:19">
      <c r="A360" s="255"/>
      <c r="B360" s="355"/>
      <c r="C360" s="256"/>
      <c r="D360" s="257"/>
      <c r="E360" s="258"/>
      <c r="F360" s="258"/>
      <c r="G360" s="258"/>
      <c r="H360" s="259"/>
      <c r="I360" s="258"/>
      <c r="J360" s="248"/>
      <c r="K360" s="256"/>
      <c r="L360" s="257"/>
      <c r="M360" s="257"/>
      <c r="N360" s="258"/>
      <c r="O360" s="258"/>
      <c r="P360" s="258"/>
      <c r="Q360" s="259"/>
      <c r="R360" s="258"/>
      <c r="S360" s="272"/>
    </row>
    <row r="361" spans="1:19">
      <c r="A361" s="249"/>
      <c r="B361" s="354"/>
      <c r="C361" s="250"/>
      <c r="D361" s="251"/>
      <c r="E361" s="252"/>
      <c r="F361" s="252"/>
      <c r="G361" s="252"/>
      <c r="H361" s="253"/>
      <c r="I361" s="252"/>
      <c r="J361" s="254"/>
      <c r="K361" s="250"/>
      <c r="L361" s="251"/>
      <c r="M361" s="251"/>
      <c r="N361" s="252"/>
      <c r="O361" s="252"/>
      <c r="P361" s="252"/>
      <c r="Q361" s="253"/>
      <c r="R361" s="252"/>
      <c r="S361" s="273"/>
    </row>
    <row r="362" spans="1:19">
      <c r="A362" s="255"/>
      <c r="B362" s="355"/>
      <c r="C362" s="256"/>
      <c r="D362" s="257"/>
      <c r="E362" s="258"/>
      <c r="F362" s="258"/>
      <c r="G362" s="258"/>
      <c r="H362" s="259"/>
      <c r="I362" s="258"/>
      <c r="J362" s="248"/>
      <c r="K362" s="256"/>
      <c r="L362" s="257"/>
      <c r="M362" s="257"/>
      <c r="N362" s="258"/>
      <c r="O362" s="258"/>
      <c r="P362" s="258"/>
      <c r="Q362" s="259"/>
      <c r="R362" s="258"/>
      <c r="S362" s="272"/>
    </row>
    <row r="363" spans="1:19">
      <c r="A363" s="249"/>
      <c r="B363" s="354"/>
      <c r="C363" s="250"/>
      <c r="D363" s="251"/>
      <c r="E363" s="252"/>
      <c r="F363" s="252"/>
      <c r="G363" s="252"/>
      <c r="H363" s="253"/>
      <c r="I363" s="252"/>
      <c r="J363" s="254"/>
      <c r="K363" s="250"/>
      <c r="L363" s="251"/>
      <c r="M363" s="251"/>
      <c r="N363" s="252"/>
      <c r="O363" s="252"/>
      <c r="P363" s="252"/>
      <c r="Q363" s="253"/>
      <c r="R363" s="252"/>
      <c r="S363" s="273"/>
    </row>
    <row r="364" spans="1:19">
      <c r="A364" s="255"/>
      <c r="B364" s="355"/>
      <c r="C364" s="256"/>
      <c r="D364" s="257"/>
      <c r="E364" s="258"/>
      <c r="F364" s="258"/>
      <c r="G364" s="258"/>
      <c r="H364" s="259"/>
      <c r="I364" s="258"/>
      <c r="J364" s="248"/>
      <c r="K364" s="256"/>
      <c r="L364" s="257"/>
      <c r="M364" s="257"/>
      <c r="N364" s="258"/>
      <c r="O364" s="258"/>
      <c r="P364" s="258"/>
      <c r="Q364" s="259"/>
      <c r="R364" s="258"/>
      <c r="S364" s="272"/>
    </row>
    <row r="365" spans="1:19">
      <c r="A365" s="249"/>
      <c r="B365" s="354"/>
      <c r="C365" s="250"/>
      <c r="D365" s="251"/>
      <c r="E365" s="252"/>
      <c r="F365" s="252"/>
      <c r="G365" s="252"/>
      <c r="H365" s="253"/>
      <c r="I365" s="252"/>
      <c r="J365" s="254"/>
      <c r="K365" s="250"/>
      <c r="L365" s="251"/>
      <c r="M365" s="251"/>
      <c r="N365" s="252"/>
      <c r="O365" s="252"/>
      <c r="P365" s="252"/>
      <c r="Q365" s="253"/>
      <c r="R365" s="252"/>
      <c r="S365" s="273"/>
    </row>
    <row r="366" spans="1:19">
      <c r="A366" s="255"/>
      <c r="B366" s="355"/>
      <c r="C366" s="256"/>
      <c r="D366" s="257"/>
      <c r="E366" s="258"/>
      <c r="F366" s="258"/>
      <c r="G366" s="258"/>
      <c r="H366" s="259"/>
      <c r="I366" s="258"/>
      <c r="J366" s="248"/>
      <c r="K366" s="256"/>
      <c r="L366" s="257"/>
      <c r="M366" s="257"/>
      <c r="N366" s="258"/>
      <c r="O366" s="258"/>
      <c r="P366" s="258"/>
      <c r="Q366" s="259"/>
      <c r="R366" s="258"/>
      <c r="S366" s="272"/>
    </row>
    <row r="367" spans="1:19">
      <c r="A367" s="249"/>
      <c r="B367" s="354"/>
      <c r="C367" s="250"/>
      <c r="D367" s="251"/>
      <c r="E367" s="252"/>
      <c r="F367" s="252"/>
      <c r="G367" s="252"/>
      <c r="H367" s="253"/>
      <c r="I367" s="252"/>
      <c r="J367" s="254"/>
      <c r="K367" s="250"/>
      <c r="L367" s="251"/>
      <c r="M367" s="251"/>
      <c r="N367" s="252"/>
      <c r="O367" s="252"/>
      <c r="P367" s="252"/>
      <c r="Q367" s="253"/>
      <c r="R367" s="252"/>
      <c r="S367" s="273"/>
    </row>
    <row r="368" spans="1:19">
      <c r="A368" s="255"/>
      <c r="B368" s="355"/>
      <c r="C368" s="256"/>
      <c r="D368" s="257"/>
      <c r="E368" s="258"/>
      <c r="F368" s="258"/>
      <c r="G368" s="258"/>
      <c r="H368" s="259"/>
      <c r="I368" s="258"/>
      <c r="J368" s="248"/>
      <c r="K368" s="256"/>
      <c r="L368" s="257"/>
      <c r="M368" s="257"/>
      <c r="N368" s="258"/>
      <c r="O368" s="258"/>
      <c r="P368" s="258"/>
      <c r="Q368" s="259"/>
      <c r="R368" s="258"/>
      <c r="S368" s="272"/>
    </row>
    <row r="369" spans="1:19">
      <c r="A369" s="249"/>
      <c r="B369" s="354"/>
      <c r="C369" s="250"/>
      <c r="D369" s="251"/>
      <c r="E369" s="252"/>
      <c r="F369" s="252"/>
      <c r="G369" s="252"/>
      <c r="H369" s="253"/>
      <c r="I369" s="252"/>
      <c r="J369" s="254"/>
      <c r="K369" s="250"/>
      <c r="L369" s="251"/>
      <c r="M369" s="251"/>
      <c r="N369" s="252"/>
      <c r="O369" s="252"/>
      <c r="P369" s="252"/>
      <c r="Q369" s="253"/>
      <c r="R369" s="252"/>
      <c r="S369" s="273"/>
    </row>
    <row r="370" spans="1:19">
      <c r="A370" s="255"/>
      <c r="B370" s="355"/>
      <c r="C370" s="256"/>
      <c r="D370" s="257"/>
      <c r="E370" s="258"/>
      <c r="F370" s="258"/>
      <c r="G370" s="258"/>
      <c r="H370" s="259"/>
      <c r="I370" s="258"/>
      <c r="J370" s="248"/>
      <c r="K370" s="256"/>
      <c r="L370" s="257"/>
      <c r="M370" s="257"/>
      <c r="N370" s="258"/>
      <c r="O370" s="258"/>
      <c r="P370" s="258"/>
      <c r="Q370" s="259"/>
      <c r="R370" s="258"/>
      <c r="S370" s="272"/>
    </row>
    <row r="371" spans="1:19">
      <c r="A371" s="249"/>
      <c r="B371" s="354"/>
      <c r="C371" s="250"/>
      <c r="D371" s="251"/>
      <c r="E371" s="252"/>
      <c r="F371" s="252"/>
      <c r="G371" s="252"/>
      <c r="H371" s="253"/>
      <c r="I371" s="252"/>
      <c r="J371" s="254"/>
      <c r="K371" s="250"/>
      <c r="L371" s="251"/>
      <c r="M371" s="251"/>
      <c r="N371" s="252"/>
      <c r="O371" s="252"/>
      <c r="P371" s="252"/>
      <c r="Q371" s="253"/>
      <c r="R371" s="252"/>
      <c r="S371" s="273"/>
    </row>
    <row r="372" spans="1:19">
      <c r="A372" s="255"/>
      <c r="B372" s="355"/>
      <c r="C372" s="256"/>
      <c r="D372" s="257"/>
      <c r="E372" s="258"/>
      <c r="F372" s="258"/>
      <c r="G372" s="258"/>
      <c r="H372" s="259"/>
      <c r="I372" s="258"/>
      <c r="J372" s="248"/>
      <c r="K372" s="256"/>
      <c r="L372" s="257"/>
      <c r="M372" s="257"/>
      <c r="N372" s="258"/>
      <c r="O372" s="258"/>
      <c r="P372" s="258"/>
      <c r="Q372" s="259"/>
      <c r="R372" s="258"/>
      <c r="S372" s="272"/>
    </row>
    <row r="373" spans="1:19">
      <c r="A373" s="249"/>
      <c r="B373" s="354"/>
      <c r="C373" s="250"/>
      <c r="D373" s="251"/>
      <c r="E373" s="252"/>
      <c r="F373" s="252"/>
      <c r="G373" s="252"/>
      <c r="H373" s="253"/>
      <c r="I373" s="252"/>
      <c r="J373" s="254"/>
      <c r="K373" s="250"/>
      <c r="L373" s="251"/>
      <c r="M373" s="251"/>
      <c r="N373" s="252"/>
      <c r="O373" s="252"/>
      <c r="P373" s="252"/>
      <c r="Q373" s="253"/>
      <c r="R373" s="252"/>
      <c r="S373" s="273"/>
    </row>
    <row r="374" spans="1:19">
      <c r="A374" s="255"/>
      <c r="B374" s="355"/>
      <c r="C374" s="256"/>
      <c r="D374" s="257"/>
      <c r="E374" s="258"/>
      <c r="F374" s="258"/>
      <c r="G374" s="258"/>
      <c r="H374" s="259"/>
      <c r="I374" s="258"/>
      <c r="J374" s="248"/>
      <c r="K374" s="256"/>
      <c r="L374" s="257"/>
      <c r="M374" s="257"/>
      <c r="N374" s="258"/>
      <c r="O374" s="258"/>
      <c r="P374" s="258"/>
      <c r="Q374" s="259"/>
      <c r="R374" s="258"/>
      <c r="S374" s="272"/>
    </row>
    <row r="375" spans="1:19">
      <c r="A375" s="249"/>
      <c r="B375" s="354"/>
      <c r="C375" s="250"/>
      <c r="D375" s="251"/>
      <c r="E375" s="252"/>
      <c r="F375" s="252"/>
      <c r="G375" s="252"/>
      <c r="H375" s="253"/>
      <c r="I375" s="252"/>
      <c r="J375" s="254"/>
      <c r="K375" s="250"/>
      <c r="L375" s="251"/>
      <c r="M375" s="251"/>
      <c r="N375" s="252"/>
      <c r="O375" s="252"/>
      <c r="P375" s="252"/>
      <c r="Q375" s="253"/>
      <c r="R375" s="252"/>
      <c r="S375" s="273"/>
    </row>
    <row r="376" spans="1:19">
      <c r="A376" s="255"/>
      <c r="B376" s="355"/>
      <c r="C376" s="256"/>
      <c r="D376" s="257"/>
      <c r="E376" s="258"/>
      <c r="F376" s="258"/>
      <c r="G376" s="258"/>
      <c r="H376" s="259"/>
      <c r="I376" s="258"/>
      <c r="J376" s="248"/>
      <c r="K376" s="256"/>
      <c r="L376" s="257"/>
      <c r="M376" s="257"/>
      <c r="N376" s="258"/>
      <c r="O376" s="258"/>
      <c r="P376" s="258"/>
      <c r="Q376" s="259"/>
      <c r="R376" s="258"/>
      <c r="S376" s="272"/>
    </row>
    <row r="377" spans="1:19">
      <c r="A377" s="249"/>
      <c r="B377" s="354"/>
      <c r="C377" s="250"/>
      <c r="D377" s="251"/>
      <c r="E377" s="252"/>
      <c r="F377" s="252"/>
      <c r="G377" s="252"/>
      <c r="H377" s="253"/>
      <c r="I377" s="252"/>
      <c r="J377" s="254"/>
      <c r="K377" s="250"/>
      <c r="L377" s="251"/>
      <c r="M377" s="251"/>
      <c r="N377" s="252"/>
      <c r="O377" s="252"/>
      <c r="P377" s="252"/>
      <c r="Q377" s="253"/>
      <c r="R377" s="252"/>
      <c r="S377" s="273"/>
    </row>
    <row r="378" spans="1:19">
      <c r="A378" s="255"/>
      <c r="B378" s="355"/>
      <c r="C378" s="256"/>
      <c r="D378" s="257"/>
      <c r="E378" s="258"/>
      <c r="F378" s="258"/>
      <c r="G378" s="258"/>
      <c r="H378" s="259"/>
      <c r="I378" s="258"/>
      <c r="J378" s="248"/>
      <c r="K378" s="256"/>
      <c r="L378" s="257"/>
      <c r="M378" s="257"/>
      <c r="N378" s="258"/>
      <c r="O378" s="258"/>
      <c r="P378" s="258"/>
      <c r="Q378" s="259"/>
      <c r="R378" s="258"/>
      <c r="S378" s="272"/>
    </row>
    <row r="379" spans="1:19">
      <c r="A379" s="249"/>
      <c r="B379" s="354"/>
      <c r="C379" s="250"/>
      <c r="D379" s="251"/>
      <c r="E379" s="252"/>
      <c r="F379" s="252"/>
      <c r="G379" s="252"/>
      <c r="H379" s="253"/>
      <c r="I379" s="252"/>
      <c r="J379" s="254"/>
      <c r="K379" s="250"/>
      <c r="L379" s="251"/>
      <c r="M379" s="251"/>
      <c r="N379" s="252"/>
      <c r="O379" s="252"/>
      <c r="P379" s="252"/>
      <c r="Q379" s="253"/>
      <c r="R379" s="252"/>
      <c r="S379" s="273"/>
    </row>
    <row r="380" spans="1:19">
      <c r="A380" s="255"/>
      <c r="B380" s="355"/>
      <c r="C380" s="256"/>
      <c r="D380" s="257"/>
      <c r="E380" s="258"/>
      <c r="F380" s="258"/>
      <c r="G380" s="258"/>
      <c r="H380" s="259"/>
      <c r="I380" s="258"/>
      <c r="J380" s="248"/>
      <c r="K380" s="256"/>
      <c r="L380" s="257"/>
      <c r="M380" s="257"/>
      <c r="N380" s="258"/>
      <c r="O380" s="258"/>
      <c r="P380" s="258"/>
      <c r="Q380" s="259"/>
      <c r="R380" s="258"/>
      <c r="S380" s="272"/>
    </row>
    <row r="381" spans="1:19">
      <c r="A381" s="249"/>
      <c r="B381" s="354"/>
      <c r="C381" s="250"/>
      <c r="D381" s="251"/>
      <c r="E381" s="252"/>
      <c r="F381" s="252"/>
      <c r="G381" s="252"/>
      <c r="H381" s="253"/>
      <c r="I381" s="252"/>
      <c r="J381" s="254"/>
      <c r="K381" s="250"/>
      <c r="L381" s="251"/>
      <c r="M381" s="251"/>
      <c r="N381" s="252"/>
      <c r="O381" s="252"/>
      <c r="P381" s="252"/>
      <c r="Q381" s="253"/>
      <c r="R381" s="252"/>
      <c r="S381" s="273"/>
    </row>
    <row r="382" spans="1:19">
      <c r="A382" s="255"/>
      <c r="B382" s="355"/>
      <c r="C382" s="256"/>
      <c r="D382" s="257"/>
      <c r="E382" s="258"/>
      <c r="F382" s="258"/>
      <c r="G382" s="258"/>
      <c r="H382" s="259"/>
      <c r="I382" s="258"/>
      <c r="J382" s="248"/>
      <c r="K382" s="256"/>
      <c r="L382" s="257"/>
      <c r="M382" s="257"/>
      <c r="N382" s="258"/>
      <c r="O382" s="258"/>
      <c r="P382" s="258"/>
      <c r="Q382" s="259"/>
      <c r="R382" s="258"/>
      <c r="S382" s="272"/>
    </row>
    <row r="383" spans="1:19">
      <c r="A383" s="249"/>
      <c r="B383" s="354"/>
      <c r="C383" s="250"/>
      <c r="D383" s="251"/>
      <c r="E383" s="252"/>
      <c r="F383" s="252"/>
      <c r="G383" s="252"/>
      <c r="H383" s="253"/>
      <c r="I383" s="252"/>
      <c r="J383" s="254"/>
      <c r="K383" s="250"/>
      <c r="L383" s="251"/>
      <c r="M383" s="251"/>
      <c r="N383" s="252"/>
      <c r="O383" s="252"/>
      <c r="P383" s="252"/>
      <c r="Q383" s="253"/>
      <c r="R383" s="252"/>
      <c r="S383" s="273"/>
    </row>
    <row r="384" spans="1:19">
      <c r="A384" s="255"/>
      <c r="B384" s="355"/>
      <c r="C384" s="256"/>
      <c r="D384" s="257"/>
      <c r="E384" s="258"/>
      <c r="F384" s="258"/>
      <c r="G384" s="258"/>
      <c r="H384" s="259"/>
      <c r="I384" s="258"/>
      <c r="J384" s="248"/>
      <c r="K384" s="256"/>
      <c r="L384" s="257"/>
      <c r="M384" s="257"/>
      <c r="N384" s="258"/>
      <c r="O384" s="258"/>
      <c r="P384" s="258"/>
      <c r="Q384" s="259"/>
      <c r="R384" s="258"/>
      <c r="S384" s="272"/>
    </row>
    <row r="385" spans="1:19">
      <c r="A385" s="249"/>
      <c r="B385" s="354"/>
      <c r="C385" s="250"/>
      <c r="D385" s="251"/>
      <c r="E385" s="252"/>
      <c r="F385" s="252"/>
      <c r="G385" s="252"/>
      <c r="H385" s="253"/>
      <c r="I385" s="252"/>
      <c r="J385" s="254"/>
      <c r="K385" s="250"/>
      <c r="L385" s="251"/>
      <c r="M385" s="251"/>
      <c r="N385" s="252"/>
      <c r="O385" s="252"/>
      <c r="P385" s="252"/>
      <c r="Q385" s="253"/>
      <c r="R385" s="252"/>
      <c r="S385" s="273"/>
    </row>
    <row r="386" spans="1:19">
      <c r="A386" s="255"/>
      <c r="B386" s="355"/>
      <c r="C386" s="256"/>
      <c r="D386" s="257"/>
      <c r="E386" s="258"/>
      <c r="F386" s="258"/>
      <c r="G386" s="258"/>
      <c r="H386" s="259"/>
      <c r="I386" s="258"/>
      <c r="J386" s="248"/>
      <c r="K386" s="256"/>
      <c r="L386" s="257"/>
      <c r="M386" s="257"/>
      <c r="N386" s="258"/>
      <c r="O386" s="258"/>
      <c r="P386" s="258"/>
      <c r="Q386" s="259"/>
      <c r="R386" s="258"/>
      <c r="S386" s="272"/>
    </row>
    <row r="387" spans="1:19">
      <c r="A387" s="249"/>
      <c r="B387" s="354"/>
      <c r="C387" s="250"/>
      <c r="D387" s="251"/>
      <c r="E387" s="252"/>
      <c r="F387" s="252"/>
      <c r="G387" s="252"/>
      <c r="H387" s="253"/>
      <c r="I387" s="252"/>
      <c r="J387" s="254"/>
      <c r="K387" s="250"/>
      <c r="L387" s="251"/>
      <c r="M387" s="251"/>
      <c r="N387" s="252"/>
      <c r="O387" s="252"/>
      <c r="P387" s="252"/>
      <c r="Q387" s="253"/>
      <c r="R387" s="252"/>
      <c r="S387" s="273"/>
    </row>
    <row r="388" spans="1:19">
      <c r="A388" s="255"/>
      <c r="B388" s="355"/>
      <c r="C388" s="256"/>
      <c r="D388" s="257"/>
      <c r="E388" s="258"/>
      <c r="F388" s="258"/>
      <c r="G388" s="258"/>
      <c r="H388" s="259"/>
      <c r="I388" s="258"/>
      <c r="J388" s="248"/>
      <c r="K388" s="256"/>
      <c r="L388" s="257"/>
      <c r="M388" s="257"/>
      <c r="N388" s="258"/>
      <c r="O388" s="258"/>
      <c r="P388" s="258"/>
      <c r="Q388" s="259"/>
      <c r="R388" s="258"/>
      <c r="S388" s="272"/>
    </row>
    <row r="389" spans="1:19">
      <c r="A389" s="249"/>
      <c r="B389" s="354"/>
      <c r="C389" s="250"/>
      <c r="D389" s="251"/>
      <c r="E389" s="252"/>
      <c r="F389" s="252"/>
      <c r="G389" s="252"/>
      <c r="H389" s="253"/>
      <c r="I389" s="252"/>
      <c r="J389" s="254"/>
      <c r="K389" s="250"/>
      <c r="L389" s="251"/>
      <c r="M389" s="251"/>
      <c r="N389" s="252"/>
      <c r="O389" s="252"/>
      <c r="P389" s="252"/>
      <c r="Q389" s="253"/>
      <c r="R389" s="252"/>
      <c r="S389" s="273"/>
    </row>
    <row r="390" spans="1:19">
      <c r="A390" s="255"/>
      <c r="B390" s="355"/>
      <c r="C390" s="256"/>
      <c r="D390" s="257"/>
      <c r="E390" s="258"/>
      <c r="F390" s="258"/>
      <c r="G390" s="258"/>
      <c r="H390" s="259"/>
      <c r="I390" s="258"/>
      <c r="J390" s="248"/>
      <c r="K390" s="256"/>
      <c r="L390" s="257"/>
      <c r="M390" s="257"/>
      <c r="N390" s="258"/>
      <c r="O390" s="258"/>
      <c r="P390" s="258"/>
      <c r="Q390" s="259"/>
      <c r="R390" s="258"/>
      <c r="S390" s="272"/>
    </row>
    <row r="391" spans="1:19">
      <c r="A391" s="249"/>
      <c r="B391" s="354"/>
      <c r="C391" s="250"/>
      <c r="D391" s="251"/>
      <c r="E391" s="252"/>
      <c r="F391" s="252"/>
      <c r="G391" s="252"/>
      <c r="H391" s="253"/>
      <c r="I391" s="252"/>
      <c r="J391" s="254"/>
      <c r="K391" s="250"/>
      <c r="L391" s="251"/>
      <c r="M391" s="251"/>
      <c r="N391" s="252"/>
      <c r="O391" s="252"/>
      <c r="P391" s="252"/>
      <c r="Q391" s="253"/>
      <c r="R391" s="252"/>
      <c r="S391" s="273"/>
    </row>
    <row r="392" spans="1:19">
      <c r="A392" s="255"/>
      <c r="B392" s="355"/>
      <c r="C392" s="256"/>
      <c r="D392" s="257"/>
      <c r="E392" s="258"/>
      <c r="F392" s="258"/>
      <c r="G392" s="258"/>
      <c r="H392" s="259"/>
      <c r="I392" s="258"/>
      <c r="J392" s="248"/>
      <c r="K392" s="256"/>
      <c r="L392" s="257"/>
      <c r="M392" s="257"/>
      <c r="N392" s="258"/>
      <c r="O392" s="258"/>
      <c r="P392" s="258"/>
      <c r="Q392" s="259"/>
      <c r="R392" s="258"/>
      <c r="S392" s="272"/>
    </row>
    <row r="393" spans="1:19">
      <c r="A393" s="249"/>
      <c r="B393" s="354"/>
      <c r="C393" s="250"/>
      <c r="D393" s="251"/>
      <c r="E393" s="252"/>
      <c r="F393" s="252"/>
      <c r="G393" s="252"/>
      <c r="H393" s="253"/>
      <c r="I393" s="252"/>
      <c r="J393" s="254"/>
      <c r="K393" s="250"/>
      <c r="L393" s="251"/>
      <c r="M393" s="251"/>
      <c r="N393" s="252"/>
      <c r="O393" s="252"/>
      <c r="P393" s="252"/>
      <c r="Q393" s="253"/>
      <c r="R393" s="252"/>
      <c r="S393" s="273"/>
    </row>
    <row r="394" spans="1:19">
      <c r="A394" s="255"/>
      <c r="B394" s="355"/>
      <c r="C394" s="256"/>
      <c r="D394" s="257"/>
      <c r="E394" s="258"/>
      <c r="F394" s="258"/>
      <c r="G394" s="258"/>
      <c r="H394" s="259"/>
      <c r="I394" s="258"/>
      <c r="J394" s="248"/>
      <c r="K394" s="256"/>
      <c r="L394" s="257"/>
      <c r="M394" s="257"/>
      <c r="N394" s="258"/>
      <c r="O394" s="258"/>
      <c r="P394" s="258"/>
      <c r="Q394" s="259"/>
      <c r="R394" s="258"/>
      <c r="S394" s="272"/>
    </row>
    <row r="395" spans="1:19">
      <c r="A395" s="249"/>
      <c r="B395" s="354"/>
      <c r="C395" s="250"/>
      <c r="D395" s="251"/>
      <c r="E395" s="252"/>
      <c r="F395" s="252"/>
      <c r="G395" s="252"/>
      <c r="H395" s="253"/>
      <c r="I395" s="252"/>
      <c r="J395" s="254"/>
      <c r="K395" s="250"/>
      <c r="L395" s="251"/>
      <c r="M395" s="251"/>
      <c r="N395" s="252"/>
      <c r="O395" s="252"/>
      <c r="P395" s="252"/>
      <c r="Q395" s="253"/>
      <c r="R395" s="252"/>
      <c r="S395" s="273"/>
    </row>
    <row r="396" spans="1:19">
      <c r="A396" s="255"/>
      <c r="B396" s="355"/>
      <c r="C396" s="256"/>
      <c r="D396" s="257"/>
      <c r="E396" s="258"/>
      <c r="F396" s="258"/>
      <c r="G396" s="258"/>
      <c r="H396" s="259"/>
      <c r="I396" s="258"/>
      <c r="J396" s="248"/>
      <c r="K396" s="256"/>
      <c r="L396" s="257"/>
      <c r="M396" s="257"/>
      <c r="N396" s="258"/>
      <c r="O396" s="258"/>
      <c r="P396" s="258"/>
      <c r="Q396" s="259"/>
      <c r="R396" s="258"/>
      <c r="S396" s="272"/>
    </row>
    <row r="397" spans="1:19">
      <c r="A397" s="249"/>
      <c r="B397" s="354"/>
      <c r="C397" s="250"/>
      <c r="D397" s="251"/>
      <c r="E397" s="252"/>
      <c r="F397" s="252"/>
      <c r="G397" s="252"/>
      <c r="H397" s="253"/>
      <c r="I397" s="252"/>
      <c r="J397" s="254"/>
      <c r="K397" s="250"/>
      <c r="L397" s="251"/>
      <c r="M397" s="251"/>
      <c r="N397" s="252"/>
      <c r="O397" s="252"/>
      <c r="P397" s="252"/>
      <c r="Q397" s="253"/>
      <c r="R397" s="252"/>
      <c r="S397" s="273"/>
    </row>
    <row r="398" spans="1:19">
      <c r="A398" s="255"/>
      <c r="B398" s="355"/>
      <c r="C398" s="256"/>
      <c r="D398" s="257"/>
      <c r="E398" s="258"/>
      <c r="F398" s="258"/>
      <c r="G398" s="258"/>
      <c r="H398" s="259"/>
      <c r="I398" s="258"/>
      <c r="J398" s="248"/>
      <c r="K398" s="256"/>
      <c r="L398" s="257"/>
      <c r="M398" s="257"/>
      <c r="N398" s="258"/>
      <c r="O398" s="258"/>
      <c r="P398" s="258"/>
      <c r="Q398" s="259"/>
      <c r="R398" s="258"/>
      <c r="S398" s="272"/>
    </row>
    <row r="399" spans="1:19">
      <c r="A399" s="249"/>
      <c r="B399" s="354"/>
      <c r="C399" s="250"/>
      <c r="D399" s="251"/>
      <c r="E399" s="252"/>
      <c r="F399" s="252"/>
      <c r="G399" s="252"/>
      <c r="H399" s="253"/>
      <c r="I399" s="252"/>
      <c r="J399" s="254"/>
      <c r="K399" s="250"/>
      <c r="L399" s="251"/>
      <c r="M399" s="251"/>
      <c r="N399" s="252"/>
      <c r="O399" s="252"/>
      <c r="P399" s="252"/>
      <c r="Q399" s="253"/>
      <c r="R399" s="252"/>
      <c r="S399" s="273"/>
    </row>
    <row r="400" spans="1:19">
      <c r="A400" s="255"/>
      <c r="B400" s="355"/>
      <c r="C400" s="256"/>
      <c r="D400" s="257"/>
      <c r="E400" s="258"/>
      <c r="F400" s="258"/>
      <c r="G400" s="258"/>
      <c r="H400" s="259"/>
      <c r="I400" s="258"/>
      <c r="J400" s="248"/>
      <c r="K400" s="256"/>
      <c r="L400" s="257"/>
      <c r="M400" s="257"/>
      <c r="N400" s="258"/>
      <c r="O400" s="258"/>
      <c r="P400" s="258"/>
      <c r="Q400" s="259"/>
      <c r="R400" s="258"/>
      <c r="S400" s="272"/>
    </row>
    <row r="401" spans="1:19">
      <c r="A401" s="249"/>
      <c r="B401" s="354"/>
      <c r="C401" s="250"/>
      <c r="D401" s="251"/>
      <c r="E401" s="252"/>
      <c r="F401" s="252"/>
      <c r="G401" s="252"/>
      <c r="H401" s="253"/>
      <c r="I401" s="252"/>
      <c r="J401" s="254"/>
      <c r="K401" s="250"/>
      <c r="L401" s="251"/>
      <c r="M401" s="251"/>
      <c r="N401" s="252"/>
      <c r="O401" s="252"/>
      <c r="P401" s="252"/>
      <c r="Q401" s="253"/>
      <c r="R401" s="252"/>
      <c r="S401" s="273"/>
    </row>
    <row r="402" spans="1:19">
      <c r="A402" s="255"/>
      <c r="B402" s="355"/>
      <c r="C402" s="256"/>
      <c r="D402" s="257"/>
      <c r="E402" s="258"/>
      <c r="F402" s="258"/>
      <c r="G402" s="258"/>
      <c r="H402" s="259"/>
      <c r="I402" s="258"/>
      <c r="J402" s="248"/>
      <c r="K402" s="256"/>
      <c r="L402" s="257"/>
      <c r="M402" s="257"/>
      <c r="N402" s="258"/>
      <c r="O402" s="258"/>
      <c r="P402" s="258"/>
      <c r="Q402" s="259"/>
      <c r="R402" s="258"/>
      <c r="S402" s="272"/>
    </row>
    <row r="403" spans="1:19">
      <c r="A403" s="249"/>
      <c r="B403" s="354"/>
      <c r="C403" s="250"/>
      <c r="D403" s="251"/>
      <c r="E403" s="252"/>
      <c r="F403" s="252"/>
      <c r="G403" s="252"/>
      <c r="H403" s="253"/>
      <c r="I403" s="252"/>
      <c r="J403" s="254"/>
      <c r="K403" s="250"/>
      <c r="L403" s="251"/>
      <c r="M403" s="251"/>
      <c r="N403" s="252"/>
      <c r="O403" s="252"/>
      <c r="P403" s="252"/>
      <c r="Q403" s="253"/>
      <c r="R403" s="252"/>
      <c r="S403" s="273"/>
    </row>
    <row r="404" spans="1:19">
      <c r="A404" s="255"/>
      <c r="B404" s="355"/>
      <c r="C404" s="256"/>
      <c r="D404" s="257"/>
      <c r="E404" s="258"/>
      <c r="F404" s="258"/>
      <c r="G404" s="258"/>
      <c r="H404" s="259"/>
      <c r="I404" s="258"/>
      <c r="J404" s="248"/>
      <c r="K404" s="256"/>
      <c r="L404" s="257"/>
      <c r="M404" s="257"/>
      <c r="N404" s="258"/>
      <c r="O404" s="258"/>
      <c r="P404" s="258"/>
      <c r="Q404" s="259"/>
      <c r="R404" s="258"/>
      <c r="S404" s="272"/>
    </row>
    <row r="405" spans="1:19">
      <c r="A405" s="249"/>
      <c r="B405" s="354"/>
      <c r="C405" s="250"/>
      <c r="D405" s="251"/>
      <c r="E405" s="252"/>
      <c r="F405" s="252"/>
      <c r="G405" s="252"/>
      <c r="H405" s="253"/>
      <c r="I405" s="252"/>
      <c r="J405" s="254"/>
      <c r="K405" s="250"/>
      <c r="L405" s="251"/>
      <c r="M405" s="251"/>
      <c r="N405" s="252"/>
      <c r="O405" s="252"/>
      <c r="P405" s="252"/>
      <c r="Q405" s="253"/>
      <c r="R405" s="252"/>
      <c r="S405" s="273"/>
    </row>
    <row r="406" spans="1:19">
      <c r="A406" s="255"/>
      <c r="B406" s="355"/>
      <c r="C406" s="256"/>
      <c r="D406" s="257"/>
      <c r="E406" s="258"/>
      <c r="F406" s="258"/>
      <c r="G406" s="258"/>
      <c r="H406" s="259"/>
      <c r="I406" s="258"/>
      <c r="J406" s="248"/>
      <c r="K406" s="256"/>
      <c r="L406" s="257"/>
      <c r="M406" s="257"/>
      <c r="N406" s="258"/>
      <c r="O406" s="258"/>
      <c r="P406" s="258"/>
      <c r="Q406" s="259"/>
      <c r="R406" s="258"/>
      <c r="S406" s="272"/>
    </row>
    <row r="407" spans="1:19">
      <c r="A407" s="249"/>
      <c r="B407" s="354"/>
      <c r="C407" s="250"/>
      <c r="D407" s="251"/>
      <c r="E407" s="252"/>
      <c r="F407" s="252"/>
      <c r="G407" s="252"/>
      <c r="H407" s="253"/>
      <c r="I407" s="252"/>
      <c r="J407" s="254"/>
      <c r="K407" s="250"/>
      <c r="L407" s="251"/>
      <c r="M407" s="251"/>
      <c r="N407" s="252"/>
      <c r="O407" s="252"/>
      <c r="P407" s="252"/>
      <c r="Q407" s="253"/>
      <c r="R407" s="252"/>
      <c r="S407" s="273"/>
    </row>
    <row r="408" spans="1:19">
      <c r="A408" s="255"/>
      <c r="B408" s="355"/>
      <c r="C408" s="256"/>
      <c r="D408" s="257"/>
      <c r="E408" s="258"/>
      <c r="F408" s="258"/>
      <c r="G408" s="258"/>
      <c r="H408" s="259"/>
      <c r="I408" s="258"/>
      <c r="J408" s="248"/>
      <c r="K408" s="256"/>
      <c r="L408" s="257"/>
      <c r="M408" s="257"/>
      <c r="N408" s="258"/>
      <c r="O408" s="258"/>
      <c r="P408" s="258"/>
      <c r="Q408" s="259"/>
      <c r="R408" s="258"/>
      <c r="S408" s="272"/>
    </row>
    <row r="409" spans="1:19">
      <c r="A409" s="249"/>
      <c r="B409" s="354"/>
      <c r="C409" s="250"/>
      <c r="D409" s="251"/>
      <c r="E409" s="252"/>
      <c r="F409" s="252"/>
      <c r="G409" s="252"/>
      <c r="H409" s="253"/>
      <c r="I409" s="252"/>
      <c r="J409" s="254"/>
      <c r="K409" s="250"/>
      <c r="L409" s="251"/>
      <c r="M409" s="251"/>
      <c r="N409" s="252"/>
      <c r="O409" s="252"/>
      <c r="P409" s="252"/>
      <c r="Q409" s="253"/>
      <c r="R409" s="252"/>
      <c r="S409" s="273"/>
    </row>
    <row r="410" spans="1:19">
      <c r="A410" s="255"/>
      <c r="B410" s="355"/>
      <c r="C410" s="256"/>
      <c r="D410" s="257"/>
      <c r="E410" s="258"/>
      <c r="F410" s="258"/>
      <c r="G410" s="258"/>
      <c r="H410" s="259"/>
      <c r="I410" s="258"/>
      <c r="J410" s="248"/>
      <c r="K410" s="256"/>
      <c r="L410" s="257"/>
      <c r="M410" s="257"/>
      <c r="N410" s="258"/>
      <c r="O410" s="258"/>
      <c r="P410" s="258"/>
      <c r="Q410" s="259"/>
      <c r="R410" s="258"/>
      <c r="S410" s="272"/>
    </row>
    <row r="411" spans="1:19">
      <c r="A411" s="249"/>
      <c r="B411" s="354"/>
      <c r="C411" s="250"/>
      <c r="D411" s="251"/>
      <c r="E411" s="252"/>
      <c r="F411" s="252"/>
      <c r="G411" s="252"/>
      <c r="H411" s="253"/>
      <c r="I411" s="252"/>
      <c r="J411" s="254"/>
      <c r="K411" s="250"/>
      <c r="L411" s="251"/>
      <c r="M411" s="251"/>
      <c r="N411" s="252"/>
      <c r="O411" s="252"/>
      <c r="P411" s="252"/>
      <c r="Q411" s="253"/>
      <c r="R411" s="252"/>
      <c r="S411" s="273"/>
    </row>
    <row r="412" spans="1:19">
      <c r="A412" s="255"/>
      <c r="B412" s="355"/>
      <c r="C412" s="256"/>
      <c r="D412" s="257"/>
      <c r="E412" s="258"/>
      <c r="F412" s="258"/>
      <c r="G412" s="258"/>
      <c r="H412" s="259"/>
      <c r="I412" s="258"/>
      <c r="J412" s="248"/>
      <c r="K412" s="256"/>
      <c r="L412" s="257"/>
      <c r="M412" s="257"/>
      <c r="N412" s="258"/>
      <c r="O412" s="258"/>
      <c r="P412" s="258"/>
      <c r="Q412" s="259"/>
      <c r="R412" s="258"/>
      <c r="S412" s="272"/>
    </row>
    <row r="413" spans="1:19">
      <c r="A413" s="249"/>
      <c r="B413" s="354"/>
      <c r="C413" s="250"/>
      <c r="D413" s="251"/>
      <c r="E413" s="252"/>
      <c r="F413" s="252"/>
      <c r="G413" s="252"/>
      <c r="H413" s="253"/>
      <c r="I413" s="252"/>
      <c r="J413" s="254"/>
      <c r="K413" s="250"/>
      <c r="L413" s="251"/>
      <c r="M413" s="251"/>
      <c r="N413" s="252"/>
      <c r="O413" s="252"/>
      <c r="P413" s="252"/>
      <c r="Q413" s="253"/>
      <c r="R413" s="252"/>
      <c r="S413" s="273"/>
    </row>
    <row r="414" spans="1:19">
      <c r="A414" s="255"/>
      <c r="B414" s="355"/>
      <c r="C414" s="256"/>
      <c r="D414" s="257"/>
      <c r="E414" s="258"/>
      <c r="F414" s="258"/>
      <c r="G414" s="258"/>
      <c r="H414" s="259"/>
      <c r="I414" s="258"/>
      <c r="J414" s="248"/>
      <c r="K414" s="256"/>
      <c r="L414" s="257"/>
      <c r="M414" s="257"/>
      <c r="N414" s="258"/>
      <c r="O414" s="258"/>
      <c r="P414" s="258"/>
      <c r="Q414" s="259"/>
      <c r="R414" s="258"/>
      <c r="S414" s="272"/>
    </row>
    <row r="415" spans="1:19">
      <c r="A415" s="249"/>
      <c r="B415" s="354"/>
      <c r="C415" s="250"/>
      <c r="D415" s="251"/>
      <c r="E415" s="252"/>
      <c r="F415" s="252"/>
      <c r="G415" s="252"/>
      <c r="H415" s="253"/>
      <c r="I415" s="252"/>
      <c r="J415" s="254"/>
      <c r="K415" s="250"/>
      <c r="L415" s="251"/>
      <c r="M415" s="251"/>
      <c r="N415" s="252"/>
      <c r="O415" s="252"/>
      <c r="P415" s="252"/>
      <c r="Q415" s="253"/>
      <c r="R415" s="252"/>
      <c r="S415" s="273"/>
    </row>
    <row r="416" spans="1:19">
      <c r="A416" s="255"/>
      <c r="B416" s="355"/>
      <c r="C416" s="256"/>
      <c r="D416" s="257"/>
      <c r="E416" s="258"/>
      <c r="F416" s="258"/>
      <c r="G416" s="258"/>
      <c r="H416" s="259"/>
      <c r="I416" s="258"/>
      <c r="J416" s="248"/>
      <c r="K416" s="256"/>
      <c r="L416" s="257"/>
      <c r="M416" s="257"/>
      <c r="N416" s="258"/>
      <c r="O416" s="258"/>
      <c r="P416" s="258"/>
      <c r="Q416" s="259"/>
      <c r="R416" s="258"/>
      <c r="S416" s="272"/>
    </row>
    <row r="417" spans="1:19">
      <c r="A417" s="249"/>
      <c r="B417" s="354"/>
      <c r="C417" s="250"/>
      <c r="D417" s="251"/>
      <c r="E417" s="252"/>
      <c r="F417" s="252"/>
      <c r="G417" s="252"/>
      <c r="H417" s="253"/>
      <c r="I417" s="252"/>
      <c r="J417" s="254"/>
      <c r="K417" s="250"/>
      <c r="L417" s="251"/>
      <c r="M417" s="251"/>
      <c r="N417" s="252"/>
      <c r="O417" s="252"/>
      <c r="P417" s="252"/>
      <c r="Q417" s="253"/>
      <c r="R417" s="252"/>
      <c r="S417" s="273"/>
    </row>
    <row r="418" spans="1:19">
      <c r="A418" s="255"/>
      <c r="B418" s="355"/>
      <c r="C418" s="256"/>
      <c r="D418" s="257"/>
      <c r="E418" s="258"/>
      <c r="F418" s="258"/>
      <c r="G418" s="258"/>
      <c r="H418" s="259"/>
      <c r="I418" s="258"/>
      <c r="J418" s="248"/>
      <c r="K418" s="256"/>
      <c r="L418" s="257"/>
      <c r="M418" s="257"/>
      <c r="N418" s="258"/>
      <c r="O418" s="258"/>
      <c r="P418" s="258"/>
      <c r="Q418" s="259"/>
      <c r="R418" s="258"/>
      <c r="S418" s="272"/>
    </row>
    <row r="419" spans="1:19">
      <c r="A419" s="249"/>
      <c r="B419" s="354"/>
      <c r="C419" s="250"/>
      <c r="D419" s="251"/>
      <c r="E419" s="252"/>
      <c r="F419" s="252"/>
      <c r="G419" s="252"/>
      <c r="H419" s="253"/>
      <c r="I419" s="252"/>
      <c r="J419" s="254"/>
      <c r="K419" s="250"/>
      <c r="L419" s="251"/>
      <c r="M419" s="251"/>
      <c r="N419" s="252"/>
      <c r="O419" s="252"/>
      <c r="P419" s="252"/>
      <c r="Q419" s="253"/>
      <c r="R419" s="252"/>
      <c r="S419" s="273"/>
    </row>
    <row r="420" spans="1:19">
      <c r="A420" s="255"/>
      <c r="B420" s="355"/>
      <c r="C420" s="256"/>
      <c r="D420" s="257"/>
      <c r="E420" s="258"/>
      <c r="F420" s="258"/>
      <c r="G420" s="258"/>
      <c r="H420" s="259"/>
      <c r="I420" s="258"/>
      <c r="J420" s="248"/>
      <c r="K420" s="256"/>
      <c r="L420" s="257"/>
      <c r="M420" s="257"/>
      <c r="N420" s="258"/>
      <c r="O420" s="258"/>
      <c r="P420" s="258"/>
      <c r="Q420" s="259"/>
      <c r="R420" s="258"/>
      <c r="S420" s="272"/>
    </row>
    <row r="421" spans="1:19">
      <c r="A421" s="249"/>
      <c r="B421" s="354"/>
      <c r="C421" s="250"/>
      <c r="D421" s="251"/>
      <c r="E421" s="252"/>
      <c r="F421" s="252"/>
      <c r="G421" s="252"/>
      <c r="H421" s="253"/>
      <c r="I421" s="252"/>
      <c r="J421" s="254"/>
      <c r="K421" s="250"/>
      <c r="L421" s="251"/>
      <c r="M421" s="251"/>
      <c r="N421" s="252"/>
      <c r="O421" s="252"/>
      <c r="P421" s="252"/>
      <c r="Q421" s="253"/>
      <c r="R421" s="252"/>
      <c r="S421" s="273"/>
    </row>
    <row r="422" spans="1:19">
      <c r="A422" s="255"/>
      <c r="B422" s="355"/>
      <c r="C422" s="256"/>
      <c r="D422" s="257"/>
      <c r="E422" s="258"/>
      <c r="F422" s="258"/>
      <c r="G422" s="258"/>
      <c r="H422" s="259"/>
      <c r="I422" s="258"/>
      <c r="J422" s="248"/>
      <c r="K422" s="256"/>
      <c r="L422" s="257"/>
      <c r="M422" s="257"/>
      <c r="N422" s="258"/>
      <c r="O422" s="258"/>
      <c r="P422" s="258"/>
      <c r="Q422" s="259"/>
      <c r="R422" s="258"/>
      <c r="S422" s="272"/>
    </row>
    <row r="423" spans="1:19">
      <c r="A423" s="249"/>
      <c r="B423" s="354"/>
      <c r="C423" s="250"/>
      <c r="D423" s="251"/>
      <c r="E423" s="252"/>
      <c r="F423" s="252"/>
      <c r="G423" s="252"/>
      <c r="H423" s="253"/>
      <c r="I423" s="252"/>
      <c r="J423" s="254"/>
      <c r="K423" s="250"/>
      <c r="L423" s="251"/>
      <c r="M423" s="251"/>
      <c r="N423" s="252"/>
      <c r="O423" s="252"/>
      <c r="P423" s="252"/>
      <c r="Q423" s="253"/>
      <c r="R423" s="252"/>
      <c r="S423" s="273"/>
    </row>
    <row r="424" spans="1:19">
      <c r="A424" s="255"/>
      <c r="B424" s="355"/>
      <c r="C424" s="256"/>
      <c r="D424" s="257"/>
      <c r="E424" s="258"/>
      <c r="F424" s="258"/>
      <c r="G424" s="258"/>
      <c r="H424" s="259"/>
      <c r="I424" s="258"/>
      <c r="J424" s="248"/>
      <c r="K424" s="256"/>
      <c r="L424" s="257"/>
      <c r="M424" s="257"/>
      <c r="N424" s="258"/>
      <c r="O424" s="258"/>
      <c r="P424" s="258"/>
      <c r="Q424" s="259"/>
      <c r="R424" s="258"/>
      <c r="S424" s="272"/>
    </row>
    <row r="425" spans="1:19">
      <c r="A425" s="249"/>
      <c r="B425" s="354"/>
      <c r="C425" s="250"/>
      <c r="D425" s="251"/>
      <c r="E425" s="252"/>
      <c r="F425" s="252"/>
      <c r="G425" s="252"/>
      <c r="H425" s="253"/>
      <c r="I425" s="252"/>
      <c r="J425" s="254"/>
      <c r="K425" s="250"/>
      <c r="L425" s="251"/>
      <c r="M425" s="251"/>
      <c r="N425" s="252"/>
      <c r="O425" s="252"/>
      <c r="P425" s="252"/>
      <c r="Q425" s="253"/>
      <c r="R425" s="252"/>
      <c r="S425" s="273"/>
    </row>
    <row r="426" spans="1:19">
      <c r="A426" s="255"/>
      <c r="B426" s="355"/>
      <c r="C426" s="256"/>
      <c r="D426" s="257"/>
      <c r="E426" s="258"/>
      <c r="F426" s="258"/>
      <c r="G426" s="258"/>
      <c r="H426" s="259"/>
      <c r="I426" s="258"/>
      <c r="J426" s="248"/>
      <c r="K426" s="256"/>
      <c r="L426" s="257"/>
      <c r="M426" s="257"/>
      <c r="N426" s="258"/>
      <c r="O426" s="258"/>
      <c r="P426" s="258"/>
      <c r="Q426" s="259"/>
      <c r="R426" s="258"/>
      <c r="S426" s="272"/>
    </row>
    <row r="427" spans="1:19">
      <c r="A427" s="249"/>
      <c r="B427" s="354"/>
      <c r="C427" s="250"/>
      <c r="D427" s="251"/>
      <c r="E427" s="252"/>
      <c r="F427" s="252"/>
      <c r="G427" s="252"/>
      <c r="H427" s="253"/>
      <c r="I427" s="252"/>
      <c r="J427" s="254"/>
      <c r="K427" s="250"/>
      <c r="L427" s="251"/>
      <c r="M427" s="251"/>
      <c r="N427" s="252"/>
      <c r="O427" s="252"/>
      <c r="P427" s="252"/>
      <c r="Q427" s="253"/>
      <c r="R427" s="252"/>
      <c r="S427" s="273"/>
    </row>
    <row r="428" spans="1:19">
      <c r="A428" s="255"/>
      <c r="B428" s="355"/>
      <c r="C428" s="256"/>
      <c r="D428" s="257"/>
      <c r="E428" s="258"/>
      <c r="F428" s="258"/>
      <c r="G428" s="258"/>
      <c r="H428" s="259"/>
      <c r="I428" s="258"/>
      <c r="J428" s="248"/>
      <c r="K428" s="256"/>
      <c r="L428" s="257"/>
      <c r="M428" s="257"/>
      <c r="N428" s="258"/>
      <c r="O428" s="258"/>
      <c r="P428" s="258"/>
      <c r="Q428" s="259"/>
      <c r="R428" s="258"/>
      <c r="S428" s="272"/>
    </row>
    <row r="429" spans="1:19">
      <c r="A429" s="249"/>
      <c r="B429" s="354"/>
      <c r="C429" s="250"/>
      <c r="D429" s="251"/>
      <c r="E429" s="252"/>
      <c r="F429" s="252"/>
      <c r="G429" s="252"/>
      <c r="H429" s="253"/>
      <c r="I429" s="252"/>
      <c r="J429" s="254"/>
      <c r="K429" s="250"/>
      <c r="L429" s="251"/>
      <c r="M429" s="251"/>
      <c r="N429" s="252"/>
      <c r="O429" s="252"/>
      <c r="P429" s="252"/>
      <c r="Q429" s="253"/>
      <c r="R429" s="252"/>
      <c r="S429" s="273"/>
    </row>
    <row r="430" spans="1:19">
      <c r="A430" s="255"/>
      <c r="B430" s="355"/>
      <c r="C430" s="256"/>
      <c r="D430" s="257"/>
      <c r="E430" s="258"/>
      <c r="F430" s="258"/>
      <c r="G430" s="258"/>
      <c r="H430" s="259"/>
      <c r="I430" s="258"/>
      <c r="J430" s="248"/>
      <c r="K430" s="256"/>
      <c r="L430" s="257"/>
      <c r="M430" s="257"/>
      <c r="N430" s="258"/>
      <c r="O430" s="258"/>
      <c r="P430" s="258"/>
      <c r="Q430" s="259"/>
      <c r="R430" s="258"/>
      <c r="S430" s="272"/>
    </row>
    <row r="431" spans="1:19">
      <c r="A431" s="249"/>
      <c r="B431" s="354"/>
      <c r="C431" s="250"/>
      <c r="D431" s="251"/>
      <c r="E431" s="252"/>
      <c r="F431" s="252"/>
      <c r="G431" s="252"/>
      <c r="H431" s="253"/>
      <c r="I431" s="252"/>
      <c r="J431" s="254"/>
      <c r="K431" s="250"/>
      <c r="L431" s="251"/>
      <c r="M431" s="251"/>
      <c r="N431" s="252"/>
      <c r="O431" s="252"/>
      <c r="P431" s="252"/>
      <c r="Q431" s="253"/>
      <c r="R431" s="252"/>
      <c r="S431" s="273"/>
    </row>
    <row r="432" spans="1:19">
      <c r="A432" s="255"/>
      <c r="B432" s="355"/>
      <c r="C432" s="256"/>
      <c r="D432" s="257"/>
      <c r="E432" s="258"/>
      <c r="F432" s="258"/>
      <c r="G432" s="258"/>
      <c r="H432" s="259"/>
      <c r="I432" s="258"/>
      <c r="J432" s="248"/>
      <c r="K432" s="256"/>
      <c r="L432" s="257"/>
      <c r="M432" s="257"/>
      <c r="N432" s="258"/>
      <c r="O432" s="258"/>
      <c r="P432" s="258"/>
      <c r="Q432" s="259"/>
      <c r="R432" s="258"/>
      <c r="S432" s="272"/>
    </row>
    <row r="433" spans="1:19">
      <c r="A433" s="249"/>
      <c r="B433" s="354"/>
      <c r="C433" s="250"/>
      <c r="D433" s="251"/>
      <c r="E433" s="252"/>
      <c r="F433" s="252"/>
      <c r="G433" s="252"/>
      <c r="H433" s="253"/>
      <c r="I433" s="252"/>
      <c r="J433" s="254"/>
      <c r="K433" s="250"/>
      <c r="L433" s="251"/>
      <c r="M433" s="251"/>
      <c r="N433" s="252"/>
      <c r="O433" s="252"/>
      <c r="P433" s="252"/>
      <c r="Q433" s="253"/>
      <c r="R433" s="252"/>
      <c r="S433" s="273"/>
    </row>
    <row r="434" spans="1:19">
      <c r="A434" s="255"/>
      <c r="B434" s="355"/>
      <c r="C434" s="256"/>
      <c r="D434" s="257"/>
      <c r="E434" s="258"/>
      <c r="F434" s="258"/>
      <c r="G434" s="258"/>
      <c r="H434" s="259"/>
      <c r="I434" s="258"/>
      <c r="J434" s="248"/>
      <c r="K434" s="256"/>
      <c r="L434" s="257"/>
      <c r="M434" s="257"/>
      <c r="N434" s="258"/>
      <c r="O434" s="258"/>
      <c r="P434" s="258"/>
      <c r="Q434" s="259"/>
      <c r="R434" s="258"/>
      <c r="S434" s="272"/>
    </row>
    <row r="435" spans="1:19">
      <c r="A435" s="249"/>
      <c r="B435" s="354"/>
      <c r="C435" s="250"/>
      <c r="D435" s="251"/>
      <c r="E435" s="252"/>
      <c r="F435" s="252"/>
      <c r="G435" s="252"/>
      <c r="H435" s="253"/>
      <c r="I435" s="252"/>
      <c r="J435" s="254"/>
      <c r="K435" s="250"/>
      <c r="L435" s="251"/>
      <c r="M435" s="251"/>
      <c r="N435" s="252"/>
      <c r="O435" s="252"/>
      <c r="P435" s="252"/>
      <c r="Q435" s="253"/>
      <c r="R435" s="252"/>
      <c r="S435" s="273"/>
    </row>
    <row r="436" spans="1:19">
      <c r="A436" s="255"/>
      <c r="B436" s="355"/>
      <c r="C436" s="256"/>
      <c r="D436" s="257"/>
      <c r="E436" s="258"/>
      <c r="F436" s="258"/>
      <c r="G436" s="258"/>
      <c r="H436" s="259"/>
      <c r="I436" s="258"/>
      <c r="J436" s="248"/>
      <c r="K436" s="256"/>
      <c r="L436" s="257"/>
      <c r="M436" s="257"/>
      <c r="N436" s="258"/>
      <c r="O436" s="258"/>
      <c r="P436" s="258"/>
      <c r="Q436" s="259"/>
      <c r="R436" s="258"/>
      <c r="S436" s="272"/>
    </row>
    <row r="437" spans="1:19">
      <c r="A437" s="249"/>
      <c r="B437" s="354"/>
      <c r="C437" s="250"/>
      <c r="D437" s="251"/>
      <c r="E437" s="252"/>
      <c r="F437" s="252"/>
      <c r="G437" s="252"/>
      <c r="H437" s="253"/>
      <c r="I437" s="252"/>
      <c r="J437" s="254"/>
      <c r="K437" s="250"/>
      <c r="L437" s="251"/>
      <c r="M437" s="251"/>
      <c r="N437" s="252"/>
      <c r="O437" s="252"/>
      <c r="P437" s="252"/>
      <c r="Q437" s="253"/>
      <c r="R437" s="252"/>
      <c r="S437" s="273"/>
    </row>
    <row r="438" spans="1:19">
      <c r="A438" s="255"/>
      <c r="B438" s="355"/>
      <c r="C438" s="256"/>
      <c r="D438" s="257"/>
      <c r="E438" s="258"/>
      <c r="F438" s="258"/>
      <c r="G438" s="258"/>
      <c r="H438" s="259"/>
      <c r="I438" s="258"/>
      <c r="J438" s="248"/>
      <c r="K438" s="256"/>
      <c r="L438" s="257"/>
      <c r="M438" s="257"/>
      <c r="N438" s="258"/>
      <c r="O438" s="258"/>
      <c r="P438" s="258"/>
      <c r="Q438" s="259"/>
      <c r="R438" s="258"/>
      <c r="S438" s="272"/>
    </row>
    <row r="439" spans="1:19">
      <c r="A439" s="249"/>
      <c r="B439" s="354"/>
      <c r="C439" s="250"/>
      <c r="D439" s="251"/>
      <c r="E439" s="252"/>
      <c r="F439" s="252"/>
      <c r="G439" s="252"/>
      <c r="H439" s="253"/>
      <c r="I439" s="252"/>
      <c r="J439" s="254"/>
      <c r="K439" s="250"/>
      <c r="L439" s="251"/>
      <c r="M439" s="251"/>
      <c r="N439" s="252"/>
      <c r="O439" s="252"/>
      <c r="P439" s="252"/>
      <c r="Q439" s="253"/>
      <c r="R439" s="252"/>
      <c r="S439" s="273"/>
    </row>
    <row r="440" spans="1:19">
      <c r="A440" s="255"/>
      <c r="B440" s="355"/>
      <c r="C440" s="256"/>
      <c r="D440" s="257"/>
      <c r="E440" s="258"/>
      <c r="F440" s="258"/>
      <c r="G440" s="258"/>
      <c r="H440" s="259"/>
      <c r="I440" s="258"/>
      <c r="J440" s="248"/>
      <c r="K440" s="256"/>
      <c r="L440" s="257"/>
      <c r="M440" s="257"/>
      <c r="N440" s="258"/>
      <c r="O440" s="258"/>
      <c r="P440" s="258"/>
      <c r="Q440" s="259"/>
      <c r="R440" s="258"/>
      <c r="S440" s="272"/>
    </row>
    <row r="441" spans="1:19">
      <c r="A441" s="249"/>
      <c r="B441" s="354"/>
      <c r="C441" s="250"/>
      <c r="D441" s="251"/>
      <c r="E441" s="252"/>
      <c r="F441" s="252"/>
      <c r="G441" s="252"/>
      <c r="H441" s="253"/>
      <c r="I441" s="252"/>
      <c r="J441" s="254"/>
      <c r="K441" s="250"/>
      <c r="L441" s="251"/>
      <c r="M441" s="251"/>
      <c r="N441" s="252"/>
      <c r="O441" s="252"/>
      <c r="P441" s="252"/>
      <c r="Q441" s="253"/>
      <c r="R441" s="252"/>
      <c r="S441" s="273"/>
    </row>
    <row r="442" spans="1:19">
      <c r="A442" s="255"/>
      <c r="B442" s="355"/>
      <c r="C442" s="256"/>
      <c r="D442" s="257"/>
      <c r="E442" s="258"/>
      <c r="F442" s="258"/>
      <c r="G442" s="258"/>
      <c r="H442" s="259"/>
      <c r="I442" s="258"/>
      <c r="J442" s="248"/>
      <c r="K442" s="256"/>
      <c r="L442" s="257"/>
      <c r="M442" s="257"/>
      <c r="N442" s="258"/>
      <c r="O442" s="258"/>
      <c r="P442" s="258"/>
      <c r="Q442" s="259"/>
      <c r="R442" s="258"/>
      <c r="S442" s="272"/>
    </row>
    <row r="443" spans="1:19">
      <c r="A443" s="249"/>
      <c r="B443" s="354"/>
      <c r="C443" s="250"/>
      <c r="D443" s="251"/>
      <c r="E443" s="252"/>
      <c r="F443" s="252"/>
      <c r="G443" s="252"/>
      <c r="H443" s="253"/>
      <c r="I443" s="252"/>
      <c r="J443" s="254"/>
      <c r="K443" s="250"/>
      <c r="L443" s="251"/>
      <c r="M443" s="251"/>
      <c r="N443" s="252"/>
      <c r="O443" s="252"/>
      <c r="P443" s="252"/>
      <c r="Q443" s="253"/>
      <c r="R443" s="252"/>
      <c r="S443" s="273"/>
    </row>
    <row r="444" spans="1:19">
      <c r="A444" s="255"/>
      <c r="B444" s="355"/>
      <c r="C444" s="256"/>
      <c r="D444" s="257"/>
      <c r="E444" s="258"/>
      <c r="F444" s="258"/>
      <c r="G444" s="258"/>
      <c r="H444" s="259"/>
      <c r="I444" s="258"/>
      <c r="J444" s="248"/>
      <c r="K444" s="256"/>
      <c r="L444" s="257"/>
      <c r="M444" s="257"/>
      <c r="N444" s="258"/>
      <c r="O444" s="258"/>
      <c r="P444" s="258"/>
      <c r="Q444" s="259"/>
      <c r="R444" s="258"/>
      <c r="S444" s="272"/>
    </row>
    <row r="445" spans="1:19">
      <c r="A445" s="249"/>
      <c r="B445" s="354"/>
      <c r="C445" s="250"/>
      <c r="D445" s="251"/>
      <c r="E445" s="252"/>
      <c r="F445" s="252"/>
      <c r="G445" s="252"/>
      <c r="H445" s="253"/>
      <c r="I445" s="252"/>
      <c r="J445" s="254"/>
      <c r="K445" s="250"/>
      <c r="L445" s="251"/>
      <c r="M445" s="251"/>
      <c r="N445" s="252"/>
      <c r="O445" s="252"/>
      <c r="P445" s="252"/>
      <c r="Q445" s="253"/>
      <c r="R445" s="252"/>
      <c r="S445" s="273"/>
    </row>
    <row r="446" spans="1:19">
      <c r="A446" s="255"/>
      <c r="B446" s="355"/>
      <c r="C446" s="256"/>
      <c r="D446" s="257"/>
      <c r="E446" s="258"/>
      <c r="F446" s="258"/>
      <c r="G446" s="258"/>
      <c r="H446" s="259"/>
      <c r="I446" s="258"/>
      <c r="J446" s="248"/>
      <c r="K446" s="256"/>
      <c r="L446" s="257"/>
      <c r="M446" s="257"/>
      <c r="N446" s="258"/>
      <c r="O446" s="258"/>
      <c r="P446" s="258"/>
      <c r="Q446" s="259"/>
      <c r="R446" s="258"/>
      <c r="S446" s="272"/>
    </row>
    <row r="447" spans="1:19">
      <c r="A447" s="249"/>
      <c r="B447" s="354"/>
      <c r="C447" s="250"/>
      <c r="D447" s="251"/>
      <c r="E447" s="252"/>
      <c r="F447" s="252"/>
      <c r="G447" s="252"/>
      <c r="H447" s="253"/>
      <c r="I447" s="252"/>
      <c r="J447" s="254"/>
      <c r="K447" s="250"/>
      <c r="L447" s="251"/>
      <c r="M447" s="251"/>
      <c r="N447" s="252"/>
      <c r="O447" s="252"/>
      <c r="P447" s="252"/>
      <c r="Q447" s="253"/>
      <c r="R447" s="252"/>
      <c r="S447" s="273"/>
    </row>
    <row r="448" spans="1:19">
      <c r="A448" s="255"/>
      <c r="B448" s="355"/>
      <c r="C448" s="256"/>
      <c r="D448" s="257"/>
      <c r="E448" s="258"/>
      <c r="F448" s="258"/>
      <c r="G448" s="258"/>
      <c r="H448" s="259"/>
      <c r="I448" s="258"/>
      <c r="J448" s="248"/>
      <c r="K448" s="256"/>
      <c r="L448" s="257"/>
      <c r="M448" s="257"/>
      <c r="N448" s="258"/>
      <c r="O448" s="258"/>
      <c r="P448" s="258"/>
      <c r="Q448" s="259"/>
      <c r="R448" s="258"/>
      <c r="S448" s="272"/>
    </row>
    <row r="449" spans="1:19">
      <c r="A449" s="249"/>
      <c r="B449" s="354"/>
      <c r="C449" s="250"/>
      <c r="D449" s="251"/>
      <c r="E449" s="252"/>
      <c r="F449" s="252"/>
      <c r="G449" s="252"/>
      <c r="H449" s="253"/>
      <c r="I449" s="252"/>
      <c r="J449" s="254"/>
      <c r="K449" s="250"/>
      <c r="L449" s="251"/>
      <c r="M449" s="251"/>
      <c r="N449" s="252"/>
      <c r="O449" s="252"/>
      <c r="P449" s="252"/>
      <c r="Q449" s="253"/>
      <c r="R449" s="252"/>
      <c r="S449" s="273"/>
    </row>
    <row r="450" spans="1:19">
      <c r="A450" s="255"/>
      <c r="B450" s="355"/>
      <c r="C450" s="256"/>
      <c r="D450" s="257"/>
      <c r="E450" s="258"/>
      <c r="F450" s="258"/>
      <c r="G450" s="258"/>
      <c r="H450" s="259"/>
      <c r="I450" s="258"/>
      <c r="J450" s="248"/>
      <c r="K450" s="256"/>
      <c r="L450" s="257"/>
      <c r="M450" s="257"/>
      <c r="N450" s="258"/>
      <c r="O450" s="258"/>
      <c r="P450" s="258"/>
      <c r="Q450" s="259"/>
      <c r="R450" s="258"/>
      <c r="S450" s="272"/>
    </row>
    <row r="451" spans="1:19">
      <c r="A451" s="249"/>
      <c r="B451" s="354"/>
      <c r="C451" s="250"/>
      <c r="D451" s="251"/>
      <c r="E451" s="252"/>
      <c r="F451" s="252"/>
      <c r="G451" s="252"/>
      <c r="H451" s="253"/>
      <c r="I451" s="252"/>
      <c r="J451" s="254"/>
      <c r="K451" s="250"/>
      <c r="L451" s="251"/>
      <c r="M451" s="251"/>
      <c r="N451" s="252"/>
      <c r="O451" s="252"/>
      <c r="P451" s="252"/>
      <c r="Q451" s="253"/>
      <c r="R451" s="252"/>
      <c r="S451" s="273"/>
    </row>
    <row r="452" spans="1:19">
      <c r="A452" s="255"/>
      <c r="B452" s="355"/>
      <c r="C452" s="256"/>
      <c r="D452" s="257"/>
      <c r="E452" s="258"/>
      <c r="F452" s="258"/>
      <c r="G452" s="258"/>
      <c r="H452" s="259"/>
      <c r="I452" s="258"/>
      <c r="J452" s="248"/>
      <c r="K452" s="256"/>
      <c r="L452" s="257"/>
      <c r="M452" s="257"/>
      <c r="N452" s="258"/>
      <c r="O452" s="258"/>
      <c r="P452" s="258"/>
      <c r="Q452" s="259"/>
      <c r="R452" s="258"/>
      <c r="S452" s="272"/>
    </row>
    <row r="453" spans="1:19">
      <c r="A453" s="249"/>
      <c r="B453" s="354"/>
      <c r="C453" s="250"/>
      <c r="D453" s="251"/>
      <c r="E453" s="252"/>
      <c r="F453" s="252"/>
      <c r="G453" s="252"/>
      <c r="H453" s="253"/>
      <c r="I453" s="252"/>
      <c r="J453" s="254"/>
      <c r="K453" s="250"/>
      <c r="L453" s="251"/>
      <c r="M453" s="251"/>
      <c r="N453" s="252"/>
      <c r="O453" s="252"/>
      <c r="P453" s="252"/>
      <c r="Q453" s="253"/>
      <c r="R453" s="252"/>
      <c r="S453" s="273"/>
    </row>
    <row r="454" spans="1:19">
      <c r="A454" s="255"/>
      <c r="B454" s="355"/>
      <c r="C454" s="256"/>
      <c r="D454" s="257"/>
      <c r="E454" s="258"/>
      <c r="F454" s="258"/>
      <c r="G454" s="258"/>
      <c r="H454" s="259"/>
      <c r="I454" s="258"/>
      <c r="J454" s="248"/>
      <c r="K454" s="256"/>
      <c r="L454" s="257"/>
      <c r="M454" s="257"/>
      <c r="N454" s="258"/>
      <c r="O454" s="258"/>
      <c r="P454" s="258"/>
      <c r="Q454" s="259"/>
      <c r="R454" s="258"/>
      <c r="S454" s="272"/>
    </row>
    <row r="455" spans="1:19">
      <c r="A455" s="249"/>
      <c r="B455" s="354"/>
      <c r="C455" s="250"/>
      <c r="D455" s="251"/>
      <c r="E455" s="252"/>
      <c r="F455" s="252"/>
      <c r="G455" s="252"/>
      <c r="H455" s="253"/>
      <c r="I455" s="252"/>
      <c r="J455" s="254"/>
      <c r="K455" s="250"/>
      <c r="L455" s="251"/>
      <c r="M455" s="251"/>
      <c r="N455" s="252"/>
      <c r="O455" s="252"/>
      <c r="P455" s="252"/>
      <c r="Q455" s="253"/>
      <c r="R455" s="252"/>
      <c r="S455" s="273"/>
    </row>
    <row r="456" spans="1:19">
      <c r="A456" s="255"/>
      <c r="B456" s="355"/>
      <c r="C456" s="256"/>
      <c r="D456" s="257"/>
      <c r="E456" s="258"/>
      <c r="F456" s="258"/>
      <c r="G456" s="258"/>
      <c r="H456" s="259"/>
      <c r="I456" s="258"/>
      <c r="J456" s="248"/>
      <c r="K456" s="256"/>
      <c r="L456" s="257"/>
      <c r="M456" s="257"/>
      <c r="N456" s="258"/>
      <c r="O456" s="258"/>
      <c r="P456" s="258"/>
      <c r="Q456" s="259"/>
      <c r="R456" s="258"/>
      <c r="S456" s="272"/>
    </row>
    <row r="457" spans="1:19">
      <c r="A457" s="249"/>
      <c r="B457" s="354"/>
      <c r="C457" s="250"/>
      <c r="D457" s="251"/>
      <c r="E457" s="252"/>
      <c r="F457" s="252"/>
      <c r="G457" s="252"/>
      <c r="H457" s="253"/>
      <c r="I457" s="252"/>
      <c r="J457" s="254"/>
      <c r="K457" s="250"/>
      <c r="L457" s="251"/>
      <c r="M457" s="251"/>
      <c r="N457" s="252"/>
      <c r="O457" s="252"/>
      <c r="P457" s="252"/>
      <c r="Q457" s="253"/>
      <c r="R457" s="252"/>
      <c r="S457" s="273"/>
    </row>
    <row r="458" spans="1:19">
      <c r="A458" s="255"/>
      <c r="B458" s="355"/>
      <c r="C458" s="256"/>
      <c r="D458" s="257"/>
      <c r="E458" s="258"/>
      <c r="F458" s="258"/>
      <c r="G458" s="258"/>
      <c r="H458" s="259"/>
      <c r="I458" s="258"/>
      <c r="J458" s="248"/>
      <c r="K458" s="256"/>
      <c r="L458" s="257"/>
      <c r="M458" s="257"/>
      <c r="N458" s="258"/>
      <c r="O458" s="258"/>
      <c r="P458" s="258"/>
      <c r="Q458" s="259"/>
      <c r="R458" s="258"/>
      <c r="S458" s="272"/>
    </row>
    <row r="459" spans="1:19">
      <c r="A459" s="249"/>
      <c r="B459" s="354"/>
      <c r="C459" s="250"/>
      <c r="D459" s="251"/>
      <c r="E459" s="252"/>
      <c r="F459" s="252"/>
      <c r="G459" s="252"/>
      <c r="H459" s="253"/>
      <c r="I459" s="252"/>
      <c r="J459" s="254"/>
      <c r="K459" s="250"/>
      <c r="L459" s="251"/>
      <c r="M459" s="251"/>
      <c r="N459" s="252"/>
      <c r="O459" s="252"/>
      <c r="P459" s="252"/>
      <c r="Q459" s="253"/>
      <c r="R459" s="252"/>
      <c r="S459" s="273"/>
    </row>
    <row r="460" spans="1:19">
      <c r="A460" s="255"/>
      <c r="B460" s="355"/>
      <c r="C460" s="256"/>
      <c r="D460" s="257"/>
      <c r="E460" s="258"/>
      <c r="F460" s="258"/>
      <c r="G460" s="258"/>
      <c r="H460" s="259"/>
      <c r="I460" s="258"/>
      <c r="J460" s="248"/>
      <c r="K460" s="256"/>
      <c r="L460" s="257"/>
      <c r="M460" s="257"/>
      <c r="N460" s="258"/>
      <c r="O460" s="258"/>
      <c r="P460" s="258"/>
      <c r="Q460" s="259"/>
      <c r="R460" s="258"/>
      <c r="S460" s="272"/>
    </row>
    <row r="461" spans="1:19">
      <c r="A461" s="249"/>
      <c r="B461" s="354"/>
      <c r="C461" s="250"/>
      <c r="D461" s="251"/>
      <c r="E461" s="252"/>
      <c r="F461" s="252"/>
      <c r="G461" s="252"/>
      <c r="H461" s="253"/>
      <c r="I461" s="252"/>
      <c r="J461" s="254"/>
      <c r="K461" s="250"/>
      <c r="L461" s="251"/>
      <c r="M461" s="251"/>
      <c r="N461" s="252"/>
      <c r="O461" s="252"/>
      <c r="P461" s="252"/>
      <c r="Q461" s="253"/>
      <c r="R461" s="252"/>
      <c r="S461" s="273"/>
    </row>
    <row r="462" spans="1:19">
      <c r="A462" s="255"/>
      <c r="B462" s="355"/>
      <c r="C462" s="256"/>
      <c r="D462" s="257"/>
      <c r="E462" s="258"/>
      <c r="F462" s="258"/>
      <c r="G462" s="258"/>
      <c r="H462" s="259"/>
      <c r="I462" s="258"/>
      <c r="J462" s="248"/>
      <c r="K462" s="256"/>
      <c r="L462" s="257"/>
      <c r="M462" s="257"/>
      <c r="N462" s="258"/>
      <c r="O462" s="258"/>
      <c r="P462" s="258"/>
      <c r="Q462" s="259"/>
      <c r="R462" s="258"/>
      <c r="S462" s="272"/>
    </row>
    <row r="463" spans="1:19">
      <c r="A463" s="249"/>
      <c r="B463" s="354"/>
      <c r="C463" s="250"/>
      <c r="D463" s="251"/>
      <c r="E463" s="252"/>
      <c r="F463" s="252"/>
      <c r="G463" s="252"/>
      <c r="H463" s="253"/>
      <c r="I463" s="252"/>
      <c r="J463" s="254"/>
      <c r="K463" s="250"/>
      <c r="L463" s="251"/>
      <c r="M463" s="251"/>
      <c r="N463" s="252"/>
      <c r="O463" s="252"/>
      <c r="P463" s="252"/>
      <c r="Q463" s="253"/>
      <c r="R463" s="252"/>
      <c r="S463" s="273"/>
    </row>
    <row r="464" spans="1:19">
      <c r="A464" s="255"/>
      <c r="B464" s="355"/>
      <c r="C464" s="256"/>
      <c r="D464" s="257"/>
      <c r="E464" s="258"/>
      <c r="F464" s="258"/>
      <c r="G464" s="258"/>
      <c r="H464" s="259"/>
      <c r="I464" s="258"/>
      <c r="J464" s="248"/>
      <c r="K464" s="256"/>
      <c r="L464" s="257"/>
      <c r="M464" s="257"/>
      <c r="N464" s="258"/>
      <c r="O464" s="258"/>
      <c r="P464" s="258"/>
      <c r="Q464" s="259"/>
      <c r="R464" s="258"/>
      <c r="S464" s="272"/>
    </row>
    <row r="465" spans="1:19">
      <c r="A465" s="249"/>
      <c r="B465" s="354"/>
      <c r="C465" s="250"/>
      <c r="D465" s="251"/>
      <c r="E465" s="252"/>
      <c r="F465" s="252"/>
      <c r="G465" s="252"/>
      <c r="H465" s="253"/>
      <c r="I465" s="252"/>
      <c r="J465" s="254"/>
      <c r="K465" s="250"/>
      <c r="L465" s="251"/>
      <c r="M465" s="251"/>
      <c r="N465" s="252"/>
      <c r="O465" s="252"/>
      <c r="P465" s="252"/>
      <c r="Q465" s="253"/>
      <c r="R465" s="252"/>
      <c r="S465" s="273"/>
    </row>
    <row r="466" spans="1:19">
      <c r="A466" s="255"/>
      <c r="B466" s="355"/>
      <c r="C466" s="256"/>
      <c r="D466" s="257"/>
      <c r="E466" s="258"/>
      <c r="F466" s="258"/>
      <c r="G466" s="258"/>
      <c r="H466" s="259"/>
      <c r="I466" s="258"/>
      <c r="J466" s="248"/>
      <c r="K466" s="256"/>
      <c r="L466" s="257"/>
      <c r="M466" s="257"/>
      <c r="N466" s="258"/>
      <c r="O466" s="258"/>
      <c r="P466" s="258"/>
      <c r="Q466" s="259"/>
      <c r="R466" s="258"/>
      <c r="S466" s="272"/>
    </row>
    <row r="467" spans="1:19">
      <c r="A467" s="249"/>
      <c r="B467" s="354"/>
      <c r="C467" s="250"/>
      <c r="D467" s="251"/>
      <c r="E467" s="252"/>
      <c r="F467" s="252"/>
      <c r="G467" s="252"/>
      <c r="H467" s="253"/>
      <c r="I467" s="252"/>
      <c r="J467" s="254"/>
      <c r="K467" s="250"/>
      <c r="L467" s="251"/>
      <c r="M467" s="251"/>
      <c r="N467" s="252"/>
      <c r="O467" s="252"/>
      <c r="P467" s="252"/>
      <c r="Q467" s="253"/>
      <c r="R467" s="252"/>
      <c r="S467" s="273"/>
    </row>
    <row r="468" spans="1:19">
      <c r="A468" s="255"/>
      <c r="B468" s="355"/>
      <c r="C468" s="256"/>
      <c r="D468" s="257"/>
      <c r="E468" s="258"/>
      <c r="F468" s="258"/>
      <c r="G468" s="258"/>
      <c r="H468" s="259"/>
      <c r="I468" s="258"/>
      <c r="J468" s="248"/>
      <c r="K468" s="256"/>
      <c r="L468" s="257"/>
      <c r="M468" s="257"/>
      <c r="N468" s="258"/>
      <c r="O468" s="258"/>
      <c r="P468" s="258"/>
      <c r="Q468" s="259"/>
      <c r="R468" s="258"/>
      <c r="S468" s="272"/>
    </row>
    <row r="469" spans="1:19">
      <c r="A469" s="249"/>
      <c r="B469" s="354"/>
      <c r="C469" s="250"/>
      <c r="D469" s="251"/>
      <c r="E469" s="252"/>
      <c r="F469" s="252"/>
      <c r="G469" s="252"/>
      <c r="H469" s="253"/>
      <c r="I469" s="252"/>
      <c r="J469" s="254"/>
      <c r="K469" s="250"/>
      <c r="L469" s="251"/>
      <c r="M469" s="251"/>
      <c r="N469" s="252"/>
      <c r="O469" s="252"/>
      <c r="P469" s="252"/>
      <c r="Q469" s="253"/>
      <c r="R469" s="252"/>
      <c r="S469" s="273"/>
    </row>
    <row r="470" spans="1:19">
      <c r="A470" s="255"/>
      <c r="B470" s="355"/>
      <c r="C470" s="256"/>
      <c r="D470" s="257"/>
      <c r="E470" s="258"/>
      <c r="F470" s="258"/>
      <c r="G470" s="258"/>
      <c r="H470" s="259"/>
      <c r="I470" s="258"/>
      <c r="J470" s="248"/>
      <c r="K470" s="256"/>
      <c r="L470" s="257"/>
      <c r="M470" s="257"/>
      <c r="N470" s="258"/>
      <c r="O470" s="258"/>
      <c r="P470" s="258"/>
      <c r="Q470" s="259"/>
      <c r="R470" s="258"/>
      <c r="S470" s="272"/>
    </row>
    <row r="471" spans="1:19">
      <c r="A471" s="249"/>
      <c r="B471" s="354"/>
      <c r="C471" s="250"/>
      <c r="D471" s="251"/>
      <c r="E471" s="252"/>
      <c r="F471" s="252"/>
      <c r="G471" s="252"/>
      <c r="H471" s="253"/>
      <c r="I471" s="252"/>
      <c r="J471" s="254"/>
      <c r="K471" s="250"/>
      <c r="L471" s="251"/>
      <c r="M471" s="251"/>
      <c r="N471" s="252"/>
      <c r="O471" s="252"/>
      <c r="P471" s="252"/>
      <c r="Q471" s="253"/>
      <c r="R471" s="252"/>
      <c r="S471" s="273"/>
    </row>
    <row r="472" spans="1:19">
      <c r="A472" s="255"/>
      <c r="B472" s="355"/>
      <c r="C472" s="256"/>
      <c r="D472" s="257"/>
      <c r="E472" s="258"/>
      <c r="F472" s="258"/>
      <c r="G472" s="258"/>
      <c r="H472" s="259"/>
      <c r="I472" s="258"/>
      <c r="J472" s="248"/>
      <c r="K472" s="256"/>
      <c r="L472" s="257"/>
      <c r="M472" s="257"/>
      <c r="N472" s="258"/>
      <c r="O472" s="258"/>
      <c r="P472" s="258"/>
      <c r="Q472" s="259"/>
      <c r="R472" s="258"/>
      <c r="S472" s="272"/>
    </row>
    <row r="473" spans="1:19">
      <c r="A473" s="249"/>
      <c r="B473" s="354"/>
      <c r="C473" s="250"/>
      <c r="D473" s="251"/>
      <c r="E473" s="252"/>
      <c r="F473" s="252"/>
      <c r="G473" s="252"/>
      <c r="H473" s="253"/>
      <c r="I473" s="252"/>
      <c r="J473" s="254"/>
      <c r="K473" s="250"/>
      <c r="L473" s="251"/>
      <c r="M473" s="251"/>
      <c r="N473" s="252"/>
      <c r="O473" s="252"/>
      <c r="P473" s="252"/>
      <c r="Q473" s="253"/>
      <c r="R473" s="252"/>
      <c r="S473" s="273"/>
    </row>
    <row r="474" spans="1:19">
      <c r="A474" s="255"/>
      <c r="B474" s="355"/>
      <c r="C474" s="256"/>
      <c r="D474" s="257"/>
      <c r="E474" s="258"/>
      <c r="F474" s="258"/>
      <c r="G474" s="258"/>
      <c r="H474" s="259"/>
      <c r="I474" s="258"/>
      <c r="J474" s="248"/>
      <c r="K474" s="256"/>
      <c r="L474" s="257"/>
      <c r="M474" s="257"/>
      <c r="N474" s="258"/>
      <c r="O474" s="258"/>
      <c r="P474" s="258"/>
      <c r="Q474" s="259"/>
      <c r="R474" s="258"/>
      <c r="S474" s="272"/>
    </row>
    <row r="475" spans="1:19">
      <c r="A475" s="249"/>
      <c r="B475" s="354"/>
      <c r="C475" s="250"/>
      <c r="D475" s="251"/>
      <c r="E475" s="252"/>
      <c r="F475" s="252"/>
      <c r="G475" s="252"/>
      <c r="H475" s="253"/>
      <c r="I475" s="252"/>
      <c r="J475" s="254"/>
      <c r="K475" s="250"/>
      <c r="L475" s="251"/>
      <c r="M475" s="251"/>
      <c r="N475" s="252"/>
      <c r="O475" s="252"/>
      <c r="P475" s="252"/>
      <c r="Q475" s="253"/>
      <c r="R475" s="252"/>
      <c r="S475" s="273"/>
    </row>
    <row r="476" spans="1:19">
      <c r="A476" s="255"/>
      <c r="B476" s="355"/>
      <c r="C476" s="256"/>
      <c r="D476" s="257"/>
      <c r="E476" s="258"/>
      <c r="F476" s="258"/>
      <c r="G476" s="258"/>
      <c r="H476" s="259"/>
      <c r="I476" s="258"/>
      <c r="J476" s="248"/>
      <c r="K476" s="256"/>
      <c r="L476" s="257"/>
      <c r="M476" s="257"/>
      <c r="N476" s="258"/>
      <c r="O476" s="258"/>
      <c r="P476" s="258"/>
      <c r="Q476" s="259"/>
      <c r="R476" s="258"/>
      <c r="S476" s="272"/>
    </row>
    <row r="477" spans="1:19">
      <c r="A477" s="249"/>
      <c r="B477" s="354"/>
      <c r="C477" s="250"/>
      <c r="D477" s="251"/>
      <c r="E477" s="252"/>
      <c r="F477" s="252"/>
      <c r="G477" s="252"/>
      <c r="H477" s="253"/>
      <c r="I477" s="252"/>
      <c r="J477" s="254"/>
      <c r="K477" s="250"/>
      <c r="L477" s="251"/>
      <c r="M477" s="251"/>
      <c r="N477" s="252"/>
      <c r="O477" s="252"/>
      <c r="P477" s="252"/>
      <c r="Q477" s="253"/>
      <c r="R477" s="252"/>
      <c r="S477" s="273"/>
    </row>
    <row r="478" spans="1:19">
      <c r="A478" s="255"/>
      <c r="B478" s="355"/>
      <c r="C478" s="256"/>
      <c r="D478" s="257"/>
      <c r="E478" s="258"/>
      <c r="F478" s="258"/>
      <c r="G478" s="258"/>
      <c r="H478" s="259"/>
      <c r="I478" s="258"/>
      <c r="J478" s="248"/>
      <c r="K478" s="256"/>
      <c r="L478" s="257"/>
      <c r="M478" s="257"/>
      <c r="N478" s="258"/>
      <c r="O478" s="258"/>
      <c r="P478" s="258"/>
      <c r="Q478" s="259"/>
      <c r="R478" s="258"/>
      <c r="S478" s="272"/>
    </row>
    <row r="479" spans="1:19">
      <c r="A479" s="249"/>
      <c r="B479" s="354"/>
      <c r="C479" s="250"/>
      <c r="D479" s="251"/>
      <c r="E479" s="252"/>
      <c r="F479" s="252"/>
      <c r="G479" s="252"/>
      <c r="H479" s="253"/>
      <c r="I479" s="252"/>
      <c r="J479" s="254"/>
      <c r="K479" s="250"/>
      <c r="L479" s="251"/>
      <c r="M479" s="251"/>
      <c r="N479" s="252"/>
      <c r="O479" s="252"/>
      <c r="P479" s="252"/>
      <c r="Q479" s="253"/>
      <c r="R479" s="252"/>
      <c r="S479" s="273"/>
    </row>
    <row r="480" spans="1:19">
      <c r="A480" s="255"/>
      <c r="B480" s="355"/>
      <c r="C480" s="256"/>
      <c r="D480" s="257"/>
      <c r="E480" s="258"/>
      <c r="F480" s="258"/>
      <c r="G480" s="258"/>
      <c r="H480" s="259"/>
      <c r="I480" s="258"/>
      <c r="J480" s="248"/>
      <c r="K480" s="256"/>
      <c r="L480" s="257"/>
      <c r="M480" s="257"/>
      <c r="N480" s="258"/>
      <c r="O480" s="258"/>
      <c r="P480" s="258"/>
      <c r="Q480" s="259"/>
      <c r="R480" s="258"/>
      <c r="S480" s="272"/>
    </row>
    <row r="481" spans="1:19">
      <c r="A481" s="249"/>
      <c r="B481" s="354"/>
      <c r="C481" s="250"/>
      <c r="D481" s="251"/>
      <c r="E481" s="252"/>
      <c r="F481" s="252"/>
      <c r="G481" s="252"/>
      <c r="H481" s="253"/>
      <c r="I481" s="252"/>
      <c r="J481" s="254"/>
      <c r="K481" s="250"/>
      <c r="L481" s="251"/>
      <c r="M481" s="251"/>
      <c r="N481" s="252"/>
      <c r="O481" s="252"/>
      <c r="P481" s="252"/>
      <c r="Q481" s="253"/>
      <c r="R481" s="252"/>
      <c r="S481" s="273"/>
    </row>
    <row r="482" spans="1:19">
      <c r="A482" s="255"/>
      <c r="B482" s="355"/>
      <c r="C482" s="256"/>
      <c r="D482" s="257"/>
      <c r="E482" s="258"/>
      <c r="F482" s="258"/>
      <c r="G482" s="258"/>
      <c r="H482" s="259"/>
      <c r="I482" s="258"/>
      <c r="J482" s="248"/>
      <c r="K482" s="256"/>
      <c r="L482" s="257"/>
      <c r="M482" s="257"/>
      <c r="N482" s="258"/>
      <c r="O482" s="258"/>
      <c r="P482" s="258"/>
      <c r="Q482" s="259"/>
      <c r="R482" s="258"/>
      <c r="S482" s="272"/>
    </row>
    <row r="483" spans="1:19">
      <c r="A483" s="249"/>
      <c r="B483" s="354"/>
      <c r="C483" s="250"/>
      <c r="D483" s="251"/>
      <c r="E483" s="252"/>
      <c r="F483" s="252"/>
      <c r="G483" s="252"/>
      <c r="H483" s="253"/>
      <c r="I483" s="252"/>
      <c r="J483" s="254"/>
      <c r="K483" s="250"/>
      <c r="L483" s="251"/>
      <c r="M483" s="251"/>
      <c r="N483" s="252"/>
      <c r="O483" s="252"/>
      <c r="P483" s="252"/>
      <c r="Q483" s="253"/>
      <c r="R483" s="252"/>
      <c r="S483" s="273"/>
    </row>
    <row r="484" spans="1:19">
      <c r="A484" s="255"/>
      <c r="B484" s="355"/>
      <c r="C484" s="256"/>
      <c r="D484" s="257"/>
      <c r="E484" s="258"/>
      <c r="F484" s="258"/>
      <c r="G484" s="258"/>
      <c r="H484" s="259"/>
      <c r="I484" s="258"/>
      <c r="J484" s="248"/>
      <c r="K484" s="256"/>
      <c r="L484" s="257"/>
      <c r="M484" s="257"/>
      <c r="N484" s="258"/>
      <c r="O484" s="258"/>
      <c r="P484" s="258"/>
      <c r="Q484" s="259"/>
      <c r="R484" s="258"/>
      <c r="S484" s="272"/>
    </row>
    <row r="485" spans="1:19">
      <c r="A485" s="249"/>
      <c r="B485" s="354"/>
      <c r="C485" s="250"/>
      <c r="D485" s="251"/>
      <c r="E485" s="252"/>
      <c r="F485" s="252"/>
      <c r="G485" s="252"/>
      <c r="H485" s="253"/>
      <c r="I485" s="252"/>
      <c r="J485" s="254"/>
      <c r="K485" s="250"/>
      <c r="L485" s="251"/>
      <c r="M485" s="251"/>
      <c r="N485" s="252"/>
      <c r="O485" s="252"/>
      <c r="P485" s="252"/>
      <c r="Q485" s="253"/>
      <c r="R485" s="252"/>
      <c r="S485" s="273"/>
    </row>
    <row r="486" spans="1:19">
      <c r="A486" s="255"/>
      <c r="B486" s="355"/>
      <c r="C486" s="256"/>
      <c r="D486" s="257"/>
      <c r="E486" s="258"/>
      <c r="F486" s="258"/>
      <c r="G486" s="258"/>
      <c r="H486" s="259"/>
      <c r="I486" s="258"/>
      <c r="J486" s="248"/>
      <c r="K486" s="256"/>
      <c r="L486" s="257"/>
      <c r="M486" s="257"/>
      <c r="N486" s="258"/>
      <c r="O486" s="258"/>
      <c r="P486" s="258"/>
      <c r="Q486" s="259"/>
      <c r="R486" s="258"/>
      <c r="S486" s="272"/>
    </row>
    <row r="487" spans="1:19">
      <c r="A487" s="249"/>
      <c r="B487" s="354"/>
      <c r="C487" s="250"/>
      <c r="D487" s="251"/>
      <c r="E487" s="252"/>
      <c r="F487" s="252"/>
      <c r="G487" s="252"/>
      <c r="H487" s="253"/>
      <c r="I487" s="252"/>
      <c r="J487" s="254"/>
      <c r="K487" s="250"/>
      <c r="L487" s="251"/>
      <c r="M487" s="251"/>
      <c r="N487" s="252"/>
      <c r="O487" s="252"/>
      <c r="P487" s="252"/>
      <c r="Q487" s="253"/>
      <c r="R487" s="252"/>
      <c r="S487" s="273"/>
    </row>
    <row r="488" spans="1:19">
      <c r="A488" s="255"/>
      <c r="B488" s="355"/>
      <c r="C488" s="256"/>
      <c r="D488" s="257"/>
      <c r="E488" s="258"/>
      <c r="F488" s="258"/>
      <c r="G488" s="258"/>
      <c r="H488" s="259"/>
      <c r="I488" s="258"/>
      <c r="J488" s="248"/>
      <c r="K488" s="256"/>
      <c r="L488" s="257"/>
      <c r="M488" s="257"/>
      <c r="N488" s="258"/>
      <c r="O488" s="258"/>
      <c r="P488" s="258"/>
      <c r="Q488" s="259"/>
      <c r="R488" s="258"/>
      <c r="S488" s="272"/>
    </row>
    <row r="489" spans="1:19">
      <c r="A489" s="249"/>
      <c r="B489" s="354"/>
      <c r="C489" s="250"/>
      <c r="D489" s="251"/>
      <c r="E489" s="252"/>
      <c r="F489" s="252"/>
      <c r="G489" s="252"/>
      <c r="H489" s="253"/>
      <c r="I489" s="252"/>
      <c r="J489" s="254"/>
      <c r="K489" s="250"/>
      <c r="L489" s="251"/>
      <c r="M489" s="251"/>
      <c r="N489" s="252"/>
      <c r="O489" s="252"/>
      <c r="P489" s="252"/>
      <c r="Q489" s="253"/>
      <c r="R489" s="252"/>
      <c r="S489" s="273"/>
    </row>
    <row r="490" spans="1:19">
      <c r="A490" s="255"/>
      <c r="B490" s="355"/>
      <c r="C490" s="256"/>
      <c r="D490" s="257"/>
      <c r="E490" s="258"/>
      <c r="F490" s="258"/>
      <c r="G490" s="258"/>
      <c r="H490" s="259"/>
      <c r="I490" s="258"/>
      <c r="J490" s="248"/>
      <c r="K490" s="256"/>
      <c r="L490" s="257"/>
      <c r="M490" s="257"/>
      <c r="N490" s="258"/>
      <c r="O490" s="258"/>
      <c r="P490" s="258"/>
      <c r="Q490" s="259"/>
      <c r="R490" s="258"/>
      <c r="S490" s="272"/>
    </row>
    <row r="491" spans="1:19">
      <c r="A491" s="249"/>
      <c r="B491" s="354"/>
      <c r="C491" s="250"/>
      <c r="D491" s="251"/>
      <c r="E491" s="252"/>
      <c r="F491" s="252"/>
      <c r="G491" s="252"/>
      <c r="H491" s="253"/>
      <c r="I491" s="252"/>
      <c r="J491" s="254"/>
      <c r="K491" s="250"/>
      <c r="L491" s="251"/>
      <c r="M491" s="251"/>
      <c r="N491" s="252"/>
      <c r="O491" s="252"/>
      <c r="P491" s="252"/>
      <c r="Q491" s="253"/>
      <c r="R491" s="252"/>
      <c r="S491" s="273"/>
    </row>
    <row r="492" spans="1:19">
      <c r="A492" s="255"/>
      <c r="B492" s="355"/>
      <c r="C492" s="256"/>
      <c r="D492" s="257"/>
      <c r="E492" s="258"/>
      <c r="F492" s="258"/>
      <c r="G492" s="258"/>
      <c r="H492" s="259"/>
      <c r="I492" s="258"/>
      <c r="J492" s="248"/>
      <c r="K492" s="256"/>
      <c r="L492" s="257"/>
      <c r="M492" s="257"/>
      <c r="N492" s="258"/>
      <c r="O492" s="258"/>
      <c r="P492" s="258"/>
      <c r="Q492" s="259"/>
      <c r="R492" s="258"/>
      <c r="S492" s="272"/>
    </row>
    <row r="493" spans="1:19">
      <c r="A493" s="249"/>
      <c r="B493" s="354"/>
      <c r="C493" s="250"/>
      <c r="D493" s="251"/>
      <c r="E493" s="252"/>
      <c r="F493" s="252"/>
      <c r="G493" s="252"/>
      <c r="H493" s="253"/>
      <c r="I493" s="252"/>
      <c r="J493" s="254"/>
      <c r="K493" s="250"/>
      <c r="L493" s="251"/>
      <c r="M493" s="251"/>
      <c r="N493" s="252"/>
      <c r="O493" s="252"/>
      <c r="P493" s="252"/>
      <c r="Q493" s="253"/>
      <c r="R493" s="252"/>
      <c r="S493" s="273"/>
    </row>
    <row r="494" spans="1:19">
      <c r="A494" s="255"/>
      <c r="B494" s="355"/>
      <c r="C494" s="256"/>
      <c r="D494" s="257"/>
      <c r="E494" s="258"/>
      <c r="F494" s="258"/>
      <c r="G494" s="258"/>
      <c r="H494" s="259"/>
      <c r="I494" s="258"/>
      <c r="J494" s="248"/>
      <c r="K494" s="256"/>
      <c r="L494" s="257"/>
      <c r="M494" s="257"/>
      <c r="N494" s="258"/>
      <c r="O494" s="258"/>
      <c r="P494" s="258"/>
      <c r="Q494" s="259"/>
      <c r="R494" s="258"/>
      <c r="S494" s="272"/>
    </row>
    <row r="495" spans="1:19">
      <c r="A495" s="249"/>
      <c r="B495" s="354"/>
      <c r="C495" s="250"/>
      <c r="D495" s="251"/>
      <c r="E495" s="252"/>
      <c r="F495" s="252"/>
      <c r="G495" s="252"/>
      <c r="H495" s="253"/>
      <c r="I495" s="252"/>
      <c r="J495" s="254"/>
      <c r="K495" s="250"/>
      <c r="L495" s="251"/>
      <c r="M495" s="251"/>
      <c r="N495" s="252"/>
      <c r="O495" s="252"/>
      <c r="P495" s="252"/>
      <c r="Q495" s="253"/>
      <c r="R495" s="252"/>
      <c r="S495" s="273"/>
    </row>
    <row r="496" spans="1:19">
      <c r="A496" s="255"/>
      <c r="B496" s="355"/>
      <c r="C496" s="256"/>
      <c r="D496" s="257"/>
      <c r="E496" s="258"/>
      <c r="F496" s="258"/>
      <c r="G496" s="258"/>
      <c r="H496" s="259"/>
      <c r="I496" s="258"/>
      <c r="J496" s="248"/>
      <c r="K496" s="256"/>
      <c r="L496" s="257"/>
      <c r="M496" s="257"/>
      <c r="N496" s="258"/>
      <c r="O496" s="258"/>
      <c r="P496" s="258"/>
      <c r="Q496" s="259"/>
      <c r="R496" s="258"/>
      <c r="S496" s="272"/>
    </row>
    <row r="497" spans="1:19">
      <c r="A497" s="249"/>
      <c r="B497" s="354"/>
      <c r="C497" s="250"/>
      <c r="D497" s="251"/>
      <c r="E497" s="252"/>
      <c r="F497" s="252"/>
      <c r="G497" s="252"/>
      <c r="H497" s="253"/>
      <c r="I497" s="252"/>
      <c r="J497" s="254"/>
      <c r="K497" s="250"/>
      <c r="L497" s="251"/>
      <c r="M497" s="251"/>
      <c r="N497" s="252"/>
      <c r="O497" s="252"/>
      <c r="P497" s="252"/>
      <c r="Q497" s="253"/>
      <c r="R497" s="252"/>
      <c r="S497" s="273"/>
    </row>
    <row r="498" spans="1:19">
      <c r="A498" s="255"/>
      <c r="B498" s="355"/>
      <c r="C498" s="256"/>
      <c r="D498" s="257"/>
      <c r="E498" s="258"/>
      <c r="F498" s="258"/>
      <c r="G498" s="258"/>
      <c r="H498" s="259"/>
      <c r="I498" s="258"/>
      <c r="J498" s="248"/>
      <c r="K498" s="256"/>
      <c r="L498" s="257"/>
      <c r="M498" s="257"/>
      <c r="N498" s="258"/>
      <c r="O498" s="258"/>
      <c r="P498" s="258"/>
      <c r="Q498" s="259"/>
      <c r="R498" s="258"/>
      <c r="S498" s="272"/>
    </row>
    <row r="499" spans="1:19">
      <c r="A499" s="249"/>
      <c r="B499" s="354"/>
      <c r="C499" s="250"/>
      <c r="D499" s="251"/>
      <c r="E499" s="252"/>
      <c r="F499" s="252"/>
      <c r="G499" s="252"/>
      <c r="H499" s="253"/>
      <c r="I499" s="252"/>
      <c r="J499" s="254"/>
      <c r="K499" s="250"/>
      <c r="L499" s="251"/>
      <c r="M499" s="251"/>
      <c r="N499" s="252"/>
      <c r="O499" s="252"/>
      <c r="P499" s="252"/>
      <c r="Q499" s="253"/>
      <c r="R499" s="252"/>
      <c r="S499" s="273"/>
    </row>
    <row r="500" spans="1:19">
      <c r="A500" s="255"/>
      <c r="B500" s="355"/>
      <c r="C500" s="256"/>
      <c r="D500" s="257"/>
      <c r="E500" s="258"/>
      <c r="F500" s="258"/>
      <c r="G500" s="258"/>
      <c r="H500" s="259"/>
      <c r="I500" s="258"/>
      <c r="J500" s="248"/>
      <c r="K500" s="256"/>
      <c r="L500" s="257"/>
      <c r="M500" s="257"/>
      <c r="N500" s="258"/>
      <c r="O500" s="258"/>
      <c r="P500" s="258"/>
      <c r="Q500" s="259"/>
      <c r="R500" s="258"/>
      <c r="S500" s="272"/>
    </row>
    <row r="501" spans="1:19">
      <c r="A501" s="249"/>
      <c r="B501" s="354"/>
      <c r="C501" s="250"/>
      <c r="D501" s="251"/>
      <c r="E501" s="252"/>
      <c r="F501" s="252"/>
      <c r="G501" s="252"/>
      <c r="H501" s="253"/>
      <c r="I501" s="252"/>
      <c r="J501" s="254"/>
      <c r="K501" s="250"/>
      <c r="L501" s="251"/>
      <c r="M501" s="251"/>
      <c r="N501" s="252"/>
      <c r="O501" s="252"/>
      <c r="P501" s="252"/>
      <c r="Q501" s="253"/>
      <c r="R501" s="252"/>
      <c r="S501" s="273"/>
    </row>
    <row r="502" spans="1:19">
      <c r="A502" s="255"/>
      <c r="B502" s="355"/>
      <c r="C502" s="256"/>
      <c r="D502" s="257"/>
      <c r="E502" s="258"/>
      <c r="F502" s="258"/>
      <c r="G502" s="258"/>
      <c r="H502" s="259"/>
      <c r="I502" s="258"/>
      <c r="J502" s="248"/>
      <c r="K502" s="256"/>
      <c r="L502" s="257"/>
      <c r="M502" s="257"/>
      <c r="N502" s="258"/>
      <c r="O502" s="258"/>
      <c r="P502" s="258"/>
      <c r="Q502" s="259"/>
      <c r="R502" s="258"/>
      <c r="S502" s="272"/>
    </row>
    <row r="503" spans="1:19">
      <c r="A503" s="249"/>
      <c r="B503" s="354"/>
      <c r="C503" s="250"/>
      <c r="D503" s="251"/>
      <c r="E503" s="252"/>
      <c r="F503" s="252"/>
      <c r="G503" s="252"/>
      <c r="H503" s="253"/>
      <c r="I503" s="252"/>
      <c r="J503" s="254"/>
      <c r="K503" s="250"/>
      <c r="L503" s="251"/>
      <c r="M503" s="251"/>
      <c r="N503" s="252"/>
      <c r="O503" s="252"/>
      <c r="P503" s="252"/>
      <c r="Q503" s="253"/>
      <c r="R503" s="252"/>
      <c r="S503" s="273"/>
    </row>
    <row r="504" spans="1:19">
      <c r="A504" s="255"/>
      <c r="B504" s="355"/>
      <c r="C504" s="256"/>
      <c r="D504" s="257"/>
      <c r="E504" s="258"/>
      <c r="F504" s="258"/>
      <c r="G504" s="258"/>
      <c r="H504" s="259"/>
      <c r="I504" s="258"/>
      <c r="J504" s="248"/>
      <c r="K504" s="256"/>
      <c r="L504" s="257"/>
      <c r="M504" s="257"/>
      <c r="N504" s="258"/>
      <c r="O504" s="258"/>
      <c r="P504" s="258"/>
      <c r="Q504" s="259"/>
      <c r="R504" s="258"/>
      <c r="S504" s="272"/>
    </row>
    <row r="505" spans="1:19">
      <c r="A505" s="249"/>
      <c r="B505" s="354"/>
      <c r="C505" s="250"/>
      <c r="D505" s="251"/>
      <c r="E505" s="252"/>
      <c r="F505" s="252"/>
      <c r="G505" s="252"/>
      <c r="H505" s="253"/>
      <c r="I505" s="252"/>
      <c r="J505" s="254"/>
      <c r="K505" s="250"/>
      <c r="L505" s="251"/>
      <c r="M505" s="251"/>
      <c r="N505" s="252"/>
      <c r="O505" s="252"/>
      <c r="P505" s="252"/>
      <c r="Q505" s="253"/>
      <c r="R505" s="252"/>
      <c r="S505" s="273"/>
    </row>
    <row r="506" spans="1:19">
      <c r="A506" s="255"/>
      <c r="B506" s="355"/>
      <c r="C506" s="256"/>
      <c r="D506" s="257"/>
      <c r="E506" s="258"/>
      <c r="F506" s="258"/>
      <c r="G506" s="258"/>
      <c r="H506" s="259"/>
      <c r="I506" s="258"/>
      <c r="J506" s="248"/>
      <c r="K506" s="256"/>
      <c r="L506" s="257"/>
      <c r="M506" s="257"/>
      <c r="N506" s="258"/>
      <c r="O506" s="258"/>
      <c r="P506" s="258"/>
      <c r="Q506" s="259"/>
      <c r="R506" s="258"/>
      <c r="S506" s="272"/>
    </row>
    <row r="507" spans="1:19">
      <c r="A507" s="249"/>
      <c r="B507" s="354"/>
      <c r="C507" s="250"/>
      <c r="D507" s="251"/>
      <c r="E507" s="252"/>
      <c r="F507" s="252"/>
      <c r="G507" s="252"/>
      <c r="H507" s="253"/>
      <c r="I507" s="252"/>
      <c r="J507" s="254"/>
      <c r="K507" s="250"/>
      <c r="L507" s="251"/>
      <c r="M507" s="251"/>
      <c r="N507" s="252"/>
      <c r="O507" s="252"/>
      <c r="P507" s="252"/>
      <c r="Q507" s="253"/>
      <c r="R507" s="252"/>
      <c r="S507" s="273"/>
    </row>
    <row r="508" spans="1:19">
      <c r="A508" s="255"/>
      <c r="B508" s="355"/>
      <c r="C508" s="256"/>
      <c r="D508" s="257"/>
      <c r="E508" s="258"/>
      <c r="F508" s="258"/>
      <c r="G508" s="258"/>
      <c r="H508" s="259"/>
      <c r="I508" s="258"/>
      <c r="J508" s="248"/>
      <c r="K508" s="256"/>
      <c r="L508" s="257"/>
      <c r="M508" s="257"/>
      <c r="N508" s="258"/>
      <c r="O508" s="258"/>
      <c r="P508" s="258"/>
      <c r="Q508" s="259"/>
      <c r="R508" s="258"/>
      <c r="S508" s="272"/>
    </row>
    <row r="509" spans="1:19">
      <c r="A509" s="249"/>
      <c r="B509" s="354"/>
      <c r="C509" s="250"/>
      <c r="D509" s="251"/>
      <c r="E509" s="252"/>
      <c r="F509" s="252"/>
      <c r="G509" s="252"/>
      <c r="H509" s="253"/>
      <c r="I509" s="252"/>
      <c r="J509" s="254"/>
      <c r="K509" s="250"/>
      <c r="L509" s="251"/>
      <c r="M509" s="251"/>
      <c r="N509" s="252"/>
      <c r="O509" s="252"/>
      <c r="P509" s="252"/>
      <c r="Q509" s="253"/>
      <c r="R509" s="252"/>
      <c r="S509" s="273"/>
    </row>
    <row r="510" spans="1:19">
      <c r="A510" s="255"/>
      <c r="B510" s="355"/>
      <c r="C510" s="256"/>
      <c r="D510" s="257"/>
      <c r="E510" s="258"/>
      <c r="F510" s="258"/>
      <c r="G510" s="258"/>
      <c r="H510" s="259"/>
      <c r="I510" s="258"/>
      <c r="J510" s="248"/>
      <c r="K510" s="256"/>
      <c r="L510" s="257"/>
      <c r="M510" s="257"/>
      <c r="N510" s="258"/>
      <c r="O510" s="258"/>
      <c r="P510" s="258"/>
      <c r="Q510" s="259"/>
      <c r="R510" s="258"/>
      <c r="S510" s="272"/>
    </row>
    <row r="511" spans="1:19">
      <c r="A511" s="249"/>
      <c r="B511" s="354"/>
      <c r="C511" s="250"/>
      <c r="D511" s="251"/>
      <c r="E511" s="252"/>
      <c r="F511" s="252"/>
      <c r="G511" s="252"/>
      <c r="H511" s="253"/>
      <c r="I511" s="252"/>
      <c r="J511" s="254"/>
      <c r="K511" s="250"/>
      <c r="L511" s="251"/>
      <c r="M511" s="251"/>
      <c r="N511" s="252"/>
      <c r="O511" s="252"/>
      <c r="P511" s="252"/>
      <c r="Q511" s="253"/>
      <c r="R511" s="252"/>
      <c r="S511" s="273"/>
    </row>
    <row r="512" spans="1:19">
      <c r="A512" s="255"/>
      <c r="B512" s="355"/>
      <c r="C512" s="256"/>
      <c r="D512" s="257"/>
      <c r="E512" s="258"/>
      <c r="F512" s="258"/>
      <c r="G512" s="258"/>
      <c r="H512" s="259"/>
      <c r="I512" s="258"/>
      <c r="J512" s="248"/>
      <c r="K512" s="256"/>
      <c r="L512" s="257"/>
      <c r="M512" s="257"/>
      <c r="N512" s="258"/>
      <c r="O512" s="258"/>
      <c r="P512" s="258"/>
      <c r="Q512" s="259"/>
      <c r="R512" s="258"/>
      <c r="S512" s="272"/>
    </row>
    <row r="513" spans="1:19">
      <c r="A513" s="249"/>
      <c r="B513" s="354"/>
      <c r="C513" s="250"/>
      <c r="D513" s="251"/>
      <c r="E513" s="252"/>
      <c r="F513" s="252"/>
      <c r="G513" s="252"/>
      <c r="H513" s="253"/>
      <c r="I513" s="252"/>
      <c r="J513" s="254"/>
      <c r="K513" s="250"/>
      <c r="L513" s="251"/>
      <c r="M513" s="251"/>
      <c r="N513" s="252"/>
      <c r="O513" s="252"/>
      <c r="P513" s="252"/>
      <c r="Q513" s="253"/>
      <c r="R513" s="252"/>
      <c r="S513" s="273"/>
    </row>
    <row r="514" spans="1:19">
      <c r="A514" s="255"/>
      <c r="B514" s="355"/>
      <c r="C514" s="256"/>
      <c r="D514" s="257"/>
      <c r="E514" s="258"/>
      <c r="F514" s="258"/>
      <c r="G514" s="258"/>
      <c r="H514" s="259"/>
      <c r="I514" s="258"/>
      <c r="J514" s="248"/>
      <c r="K514" s="256"/>
      <c r="L514" s="257"/>
      <c r="M514" s="257"/>
      <c r="N514" s="258"/>
      <c r="O514" s="258"/>
      <c r="P514" s="258"/>
      <c r="Q514" s="259"/>
      <c r="R514" s="258"/>
      <c r="S514" s="272"/>
    </row>
    <row r="515" spans="1:19">
      <c r="A515" s="249"/>
      <c r="B515" s="354"/>
      <c r="C515" s="250"/>
      <c r="D515" s="251"/>
      <c r="E515" s="252"/>
      <c r="F515" s="252"/>
      <c r="G515" s="252"/>
      <c r="H515" s="253"/>
      <c r="I515" s="252"/>
      <c r="J515" s="254"/>
      <c r="K515" s="250"/>
      <c r="L515" s="251"/>
      <c r="M515" s="251"/>
      <c r="N515" s="252"/>
      <c r="O515" s="252"/>
      <c r="P515" s="252"/>
      <c r="Q515" s="253"/>
      <c r="R515" s="252"/>
      <c r="S515" s="273"/>
    </row>
    <row r="516" spans="1:19">
      <c r="A516" s="255"/>
      <c r="B516" s="355"/>
      <c r="C516" s="256"/>
      <c r="D516" s="257"/>
      <c r="E516" s="258"/>
      <c r="F516" s="258"/>
      <c r="G516" s="258"/>
      <c r="H516" s="259"/>
      <c r="I516" s="258"/>
      <c r="J516" s="248"/>
      <c r="K516" s="256"/>
      <c r="L516" s="257"/>
      <c r="M516" s="257"/>
      <c r="N516" s="258"/>
      <c r="O516" s="258"/>
      <c r="P516" s="258"/>
      <c r="Q516" s="259"/>
      <c r="R516" s="258"/>
      <c r="S516" s="272"/>
    </row>
    <row r="517" spans="1:19" ht="15" thickBot="1">
      <c r="A517" s="262"/>
      <c r="B517" s="361"/>
      <c r="C517" s="250"/>
      <c r="D517" s="251"/>
      <c r="E517" s="252"/>
      <c r="F517" s="252"/>
      <c r="G517" s="252"/>
      <c r="H517" s="253"/>
      <c r="I517" s="252"/>
      <c r="J517" s="254"/>
      <c r="K517" s="250"/>
      <c r="L517" s="251"/>
      <c r="M517" s="251"/>
      <c r="N517" s="252"/>
      <c r="O517" s="252"/>
      <c r="P517" s="252"/>
      <c r="Q517" s="253"/>
      <c r="R517" s="252"/>
      <c r="S517" s="273"/>
    </row>
    <row r="518" spans="1:19">
      <c r="A518" s="263"/>
      <c r="B518" s="263"/>
      <c r="C518" s="264"/>
      <c r="D518" s="265"/>
      <c r="E518" s="263"/>
      <c r="F518" s="263"/>
      <c r="G518" s="263"/>
      <c r="H518" s="266"/>
      <c r="I518" s="263"/>
      <c r="J518" s="263"/>
      <c r="K518" s="264"/>
      <c r="L518" s="265"/>
      <c r="M518" s="265"/>
      <c r="N518" s="263"/>
      <c r="O518" s="263"/>
      <c r="P518" s="263"/>
      <c r="Q518" s="266"/>
      <c r="R518" s="263"/>
      <c r="S518" s="265"/>
    </row>
    <row r="519" spans="1:19">
      <c r="A519" s="263"/>
      <c r="B519" s="263"/>
      <c r="C519" s="264"/>
      <c r="D519" s="265"/>
      <c r="E519" s="263"/>
      <c r="F519" s="263"/>
      <c r="G519" s="263"/>
      <c r="H519" s="266"/>
      <c r="I519" s="263"/>
      <c r="J519" s="263"/>
      <c r="K519" s="264"/>
      <c r="L519" s="265"/>
      <c r="M519" s="265"/>
      <c r="N519" s="263"/>
      <c r="O519" s="263"/>
      <c r="P519" s="263"/>
      <c r="Q519" s="266"/>
      <c r="R519" s="263"/>
      <c r="S519" s="265"/>
    </row>
    <row r="520" spans="1:19">
      <c r="A520" s="263"/>
      <c r="B520" s="263"/>
      <c r="C520" s="264"/>
      <c r="D520" s="265"/>
      <c r="E520" s="263"/>
      <c r="F520" s="263"/>
      <c r="G520" s="263"/>
      <c r="H520" s="266"/>
      <c r="I520" s="263"/>
      <c r="J520" s="263"/>
      <c r="K520" s="264"/>
      <c r="L520" s="265"/>
      <c r="M520" s="265"/>
      <c r="N520" s="263"/>
      <c r="O520" s="263"/>
      <c r="P520" s="263"/>
      <c r="Q520" s="266"/>
      <c r="R520" s="263"/>
      <c r="S520" s="265"/>
    </row>
    <row r="521" spans="1:19" ht="15.5">
      <c r="A521" s="267"/>
      <c r="B521" s="267"/>
      <c r="C521" s="268"/>
      <c r="D521" s="269">
        <f>SUM(D4:D520)</f>
        <v>4566</v>
      </c>
      <c r="E521" s="267"/>
      <c r="F521" s="267"/>
      <c r="G521" s="267"/>
      <c r="H521" s="270"/>
      <c r="I521" s="267"/>
      <c r="J521" s="267"/>
      <c r="K521" s="268"/>
      <c r="L521" s="269">
        <f>SUM(L4:L520)</f>
        <v>2411</v>
      </c>
      <c r="M521" s="269"/>
      <c r="N521" s="267"/>
      <c r="O521" s="267"/>
      <c r="P521" s="267"/>
      <c r="Q521" s="270"/>
      <c r="R521" s="267"/>
      <c r="S521" s="269">
        <f>SUM(S4:S520)</f>
        <v>247</v>
      </c>
    </row>
  </sheetData>
  <autoFilter ref="A3:S3" xr:uid="{BA510DAC-DE83-4822-8B8C-A8ADA660B030}"/>
  <mergeCells count="21">
    <mergeCell ref="A37:A38"/>
    <mergeCell ref="C37:C38"/>
    <mergeCell ref="D37:D38"/>
    <mergeCell ref="E37:E38"/>
    <mergeCell ref="F37:F38"/>
    <mergeCell ref="G37:G38"/>
    <mergeCell ref="H37:H38"/>
    <mergeCell ref="C1:S1"/>
    <mergeCell ref="G18:G19"/>
    <mergeCell ref="I37:I38"/>
    <mergeCell ref="J37:J38"/>
    <mergeCell ref="H18:H19"/>
    <mergeCell ref="I18:I19"/>
    <mergeCell ref="J18:J19"/>
    <mergeCell ref="C2:J2"/>
    <mergeCell ref="K2:R2"/>
    <mergeCell ref="A18:A19"/>
    <mergeCell ref="C18:C19"/>
    <mergeCell ref="D18:D19"/>
    <mergeCell ref="E18:E19"/>
    <mergeCell ref="F18:F19"/>
  </mergeCells>
  <phoneticPr fontId="27"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7353EE3B-1733-4FE0-A7DB-66262CA70AAE}">
          <x14:formula1>
            <xm:f>'Intern Deploy-Planning TKR DV'!$C$3:$C$5</xm:f>
          </x14:formula1>
          <xm:sqref>K4:K49 C63:C1048576 C4:C49 K63:K1048576</xm:sqref>
        </x14:dataValidation>
        <x14:dataValidation type="list" allowBlank="1" showInputMessage="1" showErrorMessage="1" xr:uid="{9AFEBF5C-BC80-4836-AD61-62C7F77BB587}">
          <x14:formula1>
            <xm:f>'Intern Deploy-Planning TKR DV'!$E$3:$E$7</xm:f>
          </x14:formula1>
          <xm:sqref>E4:E49 M4:M49 E63:E1048576 M63:M1048576</xm:sqref>
        </x14:dataValidation>
        <x14:dataValidation type="list" allowBlank="1" showInputMessage="1" showErrorMessage="1" xr:uid="{1CB52532-4CD9-4E28-99EF-6C2010762C9D}">
          <x14:formula1>
            <xm:f>'Intern Deploy-Planning TKR DV'!$B$3:$B$20</xm:f>
          </x14:formula1>
          <xm:sqref>A1:A49 A63:A1048576</xm:sqref>
        </x14:dataValidation>
        <x14:dataValidation type="list" allowBlank="1" showInputMessage="1" showErrorMessage="1" xr:uid="{99F1C248-0788-4C90-B9C7-39ED38710BFE}">
          <x14:formula1>
            <xm:f>'Intern Deploy-Planning TKR DV'!$F$3:$F$6</xm:f>
          </x14:formula1>
          <xm:sqref>F4:F49 F63:F1048576 N4:N49 N63:N1048576</xm:sqref>
        </x14:dataValidation>
        <x14:dataValidation type="list" allowBlank="1" showInputMessage="1" showErrorMessage="1" xr:uid="{2269F663-E9B2-4D6C-9DDB-6F3EF7191674}">
          <x14:formula1>
            <xm:f>'Intern Deploy-Planning TKR DV'!$G$3:$G$14</xm:f>
          </x14:formula1>
          <xm:sqref>G4:G49 G63:G1048576 O4:P49 O63:P1048576</xm:sqref>
        </x14:dataValidation>
        <x14:dataValidation type="list" allowBlank="1" showInputMessage="1" showErrorMessage="1" xr:uid="{D618FAD1-BC3D-4E88-AE0F-C3456EBEE139}">
          <x14:formula1>
            <xm:f>'Intern Deploy-Planning TKR DV'!$I$3:$I$5</xm:f>
          </x14:formula1>
          <xm:sqref>I4:I49 I63:I1048576 R4:R1048576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C7254-F21C-49C6-972B-F8030321563B}">
  <sheetPr codeName="Sheet11"/>
  <dimension ref="A1:AD527"/>
  <sheetViews>
    <sheetView zoomScale="95" zoomScaleNormal="95" workbookViewId="0">
      <pane xSplit="2" ySplit="3" topLeftCell="C4" activePane="bottomRight" state="frozen"/>
      <selection pane="topRight" activeCell="B1" sqref="B1"/>
      <selection pane="bottomLeft" activeCell="A4" sqref="A4"/>
      <selection pane="bottomRight" activeCell="A3" sqref="A3:XFD3"/>
    </sheetView>
  </sheetViews>
  <sheetFormatPr defaultColWidth="8.453125" defaultRowHeight="14.5"/>
  <cols>
    <col min="1" max="2" width="17.453125" customWidth="1"/>
    <col min="3" max="3" width="20" bestFit="1" customWidth="1"/>
    <col min="4" max="4" width="21.453125" customWidth="1"/>
    <col min="5" max="7" width="8.453125" customWidth="1"/>
    <col min="8" max="8" width="9.453125" customWidth="1"/>
    <col min="9" max="9" width="16.453125" style="275" bestFit="1" customWidth="1"/>
    <col min="10" max="10" width="9" customWidth="1"/>
    <col min="11" max="11" width="41" customWidth="1"/>
    <col min="12" max="12" width="25" bestFit="1" customWidth="1"/>
    <col min="13" max="15" width="8.453125" customWidth="1"/>
    <col min="16" max="16" width="9.453125" customWidth="1"/>
    <col min="17" max="17" width="16.453125" bestFit="1" customWidth="1"/>
    <col min="18" max="18" width="19.453125" style="275" bestFit="1" customWidth="1"/>
    <col min="19" max="19" width="13.453125" customWidth="1"/>
    <col min="20" max="20" width="13.453125" style="274" customWidth="1"/>
    <col min="30" max="30" width="26.453125" bestFit="1" customWidth="1"/>
    <col min="50" max="50" width="15.453125" bestFit="1" customWidth="1"/>
  </cols>
  <sheetData>
    <row r="1" spans="1:20" ht="53.25" customHeight="1" thickBot="1">
      <c r="A1" s="385"/>
      <c r="B1" s="385"/>
      <c r="C1" s="236"/>
      <c r="D1" s="575" t="s">
        <v>1049</v>
      </c>
      <c r="E1" s="575"/>
      <c r="F1" s="575"/>
      <c r="G1" s="575"/>
      <c r="H1" s="575"/>
      <c r="I1" s="575"/>
      <c r="J1" s="575"/>
      <c r="K1" s="575"/>
      <c r="L1" s="575"/>
      <c r="M1" s="575"/>
      <c r="N1" s="575"/>
      <c r="O1" s="575"/>
      <c r="P1" s="575"/>
      <c r="Q1" s="575"/>
      <c r="R1" s="575"/>
      <c r="S1" s="575"/>
      <c r="T1" s="575"/>
    </row>
    <row r="2" spans="1:20" ht="53.25" customHeight="1" thickBot="1">
      <c r="A2" s="236"/>
      <c r="B2" s="236"/>
      <c r="C2" s="236"/>
      <c r="D2" s="580" t="s">
        <v>1050</v>
      </c>
      <c r="E2" s="580"/>
      <c r="F2" s="580"/>
      <c r="G2" s="580"/>
      <c r="H2" s="580"/>
      <c r="I2" s="580"/>
      <c r="J2" s="580"/>
      <c r="K2" s="580"/>
      <c r="L2" s="581" t="s">
        <v>1051</v>
      </c>
      <c r="M2" s="581"/>
      <c r="N2" s="581"/>
      <c r="O2" s="581"/>
      <c r="P2" s="581"/>
      <c r="Q2" s="581"/>
      <c r="R2" s="581"/>
      <c r="S2" s="581"/>
      <c r="T2" s="391"/>
    </row>
    <row r="3" spans="1:20" ht="33.75" customHeight="1" thickBot="1">
      <c r="A3" s="237" t="s">
        <v>1084</v>
      </c>
      <c r="B3" s="237" t="s">
        <v>1040</v>
      </c>
      <c r="C3" s="237" t="s">
        <v>7</v>
      </c>
      <c r="D3" s="386" t="s">
        <v>1052</v>
      </c>
      <c r="E3" s="387" t="s">
        <v>1053</v>
      </c>
      <c r="F3" s="388" t="s">
        <v>1054</v>
      </c>
      <c r="G3" s="388" t="s">
        <v>1055</v>
      </c>
      <c r="H3" s="388" t="s">
        <v>1056</v>
      </c>
      <c r="I3" s="389" t="s">
        <v>1057</v>
      </c>
      <c r="J3" s="388" t="s">
        <v>1058</v>
      </c>
      <c r="K3" s="390" t="s">
        <v>1059</v>
      </c>
      <c r="L3" s="238" t="s">
        <v>1060</v>
      </c>
      <c r="M3" s="239" t="s">
        <v>1018</v>
      </c>
      <c r="N3" s="240" t="s">
        <v>1061</v>
      </c>
      <c r="O3" s="240" t="s">
        <v>1062</v>
      </c>
      <c r="P3" s="240" t="s">
        <v>1063</v>
      </c>
      <c r="Q3" s="240" t="s">
        <v>1064</v>
      </c>
      <c r="R3" s="241" t="s">
        <v>1065</v>
      </c>
      <c r="S3" s="242" t="s">
        <v>1066</v>
      </c>
      <c r="T3" s="271" t="s">
        <v>1067</v>
      </c>
    </row>
    <row r="4" spans="1:20" s="409" customFormat="1">
      <c r="A4" s="403" t="s">
        <v>1085</v>
      </c>
      <c r="B4" s="448" t="s">
        <v>1038</v>
      </c>
      <c r="C4" s="403">
        <v>10234705</v>
      </c>
      <c r="D4" s="453" t="s">
        <v>1028</v>
      </c>
      <c r="E4" s="449">
        <v>7</v>
      </c>
      <c r="F4" s="439">
        <v>2022</v>
      </c>
      <c r="G4" s="439" t="s">
        <v>47</v>
      </c>
      <c r="H4" s="439" t="s">
        <v>536</v>
      </c>
      <c r="I4" s="450">
        <v>44565</v>
      </c>
      <c r="J4" s="439" t="s">
        <v>1027</v>
      </c>
      <c r="K4" s="407" t="s">
        <v>1068</v>
      </c>
      <c r="L4" s="513" t="s">
        <v>1028</v>
      </c>
      <c r="M4" s="449">
        <v>7</v>
      </c>
      <c r="N4" s="439">
        <v>2022</v>
      </c>
      <c r="O4" s="439" t="s">
        <v>47</v>
      </c>
      <c r="P4" s="439" t="s">
        <v>536</v>
      </c>
      <c r="Q4" s="450">
        <v>44565</v>
      </c>
      <c r="R4" s="450">
        <v>44565</v>
      </c>
      <c r="S4" s="439" t="s">
        <v>1027</v>
      </c>
      <c r="T4" s="408"/>
    </row>
    <row r="5" spans="1:20">
      <c r="A5" s="353" t="s">
        <v>1085</v>
      </c>
      <c r="B5" s="255" t="s">
        <v>1038</v>
      </c>
      <c r="C5" s="355">
        <v>10263612</v>
      </c>
      <c r="D5" s="452" t="s">
        <v>1044</v>
      </c>
      <c r="E5" s="257">
        <v>16</v>
      </c>
      <c r="F5" s="258">
        <v>2022</v>
      </c>
      <c r="G5" s="258" t="s">
        <v>78</v>
      </c>
      <c r="H5" s="258" t="s">
        <v>555</v>
      </c>
      <c r="I5" s="259">
        <v>44683</v>
      </c>
      <c r="J5" s="246" t="s">
        <v>1027</v>
      </c>
      <c r="K5" s="248" t="s">
        <v>1068</v>
      </c>
      <c r="L5" s="452" t="s">
        <v>1046</v>
      </c>
      <c r="M5" s="257">
        <v>16</v>
      </c>
      <c r="N5" s="258">
        <v>2022</v>
      </c>
      <c r="O5" s="258" t="s">
        <v>78</v>
      </c>
      <c r="P5" s="258" t="s">
        <v>555</v>
      </c>
      <c r="Q5" s="259">
        <v>44683</v>
      </c>
      <c r="R5" s="259">
        <v>44683</v>
      </c>
      <c r="S5" s="246" t="s">
        <v>1027</v>
      </c>
      <c r="T5" s="272"/>
    </row>
    <row r="6" spans="1:20" s="437" customFormat="1">
      <c r="A6" s="438" t="s">
        <v>1085</v>
      </c>
      <c r="B6" s="419" t="s">
        <v>1038</v>
      </c>
      <c r="C6" s="431">
        <v>10291967</v>
      </c>
      <c r="D6" s="451" t="s">
        <v>1028</v>
      </c>
      <c r="E6" s="432">
        <v>14</v>
      </c>
      <c r="F6" s="433">
        <v>2022</v>
      </c>
      <c r="G6" s="433" t="s">
        <v>99</v>
      </c>
      <c r="H6" s="433" t="s">
        <v>571</v>
      </c>
      <c r="I6" s="434">
        <v>44810</v>
      </c>
      <c r="J6" s="433" t="s">
        <v>1027</v>
      </c>
      <c r="K6" s="435" t="s">
        <v>1068</v>
      </c>
      <c r="L6" s="451" t="s">
        <v>1028</v>
      </c>
      <c r="M6" s="432">
        <v>14</v>
      </c>
      <c r="N6" s="433">
        <v>2022</v>
      </c>
      <c r="O6" s="433" t="s">
        <v>99</v>
      </c>
      <c r="P6" s="433" t="s">
        <v>571</v>
      </c>
      <c r="Q6" s="434">
        <v>44810</v>
      </c>
      <c r="R6" s="434">
        <v>44810</v>
      </c>
      <c r="S6" s="433" t="s">
        <v>1027</v>
      </c>
      <c r="T6" s="436"/>
    </row>
    <row r="7" spans="1:20">
      <c r="A7" s="353" t="s">
        <v>1085</v>
      </c>
      <c r="B7" s="255" t="s">
        <v>1038</v>
      </c>
      <c r="C7" s="355">
        <v>10320627</v>
      </c>
      <c r="D7" s="451" t="s">
        <v>1028</v>
      </c>
      <c r="E7" s="257">
        <v>21</v>
      </c>
      <c r="F7" s="258">
        <v>2023</v>
      </c>
      <c r="G7" s="258" t="s">
        <v>47</v>
      </c>
      <c r="H7" s="258" t="s">
        <v>536</v>
      </c>
      <c r="I7" s="259">
        <v>44929</v>
      </c>
      <c r="J7" s="258" t="s">
        <v>1027</v>
      </c>
      <c r="K7" s="248" t="s">
        <v>1068</v>
      </c>
      <c r="L7" s="452" t="s">
        <v>1028</v>
      </c>
      <c r="M7" s="257">
        <v>16</v>
      </c>
      <c r="N7" s="257">
        <v>2023</v>
      </c>
      <c r="O7" s="258" t="s">
        <v>47</v>
      </c>
      <c r="P7" s="258" t="s">
        <v>536</v>
      </c>
      <c r="Q7" s="259">
        <v>44929</v>
      </c>
      <c r="R7" s="259">
        <v>44929</v>
      </c>
      <c r="S7" s="258" t="s">
        <v>1027</v>
      </c>
      <c r="T7" s="272"/>
    </row>
    <row r="8" spans="1:20" s="409" customFormat="1">
      <c r="A8" s="403" t="s">
        <v>1085</v>
      </c>
      <c r="B8" s="260" t="s">
        <v>1038</v>
      </c>
      <c r="C8" s="358">
        <v>10343890</v>
      </c>
      <c r="D8" s="453" t="s">
        <v>1028</v>
      </c>
      <c r="E8" s="404">
        <v>44</v>
      </c>
      <c r="F8" s="405">
        <v>2023</v>
      </c>
      <c r="G8" s="405" t="s">
        <v>78</v>
      </c>
      <c r="H8" s="405" t="s">
        <v>555</v>
      </c>
      <c r="I8" s="406">
        <v>45047</v>
      </c>
      <c r="J8" s="405" t="s">
        <v>1027</v>
      </c>
      <c r="K8" s="407" t="s">
        <v>1068</v>
      </c>
      <c r="L8" s="453" t="s">
        <v>1028</v>
      </c>
      <c r="M8" s="404">
        <v>21</v>
      </c>
      <c r="N8" s="404">
        <v>2023</v>
      </c>
      <c r="O8" s="405" t="s">
        <v>78</v>
      </c>
      <c r="P8" s="405" t="s">
        <v>555</v>
      </c>
      <c r="Q8" s="406">
        <v>45047</v>
      </c>
      <c r="R8" s="406">
        <v>45047</v>
      </c>
      <c r="S8" s="405" t="s">
        <v>1027</v>
      </c>
      <c r="T8" s="408"/>
    </row>
    <row r="9" spans="1:20">
      <c r="A9" s="353" t="s">
        <v>1085</v>
      </c>
      <c r="B9" s="255" t="s">
        <v>1038</v>
      </c>
      <c r="C9" s="355"/>
      <c r="D9" s="451" t="s">
        <v>1028</v>
      </c>
      <c r="E9" s="257">
        <v>23</v>
      </c>
      <c r="F9" s="258">
        <v>2023</v>
      </c>
      <c r="G9" s="258" t="s">
        <v>99</v>
      </c>
      <c r="H9" s="258" t="s">
        <v>571</v>
      </c>
      <c r="I9" s="259">
        <v>45174</v>
      </c>
      <c r="J9" s="258" t="s">
        <v>1027</v>
      </c>
      <c r="K9" s="248" t="s">
        <v>1068</v>
      </c>
      <c r="L9" s="452"/>
      <c r="M9" s="257"/>
      <c r="N9" s="257"/>
      <c r="O9" s="258"/>
      <c r="P9" s="258"/>
      <c r="Q9" s="258"/>
      <c r="R9" s="259"/>
      <c r="S9" s="258"/>
      <c r="T9" s="272"/>
    </row>
    <row r="10" spans="1:20" s="437" customFormat="1">
      <c r="A10" s="438" t="s">
        <v>1085</v>
      </c>
      <c r="B10" s="419" t="s">
        <v>1038</v>
      </c>
      <c r="C10" s="431">
        <v>10234705</v>
      </c>
      <c r="D10" s="451" t="s">
        <v>1028</v>
      </c>
      <c r="E10" s="432">
        <v>5</v>
      </c>
      <c r="F10" s="433">
        <v>2022</v>
      </c>
      <c r="G10" s="433" t="s">
        <v>47</v>
      </c>
      <c r="H10" s="433" t="s">
        <v>536</v>
      </c>
      <c r="I10" s="434">
        <v>44565</v>
      </c>
      <c r="J10" s="433" t="s">
        <v>1027</v>
      </c>
      <c r="K10" s="435" t="s">
        <v>1069</v>
      </c>
      <c r="L10" s="451" t="s">
        <v>1028</v>
      </c>
      <c r="M10" s="432">
        <v>5</v>
      </c>
      <c r="N10" s="433">
        <v>2022</v>
      </c>
      <c r="O10" s="433" t="s">
        <v>47</v>
      </c>
      <c r="P10" s="433" t="s">
        <v>536</v>
      </c>
      <c r="Q10" s="434">
        <v>44565</v>
      </c>
      <c r="R10" s="434">
        <v>44565</v>
      </c>
      <c r="S10" s="434" t="s">
        <v>1027</v>
      </c>
      <c r="T10" s="436"/>
    </row>
    <row r="11" spans="1:20" s="409" customFormat="1">
      <c r="A11" s="403" t="s">
        <v>1085</v>
      </c>
      <c r="B11" s="260" t="s">
        <v>1038</v>
      </c>
      <c r="C11" s="358">
        <v>10265176</v>
      </c>
      <c r="D11" s="453" t="s">
        <v>1044</v>
      </c>
      <c r="E11" s="404">
        <v>45</v>
      </c>
      <c r="F11" s="405">
        <v>2022</v>
      </c>
      <c r="G11" s="405" t="s">
        <v>78</v>
      </c>
      <c r="H11" s="405" t="s">
        <v>555</v>
      </c>
      <c r="I11" s="406">
        <v>44704</v>
      </c>
      <c r="J11" s="439" t="s">
        <v>1027</v>
      </c>
      <c r="K11" s="407" t="s">
        <v>1069</v>
      </c>
      <c r="L11" s="453" t="s">
        <v>1046</v>
      </c>
      <c r="M11" s="404">
        <v>45</v>
      </c>
      <c r="N11" s="405">
        <v>2022</v>
      </c>
      <c r="O11" s="405" t="s">
        <v>78</v>
      </c>
      <c r="P11" s="405" t="s">
        <v>555</v>
      </c>
      <c r="Q11" s="406">
        <v>44704</v>
      </c>
      <c r="R11" s="406">
        <v>44704</v>
      </c>
      <c r="S11" s="439" t="s">
        <v>1027</v>
      </c>
      <c r="T11" s="408"/>
    </row>
    <row r="12" spans="1:20" s="409" customFormat="1">
      <c r="A12" s="403" t="s">
        <v>1085</v>
      </c>
      <c r="B12" s="260" t="s">
        <v>1038</v>
      </c>
      <c r="C12" s="358">
        <v>10275886</v>
      </c>
      <c r="D12" s="453" t="s">
        <v>1028</v>
      </c>
      <c r="E12" s="404">
        <v>8</v>
      </c>
      <c r="F12" s="405">
        <v>2022</v>
      </c>
      <c r="G12" s="405" t="s">
        <v>99</v>
      </c>
      <c r="H12" s="405" t="s">
        <v>564</v>
      </c>
      <c r="I12" s="406">
        <v>44747</v>
      </c>
      <c r="J12" s="439" t="s">
        <v>1027</v>
      </c>
      <c r="K12" s="407" t="s">
        <v>1069</v>
      </c>
      <c r="L12" s="453" t="s">
        <v>1028</v>
      </c>
      <c r="M12" s="404">
        <v>8</v>
      </c>
      <c r="N12" s="405">
        <v>2022</v>
      </c>
      <c r="O12" s="405" t="s">
        <v>99</v>
      </c>
      <c r="P12" s="405" t="s">
        <v>564</v>
      </c>
      <c r="Q12" s="406">
        <v>44747</v>
      </c>
      <c r="R12" s="406">
        <v>44747</v>
      </c>
      <c r="S12" s="439" t="s">
        <v>1027</v>
      </c>
      <c r="T12" s="408"/>
    </row>
    <row r="13" spans="1:20">
      <c r="A13" s="353" t="s">
        <v>1085</v>
      </c>
      <c r="B13" s="255" t="s">
        <v>1038</v>
      </c>
      <c r="C13" s="355">
        <v>10265234</v>
      </c>
      <c r="D13" s="452" t="s">
        <v>1044</v>
      </c>
      <c r="E13" s="257">
        <v>6</v>
      </c>
      <c r="F13" s="258">
        <v>2022</v>
      </c>
      <c r="G13" s="258" t="s">
        <v>78</v>
      </c>
      <c r="H13" s="258" t="s">
        <v>559</v>
      </c>
      <c r="I13" s="259">
        <v>44732</v>
      </c>
      <c r="J13" s="246" t="s">
        <v>1027</v>
      </c>
      <c r="K13" s="248" t="s">
        <v>1069</v>
      </c>
      <c r="L13" s="452" t="s">
        <v>1046</v>
      </c>
      <c r="M13" s="257">
        <v>6</v>
      </c>
      <c r="N13" s="258">
        <v>2022</v>
      </c>
      <c r="O13" s="258" t="s">
        <v>78</v>
      </c>
      <c r="P13" s="258" t="s">
        <v>559</v>
      </c>
      <c r="Q13" s="259">
        <v>44732</v>
      </c>
      <c r="R13" s="259">
        <v>44732</v>
      </c>
      <c r="S13" s="246" t="s">
        <v>1027</v>
      </c>
      <c r="T13" s="248"/>
    </row>
    <row r="14" spans="1:20" s="409" customFormat="1">
      <c r="A14" s="403" t="s">
        <v>1085</v>
      </c>
      <c r="B14" s="260" t="s">
        <v>1038</v>
      </c>
      <c r="C14" s="358">
        <v>10320627</v>
      </c>
      <c r="D14" s="453" t="s">
        <v>1028</v>
      </c>
      <c r="E14" s="404">
        <v>6</v>
      </c>
      <c r="F14" s="405">
        <v>2023</v>
      </c>
      <c r="G14" s="405" t="s">
        <v>47</v>
      </c>
      <c r="H14" s="405" t="s">
        <v>536</v>
      </c>
      <c r="I14" s="406">
        <v>44929</v>
      </c>
      <c r="J14" s="405" t="s">
        <v>1027</v>
      </c>
      <c r="K14" s="407" t="s">
        <v>1069</v>
      </c>
      <c r="L14" s="453" t="s">
        <v>1028</v>
      </c>
      <c r="M14" s="404">
        <v>4</v>
      </c>
      <c r="N14" s="404">
        <v>2023</v>
      </c>
      <c r="O14" s="405" t="s">
        <v>47</v>
      </c>
      <c r="P14" s="405" t="s">
        <v>536</v>
      </c>
      <c r="Q14" s="406">
        <v>44929</v>
      </c>
      <c r="R14" s="406">
        <v>44929</v>
      </c>
      <c r="S14" s="405" t="s">
        <v>1027</v>
      </c>
      <c r="T14" s="408"/>
    </row>
    <row r="15" spans="1:20" s="409" customFormat="1">
      <c r="A15" s="403" t="s">
        <v>1085</v>
      </c>
      <c r="B15" s="260" t="s">
        <v>1038</v>
      </c>
      <c r="C15" s="358">
        <v>10357675</v>
      </c>
      <c r="D15" s="453" t="s">
        <v>1044</v>
      </c>
      <c r="E15" s="404">
        <v>42</v>
      </c>
      <c r="F15" s="405">
        <v>2023</v>
      </c>
      <c r="G15" s="405" t="s">
        <v>78</v>
      </c>
      <c r="H15" s="405" t="s">
        <v>555</v>
      </c>
      <c r="I15" s="406">
        <v>45068</v>
      </c>
      <c r="J15" s="405" t="s">
        <v>1027</v>
      </c>
      <c r="K15" s="407" t="s">
        <v>1069</v>
      </c>
      <c r="L15" s="520" t="s">
        <v>1044</v>
      </c>
      <c r="M15" s="404">
        <v>34</v>
      </c>
      <c r="N15" s="404">
        <v>2023</v>
      </c>
      <c r="O15" s="405" t="s">
        <v>78</v>
      </c>
      <c r="P15" s="405" t="s">
        <v>555</v>
      </c>
      <c r="Q15" s="406">
        <v>45068</v>
      </c>
      <c r="R15" s="406">
        <v>45068</v>
      </c>
      <c r="S15" s="405" t="s">
        <v>1027</v>
      </c>
      <c r="T15" s="408"/>
    </row>
    <row r="16" spans="1:20">
      <c r="A16" s="353" t="s">
        <v>1085</v>
      </c>
      <c r="B16" s="255" t="s">
        <v>1038</v>
      </c>
      <c r="C16" s="355" t="s">
        <v>277</v>
      </c>
      <c r="D16" s="451" t="s">
        <v>1044</v>
      </c>
      <c r="E16" s="257">
        <v>6</v>
      </c>
      <c r="F16" s="258">
        <v>2023</v>
      </c>
      <c r="G16" s="258" t="s">
        <v>78</v>
      </c>
      <c r="H16" s="258" t="s">
        <v>559</v>
      </c>
      <c r="I16" s="259">
        <v>45096</v>
      </c>
      <c r="J16" s="258" t="s">
        <v>1027</v>
      </c>
      <c r="K16" s="248" t="s">
        <v>1069</v>
      </c>
      <c r="L16" s="451" t="s">
        <v>1044</v>
      </c>
      <c r="M16" s="257">
        <v>0</v>
      </c>
      <c r="N16" s="257">
        <v>2023</v>
      </c>
      <c r="O16" s="258" t="s">
        <v>78</v>
      </c>
      <c r="P16" s="258" t="s">
        <v>559</v>
      </c>
      <c r="Q16" s="259">
        <v>45096</v>
      </c>
      <c r="R16" s="259">
        <v>45096</v>
      </c>
      <c r="S16" s="258" t="s">
        <v>1027</v>
      </c>
      <c r="T16" s="272"/>
    </row>
    <row r="17" spans="1:20" s="409" customFormat="1">
      <c r="A17" s="403" t="s">
        <v>1085</v>
      </c>
      <c r="B17" s="260" t="s">
        <v>1038</v>
      </c>
      <c r="C17" s="358" t="s">
        <v>277</v>
      </c>
      <c r="D17" s="453" t="s">
        <v>1028</v>
      </c>
      <c r="E17" s="404">
        <v>6</v>
      </c>
      <c r="F17" s="405">
        <v>2023</v>
      </c>
      <c r="G17" s="405" t="s">
        <v>99</v>
      </c>
      <c r="H17" s="405" t="s">
        <v>564</v>
      </c>
      <c r="I17" s="406">
        <v>45112</v>
      </c>
      <c r="J17" s="405" t="s">
        <v>1027</v>
      </c>
      <c r="K17" s="407" t="s">
        <v>1069</v>
      </c>
      <c r="L17" s="453" t="s">
        <v>1028</v>
      </c>
      <c r="M17" s="404">
        <v>0</v>
      </c>
      <c r="N17" s="404">
        <v>2023</v>
      </c>
      <c r="O17" s="405" t="s">
        <v>99</v>
      </c>
      <c r="P17" s="405" t="s">
        <v>564</v>
      </c>
      <c r="Q17" s="406">
        <v>45112</v>
      </c>
      <c r="R17" s="406">
        <v>45112</v>
      </c>
      <c r="S17" s="405" t="s">
        <v>1027</v>
      </c>
      <c r="T17" s="408"/>
    </row>
    <row r="18" spans="1:20" s="409" customFormat="1">
      <c r="A18" s="358" t="s">
        <v>1086</v>
      </c>
      <c r="B18" s="260" t="s">
        <v>826</v>
      </c>
      <c r="C18" s="358"/>
      <c r="D18" s="453" t="s">
        <v>1028</v>
      </c>
      <c r="E18" s="404">
        <v>31</v>
      </c>
      <c r="F18" s="405">
        <v>2022</v>
      </c>
      <c r="G18" s="405" t="s">
        <v>47</v>
      </c>
      <c r="H18" s="405" t="s">
        <v>1031</v>
      </c>
      <c r="I18" s="406"/>
      <c r="J18" s="405" t="s">
        <v>346</v>
      </c>
      <c r="K18" s="407" t="s">
        <v>1070</v>
      </c>
      <c r="L18" s="453" t="s">
        <v>1028</v>
      </c>
      <c r="M18" s="404">
        <v>30</v>
      </c>
      <c r="N18" s="404">
        <v>2022</v>
      </c>
      <c r="O18" s="405" t="s">
        <v>47</v>
      </c>
      <c r="P18" s="405"/>
      <c r="Q18" s="405"/>
      <c r="R18" s="406"/>
      <c r="S18" s="405" t="s">
        <v>346</v>
      </c>
      <c r="T18" s="408">
        <v>14.399999999999999</v>
      </c>
    </row>
    <row r="19" spans="1:20" s="409" customFormat="1">
      <c r="A19" s="358" t="s">
        <v>1086</v>
      </c>
      <c r="B19" s="260" t="s">
        <v>826</v>
      </c>
      <c r="C19" s="358"/>
      <c r="D19" s="453" t="s">
        <v>1028</v>
      </c>
      <c r="E19" s="404">
        <v>8</v>
      </c>
      <c r="F19" s="405">
        <v>2022</v>
      </c>
      <c r="G19" s="405" t="s">
        <v>78</v>
      </c>
      <c r="H19" s="405"/>
      <c r="I19" s="406"/>
      <c r="J19" s="405" t="s">
        <v>346</v>
      </c>
      <c r="K19" s="407" t="s">
        <v>1070</v>
      </c>
      <c r="L19" s="453" t="s">
        <v>1028</v>
      </c>
      <c r="M19" s="404">
        <v>8</v>
      </c>
      <c r="N19" s="404">
        <v>2022</v>
      </c>
      <c r="O19" s="405" t="s">
        <v>78</v>
      </c>
      <c r="P19" s="405"/>
      <c r="Q19" s="405"/>
      <c r="R19" s="406"/>
      <c r="S19" s="405" t="s">
        <v>346</v>
      </c>
      <c r="T19" s="408">
        <v>2</v>
      </c>
    </row>
    <row r="20" spans="1:20">
      <c r="A20" s="355" t="s">
        <v>1086</v>
      </c>
      <c r="B20" s="255" t="s">
        <v>826</v>
      </c>
      <c r="C20" s="355"/>
      <c r="D20" s="452" t="s">
        <v>1028</v>
      </c>
      <c r="E20" s="257">
        <v>41</v>
      </c>
      <c r="F20" s="258">
        <v>2022</v>
      </c>
      <c r="G20" s="258" t="s">
        <v>99</v>
      </c>
      <c r="H20" s="258"/>
      <c r="I20" s="259"/>
      <c r="J20" s="258" t="s">
        <v>346</v>
      </c>
      <c r="K20" s="248" t="s">
        <v>1070</v>
      </c>
      <c r="L20" s="452" t="s">
        <v>1028</v>
      </c>
      <c r="M20" s="257">
        <v>41</v>
      </c>
      <c r="N20" s="257">
        <v>2022</v>
      </c>
      <c r="O20" s="258" t="s">
        <v>99</v>
      </c>
      <c r="P20" s="258"/>
      <c r="Q20" s="258"/>
      <c r="R20" s="259"/>
      <c r="S20" s="258" t="s">
        <v>346</v>
      </c>
      <c r="T20" s="272">
        <v>19.68</v>
      </c>
    </row>
    <row r="21" spans="1:20">
      <c r="A21" s="355" t="s">
        <v>1086</v>
      </c>
      <c r="B21" s="255" t="s">
        <v>826</v>
      </c>
      <c r="C21" s="355"/>
      <c r="D21" s="454" t="s">
        <v>1028</v>
      </c>
      <c r="E21" s="257">
        <v>5</v>
      </c>
      <c r="F21" s="258">
        <v>2022</v>
      </c>
      <c r="G21" s="258" t="s">
        <v>121</v>
      </c>
      <c r="H21" s="258"/>
      <c r="I21" s="259"/>
      <c r="J21" s="258" t="s">
        <v>346</v>
      </c>
      <c r="K21" s="248" t="s">
        <v>1070</v>
      </c>
      <c r="L21" s="454" t="s">
        <v>1046</v>
      </c>
      <c r="M21" s="257">
        <v>5</v>
      </c>
      <c r="N21" s="257">
        <v>2022</v>
      </c>
      <c r="O21" s="258" t="s">
        <v>121</v>
      </c>
      <c r="P21" s="258"/>
      <c r="Q21" s="258"/>
      <c r="R21" s="259"/>
      <c r="S21" s="258" t="s">
        <v>346</v>
      </c>
      <c r="T21" s="272">
        <v>1</v>
      </c>
    </row>
    <row r="22" spans="1:20">
      <c r="A22" s="355" t="s">
        <v>1086</v>
      </c>
      <c r="B22" s="255" t="s">
        <v>826</v>
      </c>
      <c r="C22" s="355"/>
      <c r="D22" s="452" t="s">
        <v>1028</v>
      </c>
      <c r="E22" s="257">
        <v>53</v>
      </c>
      <c r="F22" s="258">
        <v>2023</v>
      </c>
      <c r="G22" s="258" t="s">
        <v>47</v>
      </c>
      <c r="H22" s="258"/>
      <c r="I22" s="259"/>
      <c r="J22" s="258" t="s">
        <v>346</v>
      </c>
      <c r="K22" s="248" t="s">
        <v>1080</v>
      </c>
      <c r="L22" s="452" t="s">
        <v>1028</v>
      </c>
      <c r="M22" s="257">
        <v>22</v>
      </c>
      <c r="N22" s="257">
        <v>2023</v>
      </c>
      <c r="O22" s="258" t="s">
        <v>47</v>
      </c>
      <c r="P22" s="258"/>
      <c r="Q22" s="258"/>
      <c r="R22" s="259"/>
      <c r="S22" s="258" t="s">
        <v>346</v>
      </c>
      <c r="T22" s="272"/>
    </row>
    <row r="23" spans="1:20">
      <c r="A23" s="355" t="s">
        <v>1086</v>
      </c>
      <c r="B23" s="255" t="s">
        <v>826</v>
      </c>
      <c r="C23" s="355"/>
      <c r="D23" s="452" t="s">
        <v>1028</v>
      </c>
      <c r="E23" s="257">
        <v>0</v>
      </c>
      <c r="F23" s="258">
        <v>2023</v>
      </c>
      <c r="G23" s="258" t="s">
        <v>78</v>
      </c>
      <c r="H23" s="258"/>
      <c r="I23" s="259"/>
      <c r="J23" s="258" t="s">
        <v>346</v>
      </c>
      <c r="K23" s="248" t="s">
        <v>1080</v>
      </c>
      <c r="L23" s="452" t="s">
        <v>1028</v>
      </c>
      <c r="M23" s="257">
        <v>1</v>
      </c>
      <c r="N23" s="257">
        <v>2023</v>
      </c>
      <c r="O23" s="258" t="s">
        <v>78</v>
      </c>
      <c r="P23" s="258"/>
      <c r="Q23" s="258"/>
      <c r="R23" s="259"/>
      <c r="S23" s="258" t="s">
        <v>346</v>
      </c>
      <c r="T23" s="272"/>
    </row>
    <row r="24" spans="1:20" s="409" customFormat="1">
      <c r="A24" s="358" t="s">
        <v>1086</v>
      </c>
      <c r="B24" s="260" t="s">
        <v>826</v>
      </c>
      <c r="C24" s="358"/>
      <c r="D24" s="453" t="s">
        <v>1028</v>
      </c>
      <c r="E24" s="404">
        <v>0</v>
      </c>
      <c r="F24" s="405">
        <v>2023</v>
      </c>
      <c r="G24" s="405" t="s">
        <v>99</v>
      </c>
      <c r="H24" s="405"/>
      <c r="I24" s="406"/>
      <c r="J24" s="405" t="s">
        <v>346</v>
      </c>
      <c r="K24" s="407" t="s">
        <v>1080</v>
      </c>
      <c r="L24" s="453" t="s">
        <v>1028</v>
      </c>
      <c r="M24" s="404">
        <v>17</v>
      </c>
      <c r="N24" s="404">
        <v>2023</v>
      </c>
      <c r="O24" s="405" t="s">
        <v>99</v>
      </c>
      <c r="P24" s="405"/>
      <c r="Q24" s="405"/>
      <c r="R24" s="406"/>
      <c r="S24" s="405" t="s">
        <v>346</v>
      </c>
      <c r="T24" s="408"/>
    </row>
    <row r="25" spans="1:20" s="409" customFormat="1">
      <c r="A25" s="358" t="s">
        <v>1086</v>
      </c>
      <c r="B25" s="260" t="s">
        <v>209</v>
      </c>
      <c r="C25" s="358"/>
      <c r="D25" s="261" t="s">
        <v>1044</v>
      </c>
      <c r="E25" s="404">
        <v>32</v>
      </c>
      <c r="F25" s="405">
        <v>2022</v>
      </c>
      <c r="G25" s="405" t="s">
        <v>47</v>
      </c>
      <c r="H25" s="405" t="s">
        <v>1031</v>
      </c>
      <c r="I25" s="406"/>
      <c r="J25" s="405"/>
      <c r="K25" s="407"/>
      <c r="L25" s="261" t="s">
        <v>1046</v>
      </c>
      <c r="M25" s="404">
        <v>25</v>
      </c>
      <c r="N25" s="405">
        <v>2022</v>
      </c>
      <c r="O25" s="405" t="s">
        <v>99</v>
      </c>
      <c r="P25" s="405" t="s">
        <v>1031</v>
      </c>
      <c r="Q25" s="405"/>
      <c r="R25" s="406"/>
      <c r="S25" s="405"/>
      <c r="T25" s="408"/>
    </row>
    <row r="26" spans="1:20" ht="14.5" customHeight="1">
      <c r="A26" s="354" t="s">
        <v>1086</v>
      </c>
      <c r="B26" s="249" t="s">
        <v>209</v>
      </c>
      <c r="C26" s="354"/>
      <c r="D26" s="250" t="s">
        <v>1044</v>
      </c>
      <c r="E26" s="251">
        <v>11</v>
      </c>
      <c r="F26" s="252">
        <v>2022</v>
      </c>
      <c r="G26" s="252" t="s">
        <v>99</v>
      </c>
      <c r="H26" s="252" t="s">
        <v>564</v>
      </c>
      <c r="I26" s="253"/>
      <c r="J26" s="252"/>
      <c r="K26" s="254"/>
      <c r="L26" s="256" t="s">
        <v>1046</v>
      </c>
      <c r="M26" s="251">
        <v>11</v>
      </c>
      <c r="N26" s="252">
        <v>2022</v>
      </c>
      <c r="O26" s="252" t="s">
        <v>99</v>
      </c>
      <c r="P26" s="252" t="s">
        <v>564</v>
      </c>
      <c r="Q26" s="252"/>
      <c r="R26" s="253"/>
      <c r="S26" s="252"/>
      <c r="T26" s="273"/>
    </row>
    <row r="27" spans="1:20" s="462" customFormat="1">
      <c r="A27" s="455" t="s">
        <v>1086</v>
      </c>
      <c r="B27" s="456" t="s">
        <v>209</v>
      </c>
      <c r="C27" s="455"/>
      <c r="D27" s="428" t="s">
        <v>1044</v>
      </c>
      <c r="E27" s="457">
        <v>13</v>
      </c>
      <c r="F27" s="458">
        <v>2022</v>
      </c>
      <c r="G27" s="458" t="s">
        <v>47</v>
      </c>
      <c r="H27" s="458" t="s">
        <v>543</v>
      </c>
      <c r="I27" s="459"/>
      <c r="J27" s="458"/>
      <c r="K27" s="460"/>
      <c r="L27" s="428" t="s">
        <v>1046</v>
      </c>
      <c r="M27" s="457">
        <v>13</v>
      </c>
      <c r="N27" s="458">
        <v>2022</v>
      </c>
      <c r="O27" s="458" t="s">
        <v>78</v>
      </c>
      <c r="P27" s="458" t="s">
        <v>543</v>
      </c>
      <c r="Q27" s="458"/>
      <c r="R27" s="459"/>
      <c r="S27" s="458"/>
      <c r="T27" s="461"/>
    </row>
    <row r="28" spans="1:20" s="409" customFormat="1">
      <c r="A28" s="358" t="s">
        <v>1086</v>
      </c>
      <c r="B28" s="260" t="s">
        <v>209</v>
      </c>
      <c r="C28" s="358"/>
      <c r="D28" s="261" t="s">
        <v>1044</v>
      </c>
      <c r="E28" s="404">
        <v>20</v>
      </c>
      <c r="F28" s="405">
        <v>2022</v>
      </c>
      <c r="G28" s="405" t="s">
        <v>78</v>
      </c>
      <c r="H28" s="405" t="s">
        <v>555</v>
      </c>
      <c r="I28" s="406"/>
      <c r="J28" s="405"/>
      <c r="K28" s="407"/>
      <c r="L28" s="261" t="s">
        <v>1046</v>
      </c>
      <c r="M28" s="404">
        <v>29</v>
      </c>
      <c r="N28" s="405">
        <v>2022</v>
      </c>
      <c r="O28" s="405" t="s">
        <v>47</v>
      </c>
      <c r="P28" s="405" t="s">
        <v>555</v>
      </c>
      <c r="Q28" s="405"/>
      <c r="R28" s="406"/>
      <c r="S28" s="405"/>
      <c r="T28" s="408"/>
    </row>
    <row r="29" spans="1:20" s="437" customFormat="1">
      <c r="A29" s="431" t="s">
        <v>1086</v>
      </c>
      <c r="B29" s="419" t="s">
        <v>209</v>
      </c>
      <c r="C29" s="431"/>
      <c r="D29" s="428" t="s">
        <v>1044</v>
      </c>
      <c r="E29" s="432">
        <v>20</v>
      </c>
      <c r="F29" s="433">
        <v>2022</v>
      </c>
      <c r="G29" s="433" t="s">
        <v>78</v>
      </c>
      <c r="H29" s="433" t="s">
        <v>551</v>
      </c>
      <c r="I29" s="434"/>
      <c r="J29" s="433"/>
      <c r="K29" s="435"/>
      <c r="L29" s="428" t="s">
        <v>1046</v>
      </c>
      <c r="M29" s="432">
        <v>24</v>
      </c>
      <c r="N29" s="433">
        <v>2022</v>
      </c>
      <c r="O29" s="433" t="s">
        <v>121</v>
      </c>
      <c r="P29" s="433" t="s">
        <v>551</v>
      </c>
      <c r="Q29" s="433"/>
      <c r="R29" s="434"/>
      <c r="S29" s="433"/>
      <c r="T29" s="436"/>
    </row>
    <row r="30" spans="1:20" s="437" customFormat="1">
      <c r="A30" s="431" t="s">
        <v>1086</v>
      </c>
      <c r="B30" s="419" t="s">
        <v>209</v>
      </c>
      <c r="C30" s="431"/>
      <c r="D30" s="428" t="s">
        <v>1044</v>
      </c>
      <c r="E30" s="432">
        <v>20</v>
      </c>
      <c r="F30" s="433">
        <v>2022</v>
      </c>
      <c r="G30" s="433" t="s">
        <v>78</v>
      </c>
      <c r="H30" s="433" t="s">
        <v>559</v>
      </c>
      <c r="I30" s="434"/>
      <c r="J30" s="433"/>
      <c r="K30" s="435"/>
      <c r="L30" s="428" t="s">
        <v>1046</v>
      </c>
      <c r="M30" s="432">
        <v>5</v>
      </c>
      <c r="N30" s="433">
        <v>2022</v>
      </c>
      <c r="O30" s="433" t="s">
        <v>99</v>
      </c>
      <c r="P30" s="433" t="s">
        <v>559</v>
      </c>
      <c r="Q30" s="433"/>
      <c r="R30" s="434"/>
      <c r="S30" s="433"/>
      <c r="T30" s="436"/>
    </row>
    <row r="31" spans="1:20">
      <c r="A31" s="354" t="s">
        <v>1086</v>
      </c>
      <c r="B31" s="249" t="s">
        <v>209</v>
      </c>
      <c r="C31" s="354"/>
      <c r="D31" s="463" t="s">
        <v>1046</v>
      </c>
      <c r="E31" s="251">
        <v>64</v>
      </c>
      <c r="F31" s="252">
        <v>2023</v>
      </c>
      <c r="G31" s="252" t="s">
        <v>47</v>
      </c>
      <c r="H31" s="252" t="s">
        <v>536</v>
      </c>
      <c r="I31" s="253"/>
      <c r="J31" s="252" t="s">
        <v>346</v>
      </c>
      <c r="K31" s="254"/>
      <c r="L31" s="463" t="s">
        <v>1046</v>
      </c>
      <c r="M31" s="251">
        <v>18</v>
      </c>
      <c r="N31" s="251">
        <v>2023</v>
      </c>
      <c r="O31" s="252" t="s">
        <v>47</v>
      </c>
      <c r="P31" s="252" t="s">
        <v>536</v>
      </c>
      <c r="Q31" s="252"/>
      <c r="R31" s="406">
        <v>44929</v>
      </c>
      <c r="S31" s="252"/>
      <c r="T31" s="273"/>
    </row>
    <row r="32" spans="1:20">
      <c r="A32" s="355" t="s">
        <v>1086</v>
      </c>
      <c r="B32" s="419" t="s">
        <v>209</v>
      </c>
      <c r="C32" s="355"/>
      <c r="D32" s="452" t="s">
        <v>1046</v>
      </c>
      <c r="E32" s="257">
        <v>100</v>
      </c>
      <c r="F32" s="252">
        <v>2023</v>
      </c>
      <c r="G32" s="258" t="s">
        <v>78</v>
      </c>
      <c r="H32" s="258" t="s">
        <v>551</v>
      </c>
      <c r="I32" s="259"/>
      <c r="J32" s="258" t="s">
        <v>346</v>
      </c>
      <c r="K32" s="248"/>
      <c r="L32" s="452" t="s">
        <v>1046</v>
      </c>
      <c r="M32" s="257"/>
      <c r="N32" s="257"/>
      <c r="O32" s="258"/>
      <c r="P32" s="258"/>
      <c r="Q32" s="258"/>
      <c r="R32" s="259"/>
      <c r="S32" s="258"/>
      <c r="T32" s="272"/>
    </row>
    <row r="33" spans="1:20">
      <c r="A33" s="354" t="s">
        <v>1086</v>
      </c>
      <c r="B33" s="249" t="s">
        <v>209</v>
      </c>
      <c r="C33" s="354"/>
      <c r="D33" s="463" t="s">
        <v>1046</v>
      </c>
      <c r="E33" s="251">
        <v>100</v>
      </c>
      <c r="F33" s="252">
        <v>2023</v>
      </c>
      <c r="G33" s="252" t="s">
        <v>99</v>
      </c>
      <c r="H33" s="252" t="s">
        <v>564</v>
      </c>
      <c r="I33" s="253"/>
      <c r="J33" s="252" t="s">
        <v>346</v>
      </c>
      <c r="K33" s="254"/>
      <c r="L33" s="463" t="s">
        <v>1046</v>
      </c>
      <c r="M33" s="251"/>
      <c r="N33" s="251"/>
      <c r="O33" s="252"/>
      <c r="P33" s="252"/>
      <c r="Q33" s="252"/>
      <c r="R33" s="253"/>
      <c r="S33" s="252"/>
      <c r="T33" s="273"/>
    </row>
    <row r="34" spans="1:20" ht="24.75" customHeight="1">
      <c r="A34" s="355" t="s">
        <v>891</v>
      </c>
      <c r="B34" s="255" t="s">
        <v>807</v>
      </c>
      <c r="C34" s="355"/>
      <c r="D34" s="256" t="s">
        <v>1028</v>
      </c>
      <c r="E34" s="257">
        <v>16</v>
      </c>
      <c r="F34" s="258">
        <v>2022</v>
      </c>
      <c r="G34" s="258" t="s">
        <v>121</v>
      </c>
      <c r="H34" s="258" t="s">
        <v>1034</v>
      </c>
      <c r="I34" s="259">
        <v>44893</v>
      </c>
      <c r="J34" s="258" t="s">
        <v>1027</v>
      </c>
      <c r="K34" s="248" t="s">
        <v>1079</v>
      </c>
      <c r="L34" s="256" t="s">
        <v>1028</v>
      </c>
      <c r="M34" s="257">
        <v>12</v>
      </c>
      <c r="N34" s="257">
        <v>2022</v>
      </c>
      <c r="O34" s="258" t="s">
        <v>121</v>
      </c>
      <c r="P34" s="258" t="s">
        <v>1034</v>
      </c>
      <c r="Q34" s="258"/>
      <c r="R34" s="259">
        <v>44893</v>
      </c>
      <c r="S34" s="258" t="s">
        <v>1027</v>
      </c>
      <c r="T34" s="272">
        <v>7</v>
      </c>
    </row>
    <row r="35" spans="1:20">
      <c r="A35" s="355" t="s">
        <v>891</v>
      </c>
      <c r="B35" s="255" t="s">
        <v>807</v>
      </c>
      <c r="C35" s="355"/>
      <c r="D35" s="452" t="s">
        <v>1028</v>
      </c>
      <c r="E35" s="257">
        <v>9</v>
      </c>
      <c r="F35" s="258">
        <v>2023</v>
      </c>
      <c r="G35" s="258" t="s">
        <v>78</v>
      </c>
      <c r="H35" s="258"/>
      <c r="I35" s="259"/>
      <c r="J35" s="258" t="s">
        <v>1027</v>
      </c>
      <c r="K35" s="248" t="s">
        <v>1083</v>
      </c>
      <c r="L35" s="452"/>
      <c r="M35" s="257"/>
      <c r="N35" s="257"/>
      <c r="O35" s="258"/>
      <c r="P35" s="258"/>
      <c r="Q35" s="258"/>
      <c r="R35" s="259"/>
      <c r="S35" s="258"/>
      <c r="T35" s="272"/>
    </row>
    <row r="36" spans="1:20">
      <c r="A36" s="354" t="s">
        <v>891</v>
      </c>
      <c r="B36" s="249" t="s">
        <v>807</v>
      </c>
      <c r="C36" s="354"/>
      <c r="D36" s="463" t="s">
        <v>1028</v>
      </c>
      <c r="E36" s="251">
        <v>9</v>
      </c>
      <c r="F36" s="252">
        <v>2023</v>
      </c>
      <c r="G36" s="252" t="s">
        <v>121</v>
      </c>
      <c r="H36" s="252"/>
      <c r="I36" s="253"/>
      <c r="J36" s="252" t="s">
        <v>1027</v>
      </c>
      <c r="K36" s="254" t="s">
        <v>1083</v>
      </c>
      <c r="L36" s="463"/>
      <c r="M36" s="251"/>
      <c r="N36" s="251"/>
      <c r="O36" s="252"/>
      <c r="P36" s="252"/>
      <c r="Q36" s="252"/>
      <c r="R36" s="253"/>
      <c r="S36" s="252"/>
      <c r="T36" s="273"/>
    </row>
    <row r="37" spans="1:20" s="409" customFormat="1">
      <c r="A37" s="358" t="s">
        <v>891</v>
      </c>
      <c r="B37" s="260" t="s">
        <v>917</v>
      </c>
      <c r="C37" s="358"/>
      <c r="D37" s="261" t="s">
        <v>1044</v>
      </c>
      <c r="E37" s="404">
        <v>85</v>
      </c>
      <c r="F37" s="405">
        <v>2022</v>
      </c>
      <c r="G37" s="405" t="s">
        <v>47</v>
      </c>
      <c r="H37" s="405"/>
      <c r="I37" s="406"/>
      <c r="J37" s="405" t="s">
        <v>1027</v>
      </c>
      <c r="K37" s="407"/>
      <c r="L37" s="261"/>
      <c r="M37" s="404">
        <v>0</v>
      </c>
      <c r="N37" s="404"/>
      <c r="O37" s="405"/>
      <c r="P37" s="405"/>
      <c r="Q37" s="405"/>
      <c r="R37" s="406"/>
      <c r="S37" s="405"/>
      <c r="T37" s="408"/>
    </row>
    <row r="38" spans="1:20" s="437" customFormat="1">
      <c r="A38" s="431" t="s">
        <v>891</v>
      </c>
      <c r="B38" s="419" t="s">
        <v>917</v>
      </c>
      <c r="C38" s="431"/>
      <c r="D38" s="428"/>
      <c r="E38" s="432">
        <v>122</v>
      </c>
      <c r="F38" s="433">
        <v>2022</v>
      </c>
      <c r="G38" s="433" t="s">
        <v>47</v>
      </c>
      <c r="H38" s="433"/>
      <c r="I38" s="434"/>
      <c r="J38" s="433" t="s">
        <v>1027</v>
      </c>
      <c r="K38" s="435"/>
      <c r="L38" s="428"/>
      <c r="M38" s="432">
        <v>0</v>
      </c>
      <c r="N38" s="432"/>
      <c r="O38" s="433"/>
      <c r="P38" s="433"/>
      <c r="Q38" s="433"/>
      <c r="R38" s="434"/>
      <c r="S38" s="433"/>
      <c r="T38" s="436"/>
    </row>
    <row r="39" spans="1:20" s="409" customFormat="1" ht="14.5" customHeight="1">
      <c r="A39" s="358" t="s">
        <v>891</v>
      </c>
      <c r="B39" s="260" t="s">
        <v>917</v>
      </c>
      <c r="C39" s="358"/>
      <c r="D39" s="261" t="s">
        <v>1044</v>
      </c>
      <c r="E39" s="404">
        <v>173</v>
      </c>
      <c r="F39" s="405">
        <v>2022</v>
      </c>
      <c r="G39" s="405" t="s">
        <v>78</v>
      </c>
      <c r="H39" s="405"/>
      <c r="I39" s="406"/>
      <c r="J39" s="405" t="s">
        <v>1027</v>
      </c>
      <c r="K39" s="407"/>
      <c r="L39" s="261"/>
      <c r="M39" s="404">
        <v>0</v>
      </c>
      <c r="N39" s="404"/>
      <c r="O39" s="405"/>
      <c r="P39" s="405"/>
      <c r="Q39" s="405"/>
      <c r="R39" s="406"/>
      <c r="S39" s="405"/>
      <c r="T39" s="408"/>
    </row>
    <row r="40" spans="1:20" s="437" customFormat="1" ht="14.5" customHeight="1">
      <c r="A40" s="431" t="s">
        <v>891</v>
      </c>
      <c r="B40" s="419" t="s">
        <v>917</v>
      </c>
      <c r="C40" s="431"/>
      <c r="D40" s="428" t="s">
        <v>1044</v>
      </c>
      <c r="E40" s="432">
        <v>23</v>
      </c>
      <c r="F40" s="433">
        <v>2022</v>
      </c>
      <c r="G40" s="433" t="s">
        <v>78</v>
      </c>
      <c r="H40" s="433"/>
      <c r="I40" s="434"/>
      <c r="J40" s="433" t="s">
        <v>1027</v>
      </c>
      <c r="K40" s="435"/>
      <c r="L40" s="428"/>
      <c r="M40" s="432">
        <v>0</v>
      </c>
      <c r="N40" s="432"/>
      <c r="O40" s="433"/>
      <c r="P40" s="433"/>
      <c r="Q40" s="433"/>
      <c r="R40" s="434"/>
      <c r="S40" s="433"/>
      <c r="T40" s="436"/>
    </row>
    <row r="41" spans="1:20" s="409" customFormat="1" ht="14.5" customHeight="1">
      <c r="A41" s="358" t="s">
        <v>891</v>
      </c>
      <c r="B41" s="260" t="s">
        <v>917</v>
      </c>
      <c r="C41" s="358"/>
      <c r="D41" s="261" t="s">
        <v>1044</v>
      </c>
      <c r="E41" s="404">
        <v>164</v>
      </c>
      <c r="F41" s="405">
        <v>2022</v>
      </c>
      <c r="G41" s="405" t="s">
        <v>99</v>
      </c>
      <c r="H41" s="405"/>
      <c r="I41" s="406"/>
      <c r="J41" s="405" t="s">
        <v>1027</v>
      </c>
      <c r="K41" s="407"/>
      <c r="L41" s="261"/>
      <c r="M41" s="404">
        <v>0</v>
      </c>
      <c r="N41" s="404"/>
      <c r="O41" s="405"/>
      <c r="P41" s="405"/>
      <c r="Q41" s="405"/>
      <c r="R41" s="406"/>
      <c r="S41" s="405"/>
      <c r="T41" s="408"/>
    </row>
    <row r="42" spans="1:20" s="409" customFormat="1" ht="14.5" customHeight="1">
      <c r="A42" s="358" t="s">
        <v>891</v>
      </c>
      <c r="B42" s="260" t="s">
        <v>1087</v>
      </c>
      <c r="C42" s="358"/>
      <c r="D42" s="463" t="s">
        <v>1028</v>
      </c>
      <c r="E42" s="404">
        <v>85</v>
      </c>
      <c r="F42" s="405">
        <v>2023</v>
      </c>
      <c r="G42" s="405" t="s">
        <v>99</v>
      </c>
      <c r="H42" s="405"/>
      <c r="I42" s="406"/>
      <c r="J42" s="405" t="s">
        <v>1027</v>
      </c>
      <c r="K42" s="407" t="s">
        <v>1088</v>
      </c>
      <c r="L42" s="261"/>
      <c r="M42" s="404"/>
      <c r="N42" s="404"/>
      <c r="O42" s="405"/>
      <c r="P42" s="405"/>
      <c r="Q42" s="405"/>
      <c r="R42" s="406"/>
      <c r="S42" s="405"/>
      <c r="T42" s="408"/>
    </row>
    <row r="43" spans="1:20" s="409" customFormat="1" ht="14.5" customHeight="1">
      <c r="A43" s="358" t="s">
        <v>891</v>
      </c>
      <c r="B43" s="260" t="s">
        <v>1089</v>
      </c>
      <c r="C43" s="358"/>
      <c r="D43" s="463" t="s">
        <v>1028</v>
      </c>
      <c r="E43" s="404">
        <v>110</v>
      </c>
      <c r="F43" s="405">
        <v>2023</v>
      </c>
      <c r="G43" s="405" t="s">
        <v>99</v>
      </c>
      <c r="H43" s="405"/>
      <c r="I43" s="406"/>
      <c r="J43" s="405" t="s">
        <v>1027</v>
      </c>
      <c r="K43" s="407" t="s">
        <v>365</v>
      </c>
      <c r="L43" s="261"/>
      <c r="M43" s="404"/>
      <c r="N43" s="404"/>
      <c r="O43" s="405"/>
      <c r="P43" s="405"/>
      <c r="Q43" s="405"/>
      <c r="R43" s="406"/>
      <c r="S43" s="405"/>
      <c r="T43" s="408"/>
    </row>
    <row r="44" spans="1:20" s="409" customFormat="1" ht="14.5" customHeight="1">
      <c r="A44" s="358" t="s">
        <v>891</v>
      </c>
      <c r="B44" s="260" t="s">
        <v>1090</v>
      </c>
      <c r="C44" s="358"/>
      <c r="D44" s="463" t="s">
        <v>1028</v>
      </c>
      <c r="E44" s="404">
        <v>16</v>
      </c>
      <c r="F44" s="405">
        <v>2023</v>
      </c>
      <c r="G44" s="405" t="s">
        <v>121</v>
      </c>
      <c r="H44" s="405"/>
      <c r="I44" s="406"/>
      <c r="J44" s="405" t="s">
        <v>1027</v>
      </c>
      <c r="K44" s="407" t="s">
        <v>1091</v>
      </c>
      <c r="L44" s="261"/>
      <c r="M44" s="404"/>
      <c r="N44" s="404"/>
      <c r="O44" s="405"/>
      <c r="P44" s="405"/>
      <c r="Q44" s="405"/>
      <c r="R44" s="406"/>
      <c r="S44" s="405"/>
      <c r="T44" s="408"/>
    </row>
    <row r="45" spans="1:20" s="409" customFormat="1" ht="14.5" customHeight="1">
      <c r="A45" s="358" t="s">
        <v>891</v>
      </c>
      <c r="B45" s="260" t="s">
        <v>1092</v>
      </c>
      <c r="C45" s="358"/>
      <c r="D45" s="463" t="s">
        <v>1028</v>
      </c>
      <c r="E45" s="404">
        <v>10</v>
      </c>
      <c r="F45" s="405">
        <v>2023</v>
      </c>
      <c r="G45" s="405" t="s">
        <v>121</v>
      </c>
      <c r="H45" s="405"/>
      <c r="I45" s="406"/>
      <c r="J45" s="405" t="s">
        <v>1027</v>
      </c>
      <c r="K45" s="407"/>
      <c r="L45" s="261"/>
      <c r="M45" s="404"/>
      <c r="N45" s="404"/>
      <c r="O45" s="405"/>
      <c r="P45" s="405"/>
      <c r="Q45" s="405"/>
      <c r="R45" s="406"/>
      <c r="S45" s="405"/>
      <c r="T45" s="408"/>
    </row>
    <row r="46" spans="1:20" s="409" customFormat="1" ht="14.5" customHeight="1">
      <c r="A46" s="358" t="s">
        <v>891</v>
      </c>
      <c r="B46" s="260" t="s">
        <v>1093</v>
      </c>
      <c r="C46" s="358"/>
      <c r="D46" s="463" t="s">
        <v>1028</v>
      </c>
      <c r="E46" s="404">
        <v>100</v>
      </c>
      <c r="F46" s="405">
        <v>2023</v>
      </c>
      <c r="G46" s="405" t="s">
        <v>99</v>
      </c>
      <c r="H46" s="405"/>
      <c r="I46" s="406"/>
      <c r="J46" s="405" t="s">
        <v>1027</v>
      </c>
      <c r="K46" s="407" t="s">
        <v>415</v>
      </c>
      <c r="L46" s="261"/>
      <c r="M46" s="404"/>
      <c r="N46" s="404"/>
      <c r="O46" s="405"/>
      <c r="P46" s="405"/>
      <c r="Q46" s="405"/>
      <c r="R46" s="406"/>
      <c r="S46" s="405"/>
      <c r="T46" s="408"/>
    </row>
    <row r="47" spans="1:20">
      <c r="A47" s="355" t="s">
        <v>899</v>
      </c>
      <c r="B47" s="255" t="s">
        <v>812</v>
      </c>
      <c r="C47" s="355"/>
      <c r="D47" s="452" t="s">
        <v>1044</v>
      </c>
      <c r="E47" s="257">
        <v>395</v>
      </c>
      <c r="F47" s="258">
        <v>2023</v>
      </c>
      <c r="G47" s="258" t="s">
        <v>99</v>
      </c>
      <c r="H47" s="258" t="s">
        <v>566</v>
      </c>
      <c r="I47" s="259"/>
      <c r="J47" s="258"/>
      <c r="K47" s="248"/>
      <c r="L47" s="452"/>
      <c r="M47" s="257"/>
      <c r="N47" s="257"/>
      <c r="O47" s="258"/>
      <c r="P47" s="258"/>
      <c r="Q47" s="258"/>
      <c r="R47" s="259"/>
      <c r="S47" s="258"/>
      <c r="T47" s="272"/>
    </row>
    <row r="48" spans="1:20">
      <c r="A48" s="355" t="s">
        <v>1094</v>
      </c>
      <c r="B48" s="255" t="s">
        <v>270</v>
      </c>
      <c r="C48" s="355"/>
      <c r="D48" s="451" t="s">
        <v>1044</v>
      </c>
      <c r="E48" s="257">
        <v>15</v>
      </c>
      <c r="F48" s="258">
        <v>2023</v>
      </c>
      <c r="G48" s="258" t="s">
        <v>47</v>
      </c>
      <c r="H48" s="258" t="s">
        <v>536</v>
      </c>
      <c r="I48" s="257" t="s">
        <v>536</v>
      </c>
      <c r="J48" s="258" t="s">
        <v>1027</v>
      </c>
      <c r="K48" s="257" t="s">
        <v>1074</v>
      </c>
      <c r="L48" s="452" t="s">
        <v>1046</v>
      </c>
      <c r="M48" s="257">
        <v>5</v>
      </c>
      <c r="N48" s="257">
        <v>2023</v>
      </c>
      <c r="O48" s="257" t="s">
        <v>47</v>
      </c>
      <c r="P48" s="257" t="s">
        <v>536</v>
      </c>
      <c r="Q48" s="257"/>
      <c r="R48" s="341" t="s">
        <v>1076</v>
      </c>
      <c r="S48" s="257" t="s">
        <v>346</v>
      </c>
      <c r="T48" s="257"/>
    </row>
    <row r="49" spans="1:20" s="409" customFormat="1">
      <c r="A49" s="358" t="s">
        <v>1094</v>
      </c>
      <c r="B49" s="260" t="s">
        <v>270</v>
      </c>
      <c r="C49" s="358"/>
      <c r="D49" s="453" t="s">
        <v>1044</v>
      </c>
      <c r="E49" s="404">
        <v>15</v>
      </c>
      <c r="F49" s="405">
        <v>2023</v>
      </c>
      <c r="G49" s="405" t="s">
        <v>47</v>
      </c>
      <c r="H49" s="405" t="s">
        <v>543</v>
      </c>
      <c r="I49" s="404" t="s">
        <v>543</v>
      </c>
      <c r="J49" s="405" t="s">
        <v>1027</v>
      </c>
      <c r="K49" s="404" t="s">
        <v>1074</v>
      </c>
      <c r="L49" s="453" t="s">
        <v>1046</v>
      </c>
      <c r="M49" s="404">
        <v>15</v>
      </c>
      <c r="N49" s="404">
        <v>2023</v>
      </c>
      <c r="O49" s="404" t="s">
        <v>47</v>
      </c>
      <c r="P49" s="404" t="s">
        <v>543</v>
      </c>
      <c r="Q49" s="404"/>
      <c r="R49" s="341" t="s">
        <v>1076</v>
      </c>
      <c r="S49" s="404" t="s">
        <v>346</v>
      </c>
      <c r="T49" s="404"/>
    </row>
    <row r="50" spans="1:20">
      <c r="A50" s="355" t="s">
        <v>1094</v>
      </c>
      <c r="B50" s="255" t="s">
        <v>270</v>
      </c>
      <c r="C50" s="355"/>
      <c r="D50" s="451" t="s">
        <v>1044</v>
      </c>
      <c r="E50" s="257">
        <v>15</v>
      </c>
      <c r="F50" s="258">
        <v>2023</v>
      </c>
      <c r="G50" s="258" t="s">
        <v>47</v>
      </c>
      <c r="H50" s="258" t="s">
        <v>1031</v>
      </c>
      <c r="I50" s="257" t="s">
        <v>547</v>
      </c>
      <c r="J50" s="258" t="s">
        <v>1027</v>
      </c>
      <c r="K50" s="257" t="s">
        <v>1074</v>
      </c>
      <c r="L50" s="452" t="s">
        <v>1046</v>
      </c>
      <c r="M50" s="257">
        <v>18</v>
      </c>
      <c r="N50" s="257">
        <v>2023</v>
      </c>
      <c r="O50" s="257" t="s">
        <v>47</v>
      </c>
      <c r="P50" s="257" t="s">
        <v>1031</v>
      </c>
      <c r="Q50" s="257"/>
      <c r="R50" s="341" t="s">
        <v>1077</v>
      </c>
      <c r="S50" s="257"/>
      <c r="T50" s="257"/>
    </row>
    <row r="51" spans="1:20" s="409" customFormat="1">
      <c r="A51" s="358" t="s">
        <v>1094</v>
      </c>
      <c r="B51" s="260" t="s">
        <v>270</v>
      </c>
      <c r="C51" s="358"/>
      <c r="D51" s="453" t="s">
        <v>1044</v>
      </c>
      <c r="E51" s="404">
        <v>85</v>
      </c>
      <c r="F51" s="405">
        <v>2023</v>
      </c>
      <c r="G51" s="405" t="s">
        <v>78</v>
      </c>
      <c r="H51" s="405" t="s">
        <v>1078</v>
      </c>
      <c r="I51" s="404" t="s">
        <v>78</v>
      </c>
      <c r="J51" s="405"/>
      <c r="K51" s="429" t="s">
        <v>1074</v>
      </c>
      <c r="L51" s="453" t="s">
        <v>1046</v>
      </c>
      <c r="M51" s="404"/>
      <c r="N51" s="404"/>
      <c r="O51" s="404"/>
      <c r="P51" s="404"/>
      <c r="Q51" s="404"/>
      <c r="R51" s="430"/>
      <c r="S51" s="404"/>
      <c r="T51" s="429"/>
    </row>
    <row r="52" spans="1:20" s="417" customFormat="1">
      <c r="A52" s="355" t="s">
        <v>1094</v>
      </c>
      <c r="B52" s="411" t="s">
        <v>1048</v>
      </c>
      <c r="C52" s="410"/>
      <c r="D52" s="464" t="s">
        <v>1044</v>
      </c>
      <c r="E52" s="412">
        <v>13</v>
      </c>
      <c r="F52" s="413">
        <v>2022</v>
      </c>
      <c r="G52" s="413" t="s">
        <v>47</v>
      </c>
      <c r="H52" s="413" t="s">
        <v>536</v>
      </c>
      <c r="I52" s="414"/>
      <c r="J52" s="413"/>
      <c r="K52" s="415"/>
      <c r="L52" s="464" t="s">
        <v>1046</v>
      </c>
      <c r="M52" s="412">
        <v>13</v>
      </c>
      <c r="N52" s="412">
        <v>2022</v>
      </c>
      <c r="O52" s="413" t="s">
        <v>47</v>
      </c>
      <c r="P52" s="413" t="s">
        <v>536</v>
      </c>
      <c r="Q52" s="413"/>
      <c r="R52" s="414"/>
      <c r="S52" s="413"/>
      <c r="T52" s="416"/>
    </row>
    <row r="53" spans="1:20" s="427" customFormat="1">
      <c r="A53" s="358" t="s">
        <v>1094</v>
      </c>
      <c r="B53" s="420" t="s">
        <v>1048</v>
      </c>
      <c r="C53" s="421"/>
      <c r="D53" s="465" t="s">
        <v>1044</v>
      </c>
      <c r="E53" s="422">
        <v>23</v>
      </c>
      <c r="F53" s="423">
        <v>2022</v>
      </c>
      <c r="G53" s="423" t="s">
        <v>47</v>
      </c>
      <c r="H53" s="423" t="s">
        <v>543</v>
      </c>
      <c r="I53" s="424"/>
      <c r="J53" s="423"/>
      <c r="K53" s="425"/>
      <c r="L53" s="465" t="s">
        <v>1046</v>
      </c>
      <c r="M53" s="422">
        <v>23</v>
      </c>
      <c r="N53" s="422">
        <v>2022</v>
      </c>
      <c r="O53" s="423" t="s">
        <v>47</v>
      </c>
      <c r="P53" s="423" t="s">
        <v>543</v>
      </c>
      <c r="Q53" s="423"/>
      <c r="R53" s="424"/>
      <c r="S53" s="423"/>
      <c r="T53" s="426"/>
    </row>
    <row r="54" spans="1:20" s="417" customFormat="1">
      <c r="A54" s="355" t="s">
        <v>1094</v>
      </c>
      <c r="B54" s="411" t="s">
        <v>1048</v>
      </c>
      <c r="C54" s="410"/>
      <c r="D54" s="464" t="s">
        <v>1044</v>
      </c>
      <c r="E54" s="412">
        <v>17</v>
      </c>
      <c r="F54" s="413">
        <v>2022</v>
      </c>
      <c r="G54" s="413" t="s">
        <v>47</v>
      </c>
      <c r="H54" s="413" t="s">
        <v>1031</v>
      </c>
      <c r="I54" s="414"/>
      <c r="J54" s="413"/>
      <c r="K54" s="415"/>
      <c r="L54" s="464" t="s">
        <v>1046</v>
      </c>
      <c r="M54" s="412">
        <v>17</v>
      </c>
      <c r="N54" s="412">
        <v>2022</v>
      </c>
      <c r="O54" s="413" t="s">
        <v>47</v>
      </c>
      <c r="P54" s="413" t="s">
        <v>1031</v>
      </c>
      <c r="Q54" s="413"/>
      <c r="R54" s="414"/>
      <c r="S54" s="413"/>
      <c r="T54" s="416"/>
    </row>
    <row r="55" spans="1:20" s="437" customFormat="1">
      <c r="A55" s="431" t="s">
        <v>1094</v>
      </c>
      <c r="B55" s="419" t="s">
        <v>1048</v>
      </c>
      <c r="C55" s="431"/>
      <c r="D55" s="451" t="s">
        <v>1044</v>
      </c>
      <c r="E55" s="432">
        <v>15</v>
      </c>
      <c r="F55" s="433">
        <v>2022</v>
      </c>
      <c r="G55" s="433" t="s">
        <v>78</v>
      </c>
      <c r="H55" s="433" t="s">
        <v>551</v>
      </c>
      <c r="I55" s="434"/>
      <c r="J55" s="433"/>
      <c r="K55" s="435"/>
      <c r="L55" s="451" t="s">
        <v>1046</v>
      </c>
      <c r="M55" s="432">
        <v>7</v>
      </c>
      <c r="N55" s="432">
        <v>2022</v>
      </c>
      <c r="O55" s="433" t="s">
        <v>78</v>
      </c>
      <c r="P55" s="433" t="s">
        <v>551</v>
      </c>
      <c r="Q55" s="433"/>
      <c r="R55" s="434"/>
      <c r="S55" s="433"/>
      <c r="T55" s="436"/>
    </row>
    <row r="56" spans="1:20" s="409" customFormat="1">
      <c r="A56" s="358" t="s">
        <v>1094</v>
      </c>
      <c r="B56" s="260" t="s">
        <v>1048</v>
      </c>
      <c r="C56" s="358"/>
      <c r="D56" s="453" t="s">
        <v>1044</v>
      </c>
      <c r="E56" s="404">
        <v>15</v>
      </c>
      <c r="F56" s="405">
        <v>2022</v>
      </c>
      <c r="G56" s="405" t="s">
        <v>78</v>
      </c>
      <c r="H56" s="405" t="s">
        <v>555</v>
      </c>
      <c r="I56" s="406"/>
      <c r="J56" s="405"/>
      <c r="K56" s="407"/>
      <c r="L56" s="453" t="s">
        <v>1046</v>
      </c>
      <c r="M56" s="404">
        <v>12</v>
      </c>
      <c r="N56" s="404">
        <v>2022</v>
      </c>
      <c r="O56" s="405" t="s">
        <v>78</v>
      </c>
      <c r="P56" s="405" t="s">
        <v>555</v>
      </c>
      <c r="Q56" s="405"/>
      <c r="R56" s="406"/>
      <c r="S56" s="405"/>
      <c r="T56" s="408"/>
    </row>
    <row r="57" spans="1:20" s="437" customFormat="1">
      <c r="A57" s="431" t="s">
        <v>1094</v>
      </c>
      <c r="B57" s="419" t="s">
        <v>1048</v>
      </c>
      <c r="C57" s="431"/>
      <c r="D57" s="451" t="s">
        <v>1044</v>
      </c>
      <c r="E57" s="432">
        <v>40</v>
      </c>
      <c r="F57" s="433">
        <v>2022</v>
      </c>
      <c r="G57" s="433" t="s">
        <v>78</v>
      </c>
      <c r="H57" s="433" t="s">
        <v>559</v>
      </c>
      <c r="I57" s="434"/>
      <c r="J57" s="433"/>
      <c r="K57" s="435"/>
      <c r="L57" s="451" t="s">
        <v>1046</v>
      </c>
      <c r="M57" s="432">
        <v>6</v>
      </c>
      <c r="N57" s="432">
        <v>2022</v>
      </c>
      <c r="O57" s="433" t="s">
        <v>78</v>
      </c>
      <c r="P57" s="433" t="s">
        <v>559</v>
      </c>
      <c r="Q57" s="433"/>
      <c r="R57" s="434"/>
      <c r="S57" s="433"/>
      <c r="T57" s="436"/>
    </row>
    <row r="58" spans="1:20">
      <c r="A58" s="355" t="s">
        <v>1094</v>
      </c>
      <c r="B58" s="255" t="s">
        <v>1048</v>
      </c>
      <c r="C58" s="355"/>
      <c r="D58" s="451" t="s">
        <v>1044</v>
      </c>
      <c r="E58" s="257">
        <v>20</v>
      </c>
      <c r="F58" s="258">
        <v>2022</v>
      </c>
      <c r="G58" s="258" t="s">
        <v>99</v>
      </c>
      <c r="H58" s="258" t="s">
        <v>564</v>
      </c>
      <c r="I58" s="259"/>
      <c r="J58" s="258"/>
      <c r="K58" s="248"/>
      <c r="L58" s="452" t="s">
        <v>1046</v>
      </c>
      <c r="M58" s="257">
        <v>12</v>
      </c>
      <c r="N58" s="257">
        <v>2022</v>
      </c>
      <c r="O58" s="258" t="s">
        <v>99</v>
      </c>
      <c r="P58" s="258" t="s">
        <v>564</v>
      </c>
      <c r="Q58" s="258"/>
      <c r="R58" s="259"/>
      <c r="S58" s="258"/>
      <c r="T58" s="272"/>
    </row>
    <row r="59" spans="1:20">
      <c r="A59" s="358" t="s">
        <v>1094</v>
      </c>
      <c r="B59" s="249" t="s">
        <v>1048</v>
      </c>
      <c r="C59" s="354"/>
      <c r="D59" s="463" t="s">
        <v>1044</v>
      </c>
      <c r="E59" s="251">
        <v>20</v>
      </c>
      <c r="F59" s="252">
        <v>2022</v>
      </c>
      <c r="G59" s="252" t="s">
        <v>99</v>
      </c>
      <c r="H59" s="252" t="s">
        <v>566</v>
      </c>
      <c r="I59" s="253"/>
      <c r="J59" s="252"/>
      <c r="K59" s="254"/>
      <c r="L59" s="452" t="s">
        <v>1046</v>
      </c>
      <c r="M59" s="251">
        <v>0</v>
      </c>
      <c r="N59" s="251">
        <v>2022</v>
      </c>
      <c r="O59" s="252" t="s">
        <v>99</v>
      </c>
      <c r="P59" s="252" t="s">
        <v>566</v>
      </c>
      <c r="Q59" s="252"/>
      <c r="R59" s="253"/>
      <c r="S59" s="252"/>
      <c r="T59" s="273"/>
    </row>
    <row r="60" spans="1:20">
      <c r="A60" s="355" t="s">
        <v>1094</v>
      </c>
      <c r="B60" s="255" t="s">
        <v>1048</v>
      </c>
      <c r="C60" s="355"/>
      <c r="D60" s="451" t="s">
        <v>1044</v>
      </c>
      <c r="E60" s="257">
        <v>20</v>
      </c>
      <c r="F60" s="258">
        <v>2022</v>
      </c>
      <c r="G60" s="258" t="s">
        <v>99</v>
      </c>
      <c r="H60" s="258" t="s">
        <v>571</v>
      </c>
      <c r="I60" s="259"/>
      <c r="J60" s="258"/>
      <c r="K60" s="248"/>
      <c r="L60" s="452" t="s">
        <v>1046</v>
      </c>
      <c r="M60" s="257">
        <v>0</v>
      </c>
      <c r="N60" s="257">
        <v>2022</v>
      </c>
      <c r="O60" s="258" t="s">
        <v>99</v>
      </c>
      <c r="P60" s="258" t="s">
        <v>571</v>
      </c>
      <c r="Q60" s="258"/>
      <c r="R60" s="259"/>
      <c r="S60" s="258"/>
      <c r="T60" s="272"/>
    </row>
    <row r="61" spans="1:20" s="409" customFormat="1">
      <c r="A61" s="358" t="s">
        <v>1094</v>
      </c>
      <c r="B61" s="260" t="s">
        <v>1048</v>
      </c>
      <c r="C61" s="358"/>
      <c r="D61" s="453" t="s">
        <v>1044</v>
      </c>
      <c r="E61" s="404">
        <v>15</v>
      </c>
      <c r="F61" s="405">
        <v>2022</v>
      </c>
      <c r="G61" s="405" t="s">
        <v>121</v>
      </c>
      <c r="H61" s="405" t="s">
        <v>574</v>
      </c>
      <c r="I61" s="406"/>
      <c r="J61" s="405"/>
      <c r="K61" s="407"/>
      <c r="L61" s="453"/>
      <c r="M61" s="404"/>
      <c r="N61" s="404"/>
      <c r="O61" s="405"/>
      <c r="P61" s="405"/>
      <c r="Q61" s="405"/>
      <c r="R61" s="406"/>
      <c r="S61" s="405"/>
      <c r="T61" s="408"/>
    </row>
    <row r="62" spans="1:20">
      <c r="A62" s="355" t="s">
        <v>1094</v>
      </c>
      <c r="B62" s="255" t="s">
        <v>1048</v>
      </c>
      <c r="C62" s="355"/>
      <c r="D62" s="452" t="s">
        <v>1044</v>
      </c>
      <c r="E62" s="257">
        <v>15</v>
      </c>
      <c r="F62" s="258">
        <v>2022</v>
      </c>
      <c r="G62" s="258" t="s">
        <v>121</v>
      </c>
      <c r="H62" s="258" t="s">
        <v>1034</v>
      </c>
      <c r="I62" s="259"/>
      <c r="J62" s="258"/>
      <c r="K62" s="248"/>
      <c r="L62" s="452"/>
      <c r="M62" s="257"/>
      <c r="N62" s="257"/>
      <c r="O62" s="258"/>
      <c r="P62" s="258"/>
      <c r="Q62" s="258"/>
      <c r="R62" s="259"/>
      <c r="S62" s="258"/>
      <c r="T62" s="272"/>
    </row>
    <row r="63" spans="1:20" s="409" customFormat="1">
      <c r="A63" s="358" t="s">
        <v>1094</v>
      </c>
      <c r="B63" s="260" t="s">
        <v>1048</v>
      </c>
      <c r="C63" s="358"/>
      <c r="D63" s="453" t="s">
        <v>1044</v>
      </c>
      <c r="E63" s="404">
        <v>15</v>
      </c>
      <c r="F63" s="405">
        <v>2022</v>
      </c>
      <c r="G63" s="405" t="s">
        <v>121</v>
      </c>
      <c r="H63" s="405" t="s">
        <v>578</v>
      </c>
      <c r="I63" s="406"/>
      <c r="J63" s="405"/>
      <c r="K63" s="407"/>
      <c r="L63" s="453"/>
      <c r="M63" s="404"/>
      <c r="N63" s="404"/>
      <c r="O63" s="405"/>
      <c r="P63" s="405"/>
      <c r="Q63" s="405"/>
      <c r="R63" s="406"/>
      <c r="S63" s="405"/>
      <c r="T63" s="408"/>
    </row>
    <row r="64" spans="1:20">
      <c r="A64" s="355" t="s">
        <v>1094</v>
      </c>
      <c r="B64" s="255" t="s">
        <v>922</v>
      </c>
      <c r="C64" s="355"/>
      <c r="D64" s="451" t="s">
        <v>1044</v>
      </c>
      <c r="E64" s="257">
        <v>9</v>
      </c>
      <c r="F64" s="258">
        <v>2022</v>
      </c>
      <c r="G64" s="258" t="s">
        <v>47</v>
      </c>
      <c r="H64" s="258" t="s">
        <v>536</v>
      </c>
      <c r="I64" s="259" t="s">
        <v>551</v>
      </c>
      <c r="J64" s="258" t="s">
        <v>1027</v>
      </c>
      <c r="K64" s="248" t="s">
        <v>1073</v>
      </c>
      <c r="L64" s="452" t="s">
        <v>1046</v>
      </c>
      <c r="M64" s="257">
        <v>9</v>
      </c>
      <c r="N64" s="257">
        <v>2022</v>
      </c>
      <c r="O64" s="258" t="s">
        <v>47</v>
      </c>
      <c r="P64" s="258" t="s">
        <v>536</v>
      </c>
      <c r="Q64" s="258"/>
      <c r="R64" s="259">
        <v>44677</v>
      </c>
      <c r="S64" s="258" t="s">
        <v>1027</v>
      </c>
      <c r="T64" s="272"/>
    </row>
    <row r="65" spans="1:30" s="409" customFormat="1">
      <c r="A65" s="358" t="s">
        <v>1094</v>
      </c>
      <c r="B65" s="260" t="s">
        <v>922</v>
      </c>
      <c r="C65" s="358"/>
      <c r="D65" s="453" t="s">
        <v>1044</v>
      </c>
      <c r="E65" s="404">
        <v>34</v>
      </c>
      <c r="F65" s="405">
        <v>2022</v>
      </c>
      <c r="G65" s="405" t="s">
        <v>47</v>
      </c>
      <c r="H65" s="405" t="s">
        <v>543</v>
      </c>
      <c r="I65" s="406" t="s">
        <v>551</v>
      </c>
      <c r="J65" s="405" t="s">
        <v>1027</v>
      </c>
      <c r="K65" s="407" t="s">
        <v>1073</v>
      </c>
      <c r="L65" s="453" t="s">
        <v>1046</v>
      </c>
      <c r="M65" s="404">
        <v>34</v>
      </c>
      <c r="N65" s="404">
        <v>2022</v>
      </c>
      <c r="O65" s="405" t="s">
        <v>47</v>
      </c>
      <c r="P65" s="405" t="s">
        <v>543</v>
      </c>
      <c r="Q65" s="405"/>
      <c r="R65" s="406">
        <v>44677</v>
      </c>
      <c r="S65" s="405" t="s">
        <v>1027</v>
      </c>
      <c r="T65" s="408"/>
    </row>
    <row r="66" spans="1:30" ht="15" thickBot="1">
      <c r="A66" s="355" t="s">
        <v>1094</v>
      </c>
      <c r="B66" s="255" t="s">
        <v>922</v>
      </c>
      <c r="C66" s="355"/>
      <c r="D66" s="451" t="s">
        <v>1044</v>
      </c>
      <c r="E66" s="257">
        <v>20</v>
      </c>
      <c r="F66" s="258">
        <v>2022</v>
      </c>
      <c r="G66" s="258" t="s">
        <v>47</v>
      </c>
      <c r="H66" s="258" t="s">
        <v>1031</v>
      </c>
      <c r="I66" s="259" t="s">
        <v>551</v>
      </c>
      <c r="J66" s="258" t="s">
        <v>1027</v>
      </c>
      <c r="K66" s="248" t="s">
        <v>1073</v>
      </c>
      <c r="L66" s="452" t="s">
        <v>1046</v>
      </c>
      <c r="M66" s="257">
        <v>20</v>
      </c>
      <c r="N66" s="257">
        <v>2022</v>
      </c>
      <c r="O66" s="258" t="s">
        <v>47</v>
      </c>
      <c r="P66" s="466" t="s">
        <v>1031</v>
      </c>
      <c r="Q66" s="467"/>
      <c r="R66" s="259">
        <v>44677</v>
      </c>
      <c r="S66" s="258" t="s">
        <v>1027</v>
      </c>
      <c r="T66" s="272"/>
    </row>
    <row r="67" spans="1:30" s="409" customFormat="1" ht="15" thickBot="1">
      <c r="A67" s="358" t="s">
        <v>1094</v>
      </c>
      <c r="B67" s="260" t="s">
        <v>922</v>
      </c>
      <c r="C67" s="358"/>
      <c r="D67" s="453" t="s">
        <v>1044</v>
      </c>
      <c r="E67" s="404">
        <v>17</v>
      </c>
      <c r="F67" s="405">
        <v>2022</v>
      </c>
      <c r="G67" s="405" t="s">
        <v>78</v>
      </c>
      <c r="H67" s="405" t="s">
        <v>551</v>
      </c>
      <c r="I67" s="404" t="s">
        <v>551</v>
      </c>
      <c r="J67" s="405" t="s">
        <v>1027</v>
      </c>
      <c r="K67" s="404" t="s">
        <v>1074</v>
      </c>
      <c r="L67" s="453" t="s">
        <v>1046</v>
      </c>
      <c r="M67" s="404">
        <v>17</v>
      </c>
      <c r="N67" s="404">
        <v>2022</v>
      </c>
      <c r="O67" s="405" t="s">
        <v>78</v>
      </c>
      <c r="P67" s="468" t="s">
        <v>551</v>
      </c>
      <c r="Q67" s="469"/>
      <c r="R67" s="406">
        <v>44677</v>
      </c>
      <c r="S67" s="404" t="s">
        <v>1027</v>
      </c>
      <c r="T67" s="404"/>
    </row>
    <row r="68" spans="1:30" ht="15" thickBot="1">
      <c r="A68" s="355" t="s">
        <v>1094</v>
      </c>
      <c r="B68" s="255" t="s">
        <v>922</v>
      </c>
      <c r="C68" s="355"/>
      <c r="D68" s="451" t="s">
        <v>1044</v>
      </c>
      <c r="E68" s="257">
        <v>75</v>
      </c>
      <c r="F68" s="258">
        <v>2022</v>
      </c>
      <c r="G68" s="258" t="s">
        <v>78</v>
      </c>
      <c r="H68" s="258" t="s">
        <v>555</v>
      </c>
      <c r="I68" s="257" t="s">
        <v>555</v>
      </c>
      <c r="J68" s="258" t="s">
        <v>1027</v>
      </c>
      <c r="K68" s="257" t="s">
        <v>1074</v>
      </c>
      <c r="L68" s="452" t="s">
        <v>1046</v>
      </c>
      <c r="M68" s="257">
        <v>75</v>
      </c>
      <c r="N68" s="257">
        <v>2022</v>
      </c>
      <c r="O68" s="258" t="s">
        <v>78</v>
      </c>
      <c r="P68" s="466" t="s">
        <v>555</v>
      </c>
      <c r="Q68" s="467"/>
      <c r="R68" s="259">
        <v>44684</v>
      </c>
      <c r="S68" s="257" t="s">
        <v>1027</v>
      </c>
      <c r="T68" s="257"/>
    </row>
    <row r="69" spans="1:30" s="409" customFormat="1" ht="15" thickBot="1">
      <c r="A69" s="358" t="s">
        <v>1094</v>
      </c>
      <c r="B69" s="260" t="s">
        <v>922</v>
      </c>
      <c r="C69" s="358"/>
      <c r="D69" s="453" t="s">
        <v>1044</v>
      </c>
      <c r="E69" s="404">
        <v>33</v>
      </c>
      <c r="F69" s="405">
        <v>2022</v>
      </c>
      <c r="G69" s="405" t="s">
        <v>78</v>
      </c>
      <c r="H69" s="405" t="s">
        <v>559</v>
      </c>
      <c r="I69" s="404" t="s">
        <v>559</v>
      </c>
      <c r="J69" s="405" t="s">
        <v>1027</v>
      </c>
      <c r="K69" s="404" t="s">
        <v>1074</v>
      </c>
      <c r="L69" s="453" t="s">
        <v>1046</v>
      </c>
      <c r="M69" s="404">
        <v>33</v>
      </c>
      <c r="N69" s="404">
        <v>2022</v>
      </c>
      <c r="O69" s="405" t="s">
        <v>78</v>
      </c>
      <c r="P69" s="468" t="s">
        <v>559</v>
      </c>
      <c r="Q69" s="469"/>
      <c r="R69" s="406">
        <v>44726</v>
      </c>
      <c r="S69" s="404" t="s">
        <v>1027</v>
      </c>
      <c r="T69" s="404"/>
    </row>
    <row r="70" spans="1:30" ht="15" thickBot="1">
      <c r="A70" s="355" t="s">
        <v>1094</v>
      </c>
      <c r="B70" s="255" t="s">
        <v>922</v>
      </c>
      <c r="C70" s="355"/>
      <c r="D70" s="451" t="s">
        <v>1044</v>
      </c>
      <c r="E70" s="257">
        <v>25</v>
      </c>
      <c r="F70" s="258">
        <v>2022</v>
      </c>
      <c r="G70" s="258" t="s">
        <v>99</v>
      </c>
      <c r="H70" s="258" t="s">
        <v>564</v>
      </c>
      <c r="I70" s="257" t="s">
        <v>564</v>
      </c>
      <c r="J70" s="258" t="s">
        <v>1027</v>
      </c>
      <c r="K70" s="257" t="s">
        <v>1074</v>
      </c>
      <c r="L70" s="452" t="s">
        <v>1046</v>
      </c>
      <c r="M70" s="257">
        <v>25</v>
      </c>
      <c r="N70" s="257">
        <v>2022</v>
      </c>
      <c r="O70" s="258" t="s">
        <v>99</v>
      </c>
      <c r="P70" s="466" t="s">
        <v>564</v>
      </c>
      <c r="Q70" s="467"/>
      <c r="R70" s="259">
        <v>44760</v>
      </c>
      <c r="S70" s="257" t="s">
        <v>1027</v>
      </c>
      <c r="T70" s="257"/>
    </row>
    <row r="71" spans="1:30" s="409" customFormat="1" ht="15" thickBot="1">
      <c r="A71" s="358" t="s">
        <v>1094</v>
      </c>
      <c r="B71" s="260" t="s">
        <v>922</v>
      </c>
      <c r="C71" s="358"/>
      <c r="D71" s="453" t="s">
        <v>1044</v>
      </c>
      <c r="E71" s="404">
        <v>32</v>
      </c>
      <c r="F71" s="405">
        <v>2022</v>
      </c>
      <c r="G71" s="405" t="s">
        <v>99</v>
      </c>
      <c r="H71" s="405" t="s">
        <v>566</v>
      </c>
      <c r="I71" s="404" t="s">
        <v>566</v>
      </c>
      <c r="J71" s="405" t="s">
        <v>1027</v>
      </c>
      <c r="K71" s="404" t="s">
        <v>1074</v>
      </c>
      <c r="L71" s="453" t="s">
        <v>1046</v>
      </c>
      <c r="M71" s="404">
        <v>32</v>
      </c>
      <c r="N71" s="404">
        <v>2022</v>
      </c>
      <c r="O71" s="405" t="s">
        <v>99</v>
      </c>
      <c r="P71" s="468" t="s">
        <v>566</v>
      </c>
      <c r="Q71" s="469"/>
      <c r="R71" s="406">
        <v>44789</v>
      </c>
      <c r="S71" s="404" t="s">
        <v>1027</v>
      </c>
      <c r="T71" s="404"/>
    </row>
    <row r="72" spans="1:30" ht="15" thickBot="1">
      <c r="A72" s="355" t="s">
        <v>1094</v>
      </c>
      <c r="B72" s="255" t="s">
        <v>922</v>
      </c>
      <c r="C72" s="355"/>
      <c r="D72" s="451" t="s">
        <v>1044</v>
      </c>
      <c r="E72" s="257">
        <v>73</v>
      </c>
      <c r="F72" s="258">
        <v>2022</v>
      </c>
      <c r="G72" s="258" t="s">
        <v>99</v>
      </c>
      <c r="H72" s="258" t="s">
        <v>571</v>
      </c>
      <c r="I72" s="257" t="s">
        <v>571</v>
      </c>
      <c r="J72" s="258" t="s">
        <v>1027</v>
      </c>
      <c r="K72" s="257" t="s">
        <v>1074</v>
      </c>
      <c r="L72" s="452" t="s">
        <v>1046</v>
      </c>
      <c r="M72" s="257">
        <v>73</v>
      </c>
      <c r="N72" s="257">
        <v>2022</v>
      </c>
      <c r="O72" s="258" t="s">
        <v>99</v>
      </c>
      <c r="P72" s="466" t="s">
        <v>571</v>
      </c>
      <c r="Q72" s="467"/>
      <c r="R72" s="259">
        <v>44823</v>
      </c>
      <c r="S72" s="257" t="s">
        <v>1027</v>
      </c>
      <c r="T72" s="257"/>
    </row>
    <row r="73" spans="1:30" s="409" customFormat="1" ht="15" thickBot="1">
      <c r="A73" s="358" t="s">
        <v>1094</v>
      </c>
      <c r="B73" s="260" t="s">
        <v>922</v>
      </c>
      <c r="C73" s="358"/>
      <c r="D73" s="453" t="s">
        <v>1044</v>
      </c>
      <c r="E73" s="404">
        <v>15</v>
      </c>
      <c r="F73" s="405">
        <v>2022</v>
      </c>
      <c r="G73" s="405" t="s">
        <v>121</v>
      </c>
      <c r="H73" s="405" t="s">
        <v>574</v>
      </c>
      <c r="I73" s="404" t="s">
        <v>574</v>
      </c>
      <c r="J73" s="405" t="s">
        <v>1027</v>
      </c>
      <c r="K73" s="404" t="s">
        <v>1074</v>
      </c>
      <c r="L73" s="453" t="s">
        <v>1046</v>
      </c>
      <c r="M73" s="404">
        <v>13</v>
      </c>
      <c r="N73" s="404">
        <v>2022</v>
      </c>
      <c r="O73" s="405" t="s">
        <v>121</v>
      </c>
      <c r="P73" s="468" t="s">
        <v>574</v>
      </c>
      <c r="Q73" s="469"/>
      <c r="R73" s="406">
        <v>44844</v>
      </c>
      <c r="S73" s="404" t="s">
        <v>1027</v>
      </c>
      <c r="T73" s="404"/>
    </row>
    <row r="74" spans="1:30">
      <c r="A74" s="355" t="s">
        <v>1094</v>
      </c>
      <c r="B74" s="255" t="s">
        <v>922</v>
      </c>
      <c r="C74" s="355"/>
      <c r="D74" s="451" t="s">
        <v>1044</v>
      </c>
      <c r="E74" s="257">
        <v>10</v>
      </c>
      <c r="F74" s="258">
        <v>2022</v>
      </c>
      <c r="G74" s="258" t="s">
        <v>121</v>
      </c>
      <c r="H74" s="258" t="s">
        <v>1034</v>
      </c>
      <c r="I74" s="257" t="s">
        <v>576</v>
      </c>
      <c r="J74" s="258" t="s">
        <v>1027</v>
      </c>
      <c r="K74" s="257" t="s">
        <v>1074</v>
      </c>
      <c r="L74" s="452" t="s">
        <v>1046</v>
      </c>
      <c r="M74" s="257">
        <v>15</v>
      </c>
      <c r="N74" s="257">
        <v>2022</v>
      </c>
      <c r="O74" s="257" t="s">
        <v>121</v>
      </c>
      <c r="P74" s="257" t="s">
        <v>1034</v>
      </c>
      <c r="Q74" s="257"/>
      <c r="R74" s="338" t="s">
        <v>1075</v>
      </c>
      <c r="S74" s="257" t="s">
        <v>346</v>
      </c>
      <c r="T74" s="257"/>
    </row>
    <row r="75" spans="1:30" s="409" customFormat="1">
      <c r="A75" s="358" t="s">
        <v>1094</v>
      </c>
      <c r="B75" s="260" t="s">
        <v>922</v>
      </c>
      <c r="C75" s="358"/>
      <c r="D75" s="453" t="s">
        <v>1044</v>
      </c>
      <c r="E75" s="404">
        <v>5</v>
      </c>
      <c r="F75" s="405">
        <v>2022</v>
      </c>
      <c r="G75" s="405" t="s">
        <v>121</v>
      </c>
      <c r="H75" s="405" t="s">
        <v>578</v>
      </c>
      <c r="I75" s="404" t="s">
        <v>578</v>
      </c>
      <c r="J75" s="405" t="s">
        <v>1027</v>
      </c>
      <c r="K75" s="404" t="s">
        <v>1074</v>
      </c>
      <c r="L75" s="453" t="s">
        <v>1046</v>
      </c>
      <c r="M75" s="404">
        <v>25</v>
      </c>
      <c r="N75" s="404">
        <v>2022</v>
      </c>
      <c r="O75" s="404" t="s">
        <v>121</v>
      </c>
      <c r="P75" s="404" t="s">
        <v>578</v>
      </c>
      <c r="Q75" s="404"/>
      <c r="R75" s="430" t="s">
        <v>1075</v>
      </c>
      <c r="S75" s="404" t="s">
        <v>346</v>
      </c>
      <c r="T75" s="404"/>
    </row>
    <row r="76" spans="1:30" s="27" customFormat="1">
      <c r="A76" s="588" t="s">
        <v>1094</v>
      </c>
      <c r="B76" s="590" t="s">
        <v>45</v>
      </c>
      <c r="C76" s="485"/>
      <c r="D76" s="592" t="s">
        <v>1044</v>
      </c>
      <c r="E76" s="594">
        <v>435</v>
      </c>
      <c r="F76" s="596">
        <v>2022</v>
      </c>
      <c r="G76" s="596" t="s">
        <v>47</v>
      </c>
      <c r="H76" s="596"/>
      <c r="I76" s="598"/>
      <c r="J76" s="596"/>
      <c r="K76" s="600"/>
      <c r="L76" s="486" t="s">
        <v>1046</v>
      </c>
      <c r="M76" s="487">
        <v>235</v>
      </c>
      <c r="N76" s="487">
        <v>2022</v>
      </c>
      <c r="O76" s="488" t="s">
        <v>47</v>
      </c>
      <c r="P76" s="488" t="s">
        <v>536</v>
      </c>
      <c r="Q76" s="488"/>
      <c r="R76" s="489"/>
      <c r="S76" s="488"/>
      <c r="T76" s="490"/>
    </row>
    <row r="77" spans="1:30" s="27" customFormat="1">
      <c r="A77" s="589"/>
      <c r="B77" s="591"/>
      <c r="C77" s="491"/>
      <c r="D77" s="593"/>
      <c r="E77" s="595"/>
      <c r="F77" s="597"/>
      <c r="G77" s="597"/>
      <c r="H77" s="597"/>
      <c r="I77" s="599"/>
      <c r="J77" s="597"/>
      <c r="K77" s="601"/>
      <c r="L77" s="486" t="s">
        <v>1046</v>
      </c>
      <c r="M77" s="487">
        <v>200</v>
      </c>
      <c r="N77" s="487">
        <v>2022</v>
      </c>
      <c r="O77" s="488" t="s">
        <v>47</v>
      </c>
      <c r="P77" s="488" t="s">
        <v>543</v>
      </c>
      <c r="Q77" s="488"/>
      <c r="R77" s="489"/>
      <c r="S77" s="488"/>
      <c r="T77" s="490"/>
    </row>
    <row r="78" spans="1:30">
      <c r="A78" s="355" t="s">
        <v>1094</v>
      </c>
      <c r="B78" s="255" t="s">
        <v>45</v>
      </c>
      <c r="C78" s="355"/>
      <c r="D78" s="452" t="s">
        <v>1044</v>
      </c>
      <c r="E78" s="257">
        <v>31</v>
      </c>
      <c r="F78" s="258">
        <v>2023</v>
      </c>
      <c r="G78" s="258" t="s">
        <v>47</v>
      </c>
      <c r="H78" s="258" t="s">
        <v>543</v>
      </c>
      <c r="I78" s="259" t="s">
        <v>1081</v>
      </c>
      <c r="J78" s="258" t="s">
        <v>346</v>
      </c>
      <c r="K78" s="470" t="s">
        <v>1082</v>
      </c>
      <c r="L78" s="452" t="s">
        <v>1046</v>
      </c>
      <c r="M78" s="257">
        <v>31</v>
      </c>
      <c r="N78" s="257">
        <v>2023</v>
      </c>
      <c r="O78" s="258" t="s">
        <v>47</v>
      </c>
      <c r="P78" s="258" t="s">
        <v>536</v>
      </c>
      <c r="Q78" s="258"/>
      <c r="R78" s="341">
        <v>44942</v>
      </c>
      <c r="S78" s="258" t="s">
        <v>1027</v>
      </c>
      <c r="T78" s="272">
        <v>31</v>
      </c>
    </row>
    <row r="79" spans="1:30" s="409" customFormat="1">
      <c r="A79" s="358" t="s">
        <v>1094</v>
      </c>
      <c r="B79" s="260" t="s">
        <v>535</v>
      </c>
      <c r="C79" s="358"/>
      <c r="D79" s="453" t="s">
        <v>1028</v>
      </c>
      <c r="E79" s="404">
        <v>87</v>
      </c>
      <c r="F79" s="405">
        <v>2022</v>
      </c>
      <c r="G79" s="405" t="s">
        <v>47</v>
      </c>
      <c r="H79" s="405" t="s">
        <v>536</v>
      </c>
      <c r="I79" s="406"/>
      <c r="J79" s="405"/>
      <c r="K79" s="407"/>
      <c r="L79" s="453" t="s">
        <v>1028</v>
      </c>
      <c r="M79" s="404">
        <v>72</v>
      </c>
      <c r="N79" s="405">
        <v>2022</v>
      </c>
      <c r="O79" s="405" t="s">
        <v>47</v>
      </c>
      <c r="P79" s="405" t="s">
        <v>536</v>
      </c>
      <c r="Q79" s="405"/>
      <c r="R79" s="406"/>
      <c r="S79" s="406"/>
      <c r="T79" s="408">
        <v>33</v>
      </c>
      <c r="AD79" s="409" t="s">
        <v>1046</v>
      </c>
    </row>
    <row r="80" spans="1:30" s="437" customFormat="1">
      <c r="A80" s="431" t="s">
        <v>1094</v>
      </c>
      <c r="B80" s="419" t="s">
        <v>535</v>
      </c>
      <c r="C80" s="431"/>
      <c r="D80" s="451" t="s">
        <v>1028</v>
      </c>
      <c r="E80" s="432">
        <v>112</v>
      </c>
      <c r="F80" s="433">
        <v>2022</v>
      </c>
      <c r="G80" s="433" t="s">
        <v>47</v>
      </c>
      <c r="H80" s="433" t="s">
        <v>543</v>
      </c>
      <c r="I80" s="434"/>
      <c r="J80" s="433"/>
      <c r="K80" s="435"/>
      <c r="L80" s="451" t="s">
        <v>1028</v>
      </c>
      <c r="M80" s="432">
        <v>94</v>
      </c>
      <c r="N80" s="433">
        <v>2022</v>
      </c>
      <c r="O80" s="433" t="s">
        <v>47</v>
      </c>
      <c r="P80" s="433" t="s">
        <v>543</v>
      </c>
      <c r="Q80" s="433"/>
      <c r="R80" s="434"/>
      <c r="S80" s="434"/>
      <c r="T80" s="436">
        <v>59</v>
      </c>
      <c r="AD80" s="437" t="s">
        <v>1028</v>
      </c>
    </row>
    <row r="81" spans="1:30" s="409" customFormat="1">
      <c r="A81" s="358" t="s">
        <v>1094</v>
      </c>
      <c r="B81" s="260" t="s">
        <v>535</v>
      </c>
      <c r="C81" s="358"/>
      <c r="D81" s="453" t="s">
        <v>1028</v>
      </c>
      <c r="E81" s="404">
        <v>162</v>
      </c>
      <c r="F81" s="405">
        <v>2022</v>
      </c>
      <c r="G81" s="405" t="s">
        <v>47</v>
      </c>
      <c r="H81" s="405" t="s">
        <v>1031</v>
      </c>
      <c r="I81" s="406"/>
      <c r="J81" s="405"/>
      <c r="K81" s="407"/>
      <c r="L81" s="453" t="s">
        <v>1028</v>
      </c>
      <c r="M81" s="404">
        <v>138</v>
      </c>
      <c r="N81" s="405">
        <v>2022</v>
      </c>
      <c r="O81" s="405" t="s">
        <v>47</v>
      </c>
      <c r="P81" s="405" t="s">
        <v>1031</v>
      </c>
      <c r="Q81" s="405"/>
      <c r="R81" s="406"/>
      <c r="S81" s="406"/>
      <c r="T81" s="408">
        <v>41</v>
      </c>
      <c r="AD81" s="409" t="s">
        <v>1095</v>
      </c>
    </row>
    <row r="82" spans="1:30" s="409" customFormat="1">
      <c r="A82" s="358" t="s">
        <v>1094</v>
      </c>
      <c r="B82" s="260" t="s">
        <v>535</v>
      </c>
      <c r="C82" s="358"/>
      <c r="D82" s="453" t="s">
        <v>1028</v>
      </c>
      <c r="E82" s="404">
        <v>94</v>
      </c>
      <c r="F82" s="405">
        <v>2022</v>
      </c>
      <c r="G82" s="405" t="s">
        <v>78</v>
      </c>
      <c r="H82" s="405" t="s">
        <v>551</v>
      </c>
      <c r="I82" s="406"/>
      <c r="J82" s="405"/>
      <c r="K82" s="407"/>
      <c r="L82" s="453" t="s">
        <v>1028</v>
      </c>
      <c r="M82" s="404">
        <v>82</v>
      </c>
      <c r="N82" s="404">
        <v>2022</v>
      </c>
      <c r="O82" s="405" t="s">
        <v>78</v>
      </c>
      <c r="P82" s="405" t="s">
        <v>551</v>
      </c>
      <c r="Q82" s="405"/>
      <c r="R82" s="406"/>
      <c r="S82" s="405"/>
      <c r="T82" s="408">
        <v>22</v>
      </c>
    </row>
    <row r="83" spans="1:30" s="437" customFormat="1">
      <c r="A83" s="431" t="s">
        <v>1094</v>
      </c>
      <c r="B83" s="419" t="s">
        <v>535</v>
      </c>
      <c r="C83" s="431"/>
      <c r="D83" s="451" t="s">
        <v>1028</v>
      </c>
      <c r="E83" s="432">
        <v>111</v>
      </c>
      <c r="F83" s="433">
        <v>2022</v>
      </c>
      <c r="G83" s="433" t="s">
        <v>78</v>
      </c>
      <c r="H83" s="433" t="s">
        <v>555</v>
      </c>
      <c r="I83" s="434"/>
      <c r="J83" s="433"/>
      <c r="K83" s="435"/>
      <c r="L83" s="451" t="s">
        <v>1028</v>
      </c>
      <c r="M83" s="432">
        <v>99</v>
      </c>
      <c r="N83" s="432">
        <v>2022</v>
      </c>
      <c r="O83" s="433" t="s">
        <v>78</v>
      </c>
      <c r="P83" s="433" t="s">
        <v>555</v>
      </c>
      <c r="Q83" s="433"/>
      <c r="R83" s="434"/>
      <c r="S83" s="433"/>
      <c r="T83" s="436">
        <v>9</v>
      </c>
    </row>
    <row r="84" spans="1:30" s="447" customFormat="1">
      <c r="A84" s="440" t="s">
        <v>1094</v>
      </c>
      <c r="B84" s="441" t="s">
        <v>535</v>
      </c>
      <c r="C84" s="440"/>
      <c r="D84" s="471" t="s">
        <v>1028</v>
      </c>
      <c r="E84" s="442">
        <v>154</v>
      </c>
      <c r="F84" s="443">
        <v>2022</v>
      </c>
      <c r="G84" s="443" t="s">
        <v>78</v>
      </c>
      <c r="H84" s="443" t="s">
        <v>559</v>
      </c>
      <c r="I84" s="444"/>
      <c r="J84" s="443"/>
      <c r="K84" s="445"/>
      <c r="L84" s="471" t="s">
        <v>1028</v>
      </c>
      <c r="M84" s="442">
        <v>136</v>
      </c>
      <c r="N84" s="442">
        <v>2022</v>
      </c>
      <c r="O84" s="443" t="s">
        <v>78</v>
      </c>
      <c r="P84" s="443" t="s">
        <v>559</v>
      </c>
      <c r="Q84" s="443"/>
      <c r="R84" s="444"/>
      <c r="S84" s="443"/>
      <c r="T84" s="446">
        <v>14</v>
      </c>
    </row>
    <row r="85" spans="1:30" s="409" customFormat="1">
      <c r="A85" s="358" t="s">
        <v>1094</v>
      </c>
      <c r="B85" s="260" t="s">
        <v>535</v>
      </c>
      <c r="C85" s="358"/>
      <c r="D85" s="453" t="s">
        <v>1028</v>
      </c>
      <c r="E85" s="404">
        <v>165</v>
      </c>
      <c r="F85" s="405">
        <v>2022</v>
      </c>
      <c r="G85" s="405" t="s">
        <v>99</v>
      </c>
      <c r="H85" s="405" t="s">
        <v>564</v>
      </c>
      <c r="I85" s="406"/>
      <c r="J85" s="405"/>
      <c r="K85" s="407"/>
      <c r="L85" s="453" t="s">
        <v>1028</v>
      </c>
      <c r="M85" s="404">
        <v>123</v>
      </c>
      <c r="N85" s="404">
        <v>2022</v>
      </c>
      <c r="O85" s="405" t="s">
        <v>99</v>
      </c>
      <c r="P85" s="405" t="s">
        <v>564</v>
      </c>
      <c r="Q85" s="405"/>
      <c r="R85" s="406"/>
      <c r="S85" s="405"/>
      <c r="T85" s="408">
        <v>8</v>
      </c>
    </row>
    <row r="86" spans="1:30" s="437" customFormat="1">
      <c r="A86" s="431" t="s">
        <v>1094</v>
      </c>
      <c r="B86" s="419" t="s">
        <v>535</v>
      </c>
      <c r="C86" s="431"/>
      <c r="D86" s="451" t="s">
        <v>1028</v>
      </c>
      <c r="E86" s="432">
        <v>174</v>
      </c>
      <c r="F86" s="433">
        <v>2022</v>
      </c>
      <c r="G86" s="433" t="s">
        <v>99</v>
      </c>
      <c r="H86" s="433" t="s">
        <v>566</v>
      </c>
      <c r="I86" s="434"/>
      <c r="J86" s="433"/>
      <c r="K86" s="435"/>
      <c r="L86" s="451" t="s">
        <v>1028</v>
      </c>
      <c r="M86" s="432">
        <v>129</v>
      </c>
      <c r="N86" s="432">
        <v>2022</v>
      </c>
      <c r="O86" s="433" t="s">
        <v>99</v>
      </c>
      <c r="P86" s="433" t="s">
        <v>566</v>
      </c>
      <c r="Q86" s="433"/>
      <c r="R86" s="434"/>
      <c r="S86" s="433"/>
      <c r="T86" s="436">
        <v>10</v>
      </c>
    </row>
    <row r="87" spans="1:30" s="409" customFormat="1">
      <c r="A87" s="358" t="s">
        <v>1094</v>
      </c>
      <c r="B87" s="260" t="s">
        <v>535</v>
      </c>
      <c r="C87" s="358"/>
      <c r="D87" s="453" t="s">
        <v>1028</v>
      </c>
      <c r="E87" s="404">
        <v>115</v>
      </c>
      <c r="F87" s="405">
        <v>2022</v>
      </c>
      <c r="G87" s="405" t="s">
        <v>99</v>
      </c>
      <c r="H87" s="405" t="s">
        <v>571</v>
      </c>
      <c r="I87" s="406"/>
      <c r="J87" s="405"/>
      <c r="K87" s="407"/>
      <c r="L87" s="453" t="s">
        <v>1028</v>
      </c>
      <c r="M87" s="404">
        <v>83</v>
      </c>
      <c r="N87" s="404">
        <v>2022</v>
      </c>
      <c r="O87" s="405" t="s">
        <v>99</v>
      </c>
      <c r="P87" s="405" t="s">
        <v>571</v>
      </c>
      <c r="Q87" s="405"/>
      <c r="R87" s="406"/>
      <c r="S87" s="405"/>
      <c r="T87" s="408" t="s">
        <v>1072</v>
      </c>
    </row>
    <row r="88" spans="1:30" s="409" customFormat="1">
      <c r="A88" s="358" t="s">
        <v>1094</v>
      </c>
      <c r="B88" s="260" t="s">
        <v>535</v>
      </c>
      <c r="C88" s="358"/>
      <c r="D88" s="453" t="s">
        <v>1028</v>
      </c>
      <c r="E88" s="404">
        <v>59</v>
      </c>
      <c r="F88" s="405">
        <v>2022</v>
      </c>
      <c r="G88" s="405" t="s">
        <v>99</v>
      </c>
      <c r="H88" s="405" t="s">
        <v>574</v>
      </c>
      <c r="I88" s="406"/>
      <c r="J88" s="405"/>
      <c r="K88" s="407"/>
      <c r="L88" s="453" t="s">
        <v>1028</v>
      </c>
      <c r="M88" s="404">
        <v>25</v>
      </c>
      <c r="N88" s="404">
        <v>2022</v>
      </c>
      <c r="O88" s="405" t="s">
        <v>121</v>
      </c>
      <c r="P88" s="405" t="s">
        <v>574</v>
      </c>
      <c r="Q88" s="405"/>
      <c r="R88" s="406"/>
      <c r="S88" s="405"/>
      <c r="T88" s="408" t="s">
        <v>1072</v>
      </c>
    </row>
    <row r="89" spans="1:30">
      <c r="A89" s="355" t="s">
        <v>1094</v>
      </c>
      <c r="B89" s="255" t="s">
        <v>535</v>
      </c>
      <c r="C89" s="355"/>
      <c r="D89" s="452" t="s">
        <v>1028</v>
      </c>
      <c r="E89" s="257">
        <v>136</v>
      </c>
      <c r="F89" s="258">
        <v>2022</v>
      </c>
      <c r="G89" s="258" t="s">
        <v>99</v>
      </c>
      <c r="H89" s="258" t="s">
        <v>1034</v>
      </c>
      <c r="I89" s="259"/>
      <c r="J89" s="258"/>
      <c r="K89" s="248"/>
      <c r="L89" s="452" t="s">
        <v>1028</v>
      </c>
      <c r="M89" s="257">
        <v>56</v>
      </c>
      <c r="N89" s="257">
        <v>2022</v>
      </c>
      <c r="O89" s="258" t="s">
        <v>121</v>
      </c>
      <c r="P89" s="258" t="s">
        <v>1034</v>
      </c>
      <c r="Q89" s="258"/>
      <c r="R89" s="259"/>
      <c r="S89" s="258"/>
      <c r="T89" s="272" t="s">
        <v>1072</v>
      </c>
    </row>
    <row r="90" spans="1:30" s="409" customFormat="1">
      <c r="A90" s="358" t="s">
        <v>1094</v>
      </c>
      <c r="B90" s="260" t="s">
        <v>535</v>
      </c>
      <c r="C90" s="358"/>
      <c r="D90" s="453" t="s">
        <v>1028</v>
      </c>
      <c r="E90" s="257">
        <v>108</v>
      </c>
      <c r="F90" s="405">
        <v>2022</v>
      </c>
      <c r="G90" s="405" t="s">
        <v>99</v>
      </c>
      <c r="H90" s="405" t="s">
        <v>578</v>
      </c>
      <c r="I90" s="406"/>
      <c r="J90" s="405"/>
      <c r="K90" s="407"/>
      <c r="L90" s="453" t="s">
        <v>1028</v>
      </c>
      <c r="M90" s="404">
        <v>45</v>
      </c>
      <c r="N90" s="404">
        <v>2022</v>
      </c>
      <c r="O90" s="405" t="s">
        <v>121</v>
      </c>
      <c r="P90" s="405" t="s">
        <v>578</v>
      </c>
      <c r="Q90" s="405"/>
      <c r="R90" s="406"/>
      <c r="S90" s="405"/>
      <c r="T90" s="408" t="s">
        <v>1072</v>
      </c>
    </row>
    <row r="91" spans="1:30" s="258" customFormat="1" ht="11.25" customHeight="1">
      <c r="A91" s="258" t="s">
        <v>1094</v>
      </c>
      <c r="B91" s="258" t="s">
        <v>782</v>
      </c>
      <c r="D91" s="258" t="s">
        <v>1028</v>
      </c>
      <c r="E91" s="258">
        <v>89</v>
      </c>
      <c r="F91" s="258">
        <v>2022</v>
      </c>
      <c r="G91" s="258" t="s">
        <v>47</v>
      </c>
      <c r="H91" s="258" t="s">
        <v>536</v>
      </c>
      <c r="I91" s="258" t="s">
        <v>536</v>
      </c>
      <c r="J91" s="258" t="s">
        <v>54</v>
      </c>
      <c r="K91" s="258" t="s">
        <v>1096</v>
      </c>
      <c r="L91" s="452" t="s">
        <v>1028</v>
      </c>
      <c r="M91" s="258">
        <v>89</v>
      </c>
      <c r="N91" s="258">
        <v>2022</v>
      </c>
      <c r="O91" s="258" t="s">
        <v>47</v>
      </c>
      <c r="P91" s="258" t="s">
        <v>536</v>
      </c>
      <c r="Q91" s="258" t="s">
        <v>536</v>
      </c>
      <c r="R91" s="258" t="s">
        <v>54</v>
      </c>
    </row>
    <row r="92" spans="1:30" s="453" customFormat="1" ht="12">
      <c r="A92" s="453" t="s">
        <v>1094</v>
      </c>
      <c r="B92" s="453" t="s">
        <v>782</v>
      </c>
      <c r="D92" s="453" t="s">
        <v>1097</v>
      </c>
      <c r="E92" s="453">
        <v>11</v>
      </c>
      <c r="F92" s="453">
        <v>2022</v>
      </c>
      <c r="G92" s="453" t="s">
        <v>121</v>
      </c>
      <c r="H92" s="453" t="s">
        <v>574</v>
      </c>
      <c r="I92" s="453" t="s">
        <v>574</v>
      </c>
      <c r="J92" s="453" t="s">
        <v>346</v>
      </c>
      <c r="K92" s="453" t="s">
        <v>1096</v>
      </c>
      <c r="L92" s="453" t="s">
        <v>1097</v>
      </c>
      <c r="M92" s="453">
        <v>11</v>
      </c>
      <c r="N92" s="453">
        <v>2022</v>
      </c>
      <c r="O92" s="453" t="s">
        <v>121</v>
      </c>
      <c r="P92" s="453" t="s">
        <v>574</v>
      </c>
      <c r="Q92" s="453" t="s">
        <v>574</v>
      </c>
      <c r="R92" s="453" t="s">
        <v>346</v>
      </c>
    </row>
    <row r="93" spans="1:30" s="258" customFormat="1" ht="12">
      <c r="A93" s="258" t="s">
        <v>1094</v>
      </c>
      <c r="B93" s="258" t="s">
        <v>782</v>
      </c>
      <c r="D93" s="258" t="s">
        <v>1098</v>
      </c>
      <c r="E93" s="258">
        <v>181</v>
      </c>
      <c r="F93" s="258">
        <v>2023</v>
      </c>
      <c r="G93" s="258" t="s">
        <v>47</v>
      </c>
      <c r="H93" s="258" t="s">
        <v>536</v>
      </c>
      <c r="I93" s="258" t="s">
        <v>536</v>
      </c>
      <c r="J93" s="258" t="s">
        <v>346</v>
      </c>
      <c r="K93" s="258" t="s">
        <v>1096</v>
      </c>
      <c r="L93" s="258" t="s">
        <v>1098</v>
      </c>
      <c r="M93" s="258">
        <v>55</v>
      </c>
      <c r="N93" s="258">
        <v>2023</v>
      </c>
      <c r="O93" s="258" t="s">
        <v>47</v>
      </c>
      <c r="P93" s="258" t="s">
        <v>536</v>
      </c>
      <c r="Q93" s="258" t="s">
        <v>536</v>
      </c>
      <c r="R93" s="341">
        <v>45000</v>
      </c>
      <c r="S93" s="258" t="s">
        <v>346</v>
      </c>
    </row>
    <row r="94" spans="1:30" s="453" customFormat="1" ht="12">
      <c r="A94" s="453" t="s">
        <v>1094</v>
      </c>
      <c r="B94" s="453" t="s">
        <v>782</v>
      </c>
      <c r="D94" s="453" t="s">
        <v>1097</v>
      </c>
      <c r="E94" s="453">
        <v>7</v>
      </c>
      <c r="F94" s="453">
        <v>2023</v>
      </c>
      <c r="G94" s="453" t="s">
        <v>121</v>
      </c>
      <c r="H94" s="453" t="s">
        <v>574</v>
      </c>
      <c r="I94" s="453" t="s">
        <v>574</v>
      </c>
      <c r="J94" s="453" t="s">
        <v>346</v>
      </c>
      <c r="K94" s="453" t="s">
        <v>1096</v>
      </c>
      <c r="L94" s="453" t="s">
        <v>1097</v>
      </c>
      <c r="M94" s="453">
        <v>0</v>
      </c>
      <c r="N94" s="453">
        <v>2023</v>
      </c>
      <c r="O94" s="453" t="s">
        <v>121</v>
      </c>
      <c r="P94" s="453" t="s">
        <v>574</v>
      </c>
      <c r="Q94" s="453" t="s">
        <v>574</v>
      </c>
      <c r="R94" s="453" t="s">
        <v>1096</v>
      </c>
      <c r="S94" s="453" t="s">
        <v>346</v>
      </c>
    </row>
    <row r="95" spans="1:30" s="437" customFormat="1">
      <c r="A95" s="431" t="s">
        <v>1094</v>
      </c>
      <c r="B95" s="419" t="s">
        <v>658</v>
      </c>
      <c r="C95" s="431">
        <v>10265176</v>
      </c>
      <c r="D95" s="451" t="s">
        <v>1044</v>
      </c>
      <c r="E95" s="432">
        <v>14</v>
      </c>
      <c r="F95" s="433">
        <v>2022</v>
      </c>
      <c r="G95" s="433" t="s">
        <v>78</v>
      </c>
      <c r="H95" s="433" t="s">
        <v>555</v>
      </c>
      <c r="I95" s="434">
        <v>44704</v>
      </c>
      <c r="J95" s="433" t="s">
        <v>1027</v>
      </c>
      <c r="K95" s="435" t="s">
        <v>1069</v>
      </c>
      <c r="L95" s="451" t="s">
        <v>1046</v>
      </c>
      <c r="M95" s="432">
        <v>14</v>
      </c>
      <c r="N95" s="433">
        <v>2022</v>
      </c>
      <c r="O95" s="433" t="s">
        <v>78</v>
      </c>
      <c r="P95" s="433" t="s">
        <v>555</v>
      </c>
      <c r="Q95" s="434">
        <v>44704</v>
      </c>
      <c r="R95" s="434">
        <v>44704</v>
      </c>
      <c r="S95" s="433" t="s">
        <v>1027</v>
      </c>
      <c r="T95" s="436"/>
    </row>
    <row r="96" spans="1:30">
      <c r="A96" s="355" t="s">
        <v>1094</v>
      </c>
      <c r="B96" s="255" t="s">
        <v>658</v>
      </c>
      <c r="C96" s="355">
        <v>10343903</v>
      </c>
      <c r="D96" s="452" t="s">
        <v>1044</v>
      </c>
      <c r="E96" s="257">
        <v>13</v>
      </c>
      <c r="F96" s="258">
        <v>2023</v>
      </c>
      <c r="G96" s="258" t="s">
        <v>78</v>
      </c>
      <c r="H96" s="258" t="s">
        <v>555</v>
      </c>
      <c r="I96" s="259">
        <v>45068</v>
      </c>
      <c r="J96" s="258" t="s">
        <v>1027</v>
      </c>
      <c r="K96" s="248" t="s">
        <v>1069</v>
      </c>
      <c r="L96" s="451" t="s">
        <v>1044</v>
      </c>
      <c r="M96" s="257">
        <v>0</v>
      </c>
      <c r="N96" s="257">
        <v>2023</v>
      </c>
      <c r="O96" s="258" t="s">
        <v>78</v>
      </c>
      <c r="P96" s="258" t="s">
        <v>555</v>
      </c>
      <c r="Q96" s="259">
        <v>45068</v>
      </c>
      <c r="R96" s="259">
        <v>45068</v>
      </c>
      <c r="S96" s="258" t="s">
        <v>1027</v>
      </c>
      <c r="T96" s="272"/>
    </row>
    <row r="97" spans="1:20" s="497" customFormat="1">
      <c r="A97" s="602" t="s">
        <v>1094</v>
      </c>
      <c r="B97" s="604" t="s">
        <v>887</v>
      </c>
      <c r="C97" s="498"/>
      <c r="D97" s="606" t="s">
        <v>1044</v>
      </c>
      <c r="E97" s="608">
        <v>20</v>
      </c>
      <c r="F97" s="610">
        <v>2022</v>
      </c>
      <c r="G97" s="610" t="s">
        <v>78</v>
      </c>
      <c r="H97" s="610"/>
      <c r="I97" s="612"/>
      <c r="J97" s="610"/>
      <c r="K97" s="614"/>
      <c r="L97" s="492" t="s">
        <v>1046</v>
      </c>
      <c r="M97" s="493">
        <v>2</v>
      </c>
      <c r="N97" s="493">
        <v>2022</v>
      </c>
      <c r="O97" s="494" t="s">
        <v>78</v>
      </c>
      <c r="P97" s="494" t="s">
        <v>555</v>
      </c>
      <c r="Q97" s="494"/>
      <c r="R97" s="495"/>
      <c r="S97" s="494"/>
      <c r="T97" s="496">
        <v>1</v>
      </c>
    </row>
    <row r="98" spans="1:20" s="497" customFormat="1" ht="14.5" customHeight="1">
      <c r="A98" s="603"/>
      <c r="B98" s="605"/>
      <c r="C98" s="499"/>
      <c r="D98" s="607"/>
      <c r="E98" s="609"/>
      <c r="F98" s="611"/>
      <c r="G98" s="611"/>
      <c r="H98" s="611"/>
      <c r="I98" s="613"/>
      <c r="J98" s="611"/>
      <c r="K98" s="615"/>
      <c r="L98" s="492" t="s">
        <v>1046</v>
      </c>
      <c r="M98" s="493">
        <v>1</v>
      </c>
      <c r="N98" s="493">
        <v>2022</v>
      </c>
      <c r="O98" s="494" t="s">
        <v>78</v>
      </c>
      <c r="P98" s="494" t="s">
        <v>559</v>
      </c>
      <c r="Q98" s="494"/>
      <c r="R98" s="495"/>
      <c r="S98" s="494"/>
      <c r="T98" s="496"/>
    </row>
    <row r="99" spans="1:20" s="409" customFormat="1">
      <c r="A99" s="358" t="s">
        <v>1094</v>
      </c>
      <c r="B99" s="260" t="s">
        <v>887</v>
      </c>
      <c r="C99" s="358"/>
      <c r="D99" s="453" t="s">
        <v>1044</v>
      </c>
      <c r="E99" s="404">
        <v>10</v>
      </c>
      <c r="F99" s="405">
        <v>2022</v>
      </c>
      <c r="G99" s="405" t="s">
        <v>47</v>
      </c>
      <c r="H99" s="405"/>
      <c r="I99" s="406"/>
      <c r="J99" s="405"/>
      <c r="K99" s="407"/>
      <c r="L99" s="453" t="s">
        <v>1046</v>
      </c>
      <c r="M99" s="404">
        <v>3</v>
      </c>
      <c r="N99" s="405">
        <v>2022</v>
      </c>
      <c r="O99" s="405" t="s">
        <v>47</v>
      </c>
      <c r="P99" s="405" t="s">
        <v>1031</v>
      </c>
      <c r="Q99" s="405"/>
      <c r="R99" s="406"/>
      <c r="S99" s="405"/>
      <c r="T99" s="408">
        <v>1</v>
      </c>
    </row>
    <row r="100" spans="1:20">
      <c r="A100" s="358" t="s">
        <v>1094</v>
      </c>
      <c r="B100" s="249" t="s">
        <v>887</v>
      </c>
      <c r="C100" s="354"/>
      <c r="D100" s="463" t="s">
        <v>1044</v>
      </c>
      <c r="E100" s="251">
        <v>2</v>
      </c>
      <c r="F100" s="252">
        <v>2022</v>
      </c>
      <c r="G100" s="252" t="s">
        <v>99</v>
      </c>
      <c r="H100" s="252" t="s">
        <v>566</v>
      </c>
      <c r="I100" s="253"/>
      <c r="J100" s="252"/>
      <c r="K100" s="254"/>
      <c r="L100" s="452" t="s">
        <v>1046</v>
      </c>
      <c r="M100" s="251">
        <v>1</v>
      </c>
      <c r="N100" s="252">
        <v>2022</v>
      </c>
      <c r="O100" s="252" t="s">
        <v>78</v>
      </c>
      <c r="P100" s="252" t="s">
        <v>559</v>
      </c>
      <c r="Q100" s="252"/>
      <c r="R100" s="253"/>
      <c r="S100" s="252"/>
      <c r="T100" s="273">
        <v>1</v>
      </c>
    </row>
    <row r="101" spans="1:20">
      <c r="A101" s="355" t="s">
        <v>1094</v>
      </c>
      <c r="B101" s="255" t="s">
        <v>887</v>
      </c>
      <c r="C101" s="355"/>
      <c r="D101" s="451" t="s">
        <v>1044</v>
      </c>
      <c r="E101" s="257">
        <v>2</v>
      </c>
      <c r="F101" s="258">
        <v>2022</v>
      </c>
      <c r="G101" s="258" t="s">
        <v>99</v>
      </c>
      <c r="H101" s="258" t="s">
        <v>571</v>
      </c>
      <c r="I101" s="259"/>
      <c r="J101" s="258"/>
      <c r="K101" s="248"/>
      <c r="L101" s="452" t="s">
        <v>1046</v>
      </c>
      <c r="M101" s="257">
        <v>4</v>
      </c>
      <c r="N101" s="257">
        <v>2022</v>
      </c>
      <c r="O101" s="258" t="s">
        <v>99</v>
      </c>
      <c r="P101" s="258" t="s">
        <v>566</v>
      </c>
      <c r="Q101" s="258"/>
      <c r="R101" s="259"/>
      <c r="S101" s="258"/>
      <c r="T101" s="272">
        <v>3</v>
      </c>
    </row>
    <row r="102" spans="1:20">
      <c r="A102" s="355" t="s">
        <v>1094</v>
      </c>
      <c r="B102" s="255" t="s">
        <v>887</v>
      </c>
      <c r="C102" s="355"/>
      <c r="D102" s="452" t="s">
        <v>1044</v>
      </c>
      <c r="E102" s="257">
        <v>9</v>
      </c>
      <c r="F102" s="258">
        <v>2022</v>
      </c>
      <c r="G102" s="258" t="s">
        <v>121</v>
      </c>
      <c r="H102" s="258"/>
      <c r="I102" s="259"/>
      <c r="J102" s="258"/>
      <c r="K102" s="248"/>
      <c r="L102" s="452" t="s">
        <v>1046</v>
      </c>
      <c r="M102" s="257">
        <v>7</v>
      </c>
      <c r="N102" s="257">
        <v>2022</v>
      </c>
      <c r="O102" s="258" t="s">
        <v>121</v>
      </c>
      <c r="P102" s="258" t="s">
        <v>574</v>
      </c>
      <c r="Q102" s="258"/>
      <c r="R102" s="259"/>
      <c r="S102" s="258"/>
      <c r="T102" s="272"/>
    </row>
    <row r="103" spans="1:20" s="409" customFormat="1">
      <c r="A103" s="358" t="s">
        <v>1094</v>
      </c>
      <c r="B103" s="260" t="s">
        <v>887</v>
      </c>
      <c r="C103" s="358"/>
      <c r="D103" s="453" t="s">
        <v>1044</v>
      </c>
      <c r="E103" s="404">
        <v>15</v>
      </c>
      <c r="F103" s="405">
        <v>2023</v>
      </c>
      <c r="G103" s="405" t="s">
        <v>47</v>
      </c>
      <c r="H103" s="405" t="s">
        <v>543</v>
      </c>
      <c r="I103" s="406"/>
      <c r="J103" s="405"/>
      <c r="K103" s="407"/>
      <c r="L103" s="453" t="s">
        <v>1046</v>
      </c>
      <c r="M103" s="404">
        <v>5</v>
      </c>
      <c r="N103" s="404">
        <v>2023</v>
      </c>
      <c r="O103" s="405" t="s">
        <v>47</v>
      </c>
      <c r="P103" s="405" t="s">
        <v>543</v>
      </c>
      <c r="Q103" s="405"/>
      <c r="R103" s="406"/>
      <c r="S103" s="405"/>
      <c r="T103" s="408"/>
    </row>
    <row r="104" spans="1:20">
      <c r="A104" s="355" t="s">
        <v>1094</v>
      </c>
      <c r="B104" s="255" t="s">
        <v>887</v>
      </c>
      <c r="C104" s="355"/>
      <c r="D104" s="452" t="s">
        <v>1044</v>
      </c>
      <c r="E104" s="257">
        <v>15</v>
      </c>
      <c r="F104" s="258">
        <v>2023</v>
      </c>
      <c r="G104" s="258" t="s">
        <v>47</v>
      </c>
      <c r="H104" s="258" t="s">
        <v>1031</v>
      </c>
      <c r="I104" s="259"/>
      <c r="J104" s="258"/>
      <c r="K104" s="248"/>
      <c r="L104" s="452"/>
      <c r="M104" s="257"/>
      <c r="N104" s="257"/>
      <c r="O104" s="258"/>
      <c r="P104" s="258"/>
      <c r="Q104" s="258"/>
      <c r="R104" s="259"/>
      <c r="S104" s="258"/>
      <c r="T104" s="272"/>
    </row>
    <row r="105" spans="1:20" s="409" customFormat="1">
      <c r="A105" s="358" t="s">
        <v>1094</v>
      </c>
      <c r="B105" s="260" t="s">
        <v>887</v>
      </c>
      <c r="C105" s="358"/>
      <c r="D105" s="453" t="s">
        <v>1044</v>
      </c>
      <c r="E105" s="404">
        <v>15</v>
      </c>
      <c r="F105" s="405">
        <v>2023</v>
      </c>
      <c r="G105" s="405" t="s">
        <v>78</v>
      </c>
      <c r="H105" s="405" t="s">
        <v>551</v>
      </c>
      <c r="I105" s="406"/>
      <c r="J105" s="405"/>
      <c r="K105" s="407"/>
      <c r="L105" s="453"/>
      <c r="M105" s="404"/>
      <c r="N105" s="404"/>
      <c r="O105" s="405"/>
      <c r="P105" s="405"/>
      <c r="Q105" s="405"/>
      <c r="R105" s="406"/>
      <c r="S105" s="405"/>
      <c r="T105" s="408"/>
    </row>
    <row r="106" spans="1:20">
      <c r="A106" s="355" t="s">
        <v>1094</v>
      </c>
      <c r="B106" s="255" t="s">
        <v>887</v>
      </c>
      <c r="C106" s="355"/>
      <c r="D106" s="452" t="s">
        <v>1044</v>
      </c>
      <c r="E106" s="257">
        <v>15</v>
      </c>
      <c r="F106" s="258">
        <v>2023</v>
      </c>
      <c r="G106" s="258" t="s">
        <v>78</v>
      </c>
      <c r="H106" s="258" t="s">
        <v>555</v>
      </c>
      <c r="I106" s="259"/>
      <c r="J106" s="258"/>
      <c r="K106" s="248"/>
      <c r="L106" s="452"/>
      <c r="M106" s="257"/>
      <c r="N106" s="257"/>
      <c r="O106" s="258"/>
      <c r="P106" s="258"/>
      <c r="Q106" s="258"/>
      <c r="R106" s="259"/>
      <c r="S106" s="258"/>
      <c r="T106" s="272"/>
    </row>
    <row r="107" spans="1:20" s="409" customFormat="1">
      <c r="A107" s="358" t="s">
        <v>1094</v>
      </c>
      <c r="B107" s="260" t="s">
        <v>887</v>
      </c>
      <c r="C107" s="358"/>
      <c r="D107" s="453" t="s">
        <v>1044</v>
      </c>
      <c r="E107" s="404">
        <v>15</v>
      </c>
      <c r="F107" s="405">
        <v>2023</v>
      </c>
      <c r="G107" s="405" t="s">
        <v>78</v>
      </c>
      <c r="H107" s="405" t="s">
        <v>559</v>
      </c>
      <c r="I107" s="406"/>
      <c r="J107" s="405"/>
      <c r="K107" s="407"/>
      <c r="L107" s="453"/>
      <c r="M107" s="404"/>
      <c r="N107" s="404"/>
      <c r="O107" s="405"/>
      <c r="P107" s="405"/>
      <c r="Q107" s="405"/>
      <c r="R107" s="406"/>
      <c r="S107" s="405"/>
      <c r="T107" s="408"/>
    </row>
    <row r="108" spans="1:20">
      <c r="A108" s="355" t="s">
        <v>1085</v>
      </c>
      <c r="B108" s="255" t="s">
        <v>1038</v>
      </c>
      <c r="C108" s="355">
        <v>10357623</v>
      </c>
      <c r="D108" s="451" t="s">
        <v>1028</v>
      </c>
      <c r="E108" s="257">
        <v>0</v>
      </c>
      <c r="F108" s="258">
        <v>2023</v>
      </c>
      <c r="G108" s="258" t="s">
        <v>78</v>
      </c>
      <c r="H108" s="258" t="s">
        <v>555</v>
      </c>
      <c r="I108" s="259">
        <v>45047</v>
      </c>
      <c r="J108" s="258" t="s">
        <v>1027</v>
      </c>
      <c r="K108" s="248" t="s">
        <v>1068</v>
      </c>
      <c r="L108" s="452" t="s">
        <v>1028</v>
      </c>
      <c r="M108" s="257">
        <v>5</v>
      </c>
      <c r="N108" s="257">
        <v>2023</v>
      </c>
      <c r="O108" s="258" t="s">
        <v>78</v>
      </c>
      <c r="P108" s="258" t="s">
        <v>555</v>
      </c>
      <c r="Q108" s="259">
        <v>45054</v>
      </c>
      <c r="R108" s="259">
        <v>45068</v>
      </c>
      <c r="S108" s="258" t="s">
        <v>1027</v>
      </c>
      <c r="T108" s="272"/>
    </row>
    <row r="109" spans="1:20">
      <c r="A109" s="354"/>
      <c r="B109" s="249"/>
      <c r="C109" s="354"/>
      <c r="D109" s="250"/>
      <c r="E109" s="251"/>
      <c r="F109" s="252"/>
      <c r="G109" s="252"/>
      <c r="H109" s="252"/>
      <c r="I109" s="253"/>
      <c r="J109" s="252"/>
      <c r="K109" s="254"/>
      <c r="L109" s="250"/>
      <c r="M109" s="251"/>
      <c r="N109" s="251"/>
      <c r="O109" s="252"/>
      <c r="P109" s="252"/>
      <c r="Q109" s="252"/>
      <c r="R109" s="253"/>
      <c r="S109" s="252"/>
      <c r="T109" s="273"/>
    </row>
    <row r="110" spans="1:20">
      <c r="A110" s="355"/>
      <c r="B110" s="255"/>
      <c r="C110" s="355"/>
      <c r="D110" s="256"/>
      <c r="E110" s="257"/>
      <c r="F110" s="258"/>
      <c r="G110" s="258"/>
      <c r="H110" s="258"/>
      <c r="I110" s="259"/>
      <c r="J110" s="258"/>
      <c r="K110" s="248"/>
      <c r="L110" s="256"/>
      <c r="M110" s="257"/>
      <c r="N110" s="257"/>
      <c r="O110" s="258"/>
      <c r="P110" s="258"/>
      <c r="Q110" s="258"/>
      <c r="R110" s="259"/>
      <c r="S110" s="258"/>
      <c r="T110" s="272"/>
    </row>
    <row r="111" spans="1:20">
      <c r="A111" s="354"/>
      <c r="B111" s="249"/>
      <c r="C111" s="354"/>
      <c r="D111" s="250"/>
      <c r="E111" s="251"/>
      <c r="F111" s="252"/>
      <c r="G111" s="252"/>
      <c r="H111" s="252"/>
      <c r="I111" s="253"/>
      <c r="J111" s="252"/>
      <c r="K111" s="254"/>
      <c r="L111" s="250"/>
      <c r="M111" s="251"/>
      <c r="N111" s="251"/>
      <c r="O111" s="252"/>
      <c r="P111" s="252"/>
      <c r="Q111" s="252"/>
      <c r="R111" s="253"/>
      <c r="S111" s="252"/>
      <c r="T111" s="273"/>
    </row>
    <row r="112" spans="1:20">
      <c r="A112" s="355"/>
      <c r="B112" s="255"/>
      <c r="C112" s="355"/>
      <c r="D112" s="256"/>
      <c r="E112" s="257"/>
      <c r="F112" s="258"/>
      <c r="G112" s="258"/>
      <c r="H112" s="258"/>
      <c r="I112" s="259"/>
      <c r="J112" s="258"/>
      <c r="K112" s="248"/>
      <c r="L112" s="256"/>
      <c r="M112" s="257"/>
      <c r="N112" s="257"/>
      <c r="O112" s="258"/>
      <c r="P112" s="258"/>
      <c r="Q112" s="258"/>
      <c r="R112" s="259"/>
      <c r="S112" s="258"/>
      <c r="T112" s="272"/>
    </row>
    <row r="113" spans="1:20">
      <c r="A113" s="354"/>
      <c r="B113" s="249"/>
      <c r="C113" s="354"/>
      <c r="D113" s="250"/>
      <c r="E113" s="251"/>
      <c r="F113" s="252"/>
      <c r="G113" s="252"/>
      <c r="H113" s="252"/>
      <c r="I113" s="253"/>
      <c r="J113" s="252"/>
      <c r="K113" s="254"/>
      <c r="L113" s="250"/>
      <c r="M113" s="251"/>
      <c r="N113" s="251"/>
      <c r="O113" s="252"/>
      <c r="P113" s="252"/>
      <c r="Q113" s="252"/>
      <c r="R113" s="253"/>
      <c r="S113" s="252"/>
      <c r="T113" s="273"/>
    </row>
    <row r="114" spans="1:20">
      <c r="A114" s="355"/>
      <c r="B114" s="255"/>
      <c r="C114" s="355"/>
      <c r="D114" s="256"/>
      <c r="E114" s="257"/>
      <c r="F114" s="258"/>
      <c r="G114" s="258"/>
      <c r="H114" s="258"/>
      <c r="I114" s="259"/>
      <c r="J114" s="258"/>
      <c r="K114" s="248"/>
      <c r="L114" s="256"/>
      <c r="M114" s="257"/>
      <c r="N114" s="257"/>
      <c r="O114" s="258"/>
      <c r="P114" s="258"/>
      <c r="Q114" s="258"/>
      <c r="R114" s="259"/>
      <c r="S114" s="258"/>
      <c r="T114" s="272"/>
    </row>
    <row r="115" spans="1:20">
      <c r="A115" s="354"/>
      <c r="B115" s="249"/>
      <c r="C115" s="354"/>
      <c r="D115" s="250"/>
      <c r="E115" s="251"/>
      <c r="F115" s="252"/>
      <c r="G115" s="252"/>
      <c r="H115" s="252"/>
      <c r="I115" s="253"/>
      <c r="J115" s="252"/>
      <c r="K115" s="254"/>
      <c r="L115" s="250"/>
      <c r="M115" s="251"/>
      <c r="N115" s="251"/>
      <c r="O115" s="252"/>
      <c r="P115" s="252"/>
      <c r="Q115" s="252"/>
      <c r="R115" s="253"/>
      <c r="S115" s="252"/>
      <c r="T115" s="273"/>
    </row>
    <row r="116" spans="1:20">
      <c r="A116" s="355"/>
      <c r="B116" s="255"/>
      <c r="C116" s="355"/>
      <c r="D116" s="256"/>
      <c r="E116" s="257"/>
      <c r="F116" s="258"/>
      <c r="G116" s="258"/>
      <c r="H116" s="258"/>
      <c r="I116" s="259"/>
      <c r="J116" s="258"/>
      <c r="K116" s="248"/>
      <c r="L116" s="256"/>
      <c r="M116" s="257"/>
      <c r="N116" s="257"/>
      <c r="O116" s="258"/>
      <c r="P116" s="258"/>
      <c r="Q116" s="258"/>
      <c r="R116" s="259"/>
      <c r="S116" s="258"/>
      <c r="T116" s="272"/>
    </row>
    <row r="117" spans="1:20">
      <c r="A117" s="354"/>
      <c r="B117" s="249"/>
      <c r="C117" s="354"/>
      <c r="D117" s="250"/>
      <c r="E117" s="251"/>
      <c r="F117" s="252"/>
      <c r="G117" s="252"/>
      <c r="H117" s="252"/>
      <c r="I117" s="253"/>
      <c r="J117" s="252"/>
      <c r="K117" s="254"/>
      <c r="L117" s="250"/>
      <c r="M117" s="251"/>
      <c r="N117" s="251"/>
      <c r="O117" s="252"/>
      <c r="P117" s="252"/>
      <c r="Q117" s="252"/>
      <c r="R117" s="253"/>
      <c r="S117" s="252"/>
      <c r="T117" s="273"/>
    </row>
    <row r="118" spans="1:20">
      <c r="A118" s="355"/>
      <c r="B118" s="255"/>
      <c r="C118" s="355"/>
      <c r="D118" s="256"/>
      <c r="E118" s="257"/>
      <c r="F118" s="258"/>
      <c r="G118" s="258"/>
      <c r="H118" s="258"/>
      <c r="I118" s="259"/>
      <c r="J118" s="258"/>
      <c r="K118" s="248"/>
      <c r="L118" s="256"/>
      <c r="M118" s="257"/>
      <c r="N118" s="257"/>
      <c r="O118" s="258"/>
      <c r="P118" s="258"/>
      <c r="Q118" s="258"/>
      <c r="R118" s="259"/>
      <c r="S118" s="258"/>
      <c r="T118" s="272"/>
    </row>
    <row r="119" spans="1:20">
      <c r="A119" s="354"/>
      <c r="B119" s="249"/>
      <c r="C119" s="354"/>
      <c r="D119" s="250"/>
      <c r="E119" s="251"/>
      <c r="F119" s="252"/>
      <c r="G119" s="252"/>
      <c r="H119" s="252"/>
      <c r="I119" s="253"/>
      <c r="J119" s="252"/>
      <c r="K119" s="254"/>
      <c r="L119" s="250"/>
      <c r="M119" s="251"/>
      <c r="N119" s="251"/>
      <c r="O119" s="252"/>
      <c r="P119" s="252"/>
      <c r="Q119" s="252"/>
      <c r="R119" s="253"/>
      <c r="S119" s="252"/>
      <c r="T119" s="273"/>
    </row>
    <row r="120" spans="1:20">
      <c r="A120" s="355"/>
      <c r="B120" s="255"/>
      <c r="C120" s="355"/>
      <c r="D120" s="256"/>
      <c r="E120" s="257"/>
      <c r="F120" s="258"/>
      <c r="G120" s="258"/>
      <c r="H120" s="258"/>
      <c r="I120" s="259"/>
      <c r="J120" s="258"/>
      <c r="K120" s="248"/>
      <c r="L120" s="256"/>
      <c r="M120" s="257"/>
      <c r="N120" s="257"/>
      <c r="O120" s="258"/>
      <c r="P120" s="258"/>
      <c r="Q120" s="258"/>
      <c r="R120" s="259"/>
      <c r="S120" s="258"/>
      <c r="T120" s="272"/>
    </row>
    <row r="121" spans="1:20">
      <c r="A121" s="354"/>
      <c r="B121" s="249"/>
      <c r="C121" s="354"/>
      <c r="D121" s="250"/>
      <c r="E121" s="251"/>
      <c r="F121" s="252"/>
      <c r="G121" s="252"/>
      <c r="H121" s="252"/>
      <c r="I121" s="253"/>
      <c r="J121" s="252"/>
      <c r="K121" s="254"/>
      <c r="L121" s="250"/>
      <c r="M121" s="251"/>
      <c r="N121" s="251"/>
      <c r="O121" s="252"/>
      <c r="P121" s="252"/>
      <c r="Q121" s="252"/>
      <c r="R121" s="253"/>
      <c r="S121" s="252"/>
      <c r="T121" s="273"/>
    </row>
    <row r="122" spans="1:20">
      <c r="A122" s="355"/>
      <c r="B122" s="255"/>
      <c r="C122" s="355"/>
      <c r="D122" s="256"/>
      <c r="E122" s="257"/>
      <c r="F122" s="258"/>
      <c r="G122" s="258"/>
      <c r="H122" s="258"/>
      <c r="I122" s="259"/>
      <c r="J122" s="258"/>
      <c r="K122" s="248"/>
      <c r="L122" s="256"/>
      <c r="M122" s="257"/>
      <c r="N122" s="257"/>
      <c r="O122" s="258"/>
      <c r="P122" s="258"/>
      <c r="Q122" s="258"/>
      <c r="R122" s="259"/>
      <c r="S122" s="258"/>
      <c r="T122" s="272"/>
    </row>
    <row r="123" spans="1:20">
      <c r="A123" s="354"/>
      <c r="B123" s="249"/>
      <c r="C123" s="354"/>
      <c r="D123" s="250"/>
      <c r="E123" s="251"/>
      <c r="F123" s="252"/>
      <c r="G123" s="252"/>
      <c r="H123" s="252"/>
      <c r="I123" s="253"/>
      <c r="J123" s="252"/>
      <c r="K123" s="254"/>
      <c r="L123" s="250"/>
      <c r="M123" s="251"/>
      <c r="N123" s="251"/>
      <c r="O123" s="252"/>
      <c r="P123" s="252"/>
      <c r="Q123" s="252"/>
      <c r="R123" s="253"/>
      <c r="S123" s="252"/>
      <c r="T123" s="273"/>
    </row>
    <row r="124" spans="1:20">
      <c r="A124" s="355"/>
      <c r="B124" s="255"/>
      <c r="C124" s="355"/>
      <c r="D124" s="256"/>
      <c r="E124" s="257"/>
      <c r="F124" s="258"/>
      <c r="G124" s="258"/>
      <c r="H124" s="258"/>
      <c r="I124" s="259"/>
      <c r="J124" s="258"/>
      <c r="K124" s="248"/>
      <c r="L124" s="256"/>
      <c r="M124" s="257"/>
      <c r="N124" s="257"/>
      <c r="O124" s="258"/>
      <c r="P124" s="258"/>
      <c r="Q124" s="258"/>
      <c r="R124" s="259"/>
      <c r="S124" s="258"/>
      <c r="T124" s="272"/>
    </row>
    <row r="125" spans="1:20">
      <c r="A125" s="354"/>
      <c r="B125" s="249"/>
      <c r="C125" s="354"/>
      <c r="D125" s="250"/>
      <c r="E125" s="251"/>
      <c r="F125" s="252"/>
      <c r="G125" s="252"/>
      <c r="H125" s="252"/>
      <c r="I125" s="253"/>
      <c r="J125" s="252"/>
      <c r="K125" s="254"/>
      <c r="L125" s="250"/>
      <c r="M125" s="251"/>
      <c r="N125" s="251"/>
      <c r="O125" s="252"/>
      <c r="P125" s="252"/>
      <c r="Q125" s="252"/>
      <c r="R125" s="253"/>
      <c r="S125" s="252"/>
      <c r="T125" s="273"/>
    </row>
    <row r="126" spans="1:20">
      <c r="A126" s="355"/>
      <c r="B126" s="255"/>
      <c r="C126" s="355"/>
      <c r="D126" s="256"/>
      <c r="E126" s="257"/>
      <c r="F126" s="258"/>
      <c r="G126" s="258"/>
      <c r="H126" s="258"/>
      <c r="I126" s="259"/>
      <c r="J126" s="258"/>
      <c r="K126" s="248"/>
      <c r="L126" s="256"/>
      <c r="M126" s="257"/>
      <c r="N126" s="257"/>
      <c r="O126" s="258"/>
      <c r="P126" s="258"/>
      <c r="Q126" s="258"/>
      <c r="R126" s="259"/>
      <c r="S126" s="258"/>
      <c r="T126" s="272"/>
    </row>
    <row r="127" spans="1:20">
      <c r="A127" s="354"/>
      <c r="B127" s="249"/>
      <c r="C127" s="354"/>
      <c r="D127" s="250"/>
      <c r="E127" s="251"/>
      <c r="F127" s="252"/>
      <c r="G127" s="252"/>
      <c r="H127" s="252"/>
      <c r="I127" s="253"/>
      <c r="J127" s="252"/>
      <c r="K127" s="254"/>
      <c r="L127" s="250"/>
      <c r="M127" s="251"/>
      <c r="N127" s="251"/>
      <c r="O127" s="252"/>
      <c r="P127" s="252"/>
      <c r="Q127" s="252"/>
      <c r="R127" s="253"/>
      <c r="S127" s="252"/>
      <c r="T127" s="273"/>
    </row>
    <row r="128" spans="1:20">
      <c r="A128" s="355"/>
      <c r="B128" s="255"/>
      <c r="C128" s="355"/>
      <c r="D128" s="256"/>
      <c r="E128" s="257"/>
      <c r="F128" s="258"/>
      <c r="G128" s="258"/>
      <c r="H128" s="258"/>
      <c r="I128" s="259"/>
      <c r="J128" s="258"/>
      <c r="K128" s="248"/>
      <c r="L128" s="256"/>
      <c r="M128" s="257"/>
      <c r="N128" s="257"/>
      <c r="O128" s="258"/>
      <c r="P128" s="258"/>
      <c r="Q128" s="258"/>
      <c r="R128" s="259"/>
      <c r="S128" s="258"/>
      <c r="T128" s="272"/>
    </row>
    <row r="129" spans="1:20">
      <c r="A129" s="354"/>
      <c r="B129" s="249"/>
      <c r="C129" s="354"/>
      <c r="D129" s="250"/>
      <c r="E129" s="251"/>
      <c r="F129" s="252"/>
      <c r="G129" s="252"/>
      <c r="H129" s="252"/>
      <c r="I129" s="253"/>
      <c r="J129" s="252"/>
      <c r="K129" s="254"/>
      <c r="L129" s="250"/>
      <c r="M129" s="251"/>
      <c r="N129" s="251"/>
      <c r="O129" s="252"/>
      <c r="P129" s="252"/>
      <c r="Q129" s="252"/>
      <c r="R129" s="253"/>
      <c r="S129" s="252"/>
      <c r="T129" s="273"/>
    </row>
    <row r="130" spans="1:20">
      <c r="A130" s="355"/>
      <c r="B130" s="255"/>
      <c r="C130" s="355"/>
      <c r="D130" s="256"/>
      <c r="E130" s="257"/>
      <c r="F130" s="258"/>
      <c r="G130" s="258"/>
      <c r="H130" s="258"/>
      <c r="I130" s="259"/>
      <c r="J130" s="258"/>
      <c r="K130" s="248"/>
      <c r="L130" s="256"/>
      <c r="M130" s="257"/>
      <c r="N130" s="257"/>
      <c r="O130" s="258"/>
      <c r="P130" s="258"/>
      <c r="Q130" s="258"/>
      <c r="R130" s="259"/>
      <c r="S130" s="258"/>
      <c r="T130" s="272"/>
    </row>
    <row r="131" spans="1:20">
      <c r="A131" s="354"/>
      <c r="B131" s="249"/>
      <c r="C131" s="354"/>
      <c r="D131" s="250"/>
      <c r="E131" s="251"/>
      <c r="F131" s="252"/>
      <c r="G131" s="252"/>
      <c r="H131" s="252"/>
      <c r="I131" s="253"/>
      <c r="J131" s="252"/>
      <c r="K131" s="254"/>
      <c r="L131" s="250"/>
      <c r="M131" s="251"/>
      <c r="N131" s="251"/>
      <c r="O131" s="252"/>
      <c r="P131" s="252"/>
      <c r="Q131" s="252"/>
      <c r="R131" s="253"/>
      <c r="S131" s="252"/>
      <c r="T131" s="273"/>
    </row>
    <row r="132" spans="1:20">
      <c r="A132" s="355"/>
      <c r="B132" s="255"/>
      <c r="C132" s="355"/>
      <c r="D132" s="256"/>
      <c r="E132" s="257"/>
      <c r="F132" s="258"/>
      <c r="G132" s="258"/>
      <c r="H132" s="258"/>
      <c r="I132" s="259"/>
      <c r="J132" s="258"/>
      <c r="K132" s="248"/>
      <c r="L132" s="256"/>
      <c r="M132" s="257"/>
      <c r="N132" s="257"/>
      <c r="O132" s="258"/>
      <c r="P132" s="258"/>
      <c r="Q132" s="258"/>
      <c r="R132" s="259"/>
      <c r="S132" s="258"/>
      <c r="T132" s="272"/>
    </row>
    <row r="133" spans="1:20">
      <c r="A133" s="354"/>
      <c r="B133" s="249"/>
      <c r="C133" s="354"/>
      <c r="D133" s="250"/>
      <c r="E133" s="251"/>
      <c r="F133" s="252"/>
      <c r="G133" s="252"/>
      <c r="H133" s="252"/>
      <c r="I133" s="253"/>
      <c r="J133" s="252"/>
      <c r="K133" s="254"/>
      <c r="L133" s="250"/>
      <c r="M133" s="251"/>
      <c r="N133" s="251"/>
      <c r="O133" s="252"/>
      <c r="P133" s="252"/>
      <c r="Q133" s="252"/>
      <c r="R133" s="253"/>
      <c r="S133" s="252"/>
      <c r="T133" s="273"/>
    </row>
    <row r="134" spans="1:20">
      <c r="A134" s="355"/>
      <c r="B134" s="255"/>
      <c r="C134" s="355"/>
      <c r="D134" s="256"/>
      <c r="E134" s="257"/>
      <c r="F134" s="258"/>
      <c r="G134" s="258"/>
      <c r="H134" s="258"/>
      <c r="I134" s="259"/>
      <c r="J134" s="258"/>
      <c r="K134" s="248"/>
      <c r="L134" s="256"/>
      <c r="M134" s="257"/>
      <c r="N134" s="257"/>
      <c r="O134" s="258"/>
      <c r="P134" s="258"/>
      <c r="Q134" s="258"/>
      <c r="R134" s="259"/>
      <c r="S134" s="258"/>
      <c r="T134" s="272"/>
    </row>
    <row r="135" spans="1:20">
      <c r="A135" s="354"/>
      <c r="B135" s="249"/>
      <c r="C135" s="354"/>
      <c r="D135" s="250"/>
      <c r="E135" s="251"/>
      <c r="F135" s="252"/>
      <c r="G135" s="252"/>
      <c r="H135" s="252"/>
      <c r="I135" s="253"/>
      <c r="J135" s="252"/>
      <c r="K135" s="254"/>
      <c r="L135" s="250"/>
      <c r="M135" s="251"/>
      <c r="N135" s="251"/>
      <c r="O135" s="252"/>
      <c r="P135" s="252"/>
      <c r="Q135" s="252"/>
      <c r="R135" s="253"/>
      <c r="S135" s="252"/>
      <c r="T135" s="273"/>
    </row>
    <row r="136" spans="1:20">
      <c r="A136" s="355"/>
      <c r="B136" s="255"/>
      <c r="C136" s="355"/>
      <c r="D136" s="256"/>
      <c r="E136" s="257"/>
      <c r="F136" s="258"/>
      <c r="G136" s="258"/>
      <c r="H136" s="258"/>
      <c r="I136" s="259"/>
      <c r="J136" s="258"/>
      <c r="K136" s="248"/>
      <c r="L136" s="256"/>
      <c r="M136" s="257"/>
      <c r="N136" s="257"/>
      <c r="O136" s="258"/>
      <c r="P136" s="258"/>
      <c r="Q136" s="258"/>
      <c r="R136" s="259"/>
      <c r="S136" s="258"/>
      <c r="T136" s="272"/>
    </row>
    <row r="137" spans="1:20">
      <c r="A137" s="354"/>
      <c r="B137" s="249"/>
      <c r="C137" s="354"/>
      <c r="D137" s="250"/>
      <c r="E137" s="251"/>
      <c r="F137" s="252"/>
      <c r="G137" s="252"/>
      <c r="H137" s="252"/>
      <c r="I137" s="253"/>
      <c r="J137" s="252"/>
      <c r="K137" s="254"/>
      <c r="L137" s="250"/>
      <c r="M137" s="251"/>
      <c r="N137" s="251"/>
      <c r="O137" s="252"/>
      <c r="P137" s="252"/>
      <c r="Q137" s="252"/>
      <c r="R137" s="253"/>
      <c r="S137" s="252"/>
      <c r="T137" s="273"/>
    </row>
    <row r="138" spans="1:20">
      <c r="A138" s="355"/>
      <c r="B138" s="255"/>
      <c r="C138" s="355"/>
      <c r="D138" s="256"/>
      <c r="E138" s="257"/>
      <c r="F138" s="258"/>
      <c r="G138" s="258"/>
      <c r="H138" s="258"/>
      <c r="I138" s="259"/>
      <c r="J138" s="258"/>
      <c r="K138" s="248"/>
      <c r="L138" s="256"/>
      <c r="M138" s="257"/>
      <c r="N138" s="257"/>
      <c r="O138" s="258"/>
      <c r="P138" s="258"/>
      <c r="Q138" s="258"/>
      <c r="R138" s="259"/>
      <c r="S138" s="258"/>
      <c r="T138" s="272"/>
    </row>
    <row r="139" spans="1:20">
      <c r="A139" s="354"/>
      <c r="B139" s="249"/>
      <c r="C139" s="354"/>
      <c r="D139" s="250"/>
      <c r="E139" s="251"/>
      <c r="F139" s="252"/>
      <c r="G139" s="252"/>
      <c r="H139" s="252"/>
      <c r="I139" s="253"/>
      <c r="J139" s="252"/>
      <c r="K139" s="254"/>
      <c r="L139" s="250"/>
      <c r="M139" s="251"/>
      <c r="N139" s="251"/>
      <c r="O139" s="252"/>
      <c r="P139" s="252"/>
      <c r="Q139" s="252"/>
      <c r="R139" s="253"/>
      <c r="S139" s="252"/>
      <c r="T139" s="273"/>
    </row>
    <row r="140" spans="1:20">
      <c r="A140" s="355"/>
      <c r="B140" s="255"/>
      <c r="C140" s="355"/>
      <c r="D140" s="256"/>
      <c r="E140" s="257"/>
      <c r="F140" s="258"/>
      <c r="G140" s="258"/>
      <c r="H140" s="258"/>
      <c r="I140" s="259"/>
      <c r="J140" s="258"/>
      <c r="K140" s="248"/>
      <c r="L140" s="256"/>
      <c r="M140" s="257"/>
      <c r="N140" s="257"/>
      <c r="O140" s="258"/>
      <c r="P140" s="258"/>
      <c r="Q140" s="258"/>
      <c r="R140" s="259"/>
      <c r="S140" s="258"/>
      <c r="T140" s="272"/>
    </row>
    <row r="141" spans="1:20">
      <c r="A141" s="354"/>
      <c r="B141" s="249"/>
      <c r="C141" s="354"/>
      <c r="D141" s="250"/>
      <c r="E141" s="251"/>
      <c r="F141" s="252"/>
      <c r="G141" s="252"/>
      <c r="H141" s="252"/>
      <c r="I141" s="253"/>
      <c r="J141" s="252"/>
      <c r="K141" s="254"/>
      <c r="L141" s="250"/>
      <c r="M141" s="251"/>
      <c r="N141" s="251"/>
      <c r="O141" s="252"/>
      <c r="P141" s="252"/>
      <c r="Q141" s="252"/>
      <c r="R141" s="253"/>
      <c r="S141" s="252"/>
      <c r="T141" s="273"/>
    </row>
    <row r="142" spans="1:20">
      <c r="A142" s="355"/>
      <c r="B142" s="255"/>
      <c r="C142" s="355"/>
      <c r="D142" s="256"/>
      <c r="E142" s="257"/>
      <c r="F142" s="258"/>
      <c r="G142" s="258"/>
      <c r="H142" s="258"/>
      <c r="I142" s="259"/>
      <c r="J142" s="258"/>
      <c r="K142" s="248"/>
      <c r="L142" s="256"/>
      <c r="M142" s="257"/>
      <c r="N142" s="257"/>
      <c r="O142" s="258"/>
      <c r="P142" s="258"/>
      <c r="Q142" s="258"/>
      <c r="R142" s="259"/>
      <c r="S142" s="258"/>
      <c r="T142" s="272"/>
    </row>
    <row r="143" spans="1:20">
      <c r="A143" s="354"/>
      <c r="B143" s="249"/>
      <c r="C143" s="354"/>
      <c r="D143" s="250"/>
      <c r="E143" s="251"/>
      <c r="F143" s="252"/>
      <c r="G143" s="252"/>
      <c r="H143" s="252"/>
      <c r="I143" s="253"/>
      <c r="J143" s="252"/>
      <c r="K143" s="254"/>
      <c r="L143" s="250"/>
      <c r="M143" s="251"/>
      <c r="N143" s="251"/>
      <c r="O143" s="252"/>
      <c r="P143" s="252"/>
      <c r="Q143" s="252"/>
      <c r="R143" s="253"/>
      <c r="S143" s="252"/>
      <c r="T143" s="273"/>
    </row>
    <row r="144" spans="1:20">
      <c r="A144" s="355"/>
      <c r="B144" s="255"/>
      <c r="C144" s="355"/>
      <c r="D144" s="256"/>
      <c r="E144" s="257"/>
      <c r="F144" s="258"/>
      <c r="G144" s="258"/>
      <c r="H144" s="258"/>
      <c r="I144" s="259"/>
      <c r="J144" s="258"/>
      <c r="K144" s="248"/>
      <c r="L144" s="256"/>
      <c r="M144" s="257"/>
      <c r="N144" s="257"/>
      <c r="O144" s="258"/>
      <c r="P144" s="258"/>
      <c r="Q144" s="258"/>
      <c r="R144" s="259"/>
      <c r="S144" s="258"/>
      <c r="T144" s="272"/>
    </row>
    <row r="145" spans="1:20">
      <c r="A145" s="354"/>
      <c r="B145" s="249"/>
      <c r="C145" s="354"/>
      <c r="D145" s="250"/>
      <c r="E145" s="251"/>
      <c r="F145" s="252"/>
      <c r="G145" s="252"/>
      <c r="H145" s="252"/>
      <c r="I145" s="253"/>
      <c r="J145" s="252"/>
      <c r="K145" s="254"/>
      <c r="L145" s="250"/>
      <c r="M145" s="251"/>
      <c r="N145" s="251"/>
      <c r="O145" s="252"/>
      <c r="P145" s="252"/>
      <c r="Q145" s="252"/>
      <c r="R145" s="253"/>
      <c r="S145" s="252"/>
      <c r="T145" s="273"/>
    </row>
    <row r="146" spans="1:20">
      <c r="A146" s="355"/>
      <c r="B146" s="255"/>
      <c r="C146" s="355"/>
      <c r="D146" s="256"/>
      <c r="E146" s="257"/>
      <c r="F146" s="258"/>
      <c r="G146" s="258"/>
      <c r="H146" s="258"/>
      <c r="I146" s="259"/>
      <c r="J146" s="258"/>
      <c r="K146" s="248"/>
      <c r="L146" s="256"/>
      <c r="M146" s="257"/>
      <c r="N146" s="257"/>
      <c r="O146" s="258"/>
      <c r="P146" s="258"/>
      <c r="Q146" s="258"/>
      <c r="R146" s="259"/>
      <c r="S146" s="258"/>
      <c r="T146" s="272"/>
    </row>
    <row r="147" spans="1:20">
      <c r="A147" s="354"/>
      <c r="B147" s="249"/>
      <c r="C147" s="354"/>
      <c r="D147" s="250"/>
      <c r="E147" s="251"/>
      <c r="F147" s="252"/>
      <c r="G147" s="252"/>
      <c r="H147" s="252"/>
      <c r="I147" s="253"/>
      <c r="J147" s="252"/>
      <c r="K147" s="254"/>
      <c r="L147" s="250"/>
      <c r="M147" s="251"/>
      <c r="N147" s="251"/>
      <c r="O147" s="252"/>
      <c r="P147" s="252"/>
      <c r="Q147" s="252"/>
      <c r="R147" s="253"/>
      <c r="S147" s="252"/>
      <c r="T147" s="273"/>
    </row>
    <row r="148" spans="1:20">
      <c r="A148" s="355"/>
      <c r="B148" s="255"/>
      <c r="C148" s="355"/>
      <c r="D148" s="256"/>
      <c r="E148" s="257"/>
      <c r="F148" s="258"/>
      <c r="G148" s="258"/>
      <c r="H148" s="258"/>
      <c r="I148" s="259"/>
      <c r="J148" s="258"/>
      <c r="K148" s="248"/>
      <c r="L148" s="256"/>
      <c r="M148" s="257"/>
      <c r="N148" s="257"/>
      <c r="O148" s="258"/>
      <c r="P148" s="258"/>
      <c r="Q148" s="258"/>
      <c r="R148" s="259"/>
      <c r="S148" s="258"/>
      <c r="T148" s="272"/>
    </row>
    <row r="149" spans="1:20">
      <c r="A149" s="354"/>
      <c r="B149" s="249"/>
      <c r="C149" s="354"/>
      <c r="D149" s="250"/>
      <c r="E149" s="251"/>
      <c r="F149" s="252"/>
      <c r="G149" s="252"/>
      <c r="H149" s="252"/>
      <c r="I149" s="253"/>
      <c r="J149" s="252"/>
      <c r="K149" s="254"/>
      <c r="L149" s="250"/>
      <c r="M149" s="251"/>
      <c r="N149" s="251"/>
      <c r="O149" s="252"/>
      <c r="P149" s="252"/>
      <c r="Q149" s="252"/>
      <c r="R149" s="253"/>
      <c r="S149" s="252"/>
      <c r="T149" s="273"/>
    </row>
    <row r="150" spans="1:20">
      <c r="A150" s="355"/>
      <c r="B150" s="255"/>
      <c r="C150" s="355"/>
      <c r="D150" s="256"/>
      <c r="E150" s="257"/>
      <c r="F150" s="258"/>
      <c r="G150" s="258"/>
      <c r="H150" s="258"/>
      <c r="I150" s="259"/>
      <c r="J150" s="258"/>
      <c r="K150" s="248"/>
      <c r="L150" s="256"/>
      <c r="M150" s="257"/>
      <c r="N150" s="257"/>
      <c r="O150" s="258"/>
      <c r="P150" s="258"/>
      <c r="Q150" s="258"/>
      <c r="R150" s="259"/>
      <c r="S150" s="258"/>
      <c r="T150" s="272"/>
    </row>
    <row r="151" spans="1:20">
      <c r="A151" s="354"/>
      <c r="B151" s="249"/>
      <c r="C151" s="354"/>
      <c r="D151" s="250"/>
      <c r="E151" s="251"/>
      <c r="F151" s="252"/>
      <c r="G151" s="252"/>
      <c r="H151" s="252"/>
      <c r="I151" s="253"/>
      <c r="J151" s="252"/>
      <c r="K151" s="254"/>
      <c r="L151" s="250"/>
      <c r="M151" s="251"/>
      <c r="N151" s="251"/>
      <c r="O151" s="252"/>
      <c r="P151" s="252"/>
      <c r="Q151" s="252"/>
      <c r="R151" s="253"/>
      <c r="S151" s="252"/>
      <c r="T151" s="273"/>
    </row>
    <row r="152" spans="1:20">
      <c r="A152" s="355"/>
      <c r="B152" s="255"/>
      <c r="C152" s="355"/>
      <c r="D152" s="256"/>
      <c r="E152" s="257"/>
      <c r="F152" s="258"/>
      <c r="G152" s="258"/>
      <c r="H152" s="258"/>
      <c r="I152" s="259"/>
      <c r="J152" s="258"/>
      <c r="K152" s="248"/>
      <c r="L152" s="256"/>
      <c r="M152" s="257"/>
      <c r="N152" s="257"/>
      <c r="O152" s="258"/>
      <c r="P152" s="258"/>
      <c r="Q152" s="258"/>
      <c r="R152" s="259"/>
      <c r="S152" s="258"/>
      <c r="T152" s="272"/>
    </row>
    <row r="153" spans="1:20">
      <c r="A153" s="354"/>
      <c r="B153" s="249"/>
      <c r="C153" s="354"/>
      <c r="D153" s="250"/>
      <c r="E153" s="251"/>
      <c r="F153" s="252"/>
      <c r="G153" s="252"/>
      <c r="H153" s="252"/>
      <c r="I153" s="253"/>
      <c r="J153" s="252"/>
      <c r="K153" s="254"/>
      <c r="L153" s="250"/>
      <c r="M153" s="251"/>
      <c r="N153" s="251"/>
      <c r="O153" s="252"/>
      <c r="P153" s="252"/>
      <c r="Q153" s="252"/>
      <c r="R153" s="253"/>
      <c r="S153" s="252"/>
      <c r="T153" s="273"/>
    </row>
    <row r="154" spans="1:20">
      <c r="A154" s="355"/>
      <c r="B154" s="255"/>
      <c r="C154" s="355"/>
      <c r="D154" s="256"/>
      <c r="E154" s="257"/>
      <c r="F154" s="258"/>
      <c r="G154" s="258"/>
      <c r="H154" s="258"/>
      <c r="I154" s="259"/>
      <c r="J154" s="258"/>
      <c r="K154" s="248"/>
      <c r="L154" s="256"/>
      <c r="M154" s="257"/>
      <c r="N154" s="257"/>
      <c r="O154" s="258"/>
      <c r="P154" s="258"/>
      <c r="Q154" s="258"/>
      <c r="R154" s="259"/>
      <c r="S154" s="258"/>
      <c r="T154" s="272"/>
    </row>
    <row r="155" spans="1:20">
      <c r="A155" s="354"/>
      <c r="B155" s="249"/>
      <c r="C155" s="354"/>
      <c r="D155" s="250"/>
      <c r="E155" s="251"/>
      <c r="F155" s="252"/>
      <c r="G155" s="252"/>
      <c r="H155" s="252"/>
      <c r="I155" s="253"/>
      <c r="J155" s="252"/>
      <c r="K155" s="254"/>
      <c r="L155" s="250"/>
      <c r="M155" s="251"/>
      <c r="N155" s="251"/>
      <c r="O155" s="252"/>
      <c r="P155" s="252"/>
      <c r="Q155" s="252"/>
      <c r="R155" s="253"/>
      <c r="S155" s="252"/>
      <c r="T155" s="273"/>
    </row>
    <row r="156" spans="1:20">
      <c r="A156" s="355"/>
      <c r="B156" s="255"/>
      <c r="C156" s="355"/>
      <c r="D156" s="256"/>
      <c r="E156" s="257"/>
      <c r="F156" s="258"/>
      <c r="G156" s="258"/>
      <c r="H156" s="258"/>
      <c r="I156" s="259"/>
      <c r="J156" s="258"/>
      <c r="K156" s="248"/>
      <c r="L156" s="256"/>
      <c r="M156" s="257"/>
      <c r="N156" s="257"/>
      <c r="O156" s="258"/>
      <c r="P156" s="258"/>
      <c r="Q156" s="258"/>
      <c r="R156" s="259"/>
      <c r="S156" s="258"/>
      <c r="T156" s="272"/>
    </row>
    <row r="157" spans="1:20">
      <c r="A157" s="354"/>
      <c r="B157" s="249"/>
      <c r="C157" s="354"/>
      <c r="D157" s="250"/>
      <c r="E157" s="251"/>
      <c r="F157" s="252"/>
      <c r="G157" s="252"/>
      <c r="H157" s="252"/>
      <c r="I157" s="253"/>
      <c r="J157" s="252"/>
      <c r="K157" s="254"/>
      <c r="L157" s="250"/>
      <c r="M157" s="251"/>
      <c r="N157" s="251"/>
      <c r="O157" s="252"/>
      <c r="P157" s="252"/>
      <c r="Q157" s="252"/>
      <c r="R157" s="253"/>
      <c r="S157" s="252"/>
      <c r="T157" s="273"/>
    </row>
    <row r="158" spans="1:20">
      <c r="A158" s="355"/>
      <c r="B158" s="255"/>
      <c r="C158" s="355"/>
      <c r="D158" s="256"/>
      <c r="E158" s="257"/>
      <c r="F158" s="258"/>
      <c r="G158" s="258"/>
      <c r="H158" s="258"/>
      <c r="I158" s="259"/>
      <c r="J158" s="258"/>
      <c r="K158" s="248"/>
      <c r="L158" s="256"/>
      <c r="M158" s="257"/>
      <c r="N158" s="257"/>
      <c r="O158" s="258"/>
      <c r="P158" s="258"/>
      <c r="Q158" s="258"/>
      <c r="R158" s="259"/>
      <c r="S158" s="258"/>
      <c r="T158" s="272"/>
    </row>
    <row r="159" spans="1:20">
      <c r="A159" s="354"/>
      <c r="B159" s="249"/>
      <c r="C159" s="354"/>
      <c r="D159" s="250"/>
      <c r="E159" s="251"/>
      <c r="F159" s="252"/>
      <c r="G159" s="252"/>
      <c r="H159" s="252"/>
      <c r="I159" s="253"/>
      <c r="J159" s="252"/>
      <c r="K159" s="254"/>
      <c r="L159" s="250"/>
      <c r="M159" s="251"/>
      <c r="N159" s="251"/>
      <c r="O159" s="252"/>
      <c r="P159" s="252"/>
      <c r="Q159" s="252"/>
      <c r="R159" s="253"/>
      <c r="S159" s="252"/>
      <c r="T159" s="273"/>
    </row>
    <row r="160" spans="1:20">
      <c r="A160" s="355"/>
      <c r="B160" s="255"/>
      <c r="C160" s="355"/>
      <c r="D160" s="256"/>
      <c r="E160" s="257"/>
      <c r="F160" s="258"/>
      <c r="G160" s="258"/>
      <c r="H160" s="258"/>
      <c r="I160" s="259"/>
      <c r="J160" s="258"/>
      <c r="K160" s="248"/>
      <c r="L160" s="256"/>
      <c r="M160" s="257"/>
      <c r="N160" s="257"/>
      <c r="O160" s="258"/>
      <c r="P160" s="258"/>
      <c r="Q160" s="258"/>
      <c r="R160" s="259"/>
      <c r="S160" s="258"/>
      <c r="T160" s="272"/>
    </row>
    <row r="161" spans="1:20">
      <c r="A161" s="354"/>
      <c r="B161" s="249"/>
      <c r="C161" s="354"/>
      <c r="D161" s="250"/>
      <c r="E161" s="251"/>
      <c r="F161" s="252"/>
      <c r="G161" s="252"/>
      <c r="H161" s="252"/>
      <c r="I161" s="253"/>
      <c r="J161" s="252"/>
      <c r="K161" s="254"/>
      <c r="L161" s="250"/>
      <c r="M161" s="251"/>
      <c r="N161" s="251"/>
      <c r="O161" s="252"/>
      <c r="P161" s="252"/>
      <c r="Q161" s="252"/>
      <c r="R161" s="253"/>
      <c r="S161" s="252"/>
      <c r="T161" s="273"/>
    </row>
    <row r="162" spans="1:20">
      <c r="A162" s="355"/>
      <c r="B162" s="255"/>
      <c r="C162" s="355"/>
      <c r="D162" s="256"/>
      <c r="E162" s="257"/>
      <c r="F162" s="258"/>
      <c r="G162" s="258"/>
      <c r="H162" s="258"/>
      <c r="I162" s="259"/>
      <c r="J162" s="258"/>
      <c r="K162" s="248"/>
      <c r="L162" s="256"/>
      <c r="M162" s="257"/>
      <c r="N162" s="257"/>
      <c r="O162" s="258"/>
      <c r="P162" s="258"/>
      <c r="Q162" s="258"/>
      <c r="R162" s="259"/>
      <c r="S162" s="258"/>
      <c r="T162" s="272"/>
    </row>
    <row r="163" spans="1:20">
      <c r="A163" s="354"/>
      <c r="B163" s="249"/>
      <c r="C163" s="354"/>
      <c r="D163" s="250"/>
      <c r="E163" s="251"/>
      <c r="F163" s="252"/>
      <c r="G163" s="252"/>
      <c r="H163" s="252"/>
      <c r="I163" s="253"/>
      <c r="J163" s="252"/>
      <c r="K163" s="254"/>
      <c r="L163" s="250"/>
      <c r="M163" s="251"/>
      <c r="N163" s="251"/>
      <c r="O163" s="252"/>
      <c r="P163" s="252"/>
      <c r="Q163" s="252"/>
      <c r="R163" s="253"/>
      <c r="S163" s="252"/>
      <c r="T163" s="273"/>
    </row>
    <row r="164" spans="1:20">
      <c r="A164" s="355"/>
      <c r="B164" s="255"/>
      <c r="C164" s="355"/>
      <c r="D164" s="256"/>
      <c r="E164" s="257"/>
      <c r="F164" s="258"/>
      <c r="G164" s="258"/>
      <c r="H164" s="258"/>
      <c r="I164" s="259"/>
      <c r="J164" s="258"/>
      <c r="K164" s="248"/>
      <c r="L164" s="256"/>
      <c r="M164" s="257"/>
      <c r="N164" s="257"/>
      <c r="O164" s="258"/>
      <c r="P164" s="258"/>
      <c r="Q164" s="258"/>
      <c r="R164" s="259"/>
      <c r="S164" s="258"/>
      <c r="T164" s="272"/>
    </row>
    <row r="165" spans="1:20">
      <c r="A165" s="354"/>
      <c r="B165" s="249"/>
      <c r="C165" s="354"/>
      <c r="D165" s="250"/>
      <c r="E165" s="251"/>
      <c r="F165" s="252"/>
      <c r="G165" s="252"/>
      <c r="H165" s="252"/>
      <c r="I165" s="253"/>
      <c r="J165" s="252"/>
      <c r="K165" s="254"/>
      <c r="L165" s="250"/>
      <c r="M165" s="251"/>
      <c r="N165" s="251"/>
      <c r="O165" s="252"/>
      <c r="P165" s="252"/>
      <c r="Q165" s="252"/>
      <c r="R165" s="253"/>
      <c r="S165" s="252"/>
      <c r="T165" s="273"/>
    </row>
    <row r="166" spans="1:20">
      <c r="A166" s="355"/>
      <c r="B166" s="255"/>
      <c r="C166" s="355"/>
      <c r="D166" s="256"/>
      <c r="E166" s="257"/>
      <c r="F166" s="258"/>
      <c r="G166" s="258"/>
      <c r="H166" s="258"/>
      <c r="I166" s="259"/>
      <c r="J166" s="258"/>
      <c r="K166" s="248"/>
      <c r="L166" s="256"/>
      <c r="M166" s="257"/>
      <c r="N166" s="257"/>
      <c r="O166" s="258"/>
      <c r="P166" s="258"/>
      <c r="Q166" s="258"/>
      <c r="R166" s="259"/>
      <c r="S166" s="258"/>
      <c r="T166" s="272"/>
    </row>
    <row r="167" spans="1:20">
      <c r="A167" s="354"/>
      <c r="B167" s="249"/>
      <c r="C167" s="354"/>
      <c r="D167" s="250"/>
      <c r="E167" s="251"/>
      <c r="F167" s="252"/>
      <c r="G167" s="252"/>
      <c r="H167" s="252"/>
      <c r="I167" s="253"/>
      <c r="J167" s="252"/>
      <c r="K167" s="254"/>
      <c r="L167" s="250"/>
      <c r="M167" s="251"/>
      <c r="N167" s="251"/>
      <c r="O167" s="252"/>
      <c r="P167" s="252"/>
      <c r="Q167" s="252"/>
      <c r="R167" s="253"/>
      <c r="S167" s="252"/>
      <c r="T167" s="273"/>
    </row>
    <row r="168" spans="1:20">
      <c r="A168" s="355"/>
      <c r="B168" s="255"/>
      <c r="C168" s="355"/>
      <c r="D168" s="256"/>
      <c r="E168" s="257"/>
      <c r="F168" s="258"/>
      <c r="G168" s="258"/>
      <c r="H168" s="258"/>
      <c r="I168" s="259"/>
      <c r="J168" s="258"/>
      <c r="K168" s="248"/>
      <c r="L168" s="256"/>
      <c r="M168" s="257"/>
      <c r="N168" s="257"/>
      <c r="O168" s="258"/>
      <c r="P168" s="258"/>
      <c r="Q168" s="258"/>
      <c r="R168" s="259"/>
      <c r="S168" s="258"/>
      <c r="T168" s="272"/>
    </row>
    <row r="169" spans="1:20">
      <c r="A169" s="354"/>
      <c r="B169" s="249"/>
      <c r="C169" s="354"/>
      <c r="D169" s="250"/>
      <c r="E169" s="251"/>
      <c r="F169" s="252"/>
      <c r="G169" s="252"/>
      <c r="H169" s="252"/>
      <c r="I169" s="253"/>
      <c r="J169" s="252"/>
      <c r="K169" s="254"/>
      <c r="L169" s="250"/>
      <c r="M169" s="251"/>
      <c r="N169" s="251"/>
      <c r="O169" s="252"/>
      <c r="P169" s="252"/>
      <c r="Q169" s="252"/>
      <c r="R169" s="253"/>
      <c r="S169" s="252"/>
      <c r="T169" s="273"/>
    </row>
    <row r="170" spans="1:20">
      <c r="A170" s="355"/>
      <c r="B170" s="255"/>
      <c r="C170" s="355"/>
      <c r="D170" s="256"/>
      <c r="E170" s="257"/>
      <c r="F170" s="258"/>
      <c r="G170" s="258"/>
      <c r="H170" s="258"/>
      <c r="I170" s="259"/>
      <c r="J170" s="258"/>
      <c r="K170" s="248"/>
      <c r="L170" s="256"/>
      <c r="M170" s="257"/>
      <c r="N170" s="257"/>
      <c r="O170" s="258"/>
      <c r="P170" s="258"/>
      <c r="Q170" s="258"/>
      <c r="R170" s="259"/>
      <c r="S170" s="258"/>
      <c r="T170" s="272"/>
    </row>
    <row r="171" spans="1:20">
      <c r="A171" s="354"/>
      <c r="B171" s="249"/>
      <c r="C171" s="354"/>
      <c r="D171" s="250"/>
      <c r="E171" s="251"/>
      <c r="F171" s="252"/>
      <c r="G171" s="252"/>
      <c r="H171" s="252"/>
      <c r="I171" s="253"/>
      <c r="J171" s="252"/>
      <c r="K171" s="254"/>
      <c r="L171" s="250"/>
      <c r="M171" s="251"/>
      <c r="N171" s="251"/>
      <c r="O171" s="252"/>
      <c r="P171" s="252"/>
      <c r="Q171" s="252"/>
      <c r="R171" s="253"/>
      <c r="S171" s="252"/>
      <c r="T171" s="273"/>
    </row>
    <row r="172" spans="1:20">
      <c r="A172" s="355"/>
      <c r="B172" s="255"/>
      <c r="C172" s="355"/>
      <c r="D172" s="256"/>
      <c r="E172" s="257"/>
      <c r="F172" s="258"/>
      <c r="G172" s="258"/>
      <c r="H172" s="258"/>
      <c r="I172" s="259"/>
      <c r="J172" s="258"/>
      <c r="K172" s="248"/>
      <c r="L172" s="256"/>
      <c r="M172" s="257"/>
      <c r="N172" s="257"/>
      <c r="O172" s="258"/>
      <c r="P172" s="258"/>
      <c r="Q172" s="258"/>
      <c r="R172" s="259"/>
      <c r="S172" s="258"/>
      <c r="T172" s="272"/>
    </row>
    <row r="173" spans="1:20">
      <c r="A173" s="354"/>
      <c r="B173" s="249"/>
      <c r="C173" s="354"/>
      <c r="D173" s="250"/>
      <c r="E173" s="251"/>
      <c r="F173" s="252"/>
      <c r="G173" s="252"/>
      <c r="H173" s="252"/>
      <c r="I173" s="253"/>
      <c r="J173" s="252"/>
      <c r="K173" s="254"/>
      <c r="L173" s="250"/>
      <c r="M173" s="251"/>
      <c r="N173" s="251"/>
      <c r="O173" s="252"/>
      <c r="P173" s="252"/>
      <c r="Q173" s="252"/>
      <c r="R173" s="253"/>
      <c r="S173" s="252"/>
      <c r="T173" s="273"/>
    </row>
    <row r="174" spans="1:20">
      <c r="A174" s="355"/>
      <c r="B174" s="255"/>
      <c r="C174" s="355"/>
      <c r="D174" s="256"/>
      <c r="E174" s="257"/>
      <c r="F174" s="258"/>
      <c r="G174" s="258"/>
      <c r="H174" s="258"/>
      <c r="I174" s="259"/>
      <c r="J174" s="258"/>
      <c r="K174" s="248"/>
      <c r="L174" s="256"/>
      <c r="M174" s="257"/>
      <c r="N174" s="257"/>
      <c r="O174" s="258"/>
      <c r="P174" s="258"/>
      <c r="Q174" s="258"/>
      <c r="R174" s="259"/>
      <c r="S174" s="258"/>
      <c r="T174" s="272"/>
    </row>
    <row r="175" spans="1:20">
      <c r="A175" s="354"/>
      <c r="B175" s="249"/>
      <c r="C175" s="354"/>
      <c r="D175" s="250"/>
      <c r="E175" s="251"/>
      <c r="F175" s="252"/>
      <c r="G175" s="252"/>
      <c r="H175" s="252"/>
      <c r="I175" s="253"/>
      <c r="J175" s="252"/>
      <c r="K175" s="254"/>
      <c r="L175" s="250"/>
      <c r="M175" s="251"/>
      <c r="N175" s="251"/>
      <c r="O175" s="252"/>
      <c r="P175" s="252"/>
      <c r="Q175" s="252"/>
      <c r="R175" s="253"/>
      <c r="S175" s="252"/>
      <c r="T175" s="273"/>
    </row>
    <row r="176" spans="1:20">
      <c r="A176" s="355"/>
      <c r="B176" s="255"/>
      <c r="C176" s="355"/>
      <c r="D176" s="256"/>
      <c r="E176" s="257"/>
      <c r="F176" s="258"/>
      <c r="G176" s="258"/>
      <c r="H176" s="258"/>
      <c r="I176" s="259"/>
      <c r="J176" s="258"/>
      <c r="K176" s="248"/>
      <c r="L176" s="256"/>
      <c r="M176" s="257"/>
      <c r="N176" s="257"/>
      <c r="O176" s="258"/>
      <c r="P176" s="258"/>
      <c r="Q176" s="258"/>
      <c r="R176" s="259"/>
      <c r="S176" s="258"/>
      <c r="T176" s="272"/>
    </row>
    <row r="177" spans="1:20">
      <c r="A177" s="354"/>
      <c r="B177" s="249"/>
      <c r="C177" s="354"/>
      <c r="D177" s="250"/>
      <c r="E177" s="251"/>
      <c r="F177" s="252"/>
      <c r="G177" s="252"/>
      <c r="H177" s="252"/>
      <c r="I177" s="253"/>
      <c r="J177" s="252"/>
      <c r="K177" s="254"/>
      <c r="L177" s="250"/>
      <c r="M177" s="251"/>
      <c r="N177" s="251"/>
      <c r="O177" s="252"/>
      <c r="P177" s="252"/>
      <c r="Q177" s="252"/>
      <c r="R177" s="253"/>
      <c r="S177" s="252"/>
      <c r="T177" s="273"/>
    </row>
    <row r="178" spans="1:20">
      <c r="A178" s="355"/>
      <c r="B178" s="255"/>
      <c r="C178" s="355"/>
      <c r="D178" s="256"/>
      <c r="E178" s="257"/>
      <c r="F178" s="258"/>
      <c r="G178" s="258"/>
      <c r="H178" s="258"/>
      <c r="I178" s="259"/>
      <c r="J178" s="258"/>
      <c r="K178" s="248"/>
      <c r="L178" s="256"/>
      <c r="M178" s="257"/>
      <c r="N178" s="257"/>
      <c r="O178" s="258"/>
      <c r="P178" s="258"/>
      <c r="Q178" s="258"/>
      <c r="R178" s="259"/>
      <c r="S178" s="258"/>
      <c r="T178" s="272"/>
    </row>
    <row r="179" spans="1:20">
      <c r="A179" s="354"/>
      <c r="B179" s="249"/>
      <c r="C179" s="354"/>
      <c r="D179" s="250"/>
      <c r="E179" s="251"/>
      <c r="F179" s="252"/>
      <c r="G179" s="252"/>
      <c r="H179" s="252"/>
      <c r="I179" s="253"/>
      <c r="J179" s="252"/>
      <c r="K179" s="254"/>
      <c r="L179" s="250"/>
      <c r="M179" s="251"/>
      <c r="N179" s="251"/>
      <c r="O179" s="252"/>
      <c r="P179" s="252"/>
      <c r="Q179" s="252"/>
      <c r="R179" s="253"/>
      <c r="S179" s="252"/>
      <c r="T179" s="273"/>
    </row>
    <row r="180" spans="1:20">
      <c r="A180" s="355"/>
      <c r="B180" s="255"/>
      <c r="C180" s="355"/>
      <c r="D180" s="256"/>
      <c r="E180" s="257"/>
      <c r="F180" s="258"/>
      <c r="G180" s="258"/>
      <c r="H180" s="258"/>
      <c r="I180" s="259"/>
      <c r="J180" s="258"/>
      <c r="K180" s="248"/>
      <c r="L180" s="256"/>
      <c r="M180" s="257"/>
      <c r="N180" s="257"/>
      <c r="O180" s="258"/>
      <c r="P180" s="258"/>
      <c r="Q180" s="258"/>
      <c r="R180" s="259"/>
      <c r="S180" s="258"/>
      <c r="T180" s="272"/>
    </row>
    <row r="181" spans="1:20">
      <c r="A181" s="354"/>
      <c r="B181" s="249"/>
      <c r="C181" s="354"/>
      <c r="D181" s="250"/>
      <c r="E181" s="251"/>
      <c r="F181" s="252"/>
      <c r="G181" s="252"/>
      <c r="H181" s="252"/>
      <c r="I181" s="253"/>
      <c r="J181" s="252"/>
      <c r="K181" s="254"/>
      <c r="L181" s="250"/>
      <c r="M181" s="251"/>
      <c r="N181" s="251"/>
      <c r="O181" s="252"/>
      <c r="P181" s="252"/>
      <c r="Q181" s="252"/>
      <c r="R181" s="253"/>
      <c r="S181" s="252"/>
      <c r="T181" s="273"/>
    </row>
    <row r="182" spans="1:20">
      <c r="A182" s="355"/>
      <c r="B182" s="255"/>
      <c r="C182" s="355"/>
      <c r="D182" s="256"/>
      <c r="E182" s="257"/>
      <c r="F182" s="258"/>
      <c r="G182" s="258"/>
      <c r="H182" s="258"/>
      <c r="I182" s="259"/>
      <c r="J182" s="258"/>
      <c r="K182" s="248"/>
      <c r="L182" s="256"/>
      <c r="M182" s="257"/>
      <c r="N182" s="257"/>
      <c r="O182" s="258"/>
      <c r="P182" s="258"/>
      <c r="Q182" s="258"/>
      <c r="R182" s="259"/>
      <c r="S182" s="258"/>
      <c r="T182" s="272"/>
    </row>
    <row r="183" spans="1:20">
      <c r="A183" s="354"/>
      <c r="B183" s="249"/>
      <c r="C183" s="354"/>
      <c r="D183" s="250"/>
      <c r="E183" s="251"/>
      <c r="F183" s="252"/>
      <c r="G183" s="252"/>
      <c r="H183" s="252"/>
      <c r="I183" s="253"/>
      <c r="J183" s="252"/>
      <c r="K183" s="254"/>
      <c r="L183" s="250"/>
      <c r="M183" s="251"/>
      <c r="N183" s="251"/>
      <c r="O183" s="252"/>
      <c r="P183" s="252"/>
      <c r="Q183" s="252"/>
      <c r="R183" s="253"/>
      <c r="S183" s="252"/>
      <c r="T183" s="273"/>
    </row>
    <row r="184" spans="1:20">
      <c r="A184" s="355"/>
      <c r="B184" s="255"/>
      <c r="C184" s="355"/>
      <c r="D184" s="256"/>
      <c r="E184" s="257"/>
      <c r="F184" s="258"/>
      <c r="G184" s="258"/>
      <c r="H184" s="258"/>
      <c r="I184" s="259"/>
      <c r="J184" s="258"/>
      <c r="K184" s="248"/>
      <c r="L184" s="256"/>
      <c r="M184" s="257"/>
      <c r="N184" s="257"/>
      <c r="O184" s="258"/>
      <c r="P184" s="258"/>
      <c r="Q184" s="258"/>
      <c r="R184" s="259"/>
      <c r="S184" s="258"/>
      <c r="T184" s="272"/>
    </row>
    <row r="185" spans="1:20">
      <c r="A185" s="354"/>
      <c r="B185" s="249"/>
      <c r="C185" s="354"/>
      <c r="D185" s="250"/>
      <c r="E185" s="251"/>
      <c r="F185" s="252"/>
      <c r="G185" s="252"/>
      <c r="H185" s="252"/>
      <c r="I185" s="253"/>
      <c r="J185" s="252"/>
      <c r="K185" s="254"/>
      <c r="L185" s="250"/>
      <c r="M185" s="251"/>
      <c r="N185" s="251"/>
      <c r="O185" s="252"/>
      <c r="P185" s="252"/>
      <c r="Q185" s="252"/>
      <c r="R185" s="253"/>
      <c r="S185" s="252"/>
      <c r="T185" s="273"/>
    </row>
    <row r="186" spans="1:20">
      <c r="A186" s="355"/>
      <c r="B186" s="255"/>
      <c r="C186" s="355"/>
      <c r="D186" s="256"/>
      <c r="E186" s="257"/>
      <c r="F186" s="258"/>
      <c r="G186" s="258"/>
      <c r="H186" s="258"/>
      <c r="I186" s="259"/>
      <c r="J186" s="258"/>
      <c r="K186" s="248"/>
      <c r="L186" s="256"/>
      <c r="M186" s="257"/>
      <c r="N186" s="257"/>
      <c r="O186" s="258"/>
      <c r="P186" s="258"/>
      <c r="Q186" s="258"/>
      <c r="R186" s="259"/>
      <c r="S186" s="258"/>
      <c r="T186" s="272"/>
    </row>
    <row r="187" spans="1:20">
      <c r="A187" s="354"/>
      <c r="B187" s="249"/>
      <c r="C187" s="354"/>
      <c r="D187" s="250"/>
      <c r="E187" s="251"/>
      <c r="F187" s="252"/>
      <c r="G187" s="252"/>
      <c r="H187" s="252"/>
      <c r="I187" s="253"/>
      <c r="J187" s="252"/>
      <c r="K187" s="254"/>
      <c r="L187" s="250"/>
      <c r="M187" s="251"/>
      <c r="N187" s="251"/>
      <c r="O187" s="252"/>
      <c r="P187" s="252"/>
      <c r="Q187" s="252"/>
      <c r="R187" s="253"/>
      <c r="S187" s="252"/>
      <c r="T187" s="273"/>
    </row>
    <row r="188" spans="1:20">
      <c r="A188" s="355"/>
      <c r="B188" s="255"/>
      <c r="C188" s="355"/>
      <c r="D188" s="256"/>
      <c r="E188" s="257"/>
      <c r="F188" s="258"/>
      <c r="G188" s="258"/>
      <c r="H188" s="258"/>
      <c r="I188" s="259"/>
      <c r="J188" s="258"/>
      <c r="K188" s="248"/>
      <c r="L188" s="256"/>
      <c r="M188" s="257"/>
      <c r="N188" s="257"/>
      <c r="O188" s="258"/>
      <c r="P188" s="258"/>
      <c r="Q188" s="258"/>
      <c r="R188" s="259"/>
      <c r="S188" s="258"/>
      <c r="T188" s="272"/>
    </row>
    <row r="189" spans="1:20">
      <c r="A189" s="354"/>
      <c r="B189" s="249"/>
      <c r="C189" s="354"/>
      <c r="D189" s="250"/>
      <c r="E189" s="251"/>
      <c r="F189" s="252"/>
      <c r="G189" s="252"/>
      <c r="H189" s="252"/>
      <c r="I189" s="253"/>
      <c r="J189" s="252"/>
      <c r="K189" s="254"/>
      <c r="L189" s="250"/>
      <c r="M189" s="251"/>
      <c r="N189" s="251"/>
      <c r="O189" s="252"/>
      <c r="P189" s="252"/>
      <c r="Q189" s="252"/>
      <c r="R189" s="253"/>
      <c r="S189" s="252"/>
      <c r="T189" s="273"/>
    </row>
    <row r="190" spans="1:20">
      <c r="A190" s="355"/>
      <c r="B190" s="255"/>
      <c r="C190" s="355"/>
      <c r="D190" s="256"/>
      <c r="E190" s="257"/>
      <c r="F190" s="258"/>
      <c r="G190" s="258"/>
      <c r="H190" s="258"/>
      <c r="I190" s="259"/>
      <c r="J190" s="258"/>
      <c r="K190" s="248"/>
      <c r="L190" s="256"/>
      <c r="M190" s="257"/>
      <c r="N190" s="257"/>
      <c r="O190" s="258"/>
      <c r="P190" s="258"/>
      <c r="Q190" s="258"/>
      <c r="R190" s="259"/>
      <c r="S190" s="258"/>
      <c r="T190" s="272"/>
    </row>
    <row r="191" spans="1:20">
      <c r="A191" s="354"/>
      <c r="B191" s="249"/>
      <c r="C191" s="354"/>
      <c r="D191" s="250"/>
      <c r="E191" s="251"/>
      <c r="F191" s="252"/>
      <c r="G191" s="252"/>
      <c r="H191" s="252"/>
      <c r="I191" s="253"/>
      <c r="J191" s="252"/>
      <c r="K191" s="254"/>
      <c r="L191" s="250"/>
      <c r="M191" s="251"/>
      <c r="N191" s="251"/>
      <c r="O191" s="252"/>
      <c r="P191" s="252"/>
      <c r="Q191" s="252"/>
      <c r="R191" s="253"/>
      <c r="S191" s="252"/>
      <c r="T191" s="273"/>
    </row>
    <row r="192" spans="1:20">
      <c r="A192" s="355"/>
      <c r="B192" s="255"/>
      <c r="C192" s="355"/>
      <c r="D192" s="256"/>
      <c r="E192" s="257"/>
      <c r="F192" s="258"/>
      <c r="G192" s="258"/>
      <c r="H192" s="258"/>
      <c r="I192" s="259"/>
      <c r="J192" s="258"/>
      <c r="K192" s="248"/>
      <c r="L192" s="256"/>
      <c r="M192" s="257"/>
      <c r="N192" s="257"/>
      <c r="O192" s="258"/>
      <c r="P192" s="258"/>
      <c r="Q192" s="258"/>
      <c r="R192" s="259"/>
      <c r="S192" s="258"/>
      <c r="T192" s="272"/>
    </row>
    <row r="193" spans="1:20">
      <c r="A193" s="354"/>
      <c r="B193" s="249"/>
      <c r="C193" s="354"/>
      <c r="D193" s="250"/>
      <c r="E193" s="251"/>
      <c r="F193" s="252"/>
      <c r="G193" s="252"/>
      <c r="H193" s="252"/>
      <c r="I193" s="253"/>
      <c r="J193" s="252"/>
      <c r="K193" s="254"/>
      <c r="L193" s="250"/>
      <c r="M193" s="251"/>
      <c r="N193" s="251"/>
      <c r="O193" s="252"/>
      <c r="P193" s="252"/>
      <c r="Q193" s="252"/>
      <c r="R193" s="253"/>
      <c r="S193" s="252"/>
      <c r="T193" s="273"/>
    </row>
    <row r="194" spans="1:20">
      <c r="A194" s="355"/>
      <c r="B194" s="255"/>
      <c r="C194" s="355"/>
      <c r="D194" s="256"/>
      <c r="E194" s="257"/>
      <c r="F194" s="258"/>
      <c r="G194" s="258"/>
      <c r="H194" s="258"/>
      <c r="I194" s="259"/>
      <c r="J194" s="258"/>
      <c r="K194" s="248"/>
      <c r="L194" s="256"/>
      <c r="M194" s="257"/>
      <c r="N194" s="257"/>
      <c r="O194" s="258"/>
      <c r="P194" s="258"/>
      <c r="Q194" s="258"/>
      <c r="R194" s="259"/>
      <c r="S194" s="258"/>
      <c r="T194" s="272"/>
    </row>
    <row r="195" spans="1:20">
      <c r="A195" s="354"/>
      <c r="B195" s="249"/>
      <c r="C195" s="354"/>
      <c r="D195" s="250"/>
      <c r="E195" s="251"/>
      <c r="F195" s="252"/>
      <c r="G195" s="252"/>
      <c r="H195" s="252"/>
      <c r="I195" s="253"/>
      <c r="J195" s="252"/>
      <c r="K195" s="254"/>
      <c r="L195" s="250"/>
      <c r="M195" s="251"/>
      <c r="N195" s="251"/>
      <c r="O195" s="252"/>
      <c r="P195" s="252"/>
      <c r="Q195" s="252"/>
      <c r="R195" s="253"/>
      <c r="S195" s="252"/>
      <c r="T195" s="273"/>
    </row>
    <row r="196" spans="1:20">
      <c r="A196" s="355"/>
      <c r="B196" s="255"/>
      <c r="C196" s="355"/>
      <c r="D196" s="256"/>
      <c r="E196" s="257"/>
      <c r="F196" s="258"/>
      <c r="G196" s="258"/>
      <c r="H196" s="258"/>
      <c r="I196" s="259"/>
      <c r="J196" s="258"/>
      <c r="K196" s="248"/>
      <c r="L196" s="256"/>
      <c r="M196" s="257"/>
      <c r="N196" s="257"/>
      <c r="O196" s="258"/>
      <c r="P196" s="258"/>
      <c r="Q196" s="258"/>
      <c r="R196" s="259"/>
      <c r="S196" s="258"/>
      <c r="T196" s="272"/>
    </row>
    <row r="197" spans="1:20">
      <c r="A197" s="354"/>
      <c r="B197" s="249"/>
      <c r="C197" s="354"/>
      <c r="D197" s="250"/>
      <c r="E197" s="251"/>
      <c r="F197" s="252"/>
      <c r="G197" s="252"/>
      <c r="H197" s="252"/>
      <c r="I197" s="253"/>
      <c r="J197" s="252"/>
      <c r="K197" s="254"/>
      <c r="L197" s="250"/>
      <c r="M197" s="251"/>
      <c r="N197" s="251"/>
      <c r="O197" s="252"/>
      <c r="P197" s="252"/>
      <c r="Q197" s="252"/>
      <c r="R197" s="253"/>
      <c r="S197" s="252"/>
      <c r="T197" s="273"/>
    </row>
    <row r="198" spans="1:20">
      <c r="A198" s="355"/>
      <c r="B198" s="255"/>
      <c r="C198" s="355"/>
      <c r="D198" s="256"/>
      <c r="E198" s="257"/>
      <c r="F198" s="258"/>
      <c r="G198" s="258"/>
      <c r="H198" s="258"/>
      <c r="I198" s="259"/>
      <c r="J198" s="258"/>
      <c r="K198" s="248"/>
      <c r="L198" s="256"/>
      <c r="M198" s="257"/>
      <c r="N198" s="257"/>
      <c r="O198" s="258"/>
      <c r="P198" s="258"/>
      <c r="Q198" s="258"/>
      <c r="R198" s="259"/>
      <c r="S198" s="258"/>
      <c r="T198" s="272"/>
    </row>
    <row r="199" spans="1:20">
      <c r="A199" s="354"/>
      <c r="B199" s="249"/>
      <c r="C199" s="354"/>
      <c r="D199" s="250"/>
      <c r="E199" s="251"/>
      <c r="F199" s="252"/>
      <c r="G199" s="252"/>
      <c r="H199" s="252"/>
      <c r="I199" s="253"/>
      <c r="J199" s="252"/>
      <c r="K199" s="254"/>
      <c r="L199" s="250"/>
      <c r="M199" s="251"/>
      <c r="N199" s="251"/>
      <c r="O199" s="252"/>
      <c r="P199" s="252"/>
      <c r="Q199" s="252"/>
      <c r="R199" s="253"/>
      <c r="S199" s="252"/>
      <c r="T199" s="273"/>
    </row>
    <row r="200" spans="1:20">
      <c r="A200" s="355"/>
      <c r="B200" s="255"/>
      <c r="C200" s="355"/>
      <c r="D200" s="256"/>
      <c r="E200" s="257"/>
      <c r="F200" s="258"/>
      <c r="G200" s="258"/>
      <c r="H200" s="258"/>
      <c r="I200" s="259"/>
      <c r="J200" s="258"/>
      <c r="K200" s="248"/>
      <c r="L200" s="256"/>
      <c r="M200" s="257"/>
      <c r="N200" s="257"/>
      <c r="O200" s="258"/>
      <c r="P200" s="258"/>
      <c r="Q200" s="258"/>
      <c r="R200" s="259"/>
      <c r="S200" s="258"/>
      <c r="T200" s="272"/>
    </row>
    <row r="201" spans="1:20">
      <c r="A201" s="354"/>
      <c r="B201" s="249"/>
      <c r="C201" s="354"/>
      <c r="D201" s="250"/>
      <c r="E201" s="251"/>
      <c r="F201" s="252"/>
      <c r="G201" s="252"/>
      <c r="H201" s="252"/>
      <c r="I201" s="253"/>
      <c r="J201" s="252"/>
      <c r="K201" s="254"/>
      <c r="L201" s="250"/>
      <c r="M201" s="251"/>
      <c r="N201" s="251"/>
      <c r="O201" s="252"/>
      <c r="P201" s="252"/>
      <c r="Q201" s="252"/>
      <c r="R201" s="253"/>
      <c r="S201" s="252"/>
      <c r="T201" s="273"/>
    </row>
    <row r="202" spans="1:20">
      <c r="A202" s="355"/>
      <c r="B202" s="255"/>
      <c r="C202" s="355"/>
      <c r="D202" s="256"/>
      <c r="E202" s="257"/>
      <c r="F202" s="258"/>
      <c r="G202" s="258"/>
      <c r="H202" s="258"/>
      <c r="I202" s="259"/>
      <c r="J202" s="258"/>
      <c r="K202" s="248"/>
      <c r="L202" s="256"/>
      <c r="M202" s="257"/>
      <c r="N202" s="257"/>
      <c r="O202" s="258"/>
      <c r="P202" s="258"/>
      <c r="Q202" s="258"/>
      <c r="R202" s="259"/>
      <c r="S202" s="258"/>
      <c r="T202" s="272"/>
    </row>
    <row r="203" spans="1:20">
      <c r="A203" s="354"/>
      <c r="B203" s="249"/>
      <c r="C203" s="354"/>
      <c r="D203" s="250"/>
      <c r="E203" s="251"/>
      <c r="F203" s="252"/>
      <c r="G203" s="252"/>
      <c r="H203" s="252"/>
      <c r="I203" s="253"/>
      <c r="J203" s="252"/>
      <c r="K203" s="254"/>
      <c r="L203" s="250"/>
      <c r="M203" s="251"/>
      <c r="N203" s="251"/>
      <c r="O203" s="252"/>
      <c r="P203" s="252"/>
      <c r="Q203" s="252"/>
      <c r="R203" s="253"/>
      <c r="S203" s="252"/>
      <c r="T203" s="273"/>
    </row>
    <row r="204" spans="1:20">
      <c r="A204" s="355"/>
      <c r="B204" s="255"/>
      <c r="C204" s="355"/>
      <c r="D204" s="256"/>
      <c r="E204" s="257"/>
      <c r="F204" s="258"/>
      <c r="G204" s="258"/>
      <c r="H204" s="258"/>
      <c r="I204" s="259"/>
      <c r="J204" s="258"/>
      <c r="K204" s="248"/>
      <c r="L204" s="256"/>
      <c r="M204" s="257"/>
      <c r="N204" s="257"/>
      <c r="O204" s="258"/>
      <c r="P204" s="258"/>
      <c r="Q204" s="258"/>
      <c r="R204" s="259"/>
      <c r="S204" s="258"/>
      <c r="T204" s="272"/>
    </row>
    <row r="205" spans="1:20">
      <c r="A205" s="354"/>
      <c r="B205" s="249"/>
      <c r="C205" s="354"/>
      <c r="D205" s="250"/>
      <c r="E205" s="251"/>
      <c r="F205" s="252"/>
      <c r="G205" s="252"/>
      <c r="H205" s="252"/>
      <c r="I205" s="253"/>
      <c r="J205" s="252"/>
      <c r="K205" s="254"/>
      <c r="L205" s="250"/>
      <c r="M205" s="251"/>
      <c r="N205" s="251"/>
      <c r="O205" s="252"/>
      <c r="P205" s="252"/>
      <c r="Q205" s="252"/>
      <c r="R205" s="253"/>
      <c r="S205" s="252"/>
      <c r="T205" s="273"/>
    </row>
    <row r="206" spans="1:20">
      <c r="A206" s="355"/>
      <c r="B206" s="255"/>
      <c r="C206" s="355"/>
      <c r="D206" s="256"/>
      <c r="E206" s="257"/>
      <c r="F206" s="258"/>
      <c r="G206" s="258"/>
      <c r="H206" s="258"/>
      <c r="I206" s="259"/>
      <c r="J206" s="258"/>
      <c r="K206" s="248"/>
      <c r="L206" s="256"/>
      <c r="M206" s="257"/>
      <c r="N206" s="257"/>
      <c r="O206" s="258"/>
      <c r="P206" s="258"/>
      <c r="Q206" s="258"/>
      <c r="R206" s="259"/>
      <c r="S206" s="258"/>
      <c r="T206" s="272"/>
    </row>
    <row r="207" spans="1:20">
      <c r="A207" s="354"/>
      <c r="B207" s="249"/>
      <c r="C207" s="354"/>
      <c r="D207" s="250"/>
      <c r="E207" s="251"/>
      <c r="F207" s="252"/>
      <c r="G207" s="252"/>
      <c r="H207" s="252"/>
      <c r="I207" s="253"/>
      <c r="J207" s="252"/>
      <c r="K207" s="254"/>
      <c r="L207" s="250"/>
      <c r="M207" s="251"/>
      <c r="N207" s="251"/>
      <c r="O207" s="252"/>
      <c r="P207" s="252"/>
      <c r="Q207" s="252"/>
      <c r="R207" s="253"/>
      <c r="S207" s="252"/>
      <c r="T207" s="273"/>
    </row>
    <row r="208" spans="1:20">
      <c r="A208" s="355"/>
      <c r="B208" s="255"/>
      <c r="C208" s="355"/>
      <c r="D208" s="256"/>
      <c r="E208" s="257"/>
      <c r="F208" s="258"/>
      <c r="G208" s="258"/>
      <c r="H208" s="258"/>
      <c r="I208" s="259"/>
      <c r="J208" s="258"/>
      <c r="K208" s="248"/>
      <c r="L208" s="256"/>
      <c r="M208" s="257"/>
      <c r="N208" s="257"/>
      <c r="O208" s="258"/>
      <c r="P208" s="258"/>
      <c r="Q208" s="258"/>
      <c r="R208" s="259"/>
      <c r="S208" s="258"/>
      <c r="T208" s="272"/>
    </row>
    <row r="209" spans="1:20">
      <c r="A209" s="354"/>
      <c r="B209" s="249"/>
      <c r="C209" s="354"/>
      <c r="D209" s="250"/>
      <c r="E209" s="251"/>
      <c r="F209" s="252"/>
      <c r="G209" s="252"/>
      <c r="H209" s="252"/>
      <c r="I209" s="253"/>
      <c r="J209" s="252"/>
      <c r="K209" s="254"/>
      <c r="L209" s="250"/>
      <c r="M209" s="251"/>
      <c r="N209" s="251"/>
      <c r="O209" s="252"/>
      <c r="P209" s="252"/>
      <c r="Q209" s="252"/>
      <c r="R209" s="253"/>
      <c r="S209" s="252"/>
      <c r="T209" s="273"/>
    </row>
    <row r="210" spans="1:20">
      <c r="A210" s="355"/>
      <c r="B210" s="255"/>
      <c r="C210" s="355"/>
      <c r="D210" s="256"/>
      <c r="E210" s="257"/>
      <c r="F210" s="258"/>
      <c r="G210" s="258"/>
      <c r="H210" s="258"/>
      <c r="I210" s="259"/>
      <c r="J210" s="258"/>
      <c r="K210" s="248"/>
      <c r="L210" s="256"/>
      <c r="M210" s="257"/>
      <c r="N210" s="257"/>
      <c r="O210" s="258"/>
      <c r="P210" s="258"/>
      <c r="Q210" s="258"/>
      <c r="R210" s="259"/>
      <c r="S210" s="258"/>
      <c r="T210" s="272"/>
    </row>
    <row r="211" spans="1:20">
      <c r="A211" s="354"/>
      <c r="B211" s="249"/>
      <c r="C211" s="354"/>
      <c r="D211" s="250"/>
      <c r="E211" s="251"/>
      <c r="F211" s="252"/>
      <c r="G211" s="252"/>
      <c r="H211" s="252"/>
      <c r="I211" s="253"/>
      <c r="J211" s="252"/>
      <c r="K211" s="254"/>
      <c r="L211" s="250"/>
      <c r="M211" s="251"/>
      <c r="N211" s="251"/>
      <c r="O211" s="252"/>
      <c r="P211" s="252"/>
      <c r="Q211" s="252"/>
      <c r="R211" s="253"/>
      <c r="S211" s="252"/>
      <c r="T211" s="273"/>
    </row>
    <row r="212" spans="1:20">
      <c r="A212" s="355"/>
      <c r="B212" s="255"/>
      <c r="C212" s="355"/>
      <c r="D212" s="256"/>
      <c r="E212" s="257"/>
      <c r="F212" s="258"/>
      <c r="G212" s="258"/>
      <c r="H212" s="258"/>
      <c r="I212" s="259"/>
      <c r="J212" s="258"/>
      <c r="K212" s="248"/>
      <c r="L212" s="256"/>
      <c r="M212" s="257"/>
      <c r="N212" s="257"/>
      <c r="O212" s="258"/>
      <c r="P212" s="258"/>
      <c r="Q212" s="258"/>
      <c r="R212" s="259"/>
      <c r="S212" s="258"/>
      <c r="T212" s="272"/>
    </row>
    <row r="213" spans="1:20">
      <c r="A213" s="354"/>
      <c r="B213" s="249"/>
      <c r="C213" s="354"/>
      <c r="D213" s="250"/>
      <c r="E213" s="251"/>
      <c r="F213" s="252"/>
      <c r="G213" s="252"/>
      <c r="H213" s="252"/>
      <c r="I213" s="253"/>
      <c r="J213" s="252"/>
      <c r="K213" s="254"/>
      <c r="L213" s="250"/>
      <c r="M213" s="251"/>
      <c r="N213" s="251"/>
      <c r="O213" s="252"/>
      <c r="P213" s="252"/>
      <c r="Q213" s="252"/>
      <c r="R213" s="253"/>
      <c r="S213" s="252"/>
      <c r="T213" s="273"/>
    </row>
    <row r="214" spans="1:20">
      <c r="A214" s="355"/>
      <c r="B214" s="255"/>
      <c r="C214" s="355"/>
      <c r="D214" s="256"/>
      <c r="E214" s="257"/>
      <c r="F214" s="258"/>
      <c r="G214" s="258"/>
      <c r="H214" s="258"/>
      <c r="I214" s="259"/>
      <c r="J214" s="258"/>
      <c r="K214" s="248"/>
      <c r="L214" s="256"/>
      <c r="M214" s="257"/>
      <c r="N214" s="257"/>
      <c r="O214" s="258"/>
      <c r="P214" s="258"/>
      <c r="Q214" s="258"/>
      <c r="R214" s="259"/>
      <c r="S214" s="258"/>
      <c r="T214" s="272"/>
    </row>
    <row r="215" spans="1:20">
      <c r="A215" s="354"/>
      <c r="B215" s="249"/>
      <c r="C215" s="354"/>
      <c r="D215" s="250"/>
      <c r="E215" s="251"/>
      <c r="F215" s="252"/>
      <c r="G215" s="252"/>
      <c r="H215" s="252"/>
      <c r="I215" s="253"/>
      <c r="J215" s="252"/>
      <c r="K215" s="254"/>
      <c r="L215" s="250"/>
      <c r="M215" s="251"/>
      <c r="N215" s="251"/>
      <c r="O215" s="252"/>
      <c r="P215" s="252"/>
      <c r="Q215" s="252"/>
      <c r="R215" s="253"/>
      <c r="S215" s="252"/>
      <c r="T215" s="273"/>
    </row>
    <row r="216" spans="1:20">
      <c r="A216" s="355"/>
      <c r="B216" s="255"/>
      <c r="C216" s="355"/>
      <c r="D216" s="256"/>
      <c r="E216" s="257"/>
      <c r="F216" s="258"/>
      <c r="G216" s="258"/>
      <c r="H216" s="258"/>
      <c r="I216" s="259"/>
      <c r="J216" s="258"/>
      <c r="K216" s="248"/>
      <c r="L216" s="256"/>
      <c r="M216" s="257"/>
      <c r="N216" s="257"/>
      <c r="O216" s="258"/>
      <c r="P216" s="258"/>
      <c r="Q216" s="258"/>
      <c r="R216" s="259"/>
      <c r="S216" s="258"/>
      <c r="T216" s="272"/>
    </row>
    <row r="217" spans="1:20">
      <c r="A217" s="354"/>
      <c r="B217" s="249"/>
      <c r="C217" s="354"/>
      <c r="D217" s="250"/>
      <c r="E217" s="251"/>
      <c r="F217" s="252"/>
      <c r="G217" s="252"/>
      <c r="H217" s="252"/>
      <c r="I217" s="253"/>
      <c r="J217" s="252"/>
      <c r="K217" s="254"/>
      <c r="L217" s="250"/>
      <c r="M217" s="251"/>
      <c r="N217" s="251"/>
      <c r="O217" s="252"/>
      <c r="P217" s="252"/>
      <c r="Q217" s="252"/>
      <c r="R217" s="253"/>
      <c r="S217" s="252"/>
      <c r="T217" s="273"/>
    </row>
    <row r="218" spans="1:20">
      <c r="A218" s="355"/>
      <c r="B218" s="255"/>
      <c r="C218" s="355"/>
      <c r="D218" s="256"/>
      <c r="E218" s="257"/>
      <c r="F218" s="258"/>
      <c r="G218" s="258"/>
      <c r="H218" s="258"/>
      <c r="I218" s="259"/>
      <c r="J218" s="258"/>
      <c r="K218" s="248"/>
      <c r="L218" s="256"/>
      <c r="M218" s="257"/>
      <c r="N218" s="257"/>
      <c r="O218" s="258"/>
      <c r="P218" s="258"/>
      <c r="Q218" s="258"/>
      <c r="R218" s="259"/>
      <c r="S218" s="258"/>
      <c r="T218" s="272"/>
    </row>
    <row r="219" spans="1:20">
      <c r="A219" s="354"/>
      <c r="B219" s="249"/>
      <c r="C219" s="354"/>
      <c r="D219" s="250"/>
      <c r="E219" s="251"/>
      <c r="F219" s="252"/>
      <c r="G219" s="252"/>
      <c r="H219" s="252"/>
      <c r="I219" s="253"/>
      <c r="J219" s="252"/>
      <c r="K219" s="254"/>
      <c r="L219" s="250"/>
      <c r="M219" s="251"/>
      <c r="N219" s="251"/>
      <c r="O219" s="252"/>
      <c r="P219" s="252"/>
      <c r="Q219" s="252"/>
      <c r="R219" s="253"/>
      <c r="S219" s="252"/>
      <c r="T219" s="273"/>
    </row>
    <row r="220" spans="1:20">
      <c r="A220" s="355"/>
      <c r="B220" s="255"/>
      <c r="C220" s="355"/>
      <c r="D220" s="256"/>
      <c r="E220" s="257"/>
      <c r="F220" s="258"/>
      <c r="G220" s="258"/>
      <c r="H220" s="258"/>
      <c r="I220" s="259"/>
      <c r="J220" s="258"/>
      <c r="K220" s="248"/>
      <c r="L220" s="256"/>
      <c r="M220" s="257"/>
      <c r="N220" s="257"/>
      <c r="O220" s="258"/>
      <c r="P220" s="258"/>
      <c r="Q220" s="258"/>
      <c r="R220" s="259"/>
      <c r="S220" s="258"/>
      <c r="T220" s="272"/>
    </row>
    <row r="221" spans="1:20">
      <c r="A221" s="354"/>
      <c r="B221" s="249"/>
      <c r="C221" s="354"/>
      <c r="D221" s="250"/>
      <c r="E221" s="251"/>
      <c r="F221" s="252"/>
      <c r="G221" s="252"/>
      <c r="H221" s="252"/>
      <c r="I221" s="253"/>
      <c r="J221" s="252"/>
      <c r="K221" s="254"/>
      <c r="L221" s="250"/>
      <c r="M221" s="251"/>
      <c r="N221" s="251"/>
      <c r="O221" s="252"/>
      <c r="P221" s="252"/>
      <c r="Q221" s="252"/>
      <c r="R221" s="253"/>
      <c r="S221" s="252"/>
      <c r="T221" s="273"/>
    </row>
    <row r="222" spans="1:20">
      <c r="A222" s="355"/>
      <c r="B222" s="255"/>
      <c r="C222" s="355"/>
      <c r="D222" s="256"/>
      <c r="E222" s="257"/>
      <c r="F222" s="258"/>
      <c r="G222" s="258"/>
      <c r="H222" s="258"/>
      <c r="I222" s="259"/>
      <c r="J222" s="258"/>
      <c r="K222" s="248"/>
      <c r="L222" s="256"/>
      <c r="M222" s="257"/>
      <c r="N222" s="257"/>
      <c r="O222" s="258"/>
      <c r="P222" s="258"/>
      <c r="Q222" s="258"/>
      <c r="R222" s="259"/>
      <c r="S222" s="258"/>
      <c r="T222" s="272"/>
    </row>
    <row r="223" spans="1:20">
      <c r="A223" s="354"/>
      <c r="B223" s="249"/>
      <c r="C223" s="354"/>
      <c r="D223" s="250"/>
      <c r="E223" s="251"/>
      <c r="F223" s="252"/>
      <c r="G223" s="252"/>
      <c r="H223" s="252"/>
      <c r="I223" s="253"/>
      <c r="J223" s="252"/>
      <c r="K223" s="254"/>
      <c r="L223" s="250"/>
      <c r="M223" s="251"/>
      <c r="N223" s="251"/>
      <c r="O223" s="252"/>
      <c r="P223" s="252"/>
      <c r="Q223" s="252"/>
      <c r="R223" s="253"/>
      <c r="S223" s="252"/>
      <c r="T223" s="273"/>
    </row>
    <row r="224" spans="1:20">
      <c r="A224" s="355"/>
      <c r="B224" s="255"/>
      <c r="C224" s="355"/>
      <c r="D224" s="256"/>
      <c r="E224" s="257"/>
      <c r="F224" s="258"/>
      <c r="G224" s="258"/>
      <c r="H224" s="258"/>
      <c r="I224" s="259"/>
      <c r="J224" s="258"/>
      <c r="K224" s="248"/>
      <c r="L224" s="256"/>
      <c r="M224" s="257"/>
      <c r="N224" s="257"/>
      <c r="O224" s="258"/>
      <c r="P224" s="258"/>
      <c r="Q224" s="258"/>
      <c r="R224" s="259"/>
      <c r="S224" s="258"/>
      <c r="T224" s="272"/>
    </row>
    <row r="225" spans="1:20">
      <c r="A225" s="354"/>
      <c r="B225" s="249"/>
      <c r="C225" s="354"/>
      <c r="D225" s="250"/>
      <c r="E225" s="251"/>
      <c r="F225" s="252"/>
      <c r="G225" s="252"/>
      <c r="H225" s="252"/>
      <c r="I225" s="253"/>
      <c r="J225" s="252"/>
      <c r="K225" s="254"/>
      <c r="L225" s="250"/>
      <c r="M225" s="251"/>
      <c r="N225" s="251"/>
      <c r="O225" s="252"/>
      <c r="P225" s="252"/>
      <c r="Q225" s="252"/>
      <c r="R225" s="253"/>
      <c r="S225" s="252"/>
      <c r="T225" s="273"/>
    </row>
    <row r="226" spans="1:20">
      <c r="A226" s="355"/>
      <c r="B226" s="255"/>
      <c r="C226" s="355"/>
      <c r="D226" s="256"/>
      <c r="E226" s="257"/>
      <c r="F226" s="258"/>
      <c r="G226" s="258"/>
      <c r="H226" s="258"/>
      <c r="I226" s="259"/>
      <c r="J226" s="258"/>
      <c r="K226" s="248"/>
      <c r="L226" s="256"/>
      <c r="M226" s="257"/>
      <c r="N226" s="257"/>
      <c r="O226" s="258"/>
      <c r="P226" s="258"/>
      <c r="Q226" s="258"/>
      <c r="R226" s="259"/>
      <c r="S226" s="258"/>
      <c r="T226" s="272"/>
    </row>
    <row r="227" spans="1:20">
      <c r="A227" s="354"/>
      <c r="B227" s="249"/>
      <c r="C227" s="354"/>
      <c r="D227" s="250"/>
      <c r="E227" s="251"/>
      <c r="F227" s="252"/>
      <c r="G227" s="252"/>
      <c r="H227" s="252"/>
      <c r="I227" s="253"/>
      <c r="J227" s="252"/>
      <c r="K227" s="254"/>
      <c r="L227" s="250"/>
      <c r="M227" s="251"/>
      <c r="N227" s="251"/>
      <c r="O227" s="252"/>
      <c r="P227" s="252"/>
      <c r="Q227" s="252"/>
      <c r="R227" s="253"/>
      <c r="S227" s="252"/>
      <c r="T227" s="273"/>
    </row>
    <row r="228" spans="1:20">
      <c r="A228" s="355"/>
      <c r="B228" s="255"/>
      <c r="C228" s="355"/>
      <c r="D228" s="256"/>
      <c r="E228" s="257"/>
      <c r="F228" s="258"/>
      <c r="G228" s="258"/>
      <c r="H228" s="258"/>
      <c r="I228" s="259"/>
      <c r="J228" s="258"/>
      <c r="K228" s="248"/>
      <c r="L228" s="256"/>
      <c r="M228" s="257"/>
      <c r="N228" s="257"/>
      <c r="O228" s="258"/>
      <c r="P228" s="258"/>
      <c r="Q228" s="258"/>
      <c r="R228" s="259"/>
      <c r="S228" s="258"/>
      <c r="T228" s="272"/>
    </row>
    <row r="229" spans="1:20">
      <c r="A229" s="354"/>
      <c r="B229" s="249"/>
      <c r="C229" s="354"/>
      <c r="D229" s="250"/>
      <c r="E229" s="251"/>
      <c r="F229" s="252"/>
      <c r="G229" s="252"/>
      <c r="H229" s="252"/>
      <c r="I229" s="253"/>
      <c r="J229" s="252"/>
      <c r="K229" s="254"/>
      <c r="L229" s="250"/>
      <c r="M229" s="251"/>
      <c r="N229" s="251"/>
      <c r="O229" s="252"/>
      <c r="P229" s="252"/>
      <c r="Q229" s="252"/>
      <c r="R229" s="253"/>
      <c r="S229" s="252"/>
      <c r="T229" s="273"/>
    </row>
    <row r="230" spans="1:20">
      <c r="A230" s="355"/>
      <c r="B230" s="255"/>
      <c r="C230" s="355"/>
      <c r="D230" s="256"/>
      <c r="E230" s="257"/>
      <c r="F230" s="258"/>
      <c r="G230" s="258"/>
      <c r="H230" s="258"/>
      <c r="I230" s="259"/>
      <c r="J230" s="258"/>
      <c r="K230" s="248"/>
      <c r="L230" s="256"/>
      <c r="M230" s="257"/>
      <c r="N230" s="257"/>
      <c r="O230" s="258"/>
      <c r="P230" s="258"/>
      <c r="Q230" s="258"/>
      <c r="R230" s="259"/>
      <c r="S230" s="258"/>
      <c r="T230" s="272"/>
    </row>
    <row r="231" spans="1:20">
      <c r="A231" s="354"/>
      <c r="B231" s="249"/>
      <c r="C231" s="354"/>
      <c r="D231" s="250"/>
      <c r="E231" s="251"/>
      <c r="F231" s="252"/>
      <c r="G231" s="252"/>
      <c r="H231" s="252"/>
      <c r="I231" s="253"/>
      <c r="J231" s="252"/>
      <c r="K231" s="254"/>
      <c r="L231" s="250"/>
      <c r="M231" s="251"/>
      <c r="N231" s="251"/>
      <c r="O231" s="252"/>
      <c r="P231" s="252"/>
      <c r="Q231" s="252"/>
      <c r="R231" s="253"/>
      <c r="S231" s="252"/>
      <c r="T231" s="273"/>
    </row>
    <row r="232" spans="1:20">
      <c r="A232" s="355"/>
      <c r="B232" s="255"/>
      <c r="C232" s="355"/>
      <c r="D232" s="256"/>
      <c r="E232" s="257"/>
      <c r="F232" s="258"/>
      <c r="G232" s="258"/>
      <c r="H232" s="258"/>
      <c r="I232" s="259"/>
      <c r="J232" s="258"/>
      <c r="K232" s="248"/>
      <c r="L232" s="256"/>
      <c r="M232" s="257"/>
      <c r="N232" s="257"/>
      <c r="O232" s="258"/>
      <c r="P232" s="258"/>
      <c r="Q232" s="258"/>
      <c r="R232" s="259"/>
      <c r="S232" s="258"/>
      <c r="T232" s="272"/>
    </row>
    <row r="233" spans="1:20">
      <c r="A233" s="354"/>
      <c r="B233" s="249"/>
      <c r="C233" s="354"/>
      <c r="D233" s="250"/>
      <c r="E233" s="251"/>
      <c r="F233" s="252"/>
      <c r="G233" s="252"/>
      <c r="H233" s="252"/>
      <c r="I233" s="253"/>
      <c r="J233" s="252"/>
      <c r="K233" s="254"/>
      <c r="L233" s="250"/>
      <c r="M233" s="251"/>
      <c r="N233" s="251"/>
      <c r="O233" s="252"/>
      <c r="P233" s="252"/>
      <c r="Q233" s="252"/>
      <c r="R233" s="253"/>
      <c r="S233" s="252"/>
      <c r="T233" s="273"/>
    </row>
    <row r="234" spans="1:20">
      <c r="A234" s="355"/>
      <c r="B234" s="255"/>
      <c r="C234" s="355"/>
      <c r="D234" s="256"/>
      <c r="E234" s="257"/>
      <c r="F234" s="258"/>
      <c r="G234" s="258"/>
      <c r="H234" s="258"/>
      <c r="I234" s="259"/>
      <c r="J234" s="258"/>
      <c r="K234" s="248"/>
      <c r="L234" s="256"/>
      <c r="M234" s="257"/>
      <c r="N234" s="257"/>
      <c r="O234" s="258"/>
      <c r="P234" s="258"/>
      <c r="Q234" s="258"/>
      <c r="R234" s="259"/>
      <c r="S234" s="258"/>
      <c r="T234" s="272"/>
    </row>
    <row r="235" spans="1:20">
      <c r="A235" s="354"/>
      <c r="B235" s="249"/>
      <c r="C235" s="354"/>
      <c r="D235" s="250"/>
      <c r="E235" s="251"/>
      <c r="F235" s="252"/>
      <c r="G235" s="252"/>
      <c r="H235" s="252"/>
      <c r="I235" s="253"/>
      <c r="J235" s="252"/>
      <c r="K235" s="254"/>
      <c r="L235" s="250"/>
      <c r="M235" s="251"/>
      <c r="N235" s="251"/>
      <c r="O235" s="252"/>
      <c r="P235" s="252"/>
      <c r="Q235" s="252"/>
      <c r="R235" s="253"/>
      <c r="S235" s="252"/>
      <c r="T235" s="273"/>
    </row>
    <row r="236" spans="1:20">
      <c r="A236" s="355"/>
      <c r="B236" s="255"/>
      <c r="C236" s="355"/>
      <c r="D236" s="256"/>
      <c r="E236" s="257"/>
      <c r="F236" s="258"/>
      <c r="G236" s="258"/>
      <c r="H236" s="258"/>
      <c r="I236" s="259"/>
      <c r="J236" s="258"/>
      <c r="K236" s="248"/>
      <c r="L236" s="256"/>
      <c r="M236" s="257"/>
      <c r="N236" s="257"/>
      <c r="O236" s="258"/>
      <c r="P236" s="258"/>
      <c r="Q236" s="258"/>
      <c r="R236" s="259"/>
      <c r="S236" s="258"/>
      <c r="T236" s="272"/>
    </row>
    <row r="237" spans="1:20">
      <c r="A237" s="354"/>
      <c r="B237" s="249"/>
      <c r="C237" s="354"/>
      <c r="D237" s="250"/>
      <c r="E237" s="251"/>
      <c r="F237" s="252"/>
      <c r="G237" s="252"/>
      <c r="H237" s="252"/>
      <c r="I237" s="253"/>
      <c r="J237" s="252"/>
      <c r="K237" s="254"/>
      <c r="L237" s="250"/>
      <c r="M237" s="251"/>
      <c r="N237" s="251"/>
      <c r="O237" s="252"/>
      <c r="P237" s="252"/>
      <c r="Q237" s="252"/>
      <c r="R237" s="253"/>
      <c r="S237" s="252"/>
      <c r="T237" s="273"/>
    </row>
    <row r="238" spans="1:20">
      <c r="A238" s="355"/>
      <c r="B238" s="255"/>
      <c r="C238" s="355"/>
      <c r="D238" s="256"/>
      <c r="E238" s="257"/>
      <c r="F238" s="258"/>
      <c r="G238" s="258"/>
      <c r="H238" s="258"/>
      <c r="I238" s="259"/>
      <c r="J238" s="258"/>
      <c r="K238" s="248"/>
      <c r="L238" s="256"/>
      <c r="M238" s="257"/>
      <c r="N238" s="257"/>
      <c r="O238" s="258"/>
      <c r="P238" s="258"/>
      <c r="Q238" s="258"/>
      <c r="R238" s="259"/>
      <c r="S238" s="258"/>
      <c r="T238" s="272"/>
    </row>
    <row r="239" spans="1:20">
      <c r="A239" s="354"/>
      <c r="B239" s="249"/>
      <c r="C239" s="354"/>
      <c r="D239" s="250"/>
      <c r="E239" s="251"/>
      <c r="F239" s="252"/>
      <c r="G239" s="252"/>
      <c r="H239" s="252"/>
      <c r="I239" s="253"/>
      <c r="J239" s="252"/>
      <c r="K239" s="254"/>
      <c r="L239" s="250"/>
      <c r="M239" s="251"/>
      <c r="N239" s="251"/>
      <c r="O239" s="252"/>
      <c r="P239" s="252"/>
      <c r="Q239" s="252"/>
      <c r="R239" s="253"/>
      <c r="S239" s="252"/>
      <c r="T239" s="273"/>
    </row>
    <row r="240" spans="1:20">
      <c r="A240" s="355"/>
      <c r="B240" s="255"/>
      <c r="C240" s="355"/>
      <c r="D240" s="256"/>
      <c r="E240" s="257"/>
      <c r="F240" s="258"/>
      <c r="G240" s="258"/>
      <c r="H240" s="258"/>
      <c r="I240" s="259"/>
      <c r="J240" s="258"/>
      <c r="K240" s="248"/>
      <c r="L240" s="256"/>
      <c r="M240" s="257"/>
      <c r="N240" s="257"/>
      <c r="O240" s="258"/>
      <c r="P240" s="258"/>
      <c r="Q240" s="258"/>
      <c r="R240" s="259"/>
      <c r="S240" s="258"/>
      <c r="T240" s="272"/>
    </row>
    <row r="241" spans="1:20">
      <c r="A241" s="354"/>
      <c r="B241" s="249"/>
      <c r="C241" s="354"/>
      <c r="D241" s="250"/>
      <c r="E241" s="251"/>
      <c r="F241" s="252"/>
      <c r="G241" s="252"/>
      <c r="H241" s="252"/>
      <c r="I241" s="253"/>
      <c r="J241" s="252"/>
      <c r="K241" s="254"/>
      <c r="L241" s="250"/>
      <c r="M241" s="251"/>
      <c r="N241" s="251"/>
      <c r="O241" s="252"/>
      <c r="P241" s="252"/>
      <c r="Q241" s="252"/>
      <c r="R241" s="253"/>
      <c r="S241" s="252"/>
      <c r="T241" s="273"/>
    </row>
    <row r="242" spans="1:20">
      <c r="A242" s="355"/>
      <c r="B242" s="255"/>
      <c r="C242" s="355"/>
      <c r="D242" s="256"/>
      <c r="E242" s="257"/>
      <c r="F242" s="258"/>
      <c r="G242" s="258"/>
      <c r="H242" s="258"/>
      <c r="I242" s="259"/>
      <c r="J242" s="258"/>
      <c r="K242" s="248"/>
      <c r="L242" s="256"/>
      <c r="M242" s="257"/>
      <c r="N242" s="257"/>
      <c r="O242" s="258"/>
      <c r="P242" s="258"/>
      <c r="Q242" s="258"/>
      <c r="R242" s="259"/>
      <c r="S242" s="258"/>
      <c r="T242" s="272"/>
    </row>
    <row r="243" spans="1:20">
      <c r="A243" s="354"/>
      <c r="B243" s="249"/>
      <c r="C243" s="354"/>
      <c r="D243" s="250"/>
      <c r="E243" s="251"/>
      <c r="F243" s="252"/>
      <c r="G243" s="252"/>
      <c r="H243" s="252"/>
      <c r="I243" s="253"/>
      <c r="J243" s="252"/>
      <c r="K243" s="254"/>
      <c r="L243" s="250"/>
      <c r="M243" s="251"/>
      <c r="N243" s="251"/>
      <c r="O243" s="252"/>
      <c r="P243" s="252"/>
      <c r="Q243" s="252"/>
      <c r="R243" s="253"/>
      <c r="S243" s="252"/>
      <c r="T243" s="273"/>
    </row>
    <row r="244" spans="1:20">
      <c r="A244" s="355"/>
      <c r="B244" s="255"/>
      <c r="C244" s="355"/>
      <c r="D244" s="256"/>
      <c r="E244" s="257"/>
      <c r="F244" s="258"/>
      <c r="G244" s="258"/>
      <c r="H244" s="258"/>
      <c r="I244" s="259"/>
      <c r="J244" s="258"/>
      <c r="K244" s="248"/>
      <c r="L244" s="256"/>
      <c r="M244" s="257"/>
      <c r="N244" s="257"/>
      <c r="O244" s="258"/>
      <c r="P244" s="258"/>
      <c r="Q244" s="258"/>
      <c r="R244" s="259"/>
      <c r="S244" s="258"/>
      <c r="T244" s="272"/>
    </row>
    <row r="245" spans="1:20">
      <c r="A245" s="354"/>
      <c r="B245" s="249"/>
      <c r="C245" s="354"/>
      <c r="D245" s="250"/>
      <c r="E245" s="251"/>
      <c r="F245" s="252"/>
      <c r="G245" s="252"/>
      <c r="H245" s="252"/>
      <c r="I245" s="253"/>
      <c r="J245" s="252"/>
      <c r="K245" s="254"/>
      <c r="L245" s="250"/>
      <c r="M245" s="251"/>
      <c r="N245" s="251"/>
      <c r="O245" s="252"/>
      <c r="P245" s="252"/>
      <c r="Q245" s="252"/>
      <c r="R245" s="253"/>
      <c r="S245" s="252"/>
      <c r="T245" s="273"/>
    </row>
    <row r="246" spans="1:20">
      <c r="A246" s="355"/>
      <c r="B246" s="255"/>
      <c r="C246" s="355"/>
      <c r="D246" s="256"/>
      <c r="E246" s="257"/>
      <c r="F246" s="258"/>
      <c r="G246" s="258"/>
      <c r="H246" s="258"/>
      <c r="I246" s="259"/>
      <c r="J246" s="258"/>
      <c r="K246" s="248"/>
      <c r="L246" s="256"/>
      <c r="M246" s="257"/>
      <c r="N246" s="257"/>
      <c r="O246" s="258"/>
      <c r="P246" s="258"/>
      <c r="Q246" s="258"/>
      <c r="R246" s="259"/>
      <c r="S246" s="258"/>
      <c r="T246" s="272"/>
    </row>
    <row r="247" spans="1:20">
      <c r="A247" s="354"/>
      <c r="B247" s="249"/>
      <c r="C247" s="354"/>
      <c r="D247" s="250"/>
      <c r="E247" s="251"/>
      <c r="F247" s="252"/>
      <c r="G247" s="252"/>
      <c r="H247" s="252"/>
      <c r="I247" s="253"/>
      <c r="J247" s="252"/>
      <c r="K247" s="254"/>
      <c r="L247" s="250"/>
      <c r="M247" s="251"/>
      <c r="N247" s="251"/>
      <c r="O247" s="252"/>
      <c r="P247" s="252"/>
      <c r="Q247" s="252"/>
      <c r="R247" s="253"/>
      <c r="S247" s="252"/>
      <c r="T247" s="273"/>
    </row>
    <row r="248" spans="1:20">
      <c r="A248" s="355"/>
      <c r="B248" s="255"/>
      <c r="C248" s="355"/>
      <c r="D248" s="256"/>
      <c r="E248" s="257"/>
      <c r="F248" s="258"/>
      <c r="G248" s="258"/>
      <c r="H248" s="258"/>
      <c r="I248" s="259"/>
      <c r="J248" s="258"/>
      <c r="K248" s="248"/>
      <c r="L248" s="256"/>
      <c r="M248" s="257"/>
      <c r="N248" s="257"/>
      <c r="O248" s="258"/>
      <c r="P248" s="258"/>
      <c r="Q248" s="258"/>
      <c r="R248" s="259"/>
      <c r="S248" s="258"/>
      <c r="T248" s="272"/>
    </row>
    <row r="249" spans="1:20">
      <c r="A249" s="354"/>
      <c r="B249" s="249"/>
      <c r="C249" s="354"/>
      <c r="D249" s="250"/>
      <c r="E249" s="251"/>
      <c r="F249" s="252"/>
      <c r="G249" s="252"/>
      <c r="H249" s="252"/>
      <c r="I249" s="253"/>
      <c r="J249" s="252"/>
      <c r="K249" s="254"/>
      <c r="L249" s="250"/>
      <c r="M249" s="251"/>
      <c r="N249" s="251"/>
      <c r="O249" s="252"/>
      <c r="P249" s="252"/>
      <c r="Q249" s="252"/>
      <c r="R249" s="253"/>
      <c r="S249" s="252"/>
      <c r="T249" s="273"/>
    </row>
    <row r="250" spans="1:20">
      <c r="A250" s="355"/>
      <c r="B250" s="255"/>
      <c r="C250" s="355"/>
      <c r="D250" s="256"/>
      <c r="E250" s="257"/>
      <c r="F250" s="258"/>
      <c r="G250" s="258"/>
      <c r="H250" s="258"/>
      <c r="I250" s="259"/>
      <c r="J250" s="258"/>
      <c r="K250" s="248"/>
      <c r="L250" s="256"/>
      <c r="M250" s="257"/>
      <c r="N250" s="257"/>
      <c r="O250" s="258"/>
      <c r="P250" s="258"/>
      <c r="Q250" s="258"/>
      <c r="R250" s="259"/>
      <c r="S250" s="258"/>
      <c r="T250" s="272"/>
    </row>
    <row r="251" spans="1:20">
      <c r="A251" s="354"/>
      <c r="B251" s="249"/>
      <c r="C251" s="354"/>
      <c r="D251" s="250"/>
      <c r="E251" s="251"/>
      <c r="F251" s="252"/>
      <c r="G251" s="252"/>
      <c r="H251" s="252"/>
      <c r="I251" s="253"/>
      <c r="J251" s="252"/>
      <c r="K251" s="254"/>
      <c r="L251" s="250"/>
      <c r="M251" s="251"/>
      <c r="N251" s="251"/>
      <c r="O251" s="252"/>
      <c r="P251" s="252"/>
      <c r="Q251" s="252"/>
      <c r="R251" s="253"/>
      <c r="S251" s="252"/>
      <c r="T251" s="273"/>
    </row>
    <row r="252" spans="1:20">
      <c r="A252" s="355"/>
      <c r="B252" s="255"/>
      <c r="C252" s="355"/>
      <c r="D252" s="256"/>
      <c r="E252" s="257"/>
      <c r="F252" s="258"/>
      <c r="G252" s="258"/>
      <c r="H252" s="258"/>
      <c r="I252" s="259"/>
      <c r="J252" s="258"/>
      <c r="K252" s="248"/>
      <c r="L252" s="256"/>
      <c r="M252" s="257"/>
      <c r="N252" s="257"/>
      <c r="O252" s="258"/>
      <c r="P252" s="258"/>
      <c r="Q252" s="258"/>
      <c r="R252" s="259"/>
      <c r="S252" s="258"/>
      <c r="T252" s="272"/>
    </row>
    <row r="253" spans="1:20">
      <c r="A253" s="354"/>
      <c r="B253" s="249"/>
      <c r="C253" s="354"/>
      <c r="D253" s="250"/>
      <c r="E253" s="251"/>
      <c r="F253" s="252"/>
      <c r="G253" s="252"/>
      <c r="H253" s="252"/>
      <c r="I253" s="253"/>
      <c r="J253" s="252"/>
      <c r="K253" s="254"/>
      <c r="L253" s="250"/>
      <c r="M253" s="251"/>
      <c r="N253" s="251"/>
      <c r="O253" s="252"/>
      <c r="P253" s="252"/>
      <c r="Q253" s="252"/>
      <c r="R253" s="253"/>
      <c r="S253" s="252"/>
      <c r="T253" s="273"/>
    </row>
    <row r="254" spans="1:20">
      <c r="A254" s="355"/>
      <c r="B254" s="255"/>
      <c r="C254" s="355"/>
      <c r="D254" s="256"/>
      <c r="E254" s="257"/>
      <c r="F254" s="258"/>
      <c r="G254" s="258"/>
      <c r="H254" s="258"/>
      <c r="I254" s="259"/>
      <c r="J254" s="258"/>
      <c r="K254" s="248"/>
      <c r="L254" s="256"/>
      <c r="M254" s="257"/>
      <c r="N254" s="257"/>
      <c r="O254" s="258"/>
      <c r="P254" s="258"/>
      <c r="Q254" s="258"/>
      <c r="R254" s="259"/>
      <c r="S254" s="258"/>
      <c r="T254" s="272"/>
    </row>
    <row r="255" spans="1:20">
      <c r="A255" s="354"/>
      <c r="B255" s="249"/>
      <c r="C255" s="354"/>
      <c r="D255" s="250"/>
      <c r="E255" s="251"/>
      <c r="F255" s="252"/>
      <c r="G255" s="252"/>
      <c r="H255" s="252"/>
      <c r="I255" s="253"/>
      <c r="J255" s="252"/>
      <c r="K255" s="254"/>
      <c r="L255" s="250"/>
      <c r="M255" s="251"/>
      <c r="N255" s="251"/>
      <c r="O255" s="252"/>
      <c r="P255" s="252"/>
      <c r="Q255" s="252"/>
      <c r="R255" s="253"/>
      <c r="S255" s="252"/>
      <c r="T255" s="273"/>
    </row>
    <row r="256" spans="1:20">
      <c r="A256" s="355"/>
      <c r="B256" s="255"/>
      <c r="C256" s="355"/>
      <c r="D256" s="256"/>
      <c r="E256" s="257"/>
      <c r="F256" s="258"/>
      <c r="G256" s="258"/>
      <c r="H256" s="258"/>
      <c r="I256" s="259"/>
      <c r="J256" s="258"/>
      <c r="K256" s="248"/>
      <c r="L256" s="256"/>
      <c r="M256" s="257"/>
      <c r="N256" s="257"/>
      <c r="O256" s="258"/>
      <c r="P256" s="258"/>
      <c r="Q256" s="258"/>
      <c r="R256" s="259"/>
      <c r="S256" s="258"/>
      <c r="T256" s="272"/>
    </row>
    <row r="257" spans="1:20">
      <c r="A257" s="354"/>
      <c r="B257" s="249"/>
      <c r="C257" s="354"/>
      <c r="D257" s="250"/>
      <c r="E257" s="251"/>
      <c r="F257" s="252"/>
      <c r="G257" s="252"/>
      <c r="H257" s="252"/>
      <c r="I257" s="253"/>
      <c r="J257" s="252"/>
      <c r="K257" s="254"/>
      <c r="L257" s="250"/>
      <c r="M257" s="251"/>
      <c r="N257" s="251"/>
      <c r="O257" s="252"/>
      <c r="P257" s="252"/>
      <c r="Q257" s="252"/>
      <c r="R257" s="253"/>
      <c r="S257" s="252"/>
      <c r="T257" s="273"/>
    </row>
    <row r="258" spans="1:20">
      <c r="A258" s="355"/>
      <c r="B258" s="255"/>
      <c r="C258" s="355"/>
      <c r="D258" s="256"/>
      <c r="E258" s="257"/>
      <c r="F258" s="258"/>
      <c r="G258" s="258"/>
      <c r="H258" s="258"/>
      <c r="I258" s="259"/>
      <c r="J258" s="258"/>
      <c r="K258" s="248"/>
      <c r="L258" s="256"/>
      <c r="M258" s="257"/>
      <c r="N258" s="257"/>
      <c r="O258" s="258"/>
      <c r="P258" s="258"/>
      <c r="Q258" s="258"/>
      <c r="R258" s="259"/>
      <c r="S258" s="258"/>
      <c r="T258" s="272"/>
    </row>
    <row r="259" spans="1:20">
      <c r="A259" s="354"/>
      <c r="B259" s="249"/>
      <c r="C259" s="354"/>
      <c r="D259" s="250"/>
      <c r="E259" s="251"/>
      <c r="F259" s="252"/>
      <c r="G259" s="252"/>
      <c r="H259" s="252"/>
      <c r="I259" s="253"/>
      <c r="J259" s="252"/>
      <c r="K259" s="254"/>
      <c r="L259" s="250"/>
      <c r="M259" s="251"/>
      <c r="N259" s="251"/>
      <c r="O259" s="252"/>
      <c r="P259" s="252"/>
      <c r="Q259" s="252"/>
      <c r="R259" s="253"/>
      <c r="S259" s="252"/>
      <c r="T259" s="273"/>
    </row>
    <row r="260" spans="1:20">
      <c r="A260" s="355"/>
      <c r="B260" s="255"/>
      <c r="C260" s="355"/>
      <c r="D260" s="256"/>
      <c r="E260" s="257"/>
      <c r="F260" s="258"/>
      <c r="G260" s="258"/>
      <c r="H260" s="258"/>
      <c r="I260" s="259"/>
      <c r="J260" s="258"/>
      <c r="K260" s="248"/>
      <c r="L260" s="256"/>
      <c r="M260" s="257"/>
      <c r="N260" s="257"/>
      <c r="O260" s="258"/>
      <c r="P260" s="258"/>
      <c r="Q260" s="258"/>
      <c r="R260" s="259"/>
      <c r="S260" s="258"/>
      <c r="T260" s="272"/>
    </row>
    <row r="261" spans="1:20">
      <c r="A261" s="354"/>
      <c r="B261" s="249"/>
      <c r="C261" s="354"/>
      <c r="D261" s="250"/>
      <c r="E261" s="251"/>
      <c r="F261" s="252"/>
      <c r="G261" s="252"/>
      <c r="H261" s="252"/>
      <c r="I261" s="253"/>
      <c r="J261" s="252"/>
      <c r="K261" s="254"/>
      <c r="L261" s="250"/>
      <c r="M261" s="251"/>
      <c r="N261" s="251"/>
      <c r="O261" s="252"/>
      <c r="P261" s="252"/>
      <c r="Q261" s="252"/>
      <c r="R261" s="253"/>
      <c r="S261" s="252"/>
      <c r="T261" s="273"/>
    </row>
    <row r="262" spans="1:20">
      <c r="A262" s="355"/>
      <c r="B262" s="255"/>
      <c r="C262" s="355"/>
      <c r="D262" s="256"/>
      <c r="E262" s="257"/>
      <c r="F262" s="258"/>
      <c r="G262" s="258"/>
      <c r="H262" s="258"/>
      <c r="I262" s="259"/>
      <c r="J262" s="258"/>
      <c r="K262" s="248"/>
      <c r="L262" s="256"/>
      <c r="M262" s="257"/>
      <c r="N262" s="257"/>
      <c r="O262" s="258"/>
      <c r="P262" s="258"/>
      <c r="Q262" s="258"/>
      <c r="R262" s="259"/>
      <c r="S262" s="258"/>
      <c r="T262" s="272"/>
    </row>
    <row r="263" spans="1:20">
      <c r="A263" s="354"/>
      <c r="B263" s="249"/>
      <c r="C263" s="354"/>
      <c r="D263" s="250"/>
      <c r="E263" s="251"/>
      <c r="F263" s="252"/>
      <c r="G263" s="252"/>
      <c r="H263" s="252"/>
      <c r="I263" s="253"/>
      <c r="J263" s="252"/>
      <c r="K263" s="254"/>
      <c r="L263" s="250"/>
      <c r="M263" s="251"/>
      <c r="N263" s="251"/>
      <c r="O263" s="252"/>
      <c r="P263" s="252"/>
      <c r="Q263" s="252"/>
      <c r="R263" s="253"/>
      <c r="S263" s="252"/>
      <c r="T263" s="273"/>
    </row>
    <row r="264" spans="1:20">
      <c r="A264" s="355"/>
      <c r="B264" s="255"/>
      <c r="C264" s="355"/>
      <c r="D264" s="256"/>
      <c r="E264" s="257"/>
      <c r="F264" s="258"/>
      <c r="G264" s="258"/>
      <c r="H264" s="258"/>
      <c r="I264" s="259"/>
      <c r="J264" s="258"/>
      <c r="K264" s="248"/>
      <c r="L264" s="256"/>
      <c r="M264" s="257"/>
      <c r="N264" s="257"/>
      <c r="O264" s="258"/>
      <c r="P264" s="258"/>
      <c r="Q264" s="258"/>
      <c r="R264" s="259"/>
      <c r="S264" s="258"/>
      <c r="T264" s="272"/>
    </row>
    <row r="265" spans="1:20">
      <c r="A265" s="354"/>
      <c r="B265" s="249"/>
      <c r="C265" s="354"/>
      <c r="D265" s="250"/>
      <c r="E265" s="251"/>
      <c r="F265" s="252"/>
      <c r="G265" s="252"/>
      <c r="H265" s="252"/>
      <c r="I265" s="253"/>
      <c r="J265" s="252"/>
      <c r="K265" s="254"/>
      <c r="L265" s="250"/>
      <c r="M265" s="251"/>
      <c r="N265" s="251"/>
      <c r="O265" s="252"/>
      <c r="P265" s="252"/>
      <c r="Q265" s="252"/>
      <c r="R265" s="253"/>
      <c r="S265" s="252"/>
      <c r="T265" s="273"/>
    </row>
    <row r="266" spans="1:20">
      <c r="A266" s="355"/>
      <c r="B266" s="255"/>
      <c r="C266" s="355"/>
      <c r="D266" s="256"/>
      <c r="E266" s="257"/>
      <c r="F266" s="258"/>
      <c r="G266" s="258"/>
      <c r="H266" s="258"/>
      <c r="I266" s="259"/>
      <c r="J266" s="258"/>
      <c r="K266" s="248"/>
      <c r="L266" s="256"/>
      <c r="M266" s="257"/>
      <c r="N266" s="257"/>
      <c r="O266" s="258"/>
      <c r="P266" s="258"/>
      <c r="Q266" s="258"/>
      <c r="R266" s="259"/>
      <c r="S266" s="258"/>
      <c r="T266" s="272"/>
    </row>
    <row r="267" spans="1:20">
      <c r="A267" s="354"/>
      <c r="B267" s="249"/>
      <c r="C267" s="354"/>
      <c r="D267" s="250"/>
      <c r="E267" s="251"/>
      <c r="F267" s="252"/>
      <c r="G267" s="252"/>
      <c r="H267" s="252"/>
      <c r="I267" s="253"/>
      <c r="J267" s="252"/>
      <c r="K267" s="254"/>
      <c r="L267" s="250"/>
      <c r="M267" s="251"/>
      <c r="N267" s="251"/>
      <c r="O267" s="252"/>
      <c r="P267" s="252"/>
      <c r="Q267" s="252"/>
      <c r="R267" s="253"/>
      <c r="S267" s="252"/>
      <c r="T267" s="273"/>
    </row>
    <row r="268" spans="1:20">
      <c r="A268" s="355"/>
      <c r="B268" s="255"/>
      <c r="C268" s="355"/>
      <c r="D268" s="256"/>
      <c r="E268" s="257"/>
      <c r="F268" s="258"/>
      <c r="G268" s="258"/>
      <c r="H268" s="258"/>
      <c r="I268" s="259"/>
      <c r="J268" s="258"/>
      <c r="K268" s="248"/>
      <c r="L268" s="256"/>
      <c r="M268" s="257"/>
      <c r="N268" s="257"/>
      <c r="O268" s="258"/>
      <c r="P268" s="258"/>
      <c r="Q268" s="258"/>
      <c r="R268" s="259"/>
      <c r="S268" s="258"/>
      <c r="T268" s="272"/>
    </row>
    <row r="269" spans="1:20">
      <c r="A269" s="354"/>
      <c r="B269" s="249"/>
      <c r="C269" s="354"/>
      <c r="D269" s="250"/>
      <c r="E269" s="251"/>
      <c r="F269" s="252"/>
      <c r="G269" s="252"/>
      <c r="H269" s="252"/>
      <c r="I269" s="253"/>
      <c r="J269" s="252"/>
      <c r="K269" s="254"/>
      <c r="L269" s="250"/>
      <c r="M269" s="251"/>
      <c r="N269" s="251"/>
      <c r="O269" s="252"/>
      <c r="P269" s="252"/>
      <c r="Q269" s="252"/>
      <c r="R269" s="253"/>
      <c r="S269" s="252"/>
      <c r="T269" s="273"/>
    </row>
    <row r="270" spans="1:20">
      <c r="A270" s="355"/>
      <c r="B270" s="255"/>
      <c r="C270" s="355"/>
      <c r="D270" s="256"/>
      <c r="E270" s="257"/>
      <c r="F270" s="258"/>
      <c r="G270" s="258"/>
      <c r="H270" s="258"/>
      <c r="I270" s="259"/>
      <c r="J270" s="258"/>
      <c r="K270" s="248"/>
      <c r="L270" s="256"/>
      <c r="M270" s="257"/>
      <c r="N270" s="257"/>
      <c r="O270" s="258"/>
      <c r="P270" s="258"/>
      <c r="Q270" s="258"/>
      <c r="R270" s="259"/>
      <c r="S270" s="258"/>
      <c r="T270" s="272"/>
    </row>
    <row r="271" spans="1:20">
      <c r="A271" s="354"/>
      <c r="B271" s="249"/>
      <c r="C271" s="354"/>
      <c r="D271" s="250"/>
      <c r="E271" s="251"/>
      <c r="F271" s="252"/>
      <c r="G271" s="252"/>
      <c r="H271" s="252"/>
      <c r="I271" s="253"/>
      <c r="J271" s="252"/>
      <c r="K271" s="254"/>
      <c r="L271" s="250"/>
      <c r="M271" s="251"/>
      <c r="N271" s="251"/>
      <c r="O271" s="252"/>
      <c r="P271" s="252"/>
      <c r="Q271" s="252"/>
      <c r="R271" s="253"/>
      <c r="S271" s="252"/>
      <c r="T271" s="273"/>
    </row>
    <row r="272" spans="1:20">
      <c r="A272" s="355"/>
      <c r="B272" s="255"/>
      <c r="C272" s="355"/>
      <c r="D272" s="256"/>
      <c r="E272" s="257"/>
      <c r="F272" s="258"/>
      <c r="G272" s="258"/>
      <c r="H272" s="258"/>
      <c r="I272" s="259"/>
      <c r="J272" s="258"/>
      <c r="K272" s="248"/>
      <c r="L272" s="256"/>
      <c r="M272" s="257"/>
      <c r="N272" s="257"/>
      <c r="O272" s="258"/>
      <c r="P272" s="258"/>
      <c r="Q272" s="258"/>
      <c r="R272" s="259"/>
      <c r="S272" s="258"/>
      <c r="T272" s="272"/>
    </row>
    <row r="273" spans="1:20">
      <c r="A273" s="354"/>
      <c r="B273" s="249"/>
      <c r="C273" s="354"/>
      <c r="D273" s="250"/>
      <c r="E273" s="251"/>
      <c r="F273" s="252"/>
      <c r="G273" s="252"/>
      <c r="H273" s="252"/>
      <c r="I273" s="253"/>
      <c r="J273" s="252"/>
      <c r="K273" s="254"/>
      <c r="L273" s="250"/>
      <c r="M273" s="251"/>
      <c r="N273" s="251"/>
      <c r="O273" s="252"/>
      <c r="P273" s="252"/>
      <c r="Q273" s="252"/>
      <c r="R273" s="253"/>
      <c r="S273" s="252"/>
      <c r="T273" s="273"/>
    </row>
    <row r="274" spans="1:20">
      <c r="A274" s="355"/>
      <c r="B274" s="255"/>
      <c r="C274" s="355"/>
      <c r="D274" s="256"/>
      <c r="E274" s="257"/>
      <c r="F274" s="258"/>
      <c r="G274" s="258"/>
      <c r="H274" s="258"/>
      <c r="I274" s="259"/>
      <c r="J274" s="258"/>
      <c r="K274" s="248"/>
      <c r="L274" s="256"/>
      <c r="M274" s="257"/>
      <c r="N274" s="257"/>
      <c r="O274" s="258"/>
      <c r="P274" s="258"/>
      <c r="Q274" s="258"/>
      <c r="R274" s="259"/>
      <c r="S274" s="258"/>
      <c r="T274" s="272"/>
    </row>
    <row r="275" spans="1:20">
      <c r="A275" s="354"/>
      <c r="B275" s="249"/>
      <c r="C275" s="354"/>
      <c r="D275" s="250"/>
      <c r="E275" s="251"/>
      <c r="F275" s="252"/>
      <c r="G275" s="252"/>
      <c r="H275" s="252"/>
      <c r="I275" s="253"/>
      <c r="J275" s="252"/>
      <c r="K275" s="254"/>
      <c r="L275" s="250"/>
      <c r="M275" s="251"/>
      <c r="N275" s="251"/>
      <c r="O275" s="252"/>
      <c r="P275" s="252"/>
      <c r="Q275" s="252"/>
      <c r="R275" s="253"/>
      <c r="S275" s="252"/>
      <c r="T275" s="273"/>
    </row>
    <row r="276" spans="1:20">
      <c r="A276" s="355"/>
      <c r="B276" s="255"/>
      <c r="C276" s="355"/>
      <c r="D276" s="256"/>
      <c r="E276" s="257"/>
      <c r="F276" s="258"/>
      <c r="G276" s="258"/>
      <c r="H276" s="258"/>
      <c r="I276" s="259"/>
      <c r="J276" s="258"/>
      <c r="K276" s="248"/>
      <c r="L276" s="256"/>
      <c r="M276" s="257"/>
      <c r="N276" s="257"/>
      <c r="O276" s="258"/>
      <c r="P276" s="258"/>
      <c r="Q276" s="258"/>
      <c r="R276" s="259"/>
      <c r="S276" s="258"/>
      <c r="T276" s="272"/>
    </row>
    <row r="277" spans="1:20">
      <c r="A277" s="354"/>
      <c r="B277" s="249"/>
      <c r="C277" s="354"/>
      <c r="D277" s="250"/>
      <c r="E277" s="251"/>
      <c r="F277" s="252"/>
      <c r="G277" s="252"/>
      <c r="H277" s="252"/>
      <c r="I277" s="253"/>
      <c r="J277" s="252"/>
      <c r="K277" s="254"/>
      <c r="L277" s="250"/>
      <c r="M277" s="251"/>
      <c r="N277" s="251"/>
      <c r="O277" s="252"/>
      <c r="P277" s="252"/>
      <c r="Q277" s="252"/>
      <c r="R277" s="253"/>
      <c r="S277" s="252"/>
      <c r="T277" s="273"/>
    </row>
    <row r="278" spans="1:20">
      <c r="A278" s="355"/>
      <c r="B278" s="255"/>
      <c r="C278" s="355"/>
      <c r="D278" s="256"/>
      <c r="E278" s="257"/>
      <c r="F278" s="258"/>
      <c r="G278" s="258"/>
      <c r="H278" s="258"/>
      <c r="I278" s="259"/>
      <c r="J278" s="258"/>
      <c r="K278" s="248"/>
      <c r="L278" s="256"/>
      <c r="M278" s="257"/>
      <c r="N278" s="257"/>
      <c r="O278" s="258"/>
      <c r="P278" s="258"/>
      <c r="Q278" s="258"/>
      <c r="R278" s="259"/>
      <c r="S278" s="258"/>
      <c r="T278" s="272"/>
    </row>
    <row r="279" spans="1:20">
      <c r="A279" s="354"/>
      <c r="B279" s="249"/>
      <c r="C279" s="354"/>
      <c r="D279" s="250"/>
      <c r="E279" s="251"/>
      <c r="F279" s="252"/>
      <c r="G279" s="252"/>
      <c r="H279" s="252"/>
      <c r="I279" s="253"/>
      <c r="J279" s="252"/>
      <c r="K279" s="254"/>
      <c r="L279" s="250"/>
      <c r="M279" s="251"/>
      <c r="N279" s="251"/>
      <c r="O279" s="252"/>
      <c r="P279" s="252"/>
      <c r="Q279" s="252"/>
      <c r="R279" s="253"/>
      <c r="S279" s="252"/>
      <c r="T279" s="273"/>
    </row>
    <row r="280" spans="1:20">
      <c r="A280" s="355"/>
      <c r="B280" s="255"/>
      <c r="C280" s="355"/>
      <c r="D280" s="256"/>
      <c r="E280" s="257"/>
      <c r="F280" s="258"/>
      <c r="G280" s="258"/>
      <c r="H280" s="258"/>
      <c r="I280" s="259"/>
      <c r="J280" s="258"/>
      <c r="K280" s="248"/>
      <c r="L280" s="256"/>
      <c r="M280" s="257"/>
      <c r="N280" s="257"/>
      <c r="O280" s="258"/>
      <c r="P280" s="258"/>
      <c r="Q280" s="258"/>
      <c r="R280" s="259"/>
      <c r="S280" s="258"/>
      <c r="T280" s="272"/>
    </row>
    <row r="281" spans="1:20">
      <c r="A281" s="354"/>
      <c r="B281" s="249"/>
      <c r="C281" s="354"/>
      <c r="D281" s="250"/>
      <c r="E281" s="251"/>
      <c r="F281" s="252"/>
      <c r="G281" s="252"/>
      <c r="H281" s="252"/>
      <c r="I281" s="253"/>
      <c r="J281" s="252"/>
      <c r="K281" s="254"/>
      <c r="L281" s="250"/>
      <c r="M281" s="251"/>
      <c r="N281" s="251"/>
      <c r="O281" s="252"/>
      <c r="P281" s="252"/>
      <c r="Q281" s="252"/>
      <c r="R281" s="253"/>
      <c r="S281" s="252"/>
      <c r="T281" s="273"/>
    </row>
    <row r="282" spans="1:20">
      <c r="A282" s="355"/>
      <c r="B282" s="255"/>
      <c r="C282" s="355"/>
      <c r="D282" s="256"/>
      <c r="E282" s="257"/>
      <c r="F282" s="258"/>
      <c r="G282" s="258"/>
      <c r="H282" s="258"/>
      <c r="I282" s="259"/>
      <c r="J282" s="258"/>
      <c r="K282" s="248"/>
      <c r="L282" s="256"/>
      <c r="M282" s="257"/>
      <c r="N282" s="257"/>
      <c r="O282" s="258"/>
      <c r="P282" s="258"/>
      <c r="Q282" s="258"/>
      <c r="R282" s="259"/>
      <c r="S282" s="258"/>
      <c r="T282" s="272"/>
    </row>
    <row r="283" spans="1:20">
      <c r="A283" s="354"/>
      <c r="B283" s="249"/>
      <c r="C283" s="354"/>
      <c r="D283" s="250"/>
      <c r="E283" s="251"/>
      <c r="F283" s="252"/>
      <c r="G283" s="252"/>
      <c r="H283" s="252"/>
      <c r="I283" s="253"/>
      <c r="J283" s="252"/>
      <c r="K283" s="254"/>
      <c r="L283" s="250"/>
      <c r="M283" s="251"/>
      <c r="N283" s="251"/>
      <c r="O283" s="252"/>
      <c r="P283" s="252"/>
      <c r="Q283" s="252"/>
      <c r="R283" s="253"/>
      <c r="S283" s="252"/>
      <c r="T283" s="273"/>
    </row>
    <row r="284" spans="1:20">
      <c r="A284" s="355"/>
      <c r="B284" s="255"/>
      <c r="C284" s="355"/>
      <c r="D284" s="256"/>
      <c r="E284" s="257"/>
      <c r="F284" s="258"/>
      <c r="G284" s="258"/>
      <c r="H284" s="258"/>
      <c r="I284" s="259"/>
      <c r="J284" s="258"/>
      <c r="K284" s="248"/>
      <c r="L284" s="256"/>
      <c r="M284" s="257"/>
      <c r="N284" s="257"/>
      <c r="O284" s="258"/>
      <c r="P284" s="258"/>
      <c r="Q284" s="258"/>
      <c r="R284" s="259"/>
      <c r="S284" s="258"/>
      <c r="T284" s="272"/>
    </row>
    <row r="285" spans="1:20">
      <c r="A285" s="354"/>
      <c r="B285" s="249"/>
      <c r="C285" s="354"/>
      <c r="D285" s="250"/>
      <c r="E285" s="251"/>
      <c r="F285" s="252"/>
      <c r="G285" s="252"/>
      <c r="H285" s="252"/>
      <c r="I285" s="253"/>
      <c r="J285" s="252"/>
      <c r="K285" s="254"/>
      <c r="L285" s="250"/>
      <c r="M285" s="251"/>
      <c r="N285" s="251"/>
      <c r="O285" s="252"/>
      <c r="P285" s="252"/>
      <c r="Q285" s="252"/>
      <c r="R285" s="253"/>
      <c r="S285" s="252"/>
      <c r="T285" s="273"/>
    </row>
    <row r="286" spans="1:20">
      <c r="A286" s="355"/>
      <c r="B286" s="255"/>
      <c r="C286" s="355"/>
      <c r="D286" s="256"/>
      <c r="E286" s="257"/>
      <c r="F286" s="258"/>
      <c r="G286" s="258"/>
      <c r="H286" s="258"/>
      <c r="I286" s="259"/>
      <c r="J286" s="258"/>
      <c r="K286" s="248"/>
      <c r="L286" s="256"/>
      <c r="M286" s="257"/>
      <c r="N286" s="257"/>
      <c r="O286" s="258"/>
      <c r="P286" s="258"/>
      <c r="Q286" s="258"/>
      <c r="R286" s="259"/>
      <c r="S286" s="258"/>
      <c r="T286" s="272"/>
    </row>
    <row r="287" spans="1:20">
      <c r="A287" s="354"/>
      <c r="B287" s="249"/>
      <c r="C287" s="354"/>
      <c r="D287" s="250"/>
      <c r="E287" s="251"/>
      <c r="F287" s="252"/>
      <c r="G287" s="252"/>
      <c r="H287" s="252"/>
      <c r="I287" s="253"/>
      <c r="J287" s="252"/>
      <c r="K287" s="254"/>
      <c r="L287" s="250"/>
      <c r="M287" s="251"/>
      <c r="N287" s="251"/>
      <c r="O287" s="252"/>
      <c r="P287" s="252"/>
      <c r="Q287" s="252"/>
      <c r="R287" s="253"/>
      <c r="S287" s="252"/>
      <c r="T287" s="273"/>
    </row>
    <row r="288" spans="1:20">
      <c r="A288" s="355"/>
      <c r="B288" s="255"/>
      <c r="C288" s="355"/>
      <c r="D288" s="256"/>
      <c r="E288" s="257"/>
      <c r="F288" s="258"/>
      <c r="G288" s="258"/>
      <c r="H288" s="258"/>
      <c r="I288" s="259"/>
      <c r="J288" s="258"/>
      <c r="K288" s="248"/>
      <c r="L288" s="256"/>
      <c r="M288" s="257"/>
      <c r="N288" s="257"/>
      <c r="O288" s="258"/>
      <c r="P288" s="258"/>
      <c r="Q288" s="258"/>
      <c r="R288" s="259"/>
      <c r="S288" s="258"/>
      <c r="T288" s="272"/>
    </row>
    <row r="289" spans="1:20">
      <c r="A289" s="354"/>
      <c r="B289" s="249"/>
      <c r="C289" s="354"/>
      <c r="D289" s="250"/>
      <c r="E289" s="251"/>
      <c r="F289" s="252"/>
      <c r="G289" s="252"/>
      <c r="H289" s="252"/>
      <c r="I289" s="253"/>
      <c r="J289" s="252"/>
      <c r="K289" s="254"/>
      <c r="L289" s="250"/>
      <c r="M289" s="251"/>
      <c r="N289" s="251"/>
      <c r="O289" s="252"/>
      <c r="P289" s="252"/>
      <c r="Q289" s="252"/>
      <c r="R289" s="253"/>
      <c r="S289" s="252"/>
      <c r="T289" s="273"/>
    </row>
    <row r="290" spans="1:20">
      <c r="A290" s="355"/>
      <c r="B290" s="255"/>
      <c r="C290" s="355"/>
      <c r="D290" s="256"/>
      <c r="E290" s="257"/>
      <c r="F290" s="258"/>
      <c r="G290" s="258"/>
      <c r="H290" s="258"/>
      <c r="I290" s="259"/>
      <c r="J290" s="258"/>
      <c r="K290" s="248"/>
      <c r="L290" s="256"/>
      <c r="M290" s="257"/>
      <c r="N290" s="257"/>
      <c r="O290" s="258"/>
      <c r="P290" s="258"/>
      <c r="Q290" s="258"/>
      <c r="R290" s="259"/>
      <c r="S290" s="258"/>
      <c r="T290" s="272"/>
    </row>
    <row r="291" spans="1:20">
      <c r="A291" s="354"/>
      <c r="B291" s="249"/>
      <c r="C291" s="354"/>
      <c r="D291" s="250"/>
      <c r="E291" s="251"/>
      <c r="F291" s="252"/>
      <c r="G291" s="252"/>
      <c r="H291" s="252"/>
      <c r="I291" s="253"/>
      <c r="J291" s="252"/>
      <c r="K291" s="254"/>
      <c r="L291" s="250"/>
      <c r="M291" s="251"/>
      <c r="N291" s="251"/>
      <c r="O291" s="252"/>
      <c r="P291" s="252"/>
      <c r="Q291" s="252"/>
      <c r="R291" s="253"/>
      <c r="S291" s="252"/>
      <c r="T291" s="273"/>
    </row>
    <row r="292" spans="1:20">
      <c r="A292" s="355"/>
      <c r="B292" s="255"/>
      <c r="C292" s="355"/>
      <c r="D292" s="256"/>
      <c r="E292" s="257"/>
      <c r="F292" s="258"/>
      <c r="G292" s="258"/>
      <c r="H292" s="258"/>
      <c r="I292" s="259"/>
      <c r="J292" s="258"/>
      <c r="K292" s="248"/>
      <c r="L292" s="256"/>
      <c r="M292" s="257"/>
      <c r="N292" s="257"/>
      <c r="O292" s="258"/>
      <c r="P292" s="258"/>
      <c r="Q292" s="258"/>
      <c r="R292" s="259"/>
      <c r="S292" s="258"/>
      <c r="T292" s="272"/>
    </row>
    <row r="293" spans="1:20">
      <c r="A293" s="354"/>
      <c r="B293" s="249"/>
      <c r="C293" s="354"/>
      <c r="D293" s="250"/>
      <c r="E293" s="251"/>
      <c r="F293" s="252"/>
      <c r="G293" s="252"/>
      <c r="H293" s="252"/>
      <c r="I293" s="253"/>
      <c r="J293" s="252"/>
      <c r="K293" s="254"/>
      <c r="L293" s="250"/>
      <c r="M293" s="251"/>
      <c r="N293" s="251"/>
      <c r="O293" s="252"/>
      <c r="P293" s="252"/>
      <c r="Q293" s="252"/>
      <c r="R293" s="253"/>
      <c r="S293" s="252"/>
      <c r="T293" s="273"/>
    </row>
    <row r="294" spans="1:20">
      <c r="A294" s="355"/>
      <c r="B294" s="255"/>
      <c r="C294" s="355"/>
      <c r="D294" s="256"/>
      <c r="E294" s="257"/>
      <c r="F294" s="258"/>
      <c r="G294" s="258"/>
      <c r="H294" s="258"/>
      <c r="I294" s="259"/>
      <c r="J294" s="258"/>
      <c r="K294" s="248"/>
      <c r="L294" s="256"/>
      <c r="M294" s="257"/>
      <c r="N294" s="257"/>
      <c r="O294" s="258"/>
      <c r="P294" s="258"/>
      <c r="Q294" s="258"/>
      <c r="R294" s="259"/>
      <c r="S294" s="258"/>
      <c r="T294" s="272"/>
    </row>
    <row r="295" spans="1:20">
      <c r="A295" s="354"/>
      <c r="B295" s="249"/>
      <c r="C295" s="354"/>
      <c r="D295" s="250"/>
      <c r="E295" s="251"/>
      <c r="F295" s="252"/>
      <c r="G295" s="252"/>
      <c r="H295" s="252"/>
      <c r="I295" s="253"/>
      <c r="J295" s="252"/>
      <c r="K295" s="254"/>
      <c r="L295" s="250"/>
      <c r="M295" s="251"/>
      <c r="N295" s="251"/>
      <c r="O295" s="252"/>
      <c r="P295" s="252"/>
      <c r="Q295" s="252"/>
      <c r="R295" s="253"/>
      <c r="S295" s="252"/>
      <c r="T295" s="273"/>
    </row>
    <row r="296" spans="1:20">
      <c r="A296" s="355"/>
      <c r="B296" s="255"/>
      <c r="C296" s="355"/>
      <c r="D296" s="256"/>
      <c r="E296" s="257"/>
      <c r="F296" s="258"/>
      <c r="G296" s="258"/>
      <c r="H296" s="258"/>
      <c r="I296" s="259"/>
      <c r="J296" s="258"/>
      <c r="K296" s="248"/>
      <c r="L296" s="256"/>
      <c r="M296" s="257"/>
      <c r="N296" s="257"/>
      <c r="O296" s="258"/>
      <c r="P296" s="258"/>
      <c r="Q296" s="258"/>
      <c r="R296" s="259"/>
      <c r="S296" s="258"/>
      <c r="T296" s="272"/>
    </row>
    <row r="297" spans="1:20">
      <c r="A297" s="354"/>
      <c r="B297" s="249"/>
      <c r="C297" s="354"/>
      <c r="D297" s="250"/>
      <c r="E297" s="251"/>
      <c r="F297" s="252"/>
      <c r="G297" s="252"/>
      <c r="H297" s="252"/>
      <c r="I297" s="253"/>
      <c r="J297" s="252"/>
      <c r="K297" s="254"/>
      <c r="L297" s="250"/>
      <c r="M297" s="251"/>
      <c r="N297" s="251"/>
      <c r="O297" s="252"/>
      <c r="P297" s="252"/>
      <c r="Q297" s="252"/>
      <c r="R297" s="253"/>
      <c r="S297" s="252"/>
      <c r="T297" s="273"/>
    </row>
    <row r="298" spans="1:20">
      <c r="A298" s="355"/>
      <c r="B298" s="255"/>
      <c r="C298" s="355"/>
      <c r="D298" s="256"/>
      <c r="E298" s="257"/>
      <c r="F298" s="258"/>
      <c r="G298" s="258"/>
      <c r="H298" s="258"/>
      <c r="I298" s="259"/>
      <c r="J298" s="258"/>
      <c r="K298" s="248"/>
      <c r="L298" s="256"/>
      <c r="M298" s="257"/>
      <c r="N298" s="257"/>
      <c r="O298" s="258"/>
      <c r="P298" s="258"/>
      <c r="Q298" s="258"/>
      <c r="R298" s="259"/>
      <c r="S298" s="258"/>
      <c r="T298" s="272"/>
    </row>
    <row r="299" spans="1:20">
      <c r="A299" s="354"/>
      <c r="B299" s="249"/>
      <c r="C299" s="354"/>
      <c r="D299" s="250"/>
      <c r="E299" s="251"/>
      <c r="F299" s="252"/>
      <c r="G299" s="252"/>
      <c r="H299" s="252"/>
      <c r="I299" s="253"/>
      <c r="J299" s="252"/>
      <c r="K299" s="254"/>
      <c r="L299" s="250"/>
      <c r="M299" s="251"/>
      <c r="N299" s="251"/>
      <c r="O299" s="252"/>
      <c r="P299" s="252"/>
      <c r="Q299" s="252"/>
      <c r="R299" s="253"/>
      <c r="S299" s="252"/>
      <c r="T299" s="273"/>
    </row>
    <row r="300" spans="1:20">
      <c r="A300" s="355"/>
      <c r="B300" s="255"/>
      <c r="C300" s="355"/>
      <c r="D300" s="256"/>
      <c r="E300" s="257"/>
      <c r="F300" s="258"/>
      <c r="G300" s="258"/>
      <c r="H300" s="258"/>
      <c r="I300" s="259"/>
      <c r="J300" s="258"/>
      <c r="K300" s="248"/>
      <c r="L300" s="256"/>
      <c r="M300" s="257"/>
      <c r="N300" s="257"/>
      <c r="O300" s="258"/>
      <c r="P300" s="258"/>
      <c r="Q300" s="258"/>
      <c r="R300" s="259"/>
      <c r="S300" s="258"/>
      <c r="T300" s="272"/>
    </row>
    <row r="301" spans="1:20">
      <c r="A301" s="354"/>
      <c r="B301" s="249"/>
      <c r="C301" s="354"/>
      <c r="D301" s="250"/>
      <c r="E301" s="251"/>
      <c r="F301" s="252"/>
      <c r="G301" s="252"/>
      <c r="H301" s="252"/>
      <c r="I301" s="253"/>
      <c r="J301" s="252"/>
      <c r="K301" s="254"/>
      <c r="L301" s="250"/>
      <c r="M301" s="251"/>
      <c r="N301" s="251"/>
      <c r="O301" s="252"/>
      <c r="P301" s="252"/>
      <c r="Q301" s="252"/>
      <c r="R301" s="253"/>
      <c r="S301" s="252"/>
      <c r="T301" s="273"/>
    </row>
    <row r="302" spans="1:20">
      <c r="A302" s="355"/>
      <c r="B302" s="255"/>
      <c r="C302" s="355"/>
      <c r="D302" s="256"/>
      <c r="E302" s="257"/>
      <c r="F302" s="258"/>
      <c r="G302" s="258"/>
      <c r="H302" s="258"/>
      <c r="I302" s="259"/>
      <c r="J302" s="258"/>
      <c r="K302" s="248"/>
      <c r="L302" s="256"/>
      <c r="M302" s="257"/>
      <c r="N302" s="257"/>
      <c r="O302" s="258"/>
      <c r="P302" s="258"/>
      <c r="Q302" s="258"/>
      <c r="R302" s="259"/>
      <c r="S302" s="258"/>
      <c r="T302" s="272"/>
    </row>
    <row r="303" spans="1:20">
      <c r="A303" s="354"/>
      <c r="B303" s="249"/>
      <c r="C303" s="354"/>
      <c r="D303" s="250"/>
      <c r="E303" s="251"/>
      <c r="F303" s="252"/>
      <c r="G303" s="252"/>
      <c r="H303" s="252"/>
      <c r="I303" s="253"/>
      <c r="J303" s="252"/>
      <c r="K303" s="254"/>
      <c r="L303" s="250"/>
      <c r="M303" s="251"/>
      <c r="N303" s="251"/>
      <c r="O303" s="252"/>
      <c r="P303" s="252"/>
      <c r="Q303" s="252"/>
      <c r="R303" s="253"/>
      <c r="S303" s="252"/>
      <c r="T303" s="273"/>
    </row>
    <row r="304" spans="1:20">
      <c r="A304" s="355"/>
      <c r="B304" s="255"/>
      <c r="C304" s="355"/>
      <c r="D304" s="256"/>
      <c r="E304" s="257"/>
      <c r="F304" s="258"/>
      <c r="G304" s="258"/>
      <c r="H304" s="258"/>
      <c r="I304" s="259"/>
      <c r="J304" s="258"/>
      <c r="K304" s="248"/>
      <c r="L304" s="256"/>
      <c r="M304" s="257"/>
      <c r="N304" s="257"/>
      <c r="O304" s="258"/>
      <c r="P304" s="258"/>
      <c r="Q304" s="258"/>
      <c r="R304" s="259"/>
      <c r="S304" s="258"/>
      <c r="T304" s="272"/>
    </row>
    <row r="305" spans="1:20">
      <c r="A305" s="354"/>
      <c r="B305" s="249"/>
      <c r="C305" s="354"/>
      <c r="D305" s="250"/>
      <c r="E305" s="251"/>
      <c r="F305" s="252"/>
      <c r="G305" s="252"/>
      <c r="H305" s="252"/>
      <c r="I305" s="253"/>
      <c r="J305" s="252"/>
      <c r="K305" s="254"/>
      <c r="L305" s="250"/>
      <c r="M305" s="251"/>
      <c r="N305" s="251"/>
      <c r="O305" s="252"/>
      <c r="P305" s="252"/>
      <c r="Q305" s="252"/>
      <c r="R305" s="253"/>
      <c r="S305" s="252"/>
      <c r="T305" s="273"/>
    </row>
    <row r="306" spans="1:20">
      <c r="A306" s="355"/>
      <c r="B306" s="255"/>
      <c r="C306" s="355"/>
      <c r="D306" s="256"/>
      <c r="E306" s="257"/>
      <c r="F306" s="258"/>
      <c r="G306" s="258"/>
      <c r="H306" s="258"/>
      <c r="I306" s="259"/>
      <c r="J306" s="258"/>
      <c r="K306" s="248"/>
      <c r="L306" s="256"/>
      <c r="M306" s="257"/>
      <c r="N306" s="257"/>
      <c r="O306" s="258"/>
      <c r="P306" s="258"/>
      <c r="Q306" s="258"/>
      <c r="R306" s="259"/>
      <c r="S306" s="258"/>
      <c r="T306" s="272"/>
    </row>
    <row r="307" spans="1:20">
      <c r="A307" s="354"/>
      <c r="B307" s="249"/>
      <c r="C307" s="354"/>
      <c r="D307" s="250"/>
      <c r="E307" s="251"/>
      <c r="F307" s="252"/>
      <c r="G307" s="252"/>
      <c r="H307" s="252"/>
      <c r="I307" s="253"/>
      <c r="J307" s="252"/>
      <c r="K307" s="254"/>
      <c r="L307" s="250"/>
      <c r="M307" s="251"/>
      <c r="N307" s="251"/>
      <c r="O307" s="252"/>
      <c r="P307" s="252"/>
      <c r="Q307" s="252"/>
      <c r="R307" s="253"/>
      <c r="S307" s="252"/>
      <c r="T307" s="273"/>
    </row>
    <row r="308" spans="1:20">
      <c r="A308" s="355"/>
      <c r="B308" s="255"/>
      <c r="C308" s="355"/>
      <c r="D308" s="256"/>
      <c r="E308" s="257"/>
      <c r="F308" s="258"/>
      <c r="G308" s="258"/>
      <c r="H308" s="258"/>
      <c r="I308" s="259"/>
      <c r="J308" s="258"/>
      <c r="K308" s="248"/>
      <c r="L308" s="256"/>
      <c r="M308" s="257"/>
      <c r="N308" s="257"/>
      <c r="O308" s="258"/>
      <c r="P308" s="258"/>
      <c r="Q308" s="258"/>
      <c r="R308" s="259"/>
      <c r="S308" s="258"/>
      <c r="T308" s="272"/>
    </row>
    <row r="309" spans="1:20">
      <c r="A309" s="354"/>
      <c r="B309" s="249"/>
      <c r="C309" s="354"/>
      <c r="D309" s="250"/>
      <c r="E309" s="251"/>
      <c r="F309" s="252"/>
      <c r="G309" s="252"/>
      <c r="H309" s="252"/>
      <c r="I309" s="253"/>
      <c r="J309" s="252"/>
      <c r="K309" s="254"/>
      <c r="L309" s="250"/>
      <c r="M309" s="251"/>
      <c r="N309" s="251"/>
      <c r="O309" s="252"/>
      <c r="P309" s="252"/>
      <c r="Q309" s="252"/>
      <c r="R309" s="253"/>
      <c r="S309" s="252"/>
      <c r="T309" s="273"/>
    </row>
    <row r="310" spans="1:20">
      <c r="A310" s="355"/>
      <c r="B310" s="255"/>
      <c r="C310" s="355"/>
      <c r="D310" s="256"/>
      <c r="E310" s="257"/>
      <c r="F310" s="258"/>
      <c r="G310" s="258"/>
      <c r="H310" s="258"/>
      <c r="I310" s="259"/>
      <c r="J310" s="258"/>
      <c r="K310" s="248"/>
      <c r="L310" s="256"/>
      <c r="M310" s="257"/>
      <c r="N310" s="257"/>
      <c r="O310" s="258"/>
      <c r="P310" s="258"/>
      <c r="Q310" s="258"/>
      <c r="R310" s="259"/>
      <c r="S310" s="258"/>
      <c r="T310" s="272"/>
    </row>
    <row r="311" spans="1:20">
      <c r="A311" s="354"/>
      <c r="B311" s="249"/>
      <c r="C311" s="354"/>
      <c r="D311" s="250"/>
      <c r="E311" s="251"/>
      <c r="F311" s="252"/>
      <c r="G311" s="252"/>
      <c r="H311" s="252"/>
      <c r="I311" s="253"/>
      <c r="J311" s="252"/>
      <c r="K311" s="254"/>
      <c r="L311" s="250"/>
      <c r="M311" s="251"/>
      <c r="N311" s="251"/>
      <c r="O311" s="252"/>
      <c r="P311" s="252"/>
      <c r="Q311" s="252"/>
      <c r="R311" s="253"/>
      <c r="S311" s="252"/>
      <c r="T311" s="273"/>
    </row>
    <row r="312" spans="1:20">
      <c r="A312" s="355"/>
      <c r="B312" s="255"/>
      <c r="C312" s="355"/>
      <c r="D312" s="256"/>
      <c r="E312" s="257"/>
      <c r="F312" s="258"/>
      <c r="G312" s="258"/>
      <c r="H312" s="258"/>
      <c r="I312" s="259"/>
      <c r="J312" s="258"/>
      <c r="K312" s="248"/>
      <c r="L312" s="256"/>
      <c r="M312" s="257"/>
      <c r="N312" s="257"/>
      <c r="O312" s="258"/>
      <c r="P312" s="258"/>
      <c r="Q312" s="258"/>
      <c r="R312" s="259"/>
      <c r="S312" s="258"/>
      <c r="T312" s="272"/>
    </row>
    <row r="313" spans="1:20">
      <c r="A313" s="354"/>
      <c r="B313" s="249"/>
      <c r="C313" s="354"/>
      <c r="D313" s="250"/>
      <c r="E313" s="251"/>
      <c r="F313" s="252"/>
      <c r="G313" s="252"/>
      <c r="H313" s="252"/>
      <c r="I313" s="253"/>
      <c r="J313" s="252"/>
      <c r="K313" s="254"/>
      <c r="L313" s="250"/>
      <c r="M313" s="251"/>
      <c r="N313" s="251"/>
      <c r="O313" s="252"/>
      <c r="P313" s="252"/>
      <c r="Q313" s="252"/>
      <c r="R313" s="253"/>
      <c r="S313" s="252"/>
      <c r="T313" s="273"/>
    </row>
    <row r="314" spans="1:20">
      <c r="A314" s="355"/>
      <c r="B314" s="255"/>
      <c r="C314" s="355"/>
      <c r="D314" s="256"/>
      <c r="E314" s="257"/>
      <c r="F314" s="258"/>
      <c r="G314" s="258"/>
      <c r="H314" s="258"/>
      <c r="I314" s="259"/>
      <c r="J314" s="258"/>
      <c r="K314" s="248"/>
      <c r="L314" s="256"/>
      <c r="M314" s="257"/>
      <c r="N314" s="257"/>
      <c r="O314" s="258"/>
      <c r="P314" s="258"/>
      <c r="Q314" s="258"/>
      <c r="R314" s="259"/>
      <c r="S314" s="258"/>
      <c r="T314" s="272"/>
    </row>
    <row r="315" spans="1:20">
      <c r="A315" s="354"/>
      <c r="B315" s="249"/>
      <c r="C315" s="354"/>
      <c r="D315" s="250"/>
      <c r="E315" s="251"/>
      <c r="F315" s="252"/>
      <c r="G315" s="252"/>
      <c r="H315" s="252"/>
      <c r="I315" s="253"/>
      <c r="J315" s="252"/>
      <c r="K315" s="254"/>
      <c r="L315" s="250"/>
      <c r="M315" s="251"/>
      <c r="N315" s="251"/>
      <c r="O315" s="252"/>
      <c r="P315" s="252"/>
      <c r="Q315" s="252"/>
      <c r="R315" s="253"/>
      <c r="S315" s="252"/>
      <c r="T315" s="273"/>
    </row>
    <row r="316" spans="1:20">
      <c r="A316" s="355"/>
      <c r="B316" s="255"/>
      <c r="C316" s="355"/>
      <c r="D316" s="256"/>
      <c r="E316" s="257"/>
      <c r="F316" s="258"/>
      <c r="G316" s="258"/>
      <c r="H316" s="258"/>
      <c r="I316" s="259"/>
      <c r="J316" s="258"/>
      <c r="K316" s="248"/>
      <c r="L316" s="256"/>
      <c r="M316" s="257"/>
      <c r="N316" s="257"/>
      <c r="O316" s="258"/>
      <c r="P316" s="258"/>
      <c r="Q316" s="258"/>
      <c r="R316" s="259"/>
      <c r="S316" s="258"/>
      <c r="T316" s="272"/>
    </row>
    <row r="317" spans="1:20">
      <c r="A317" s="354"/>
      <c r="B317" s="249"/>
      <c r="C317" s="354"/>
      <c r="D317" s="250"/>
      <c r="E317" s="251"/>
      <c r="F317" s="252"/>
      <c r="G317" s="252"/>
      <c r="H317" s="252"/>
      <c r="I317" s="253"/>
      <c r="J317" s="252"/>
      <c r="K317" s="254"/>
      <c r="L317" s="250"/>
      <c r="M317" s="251"/>
      <c r="N317" s="251"/>
      <c r="O317" s="252"/>
      <c r="P317" s="252"/>
      <c r="Q317" s="252"/>
      <c r="R317" s="253"/>
      <c r="S317" s="252"/>
      <c r="T317" s="273"/>
    </row>
    <row r="318" spans="1:20">
      <c r="A318" s="355"/>
      <c r="B318" s="255"/>
      <c r="C318" s="355"/>
      <c r="D318" s="256"/>
      <c r="E318" s="257"/>
      <c r="F318" s="258"/>
      <c r="G318" s="258"/>
      <c r="H318" s="258"/>
      <c r="I318" s="259"/>
      <c r="J318" s="258"/>
      <c r="K318" s="248"/>
      <c r="L318" s="256"/>
      <c r="M318" s="257"/>
      <c r="N318" s="257"/>
      <c r="O318" s="258"/>
      <c r="P318" s="258"/>
      <c r="Q318" s="258"/>
      <c r="R318" s="259"/>
      <c r="S318" s="258"/>
      <c r="T318" s="272"/>
    </row>
    <row r="319" spans="1:20">
      <c r="A319" s="354"/>
      <c r="B319" s="249"/>
      <c r="C319" s="354"/>
      <c r="D319" s="250"/>
      <c r="E319" s="251"/>
      <c r="F319" s="252"/>
      <c r="G319" s="252"/>
      <c r="H319" s="252"/>
      <c r="I319" s="253"/>
      <c r="J319" s="252"/>
      <c r="K319" s="254"/>
      <c r="L319" s="250"/>
      <c r="M319" s="251"/>
      <c r="N319" s="251"/>
      <c r="O319" s="252"/>
      <c r="P319" s="252"/>
      <c r="Q319" s="252"/>
      <c r="R319" s="253"/>
      <c r="S319" s="252"/>
      <c r="T319" s="273"/>
    </row>
    <row r="320" spans="1:20">
      <c r="A320" s="355"/>
      <c r="B320" s="255"/>
      <c r="C320" s="355"/>
      <c r="D320" s="256"/>
      <c r="E320" s="257"/>
      <c r="F320" s="258"/>
      <c r="G320" s="258"/>
      <c r="H320" s="258"/>
      <c r="I320" s="259"/>
      <c r="J320" s="258"/>
      <c r="K320" s="248"/>
      <c r="L320" s="256"/>
      <c r="M320" s="257"/>
      <c r="N320" s="257"/>
      <c r="O320" s="258"/>
      <c r="P320" s="258"/>
      <c r="Q320" s="258"/>
      <c r="R320" s="259"/>
      <c r="S320" s="258"/>
      <c r="T320" s="272"/>
    </row>
    <row r="321" spans="1:20">
      <c r="A321" s="354"/>
      <c r="B321" s="249"/>
      <c r="C321" s="354"/>
      <c r="D321" s="250"/>
      <c r="E321" s="251"/>
      <c r="F321" s="252"/>
      <c r="G321" s="252"/>
      <c r="H321" s="252"/>
      <c r="I321" s="253"/>
      <c r="J321" s="252"/>
      <c r="K321" s="254"/>
      <c r="L321" s="250"/>
      <c r="M321" s="251"/>
      <c r="N321" s="251"/>
      <c r="O321" s="252"/>
      <c r="P321" s="252"/>
      <c r="Q321" s="252"/>
      <c r="R321" s="253"/>
      <c r="S321" s="252"/>
      <c r="T321" s="273"/>
    </row>
    <row r="322" spans="1:20">
      <c r="A322" s="355"/>
      <c r="B322" s="255"/>
      <c r="C322" s="355"/>
      <c r="D322" s="256"/>
      <c r="E322" s="257"/>
      <c r="F322" s="258"/>
      <c r="G322" s="258"/>
      <c r="H322" s="258"/>
      <c r="I322" s="259"/>
      <c r="J322" s="258"/>
      <c r="K322" s="248"/>
      <c r="L322" s="256"/>
      <c r="M322" s="257"/>
      <c r="N322" s="257"/>
      <c r="O322" s="258"/>
      <c r="P322" s="258"/>
      <c r="Q322" s="258"/>
      <c r="R322" s="259"/>
      <c r="S322" s="258"/>
      <c r="T322" s="272"/>
    </row>
    <row r="323" spans="1:20">
      <c r="A323" s="354"/>
      <c r="B323" s="249"/>
      <c r="C323" s="354"/>
      <c r="D323" s="250"/>
      <c r="E323" s="251"/>
      <c r="F323" s="252"/>
      <c r="G323" s="252"/>
      <c r="H323" s="252"/>
      <c r="I323" s="253"/>
      <c r="J323" s="252"/>
      <c r="K323" s="254"/>
      <c r="L323" s="250"/>
      <c r="M323" s="251"/>
      <c r="N323" s="251"/>
      <c r="O323" s="252"/>
      <c r="P323" s="252"/>
      <c r="Q323" s="252"/>
      <c r="R323" s="253"/>
      <c r="S323" s="252"/>
      <c r="T323" s="273"/>
    </row>
    <row r="324" spans="1:20">
      <c r="A324" s="355"/>
      <c r="B324" s="255"/>
      <c r="C324" s="355"/>
      <c r="D324" s="256"/>
      <c r="E324" s="257"/>
      <c r="F324" s="258"/>
      <c r="G324" s="258"/>
      <c r="H324" s="258"/>
      <c r="I324" s="259"/>
      <c r="J324" s="258"/>
      <c r="K324" s="248"/>
      <c r="L324" s="256"/>
      <c r="M324" s="257"/>
      <c r="N324" s="257"/>
      <c r="O324" s="258"/>
      <c r="P324" s="258"/>
      <c r="Q324" s="258"/>
      <c r="R324" s="259"/>
      <c r="S324" s="258"/>
      <c r="T324" s="272"/>
    </row>
    <row r="325" spans="1:20">
      <c r="A325" s="354"/>
      <c r="B325" s="249"/>
      <c r="C325" s="354"/>
      <c r="D325" s="250"/>
      <c r="E325" s="251"/>
      <c r="F325" s="252"/>
      <c r="G325" s="252"/>
      <c r="H325" s="252"/>
      <c r="I325" s="253"/>
      <c r="J325" s="252"/>
      <c r="K325" s="254"/>
      <c r="L325" s="250"/>
      <c r="M325" s="251"/>
      <c r="N325" s="251"/>
      <c r="O325" s="252"/>
      <c r="P325" s="252"/>
      <c r="Q325" s="252"/>
      <c r="R325" s="253"/>
      <c r="S325" s="252"/>
      <c r="T325" s="273"/>
    </row>
    <row r="326" spans="1:20">
      <c r="A326" s="355"/>
      <c r="B326" s="255"/>
      <c r="C326" s="355"/>
      <c r="D326" s="256"/>
      <c r="E326" s="257"/>
      <c r="F326" s="258"/>
      <c r="G326" s="258"/>
      <c r="H326" s="258"/>
      <c r="I326" s="259"/>
      <c r="J326" s="258"/>
      <c r="K326" s="248"/>
      <c r="L326" s="256"/>
      <c r="M326" s="257"/>
      <c r="N326" s="257"/>
      <c r="O326" s="258"/>
      <c r="P326" s="258"/>
      <c r="Q326" s="258"/>
      <c r="R326" s="259"/>
      <c r="S326" s="258"/>
      <c r="T326" s="272"/>
    </row>
    <row r="327" spans="1:20">
      <c r="A327" s="354"/>
      <c r="B327" s="249"/>
      <c r="C327" s="354"/>
      <c r="D327" s="250"/>
      <c r="E327" s="251"/>
      <c r="F327" s="252"/>
      <c r="G327" s="252"/>
      <c r="H327" s="252"/>
      <c r="I327" s="253"/>
      <c r="J327" s="252"/>
      <c r="K327" s="254"/>
      <c r="L327" s="250"/>
      <c r="M327" s="251"/>
      <c r="N327" s="251"/>
      <c r="O327" s="252"/>
      <c r="P327" s="252"/>
      <c r="Q327" s="252"/>
      <c r="R327" s="253"/>
      <c r="S327" s="252"/>
      <c r="T327" s="273"/>
    </row>
    <row r="328" spans="1:20">
      <c r="A328" s="355"/>
      <c r="B328" s="255"/>
      <c r="C328" s="355"/>
      <c r="D328" s="256"/>
      <c r="E328" s="257"/>
      <c r="F328" s="258"/>
      <c r="G328" s="258"/>
      <c r="H328" s="258"/>
      <c r="I328" s="259"/>
      <c r="J328" s="258"/>
      <c r="K328" s="248"/>
      <c r="L328" s="256"/>
      <c r="M328" s="257"/>
      <c r="N328" s="257"/>
      <c r="O328" s="258"/>
      <c r="P328" s="258"/>
      <c r="Q328" s="258"/>
      <c r="R328" s="259"/>
      <c r="S328" s="258"/>
      <c r="T328" s="272"/>
    </row>
    <row r="329" spans="1:20">
      <c r="A329" s="354"/>
      <c r="B329" s="249"/>
      <c r="C329" s="354"/>
      <c r="D329" s="250"/>
      <c r="E329" s="251"/>
      <c r="F329" s="252"/>
      <c r="G329" s="252"/>
      <c r="H329" s="252"/>
      <c r="I329" s="253"/>
      <c r="J329" s="252"/>
      <c r="K329" s="254"/>
      <c r="L329" s="250"/>
      <c r="M329" s="251"/>
      <c r="N329" s="251"/>
      <c r="O329" s="252"/>
      <c r="P329" s="252"/>
      <c r="Q329" s="252"/>
      <c r="R329" s="253"/>
      <c r="S329" s="252"/>
      <c r="T329" s="273"/>
    </row>
    <row r="330" spans="1:20">
      <c r="A330" s="355"/>
      <c r="B330" s="255"/>
      <c r="C330" s="355"/>
      <c r="D330" s="256"/>
      <c r="E330" s="257"/>
      <c r="F330" s="258"/>
      <c r="G330" s="258"/>
      <c r="H330" s="258"/>
      <c r="I330" s="259"/>
      <c r="J330" s="258"/>
      <c r="K330" s="248"/>
      <c r="L330" s="256"/>
      <c r="M330" s="257"/>
      <c r="N330" s="257"/>
      <c r="O330" s="258"/>
      <c r="P330" s="258"/>
      <c r="Q330" s="258"/>
      <c r="R330" s="259"/>
      <c r="S330" s="258"/>
      <c r="T330" s="272"/>
    </row>
    <row r="331" spans="1:20">
      <c r="A331" s="354"/>
      <c r="B331" s="249"/>
      <c r="C331" s="354"/>
      <c r="D331" s="250"/>
      <c r="E331" s="251"/>
      <c r="F331" s="252"/>
      <c r="G331" s="252"/>
      <c r="H331" s="252"/>
      <c r="I331" s="253"/>
      <c r="J331" s="252"/>
      <c r="K331" s="254"/>
      <c r="L331" s="250"/>
      <c r="M331" s="251"/>
      <c r="N331" s="251"/>
      <c r="O331" s="252"/>
      <c r="P331" s="252"/>
      <c r="Q331" s="252"/>
      <c r="R331" s="253"/>
      <c r="S331" s="252"/>
      <c r="T331" s="273"/>
    </row>
    <row r="332" spans="1:20">
      <c r="A332" s="355"/>
      <c r="B332" s="255"/>
      <c r="C332" s="355"/>
      <c r="D332" s="256"/>
      <c r="E332" s="257"/>
      <c r="F332" s="258"/>
      <c r="G332" s="258"/>
      <c r="H332" s="258"/>
      <c r="I332" s="259"/>
      <c r="J332" s="258"/>
      <c r="K332" s="248"/>
      <c r="L332" s="256"/>
      <c r="M332" s="257"/>
      <c r="N332" s="257"/>
      <c r="O332" s="258"/>
      <c r="P332" s="258"/>
      <c r="Q332" s="258"/>
      <c r="R332" s="259"/>
      <c r="S332" s="258"/>
      <c r="T332" s="272"/>
    </row>
    <row r="333" spans="1:20">
      <c r="A333" s="354"/>
      <c r="B333" s="249"/>
      <c r="C333" s="354"/>
      <c r="D333" s="250"/>
      <c r="E333" s="251"/>
      <c r="F333" s="252"/>
      <c r="G333" s="252"/>
      <c r="H333" s="252"/>
      <c r="I333" s="253"/>
      <c r="J333" s="252"/>
      <c r="K333" s="254"/>
      <c r="L333" s="250"/>
      <c r="M333" s="251"/>
      <c r="N333" s="251"/>
      <c r="O333" s="252"/>
      <c r="P333" s="252"/>
      <c r="Q333" s="252"/>
      <c r="R333" s="253"/>
      <c r="S333" s="252"/>
      <c r="T333" s="273"/>
    </row>
    <row r="334" spans="1:20">
      <c r="A334" s="355"/>
      <c r="B334" s="255"/>
      <c r="C334" s="355"/>
      <c r="D334" s="256"/>
      <c r="E334" s="257"/>
      <c r="F334" s="258"/>
      <c r="G334" s="258"/>
      <c r="H334" s="258"/>
      <c r="I334" s="259"/>
      <c r="J334" s="258"/>
      <c r="K334" s="248"/>
      <c r="L334" s="256"/>
      <c r="M334" s="257"/>
      <c r="N334" s="257"/>
      <c r="O334" s="258"/>
      <c r="P334" s="258"/>
      <c r="Q334" s="258"/>
      <c r="R334" s="259"/>
      <c r="S334" s="258"/>
      <c r="T334" s="272"/>
    </row>
    <row r="335" spans="1:20">
      <c r="A335" s="354"/>
      <c r="B335" s="249"/>
      <c r="C335" s="354"/>
      <c r="D335" s="250"/>
      <c r="E335" s="251"/>
      <c r="F335" s="252"/>
      <c r="G335" s="252"/>
      <c r="H335" s="252"/>
      <c r="I335" s="253"/>
      <c r="J335" s="252"/>
      <c r="K335" s="254"/>
      <c r="L335" s="250"/>
      <c r="M335" s="251"/>
      <c r="N335" s="251"/>
      <c r="O335" s="252"/>
      <c r="P335" s="252"/>
      <c r="Q335" s="252"/>
      <c r="R335" s="253"/>
      <c r="S335" s="252"/>
      <c r="T335" s="273"/>
    </row>
    <row r="336" spans="1:20">
      <c r="A336" s="355"/>
      <c r="B336" s="255"/>
      <c r="C336" s="355"/>
      <c r="D336" s="256"/>
      <c r="E336" s="257"/>
      <c r="F336" s="258"/>
      <c r="G336" s="258"/>
      <c r="H336" s="258"/>
      <c r="I336" s="259"/>
      <c r="J336" s="258"/>
      <c r="K336" s="248"/>
      <c r="L336" s="256"/>
      <c r="M336" s="257"/>
      <c r="N336" s="257"/>
      <c r="O336" s="258"/>
      <c r="P336" s="258"/>
      <c r="Q336" s="258"/>
      <c r="R336" s="259"/>
      <c r="S336" s="258"/>
      <c r="T336" s="272"/>
    </row>
    <row r="337" spans="1:20">
      <c r="A337" s="354"/>
      <c r="B337" s="249"/>
      <c r="C337" s="354"/>
      <c r="D337" s="250"/>
      <c r="E337" s="251"/>
      <c r="F337" s="252"/>
      <c r="G337" s="252"/>
      <c r="H337" s="252"/>
      <c r="I337" s="253"/>
      <c r="J337" s="252"/>
      <c r="K337" s="254"/>
      <c r="L337" s="250"/>
      <c r="M337" s="251"/>
      <c r="N337" s="251"/>
      <c r="O337" s="252"/>
      <c r="P337" s="252"/>
      <c r="Q337" s="252"/>
      <c r="R337" s="253"/>
      <c r="S337" s="252"/>
      <c r="T337" s="273"/>
    </row>
    <row r="338" spans="1:20">
      <c r="A338" s="355"/>
      <c r="B338" s="255"/>
      <c r="C338" s="355"/>
      <c r="D338" s="256"/>
      <c r="E338" s="257"/>
      <c r="F338" s="258"/>
      <c r="G338" s="258"/>
      <c r="H338" s="258"/>
      <c r="I338" s="259"/>
      <c r="J338" s="258"/>
      <c r="K338" s="248"/>
      <c r="L338" s="256"/>
      <c r="M338" s="257"/>
      <c r="N338" s="257"/>
      <c r="O338" s="258"/>
      <c r="P338" s="258"/>
      <c r="Q338" s="258"/>
      <c r="R338" s="259"/>
      <c r="S338" s="258"/>
      <c r="T338" s="272"/>
    </row>
    <row r="339" spans="1:20">
      <c r="A339" s="354"/>
      <c r="B339" s="249"/>
      <c r="C339" s="354"/>
      <c r="D339" s="250"/>
      <c r="E339" s="251"/>
      <c r="F339" s="252"/>
      <c r="G339" s="252"/>
      <c r="H339" s="252"/>
      <c r="I339" s="253"/>
      <c r="J339" s="252"/>
      <c r="K339" s="254"/>
      <c r="L339" s="250"/>
      <c r="M339" s="251"/>
      <c r="N339" s="251"/>
      <c r="O339" s="252"/>
      <c r="P339" s="252"/>
      <c r="Q339" s="252"/>
      <c r="R339" s="253"/>
      <c r="S339" s="252"/>
      <c r="T339" s="273"/>
    </row>
    <row r="340" spans="1:20">
      <c r="A340" s="355"/>
      <c r="B340" s="255"/>
      <c r="C340" s="355"/>
      <c r="D340" s="256"/>
      <c r="E340" s="257"/>
      <c r="F340" s="258"/>
      <c r="G340" s="258"/>
      <c r="H340" s="258"/>
      <c r="I340" s="259"/>
      <c r="J340" s="258"/>
      <c r="K340" s="248"/>
      <c r="L340" s="256"/>
      <c r="M340" s="257"/>
      <c r="N340" s="257"/>
      <c r="O340" s="258"/>
      <c r="P340" s="258"/>
      <c r="Q340" s="258"/>
      <c r="R340" s="259"/>
      <c r="S340" s="258"/>
      <c r="T340" s="272"/>
    </row>
    <row r="341" spans="1:20">
      <c r="A341" s="354"/>
      <c r="B341" s="249"/>
      <c r="C341" s="354"/>
      <c r="D341" s="250"/>
      <c r="E341" s="251"/>
      <c r="F341" s="252"/>
      <c r="G341" s="252"/>
      <c r="H341" s="252"/>
      <c r="I341" s="253"/>
      <c r="J341" s="252"/>
      <c r="K341" s="254"/>
      <c r="L341" s="250"/>
      <c r="M341" s="251"/>
      <c r="N341" s="251"/>
      <c r="O341" s="252"/>
      <c r="P341" s="252"/>
      <c r="Q341" s="252"/>
      <c r="R341" s="253"/>
      <c r="S341" s="252"/>
      <c r="T341" s="273"/>
    </row>
    <row r="342" spans="1:20">
      <c r="A342" s="355"/>
      <c r="B342" s="255"/>
      <c r="C342" s="355"/>
      <c r="D342" s="256"/>
      <c r="E342" s="257"/>
      <c r="F342" s="258"/>
      <c r="G342" s="258"/>
      <c r="H342" s="258"/>
      <c r="I342" s="259"/>
      <c r="J342" s="258"/>
      <c r="K342" s="248"/>
      <c r="L342" s="256"/>
      <c r="M342" s="257"/>
      <c r="N342" s="257"/>
      <c r="O342" s="258"/>
      <c r="P342" s="258"/>
      <c r="Q342" s="258"/>
      <c r="R342" s="259"/>
      <c r="S342" s="258"/>
      <c r="T342" s="272"/>
    </row>
    <row r="343" spans="1:20">
      <c r="A343" s="354"/>
      <c r="B343" s="249"/>
      <c r="C343" s="354"/>
      <c r="D343" s="250"/>
      <c r="E343" s="251"/>
      <c r="F343" s="252"/>
      <c r="G343" s="252"/>
      <c r="H343" s="252"/>
      <c r="I343" s="253"/>
      <c r="J343" s="252"/>
      <c r="K343" s="254"/>
      <c r="L343" s="250"/>
      <c r="M343" s="251"/>
      <c r="N343" s="251"/>
      <c r="O343" s="252"/>
      <c r="P343" s="252"/>
      <c r="Q343" s="252"/>
      <c r="R343" s="253"/>
      <c r="S343" s="252"/>
      <c r="T343" s="273"/>
    </row>
    <row r="344" spans="1:20">
      <c r="A344" s="355"/>
      <c r="B344" s="255"/>
      <c r="C344" s="355"/>
      <c r="D344" s="256"/>
      <c r="E344" s="257"/>
      <c r="F344" s="258"/>
      <c r="G344" s="258"/>
      <c r="H344" s="258"/>
      <c r="I344" s="259"/>
      <c r="J344" s="258"/>
      <c r="K344" s="248"/>
      <c r="L344" s="256"/>
      <c r="M344" s="257"/>
      <c r="N344" s="257"/>
      <c r="O344" s="258"/>
      <c r="P344" s="258"/>
      <c r="Q344" s="258"/>
      <c r="R344" s="259"/>
      <c r="S344" s="258"/>
      <c r="T344" s="272"/>
    </row>
    <row r="345" spans="1:20">
      <c r="A345" s="354"/>
      <c r="B345" s="249"/>
      <c r="C345" s="354"/>
      <c r="D345" s="250"/>
      <c r="E345" s="251"/>
      <c r="F345" s="252"/>
      <c r="G345" s="252"/>
      <c r="H345" s="252"/>
      <c r="I345" s="253"/>
      <c r="J345" s="252"/>
      <c r="K345" s="254"/>
      <c r="L345" s="250"/>
      <c r="M345" s="251"/>
      <c r="N345" s="251"/>
      <c r="O345" s="252"/>
      <c r="P345" s="252"/>
      <c r="Q345" s="252"/>
      <c r="R345" s="253"/>
      <c r="S345" s="252"/>
      <c r="T345" s="273"/>
    </row>
    <row r="346" spans="1:20">
      <c r="A346" s="355"/>
      <c r="B346" s="255"/>
      <c r="C346" s="355"/>
      <c r="D346" s="256"/>
      <c r="E346" s="257"/>
      <c r="F346" s="258"/>
      <c r="G346" s="258"/>
      <c r="H346" s="258"/>
      <c r="I346" s="259"/>
      <c r="J346" s="258"/>
      <c r="K346" s="248"/>
      <c r="L346" s="256"/>
      <c r="M346" s="257"/>
      <c r="N346" s="257"/>
      <c r="O346" s="258"/>
      <c r="P346" s="258"/>
      <c r="Q346" s="258"/>
      <c r="R346" s="259"/>
      <c r="S346" s="258"/>
      <c r="T346" s="272"/>
    </row>
    <row r="347" spans="1:20">
      <c r="A347" s="354"/>
      <c r="B347" s="249"/>
      <c r="C347" s="354"/>
      <c r="D347" s="250"/>
      <c r="E347" s="251"/>
      <c r="F347" s="252"/>
      <c r="G347" s="252"/>
      <c r="H347" s="252"/>
      <c r="I347" s="253"/>
      <c r="J347" s="252"/>
      <c r="K347" s="254"/>
      <c r="L347" s="250"/>
      <c r="M347" s="251"/>
      <c r="N347" s="251"/>
      <c r="O347" s="252"/>
      <c r="P347" s="252"/>
      <c r="Q347" s="252"/>
      <c r="R347" s="253"/>
      <c r="S347" s="252"/>
      <c r="T347" s="273"/>
    </row>
    <row r="348" spans="1:20">
      <c r="A348" s="355"/>
      <c r="B348" s="255"/>
      <c r="C348" s="355"/>
      <c r="D348" s="256"/>
      <c r="E348" s="257"/>
      <c r="F348" s="258"/>
      <c r="G348" s="258"/>
      <c r="H348" s="258"/>
      <c r="I348" s="259"/>
      <c r="J348" s="258"/>
      <c r="K348" s="248"/>
      <c r="L348" s="256"/>
      <c r="M348" s="257"/>
      <c r="N348" s="257"/>
      <c r="O348" s="258"/>
      <c r="P348" s="258"/>
      <c r="Q348" s="258"/>
      <c r="R348" s="259"/>
      <c r="S348" s="258"/>
      <c r="T348" s="272"/>
    </row>
    <row r="349" spans="1:20">
      <c r="A349" s="354"/>
      <c r="B349" s="249"/>
      <c r="C349" s="354"/>
      <c r="D349" s="250"/>
      <c r="E349" s="251"/>
      <c r="F349" s="252"/>
      <c r="G349" s="252"/>
      <c r="H349" s="252"/>
      <c r="I349" s="253"/>
      <c r="J349" s="252"/>
      <c r="K349" s="254"/>
      <c r="L349" s="250"/>
      <c r="M349" s="251"/>
      <c r="N349" s="251"/>
      <c r="O349" s="252"/>
      <c r="P349" s="252"/>
      <c r="Q349" s="252"/>
      <c r="R349" s="253"/>
      <c r="S349" s="252"/>
      <c r="T349" s="273"/>
    </row>
    <row r="350" spans="1:20">
      <c r="A350" s="355"/>
      <c r="B350" s="255"/>
      <c r="C350" s="355"/>
      <c r="D350" s="256"/>
      <c r="E350" s="257"/>
      <c r="F350" s="258"/>
      <c r="G350" s="258"/>
      <c r="H350" s="258"/>
      <c r="I350" s="259"/>
      <c r="J350" s="258"/>
      <c r="K350" s="248"/>
      <c r="L350" s="256"/>
      <c r="M350" s="257"/>
      <c r="N350" s="257"/>
      <c r="O350" s="258"/>
      <c r="P350" s="258"/>
      <c r="Q350" s="258"/>
      <c r="R350" s="259"/>
      <c r="S350" s="258"/>
      <c r="T350" s="272"/>
    </row>
    <row r="351" spans="1:20">
      <c r="A351" s="354"/>
      <c r="B351" s="249"/>
      <c r="C351" s="354"/>
      <c r="D351" s="250"/>
      <c r="E351" s="251"/>
      <c r="F351" s="252"/>
      <c r="G351" s="252"/>
      <c r="H351" s="252"/>
      <c r="I351" s="253"/>
      <c r="J351" s="252"/>
      <c r="K351" s="254"/>
      <c r="L351" s="250"/>
      <c r="M351" s="251"/>
      <c r="N351" s="251"/>
      <c r="O351" s="252"/>
      <c r="P351" s="252"/>
      <c r="Q351" s="252"/>
      <c r="R351" s="253"/>
      <c r="S351" s="252"/>
      <c r="T351" s="273"/>
    </row>
    <row r="352" spans="1:20">
      <c r="A352" s="355"/>
      <c r="B352" s="255"/>
      <c r="C352" s="355"/>
      <c r="D352" s="256"/>
      <c r="E352" s="257"/>
      <c r="F352" s="258"/>
      <c r="G352" s="258"/>
      <c r="H352" s="258"/>
      <c r="I352" s="259"/>
      <c r="J352" s="258"/>
      <c r="K352" s="248"/>
      <c r="L352" s="256"/>
      <c r="M352" s="257"/>
      <c r="N352" s="257"/>
      <c r="O352" s="258"/>
      <c r="P352" s="258"/>
      <c r="Q352" s="258"/>
      <c r="R352" s="259"/>
      <c r="S352" s="258"/>
      <c r="T352" s="272"/>
    </row>
    <row r="353" spans="1:20">
      <c r="A353" s="354"/>
      <c r="B353" s="249"/>
      <c r="C353" s="354"/>
      <c r="D353" s="250"/>
      <c r="E353" s="251"/>
      <c r="F353" s="252"/>
      <c r="G353" s="252"/>
      <c r="H353" s="252"/>
      <c r="I353" s="253"/>
      <c r="J353" s="252"/>
      <c r="K353" s="254"/>
      <c r="L353" s="250"/>
      <c r="M353" s="251"/>
      <c r="N353" s="251"/>
      <c r="O353" s="252"/>
      <c r="P353" s="252"/>
      <c r="Q353" s="252"/>
      <c r="R353" s="253"/>
      <c r="S353" s="252"/>
      <c r="T353" s="273"/>
    </row>
    <row r="354" spans="1:20">
      <c r="A354" s="355"/>
      <c r="B354" s="255"/>
      <c r="C354" s="355"/>
      <c r="D354" s="256"/>
      <c r="E354" s="257"/>
      <c r="F354" s="258"/>
      <c r="G354" s="258"/>
      <c r="H354" s="258"/>
      <c r="I354" s="259"/>
      <c r="J354" s="258"/>
      <c r="K354" s="248"/>
      <c r="L354" s="256"/>
      <c r="M354" s="257"/>
      <c r="N354" s="257"/>
      <c r="O354" s="258"/>
      <c r="P354" s="258"/>
      <c r="Q354" s="258"/>
      <c r="R354" s="259"/>
      <c r="S354" s="258"/>
      <c r="T354" s="272"/>
    </row>
    <row r="355" spans="1:20">
      <c r="A355" s="354"/>
      <c r="B355" s="249"/>
      <c r="C355" s="354"/>
      <c r="D355" s="250"/>
      <c r="E355" s="251"/>
      <c r="F355" s="252"/>
      <c r="G355" s="252"/>
      <c r="H355" s="252"/>
      <c r="I355" s="253"/>
      <c r="J355" s="252"/>
      <c r="K355" s="254"/>
      <c r="L355" s="250"/>
      <c r="M355" s="251"/>
      <c r="N355" s="251"/>
      <c r="O355" s="252"/>
      <c r="P355" s="252"/>
      <c r="Q355" s="252"/>
      <c r="R355" s="253"/>
      <c r="S355" s="252"/>
      <c r="T355" s="273"/>
    </row>
    <row r="356" spans="1:20">
      <c r="A356" s="355"/>
      <c r="B356" s="255"/>
      <c r="C356" s="355"/>
      <c r="D356" s="256"/>
      <c r="E356" s="257"/>
      <c r="F356" s="258"/>
      <c r="G356" s="258"/>
      <c r="H356" s="258"/>
      <c r="I356" s="259"/>
      <c r="J356" s="258"/>
      <c r="K356" s="248"/>
      <c r="L356" s="256"/>
      <c r="M356" s="257"/>
      <c r="N356" s="257"/>
      <c r="O356" s="258"/>
      <c r="P356" s="258"/>
      <c r="Q356" s="258"/>
      <c r="R356" s="259"/>
      <c r="S356" s="258"/>
      <c r="T356" s="272"/>
    </row>
    <row r="357" spans="1:20">
      <c r="A357" s="354"/>
      <c r="B357" s="249"/>
      <c r="C357" s="354"/>
      <c r="D357" s="250"/>
      <c r="E357" s="251"/>
      <c r="F357" s="252"/>
      <c r="G357" s="252"/>
      <c r="H357" s="252"/>
      <c r="I357" s="253"/>
      <c r="J357" s="252"/>
      <c r="K357" s="254"/>
      <c r="L357" s="250"/>
      <c r="M357" s="251"/>
      <c r="N357" s="251"/>
      <c r="O357" s="252"/>
      <c r="P357" s="252"/>
      <c r="Q357" s="252"/>
      <c r="R357" s="253"/>
      <c r="S357" s="252"/>
      <c r="T357" s="273"/>
    </row>
    <row r="358" spans="1:20">
      <c r="A358" s="355"/>
      <c r="B358" s="255"/>
      <c r="C358" s="355"/>
      <c r="D358" s="256"/>
      <c r="E358" s="257"/>
      <c r="F358" s="258"/>
      <c r="G358" s="258"/>
      <c r="H358" s="258"/>
      <c r="I358" s="259"/>
      <c r="J358" s="258"/>
      <c r="K358" s="248"/>
      <c r="L358" s="256"/>
      <c r="M358" s="257"/>
      <c r="N358" s="257"/>
      <c r="O358" s="258"/>
      <c r="P358" s="258"/>
      <c r="Q358" s="258"/>
      <c r="R358" s="259"/>
      <c r="S358" s="258"/>
      <c r="T358" s="272"/>
    </row>
    <row r="359" spans="1:20">
      <c r="A359" s="354"/>
      <c r="B359" s="249"/>
      <c r="C359" s="354"/>
      <c r="D359" s="250"/>
      <c r="E359" s="251"/>
      <c r="F359" s="252"/>
      <c r="G359" s="252"/>
      <c r="H359" s="252"/>
      <c r="I359" s="253"/>
      <c r="J359" s="252"/>
      <c r="K359" s="254"/>
      <c r="L359" s="250"/>
      <c r="M359" s="251"/>
      <c r="N359" s="251"/>
      <c r="O359" s="252"/>
      <c r="P359" s="252"/>
      <c r="Q359" s="252"/>
      <c r="R359" s="253"/>
      <c r="S359" s="252"/>
      <c r="T359" s="273"/>
    </row>
    <row r="360" spans="1:20">
      <c r="A360" s="355"/>
      <c r="B360" s="255"/>
      <c r="C360" s="355"/>
      <c r="D360" s="256"/>
      <c r="E360" s="257"/>
      <c r="F360" s="258"/>
      <c r="G360" s="258"/>
      <c r="H360" s="258"/>
      <c r="I360" s="259"/>
      <c r="J360" s="258"/>
      <c r="K360" s="248"/>
      <c r="L360" s="256"/>
      <c r="M360" s="257"/>
      <c r="N360" s="257"/>
      <c r="O360" s="258"/>
      <c r="P360" s="258"/>
      <c r="Q360" s="258"/>
      <c r="R360" s="259"/>
      <c r="S360" s="258"/>
      <c r="T360" s="272"/>
    </row>
    <row r="361" spans="1:20">
      <c r="A361" s="354"/>
      <c r="B361" s="249"/>
      <c r="C361" s="354"/>
      <c r="D361" s="250"/>
      <c r="E361" s="251"/>
      <c r="F361" s="252"/>
      <c r="G361" s="252"/>
      <c r="H361" s="252"/>
      <c r="I361" s="253"/>
      <c r="J361" s="252"/>
      <c r="K361" s="254"/>
      <c r="L361" s="250"/>
      <c r="M361" s="251"/>
      <c r="N361" s="251"/>
      <c r="O361" s="252"/>
      <c r="P361" s="252"/>
      <c r="Q361" s="252"/>
      <c r="R361" s="253"/>
      <c r="S361" s="252"/>
      <c r="T361" s="273"/>
    </row>
    <row r="362" spans="1:20">
      <c r="A362" s="355"/>
      <c r="B362" s="255"/>
      <c r="C362" s="355"/>
      <c r="D362" s="256"/>
      <c r="E362" s="257"/>
      <c r="F362" s="258"/>
      <c r="G362" s="258"/>
      <c r="H362" s="258"/>
      <c r="I362" s="259"/>
      <c r="J362" s="258"/>
      <c r="K362" s="248"/>
      <c r="L362" s="256"/>
      <c r="M362" s="257"/>
      <c r="N362" s="257"/>
      <c r="O362" s="258"/>
      <c r="P362" s="258"/>
      <c r="Q362" s="258"/>
      <c r="R362" s="259"/>
      <c r="S362" s="258"/>
      <c r="T362" s="272"/>
    </row>
    <row r="363" spans="1:20">
      <c r="A363" s="354"/>
      <c r="B363" s="249"/>
      <c r="C363" s="354"/>
      <c r="D363" s="250"/>
      <c r="E363" s="251"/>
      <c r="F363" s="252"/>
      <c r="G363" s="252"/>
      <c r="H363" s="252"/>
      <c r="I363" s="253"/>
      <c r="J363" s="252"/>
      <c r="K363" s="254"/>
      <c r="L363" s="250"/>
      <c r="M363" s="251"/>
      <c r="N363" s="251"/>
      <c r="O363" s="252"/>
      <c r="P363" s="252"/>
      <c r="Q363" s="252"/>
      <c r="R363" s="253"/>
      <c r="S363" s="252"/>
      <c r="T363" s="273"/>
    </row>
    <row r="364" spans="1:20">
      <c r="A364" s="355"/>
      <c r="B364" s="255"/>
      <c r="C364" s="355"/>
      <c r="D364" s="256"/>
      <c r="E364" s="257"/>
      <c r="F364" s="258"/>
      <c r="G364" s="258"/>
      <c r="H364" s="258"/>
      <c r="I364" s="259"/>
      <c r="J364" s="258"/>
      <c r="K364" s="248"/>
      <c r="L364" s="256"/>
      <c r="M364" s="257"/>
      <c r="N364" s="257"/>
      <c r="O364" s="258"/>
      <c r="P364" s="258"/>
      <c r="Q364" s="258"/>
      <c r="R364" s="259"/>
      <c r="S364" s="258"/>
      <c r="T364" s="272"/>
    </row>
    <row r="365" spans="1:20">
      <c r="A365" s="354"/>
      <c r="B365" s="249"/>
      <c r="C365" s="354"/>
      <c r="D365" s="250"/>
      <c r="E365" s="251"/>
      <c r="F365" s="252"/>
      <c r="G365" s="252"/>
      <c r="H365" s="252"/>
      <c r="I365" s="253"/>
      <c r="J365" s="252"/>
      <c r="K365" s="254"/>
      <c r="L365" s="250"/>
      <c r="M365" s="251"/>
      <c r="N365" s="251"/>
      <c r="O365" s="252"/>
      <c r="P365" s="252"/>
      <c r="Q365" s="252"/>
      <c r="R365" s="253"/>
      <c r="S365" s="252"/>
      <c r="T365" s="273"/>
    </row>
    <row r="366" spans="1:20">
      <c r="A366" s="355"/>
      <c r="B366" s="255"/>
      <c r="C366" s="355"/>
      <c r="D366" s="256"/>
      <c r="E366" s="257"/>
      <c r="F366" s="258"/>
      <c r="G366" s="258"/>
      <c r="H366" s="258"/>
      <c r="I366" s="259"/>
      <c r="J366" s="258"/>
      <c r="K366" s="248"/>
      <c r="L366" s="256"/>
      <c r="M366" s="257"/>
      <c r="N366" s="257"/>
      <c r="O366" s="258"/>
      <c r="P366" s="258"/>
      <c r="Q366" s="258"/>
      <c r="R366" s="259"/>
      <c r="S366" s="258"/>
      <c r="T366" s="272"/>
    </row>
    <row r="367" spans="1:20">
      <c r="A367" s="354"/>
      <c r="B367" s="249"/>
      <c r="C367" s="354"/>
      <c r="D367" s="250"/>
      <c r="E367" s="251"/>
      <c r="F367" s="252"/>
      <c r="G367" s="252"/>
      <c r="H367" s="252"/>
      <c r="I367" s="253"/>
      <c r="J367" s="252"/>
      <c r="K367" s="254"/>
      <c r="L367" s="250"/>
      <c r="M367" s="251"/>
      <c r="N367" s="251"/>
      <c r="O367" s="252"/>
      <c r="P367" s="252"/>
      <c r="Q367" s="252"/>
      <c r="R367" s="253"/>
      <c r="S367" s="252"/>
      <c r="T367" s="273"/>
    </row>
    <row r="368" spans="1:20">
      <c r="A368" s="355"/>
      <c r="B368" s="255"/>
      <c r="C368" s="355"/>
      <c r="D368" s="256"/>
      <c r="E368" s="257"/>
      <c r="F368" s="258"/>
      <c r="G368" s="258"/>
      <c r="H368" s="258"/>
      <c r="I368" s="259"/>
      <c r="J368" s="258"/>
      <c r="K368" s="248"/>
      <c r="L368" s="256"/>
      <c r="M368" s="257"/>
      <c r="N368" s="257"/>
      <c r="O368" s="258"/>
      <c r="P368" s="258"/>
      <c r="Q368" s="258"/>
      <c r="R368" s="259"/>
      <c r="S368" s="258"/>
      <c r="T368" s="272"/>
    </row>
    <row r="369" spans="1:20">
      <c r="A369" s="354"/>
      <c r="B369" s="249"/>
      <c r="C369" s="354"/>
      <c r="D369" s="250"/>
      <c r="E369" s="251"/>
      <c r="F369" s="252"/>
      <c r="G369" s="252"/>
      <c r="H369" s="252"/>
      <c r="I369" s="253"/>
      <c r="J369" s="252"/>
      <c r="K369" s="254"/>
      <c r="L369" s="250"/>
      <c r="M369" s="251"/>
      <c r="N369" s="251"/>
      <c r="O369" s="252"/>
      <c r="P369" s="252"/>
      <c r="Q369" s="252"/>
      <c r="R369" s="253"/>
      <c r="S369" s="252"/>
      <c r="T369" s="273"/>
    </row>
    <row r="370" spans="1:20">
      <c r="A370" s="355"/>
      <c r="B370" s="255"/>
      <c r="C370" s="355"/>
      <c r="D370" s="256"/>
      <c r="E370" s="257"/>
      <c r="F370" s="258"/>
      <c r="G370" s="258"/>
      <c r="H370" s="258"/>
      <c r="I370" s="259"/>
      <c r="J370" s="258"/>
      <c r="K370" s="248"/>
      <c r="L370" s="256"/>
      <c r="M370" s="257"/>
      <c r="N370" s="257"/>
      <c r="O370" s="258"/>
      <c r="P370" s="258"/>
      <c r="Q370" s="258"/>
      <c r="R370" s="259"/>
      <c r="S370" s="258"/>
      <c r="T370" s="272"/>
    </row>
    <row r="371" spans="1:20">
      <c r="A371" s="354"/>
      <c r="B371" s="249"/>
      <c r="C371" s="354"/>
      <c r="D371" s="250"/>
      <c r="E371" s="251"/>
      <c r="F371" s="252"/>
      <c r="G371" s="252"/>
      <c r="H371" s="252"/>
      <c r="I371" s="253"/>
      <c r="J371" s="252"/>
      <c r="K371" s="254"/>
      <c r="L371" s="250"/>
      <c r="M371" s="251"/>
      <c r="N371" s="251"/>
      <c r="O371" s="252"/>
      <c r="P371" s="252"/>
      <c r="Q371" s="252"/>
      <c r="R371" s="253"/>
      <c r="S371" s="252"/>
      <c r="T371" s="273"/>
    </row>
    <row r="372" spans="1:20">
      <c r="A372" s="355"/>
      <c r="B372" s="255"/>
      <c r="C372" s="355"/>
      <c r="D372" s="256"/>
      <c r="E372" s="257"/>
      <c r="F372" s="258"/>
      <c r="G372" s="258"/>
      <c r="H372" s="258"/>
      <c r="I372" s="259"/>
      <c r="J372" s="258"/>
      <c r="K372" s="248"/>
      <c r="L372" s="256"/>
      <c r="M372" s="257"/>
      <c r="N372" s="257"/>
      <c r="O372" s="258"/>
      <c r="P372" s="258"/>
      <c r="Q372" s="258"/>
      <c r="R372" s="259"/>
      <c r="S372" s="258"/>
      <c r="T372" s="272"/>
    </row>
    <row r="373" spans="1:20">
      <c r="A373" s="354"/>
      <c r="B373" s="249"/>
      <c r="C373" s="354"/>
      <c r="D373" s="250"/>
      <c r="E373" s="251"/>
      <c r="F373" s="252"/>
      <c r="G373" s="252"/>
      <c r="H373" s="252"/>
      <c r="I373" s="253"/>
      <c r="J373" s="252"/>
      <c r="K373" s="254"/>
      <c r="L373" s="250"/>
      <c r="M373" s="251"/>
      <c r="N373" s="251"/>
      <c r="O373" s="252"/>
      <c r="P373" s="252"/>
      <c r="Q373" s="252"/>
      <c r="R373" s="253"/>
      <c r="S373" s="252"/>
      <c r="T373" s="273"/>
    </row>
    <row r="374" spans="1:20">
      <c r="A374" s="355"/>
      <c r="B374" s="255"/>
      <c r="C374" s="355"/>
      <c r="D374" s="256"/>
      <c r="E374" s="257"/>
      <c r="F374" s="258"/>
      <c r="G374" s="258"/>
      <c r="H374" s="258"/>
      <c r="I374" s="259"/>
      <c r="J374" s="258"/>
      <c r="K374" s="248"/>
      <c r="L374" s="256"/>
      <c r="M374" s="257"/>
      <c r="N374" s="257"/>
      <c r="O374" s="258"/>
      <c r="P374" s="258"/>
      <c r="Q374" s="258"/>
      <c r="R374" s="259"/>
      <c r="S374" s="258"/>
      <c r="T374" s="272"/>
    </row>
    <row r="375" spans="1:20">
      <c r="A375" s="354"/>
      <c r="B375" s="249"/>
      <c r="C375" s="354"/>
      <c r="D375" s="250"/>
      <c r="E375" s="251"/>
      <c r="F375" s="252"/>
      <c r="G375" s="252"/>
      <c r="H375" s="252"/>
      <c r="I375" s="253"/>
      <c r="J375" s="252"/>
      <c r="K375" s="254"/>
      <c r="L375" s="250"/>
      <c r="M375" s="251"/>
      <c r="N375" s="251"/>
      <c r="O375" s="252"/>
      <c r="P375" s="252"/>
      <c r="Q375" s="252"/>
      <c r="R375" s="253"/>
      <c r="S375" s="252"/>
      <c r="T375" s="273"/>
    </row>
    <row r="376" spans="1:20">
      <c r="A376" s="355"/>
      <c r="B376" s="255"/>
      <c r="C376" s="355"/>
      <c r="D376" s="256"/>
      <c r="E376" s="257"/>
      <c r="F376" s="258"/>
      <c r="G376" s="258"/>
      <c r="H376" s="258"/>
      <c r="I376" s="259"/>
      <c r="J376" s="258"/>
      <c r="K376" s="248"/>
      <c r="L376" s="256"/>
      <c r="M376" s="257"/>
      <c r="N376" s="257"/>
      <c r="O376" s="258"/>
      <c r="P376" s="258"/>
      <c r="Q376" s="258"/>
      <c r="R376" s="259"/>
      <c r="S376" s="258"/>
      <c r="T376" s="272"/>
    </row>
    <row r="377" spans="1:20">
      <c r="A377" s="354"/>
      <c r="B377" s="249"/>
      <c r="C377" s="354"/>
      <c r="D377" s="250"/>
      <c r="E377" s="251"/>
      <c r="F377" s="252"/>
      <c r="G377" s="252"/>
      <c r="H377" s="252"/>
      <c r="I377" s="253"/>
      <c r="J377" s="252"/>
      <c r="K377" s="254"/>
      <c r="L377" s="250"/>
      <c r="M377" s="251"/>
      <c r="N377" s="251"/>
      <c r="O377" s="252"/>
      <c r="P377" s="252"/>
      <c r="Q377" s="252"/>
      <c r="R377" s="253"/>
      <c r="S377" s="252"/>
      <c r="T377" s="273"/>
    </row>
    <row r="378" spans="1:20">
      <c r="A378" s="355"/>
      <c r="B378" s="255"/>
      <c r="C378" s="355"/>
      <c r="D378" s="256"/>
      <c r="E378" s="257"/>
      <c r="F378" s="258"/>
      <c r="G378" s="258"/>
      <c r="H378" s="258"/>
      <c r="I378" s="259"/>
      <c r="J378" s="258"/>
      <c r="K378" s="248"/>
      <c r="L378" s="256"/>
      <c r="M378" s="257"/>
      <c r="N378" s="257"/>
      <c r="O378" s="258"/>
      <c r="P378" s="258"/>
      <c r="Q378" s="258"/>
      <c r="R378" s="259"/>
      <c r="S378" s="258"/>
      <c r="T378" s="272"/>
    </row>
    <row r="379" spans="1:20">
      <c r="A379" s="354"/>
      <c r="B379" s="249"/>
      <c r="C379" s="354"/>
      <c r="D379" s="250"/>
      <c r="E379" s="251"/>
      <c r="F379" s="252"/>
      <c r="G379" s="252"/>
      <c r="H379" s="252"/>
      <c r="I379" s="253"/>
      <c r="J379" s="252"/>
      <c r="K379" s="254"/>
      <c r="L379" s="250"/>
      <c r="M379" s="251"/>
      <c r="N379" s="251"/>
      <c r="O379" s="252"/>
      <c r="P379" s="252"/>
      <c r="Q379" s="252"/>
      <c r="R379" s="253"/>
      <c r="S379" s="252"/>
      <c r="T379" s="273"/>
    </row>
    <row r="380" spans="1:20">
      <c r="A380" s="355"/>
      <c r="B380" s="255"/>
      <c r="C380" s="355"/>
      <c r="D380" s="256"/>
      <c r="E380" s="257"/>
      <c r="F380" s="258"/>
      <c r="G380" s="258"/>
      <c r="H380" s="258"/>
      <c r="I380" s="259"/>
      <c r="J380" s="258"/>
      <c r="K380" s="248"/>
      <c r="L380" s="256"/>
      <c r="M380" s="257"/>
      <c r="N380" s="257"/>
      <c r="O380" s="258"/>
      <c r="P380" s="258"/>
      <c r="Q380" s="258"/>
      <c r="R380" s="259"/>
      <c r="S380" s="258"/>
      <c r="T380" s="272"/>
    </row>
    <row r="381" spans="1:20">
      <c r="A381" s="354"/>
      <c r="B381" s="249"/>
      <c r="C381" s="354"/>
      <c r="D381" s="250"/>
      <c r="E381" s="251"/>
      <c r="F381" s="252"/>
      <c r="G381" s="252"/>
      <c r="H381" s="252"/>
      <c r="I381" s="253"/>
      <c r="J381" s="252"/>
      <c r="K381" s="254"/>
      <c r="L381" s="250"/>
      <c r="M381" s="251"/>
      <c r="N381" s="251"/>
      <c r="O381" s="252"/>
      <c r="P381" s="252"/>
      <c r="Q381" s="252"/>
      <c r="R381" s="253"/>
      <c r="S381" s="252"/>
      <c r="T381" s="273"/>
    </row>
    <row r="382" spans="1:20">
      <c r="A382" s="355"/>
      <c r="B382" s="255"/>
      <c r="C382" s="355"/>
      <c r="D382" s="256"/>
      <c r="E382" s="257"/>
      <c r="F382" s="258"/>
      <c r="G382" s="258"/>
      <c r="H382" s="258"/>
      <c r="I382" s="259"/>
      <c r="J382" s="258"/>
      <c r="K382" s="248"/>
      <c r="L382" s="256"/>
      <c r="M382" s="257"/>
      <c r="N382" s="257"/>
      <c r="O382" s="258"/>
      <c r="P382" s="258"/>
      <c r="Q382" s="258"/>
      <c r="R382" s="259"/>
      <c r="S382" s="258"/>
      <c r="T382" s="272"/>
    </row>
    <row r="383" spans="1:20">
      <c r="A383" s="354"/>
      <c r="B383" s="249"/>
      <c r="C383" s="354"/>
      <c r="D383" s="250"/>
      <c r="E383" s="251"/>
      <c r="F383" s="252"/>
      <c r="G383" s="252"/>
      <c r="H383" s="252"/>
      <c r="I383" s="253"/>
      <c r="J383" s="252"/>
      <c r="K383" s="254"/>
      <c r="L383" s="250"/>
      <c r="M383" s="251"/>
      <c r="N383" s="251"/>
      <c r="O383" s="252"/>
      <c r="P383" s="252"/>
      <c r="Q383" s="252"/>
      <c r="R383" s="253"/>
      <c r="S383" s="252"/>
      <c r="T383" s="273"/>
    </row>
    <row r="384" spans="1:20">
      <c r="A384" s="355"/>
      <c r="B384" s="255"/>
      <c r="C384" s="355"/>
      <c r="D384" s="256"/>
      <c r="E384" s="257"/>
      <c r="F384" s="258"/>
      <c r="G384" s="258"/>
      <c r="H384" s="258"/>
      <c r="I384" s="259"/>
      <c r="J384" s="258"/>
      <c r="K384" s="248"/>
      <c r="L384" s="256"/>
      <c r="M384" s="257"/>
      <c r="N384" s="257"/>
      <c r="O384" s="258"/>
      <c r="P384" s="258"/>
      <c r="Q384" s="258"/>
      <c r="R384" s="259"/>
      <c r="S384" s="258"/>
      <c r="T384" s="272"/>
    </row>
    <row r="385" spans="1:20">
      <c r="A385" s="354"/>
      <c r="B385" s="249"/>
      <c r="C385" s="354"/>
      <c r="D385" s="250"/>
      <c r="E385" s="251"/>
      <c r="F385" s="252"/>
      <c r="G385" s="252"/>
      <c r="H385" s="252"/>
      <c r="I385" s="253"/>
      <c r="J385" s="252"/>
      <c r="K385" s="254"/>
      <c r="L385" s="250"/>
      <c r="M385" s="251"/>
      <c r="N385" s="251"/>
      <c r="O385" s="252"/>
      <c r="P385" s="252"/>
      <c r="Q385" s="252"/>
      <c r="R385" s="253"/>
      <c r="S385" s="252"/>
      <c r="T385" s="273"/>
    </row>
    <row r="386" spans="1:20">
      <c r="A386" s="355"/>
      <c r="B386" s="255"/>
      <c r="C386" s="355"/>
      <c r="D386" s="256"/>
      <c r="E386" s="257"/>
      <c r="F386" s="258"/>
      <c r="G386" s="258"/>
      <c r="H386" s="258"/>
      <c r="I386" s="259"/>
      <c r="J386" s="258"/>
      <c r="K386" s="248"/>
      <c r="L386" s="256"/>
      <c r="M386" s="257"/>
      <c r="N386" s="257"/>
      <c r="O386" s="258"/>
      <c r="P386" s="258"/>
      <c r="Q386" s="258"/>
      <c r="R386" s="259"/>
      <c r="S386" s="258"/>
      <c r="T386" s="272"/>
    </row>
    <row r="387" spans="1:20">
      <c r="A387" s="354"/>
      <c r="B387" s="249"/>
      <c r="C387" s="354"/>
      <c r="D387" s="250"/>
      <c r="E387" s="251"/>
      <c r="F387" s="252"/>
      <c r="G387" s="252"/>
      <c r="H387" s="252"/>
      <c r="I387" s="253"/>
      <c r="J387" s="252"/>
      <c r="K387" s="254"/>
      <c r="L387" s="250"/>
      <c r="M387" s="251"/>
      <c r="N387" s="251"/>
      <c r="O387" s="252"/>
      <c r="P387" s="252"/>
      <c r="Q387" s="252"/>
      <c r="R387" s="253"/>
      <c r="S387" s="252"/>
      <c r="T387" s="273"/>
    </row>
    <row r="388" spans="1:20">
      <c r="A388" s="355"/>
      <c r="B388" s="255"/>
      <c r="C388" s="355"/>
      <c r="D388" s="256"/>
      <c r="E388" s="257"/>
      <c r="F388" s="258"/>
      <c r="G388" s="258"/>
      <c r="H388" s="258"/>
      <c r="I388" s="259"/>
      <c r="J388" s="258"/>
      <c r="K388" s="248"/>
      <c r="L388" s="256"/>
      <c r="M388" s="257"/>
      <c r="N388" s="257"/>
      <c r="O388" s="258"/>
      <c r="P388" s="258"/>
      <c r="Q388" s="258"/>
      <c r="R388" s="259"/>
      <c r="S388" s="258"/>
      <c r="T388" s="272"/>
    </row>
    <row r="389" spans="1:20">
      <c r="A389" s="354"/>
      <c r="B389" s="249"/>
      <c r="C389" s="354"/>
      <c r="D389" s="250"/>
      <c r="E389" s="251"/>
      <c r="F389" s="252"/>
      <c r="G389" s="252"/>
      <c r="H389" s="252"/>
      <c r="I389" s="253"/>
      <c r="J389" s="252"/>
      <c r="K389" s="254"/>
      <c r="L389" s="250"/>
      <c r="M389" s="251"/>
      <c r="N389" s="251"/>
      <c r="O389" s="252"/>
      <c r="P389" s="252"/>
      <c r="Q389" s="252"/>
      <c r="R389" s="253"/>
      <c r="S389" s="252"/>
      <c r="T389" s="273"/>
    </row>
    <row r="390" spans="1:20">
      <c r="A390" s="355"/>
      <c r="B390" s="255"/>
      <c r="C390" s="355"/>
      <c r="D390" s="256"/>
      <c r="E390" s="257"/>
      <c r="F390" s="258"/>
      <c r="G390" s="258"/>
      <c r="H390" s="258"/>
      <c r="I390" s="259"/>
      <c r="J390" s="258"/>
      <c r="K390" s="248"/>
      <c r="L390" s="256"/>
      <c r="M390" s="257"/>
      <c r="N390" s="257"/>
      <c r="O390" s="258"/>
      <c r="P390" s="258"/>
      <c r="Q390" s="258"/>
      <c r="R390" s="259"/>
      <c r="S390" s="258"/>
      <c r="T390" s="272"/>
    </row>
    <row r="391" spans="1:20">
      <c r="A391" s="354"/>
      <c r="B391" s="249"/>
      <c r="C391" s="354"/>
      <c r="D391" s="250"/>
      <c r="E391" s="251"/>
      <c r="F391" s="252"/>
      <c r="G391" s="252"/>
      <c r="H391" s="252"/>
      <c r="I391" s="253"/>
      <c r="J391" s="252"/>
      <c r="K391" s="254"/>
      <c r="L391" s="250"/>
      <c r="M391" s="251"/>
      <c r="N391" s="251"/>
      <c r="O391" s="252"/>
      <c r="P391" s="252"/>
      <c r="Q391" s="252"/>
      <c r="R391" s="253"/>
      <c r="S391" s="252"/>
      <c r="T391" s="273"/>
    </row>
    <row r="392" spans="1:20">
      <c r="A392" s="355"/>
      <c r="B392" s="255"/>
      <c r="C392" s="355"/>
      <c r="D392" s="256"/>
      <c r="E392" s="257"/>
      <c r="F392" s="258"/>
      <c r="G392" s="258"/>
      <c r="H392" s="258"/>
      <c r="I392" s="259"/>
      <c r="J392" s="258"/>
      <c r="K392" s="248"/>
      <c r="L392" s="256"/>
      <c r="M392" s="257"/>
      <c r="N392" s="257"/>
      <c r="O392" s="258"/>
      <c r="P392" s="258"/>
      <c r="Q392" s="258"/>
      <c r="R392" s="259"/>
      <c r="S392" s="258"/>
      <c r="T392" s="272"/>
    </row>
    <row r="393" spans="1:20">
      <c r="A393" s="354"/>
      <c r="B393" s="249"/>
      <c r="C393" s="354"/>
      <c r="D393" s="250"/>
      <c r="E393" s="251"/>
      <c r="F393" s="252"/>
      <c r="G393" s="252"/>
      <c r="H393" s="252"/>
      <c r="I393" s="253"/>
      <c r="J393" s="252"/>
      <c r="K393" s="254"/>
      <c r="L393" s="250"/>
      <c r="M393" s="251"/>
      <c r="N393" s="251"/>
      <c r="O393" s="252"/>
      <c r="P393" s="252"/>
      <c r="Q393" s="252"/>
      <c r="R393" s="253"/>
      <c r="S393" s="252"/>
      <c r="T393" s="273"/>
    </row>
    <row r="394" spans="1:20">
      <c r="A394" s="355"/>
      <c r="B394" s="255"/>
      <c r="C394" s="355"/>
      <c r="D394" s="256"/>
      <c r="E394" s="257"/>
      <c r="F394" s="258"/>
      <c r="G394" s="258"/>
      <c r="H394" s="258"/>
      <c r="I394" s="259"/>
      <c r="J394" s="258"/>
      <c r="K394" s="248"/>
      <c r="L394" s="256"/>
      <c r="M394" s="257"/>
      <c r="N394" s="257"/>
      <c r="O394" s="258"/>
      <c r="P394" s="258"/>
      <c r="Q394" s="258"/>
      <c r="R394" s="259"/>
      <c r="S394" s="258"/>
      <c r="T394" s="272"/>
    </row>
    <row r="395" spans="1:20">
      <c r="A395" s="354"/>
      <c r="B395" s="249"/>
      <c r="C395" s="354"/>
      <c r="D395" s="250"/>
      <c r="E395" s="251"/>
      <c r="F395" s="252"/>
      <c r="G395" s="252"/>
      <c r="H395" s="252"/>
      <c r="I395" s="253"/>
      <c r="J395" s="252"/>
      <c r="K395" s="254"/>
      <c r="L395" s="250"/>
      <c r="M395" s="251"/>
      <c r="N395" s="251"/>
      <c r="O395" s="252"/>
      <c r="P395" s="252"/>
      <c r="Q395" s="252"/>
      <c r="R395" s="253"/>
      <c r="S395" s="252"/>
      <c r="T395" s="273"/>
    </row>
    <row r="396" spans="1:20">
      <c r="A396" s="355"/>
      <c r="B396" s="255"/>
      <c r="C396" s="355"/>
      <c r="D396" s="256"/>
      <c r="E396" s="257"/>
      <c r="F396" s="258"/>
      <c r="G396" s="258"/>
      <c r="H396" s="258"/>
      <c r="I396" s="259"/>
      <c r="J396" s="258"/>
      <c r="K396" s="248"/>
      <c r="L396" s="256"/>
      <c r="M396" s="257"/>
      <c r="N396" s="257"/>
      <c r="O396" s="258"/>
      <c r="P396" s="258"/>
      <c r="Q396" s="258"/>
      <c r="R396" s="259"/>
      <c r="S396" s="258"/>
      <c r="T396" s="272"/>
    </row>
    <row r="397" spans="1:20">
      <c r="A397" s="354"/>
      <c r="B397" s="249"/>
      <c r="C397" s="354"/>
      <c r="D397" s="250"/>
      <c r="E397" s="251"/>
      <c r="F397" s="252"/>
      <c r="G397" s="252"/>
      <c r="H397" s="252"/>
      <c r="I397" s="253"/>
      <c r="J397" s="252"/>
      <c r="K397" s="254"/>
      <c r="L397" s="250"/>
      <c r="M397" s="251"/>
      <c r="N397" s="251"/>
      <c r="O397" s="252"/>
      <c r="P397" s="252"/>
      <c r="Q397" s="252"/>
      <c r="R397" s="253"/>
      <c r="S397" s="252"/>
      <c r="T397" s="273"/>
    </row>
    <row r="398" spans="1:20">
      <c r="A398" s="355"/>
      <c r="B398" s="255"/>
      <c r="C398" s="355"/>
      <c r="D398" s="256"/>
      <c r="E398" s="257"/>
      <c r="F398" s="258"/>
      <c r="G398" s="258"/>
      <c r="H398" s="258"/>
      <c r="I398" s="259"/>
      <c r="J398" s="258"/>
      <c r="K398" s="248"/>
      <c r="L398" s="256"/>
      <c r="M398" s="257"/>
      <c r="N398" s="257"/>
      <c r="O398" s="258"/>
      <c r="P398" s="258"/>
      <c r="Q398" s="258"/>
      <c r="R398" s="259"/>
      <c r="S398" s="258"/>
      <c r="T398" s="272"/>
    </row>
    <row r="399" spans="1:20">
      <c r="A399" s="354"/>
      <c r="B399" s="249"/>
      <c r="C399" s="354"/>
      <c r="D399" s="250"/>
      <c r="E399" s="251"/>
      <c r="F399" s="252"/>
      <c r="G399" s="252"/>
      <c r="H399" s="252"/>
      <c r="I399" s="253"/>
      <c r="J399" s="252"/>
      <c r="K399" s="254"/>
      <c r="L399" s="250"/>
      <c r="M399" s="251"/>
      <c r="N399" s="251"/>
      <c r="O399" s="252"/>
      <c r="P399" s="252"/>
      <c r="Q399" s="252"/>
      <c r="R399" s="253"/>
      <c r="S399" s="252"/>
      <c r="T399" s="273"/>
    </row>
    <row r="400" spans="1:20">
      <c r="A400" s="355"/>
      <c r="B400" s="255"/>
      <c r="C400" s="355"/>
      <c r="D400" s="256"/>
      <c r="E400" s="257"/>
      <c r="F400" s="258"/>
      <c r="G400" s="258"/>
      <c r="H400" s="258"/>
      <c r="I400" s="259"/>
      <c r="J400" s="258"/>
      <c r="K400" s="248"/>
      <c r="L400" s="256"/>
      <c r="M400" s="257"/>
      <c r="N400" s="257"/>
      <c r="O400" s="258"/>
      <c r="P400" s="258"/>
      <c r="Q400" s="258"/>
      <c r="R400" s="259"/>
      <c r="S400" s="258"/>
      <c r="T400" s="272"/>
    </row>
    <row r="401" spans="1:20">
      <c r="A401" s="354"/>
      <c r="B401" s="249"/>
      <c r="C401" s="354"/>
      <c r="D401" s="250"/>
      <c r="E401" s="251"/>
      <c r="F401" s="252"/>
      <c r="G401" s="252"/>
      <c r="H401" s="252"/>
      <c r="I401" s="253"/>
      <c r="J401" s="252"/>
      <c r="K401" s="254"/>
      <c r="L401" s="250"/>
      <c r="M401" s="251"/>
      <c r="N401" s="251"/>
      <c r="O401" s="252"/>
      <c r="P401" s="252"/>
      <c r="Q401" s="252"/>
      <c r="R401" s="253"/>
      <c r="S401" s="252"/>
      <c r="T401" s="273"/>
    </row>
    <row r="402" spans="1:20">
      <c r="A402" s="355"/>
      <c r="B402" s="255"/>
      <c r="C402" s="355"/>
      <c r="D402" s="256"/>
      <c r="E402" s="257"/>
      <c r="F402" s="258"/>
      <c r="G402" s="258"/>
      <c r="H402" s="258"/>
      <c r="I402" s="259"/>
      <c r="J402" s="258"/>
      <c r="K402" s="248"/>
      <c r="L402" s="256"/>
      <c r="M402" s="257"/>
      <c r="N402" s="257"/>
      <c r="O402" s="258"/>
      <c r="P402" s="258"/>
      <c r="Q402" s="258"/>
      <c r="R402" s="259"/>
      <c r="S402" s="258"/>
      <c r="T402" s="272"/>
    </row>
    <row r="403" spans="1:20">
      <c r="A403" s="354"/>
      <c r="B403" s="249"/>
      <c r="C403" s="354"/>
      <c r="D403" s="250"/>
      <c r="E403" s="251"/>
      <c r="F403" s="252"/>
      <c r="G403" s="252"/>
      <c r="H403" s="252"/>
      <c r="I403" s="253"/>
      <c r="J403" s="252"/>
      <c r="K403" s="254"/>
      <c r="L403" s="250"/>
      <c r="M403" s="251"/>
      <c r="N403" s="251"/>
      <c r="O403" s="252"/>
      <c r="P403" s="252"/>
      <c r="Q403" s="252"/>
      <c r="R403" s="253"/>
      <c r="S403" s="252"/>
      <c r="T403" s="273"/>
    </row>
    <row r="404" spans="1:20">
      <c r="A404" s="355"/>
      <c r="B404" s="255"/>
      <c r="C404" s="355"/>
      <c r="D404" s="256"/>
      <c r="E404" s="257"/>
      <c r="F404" s="258"/>
      <c r="G404" s="258"/>
      <c r="H404" s="258"/>
      <c r="I404" s="259"/>
      <c r="J404" s="258"/>
      <c r="K404" s="248"/>
      <c r="L404" s="256"/>
      <c r="M404" s="257"/>
      <c r="N404" s="257"/>
      <c r="O404" s="258"/>
      <c r="P404" s="258"/>
      <c r="Q404" s="258"/>
      <c r="R404" s="259"/>
      <c r="S404" s="258"/>
      <c r="T404" s="272"/>
    </row>
    <row r="405" spans="1:20">
      <c r="A405" s="354"/>
      <c r="B405" s="249"/>
      <c r="C405" s="354"/>
      <c r="D405" s="250"/>
      <c r="E405" s="251"/>
      <c r="F405" s="252"/>
      <c r="G405" s="252"/>
      <c r="H405" s="252"/>
      <c r="I405" s="253"/>
      <c r="J405" s="252"/>
      <c r="K405" s="254"/>
      <c r="L405" s="250"/>
      <c r="M405" s="251"/>
      <c r="N405" s="251"/>
      <c r="O405" s="252"/>
      <c r="P405" s="252"/>
      <c r="Q405" s="252"/>
      <c r="R405" s="253"/>
      <c r="S405" s="252"/>
      <c r="T405" s="273"/>
    </row>
    <row r="406" spans="1:20">
      <c r="A406" s="355"/>
      <c r="B406" s="255"/>
      <c r="C406" s="355"/>
      <c r="D406" s="256"/>
      <c r="E406" s="257"/>
      <c r="F406" s="258"/>
      <c r="G406" s="258"/>
      <c r="H406" s="258"/>
      <c r="I406" s="259"/>
      <c r="J406" s="258"/>
      <c r="K406" s="248"/>
      <c r="L406" s="256"/>
      <c r="M406" s="257"/>
      <c r="N406" s="257"/>
      <c r="O406" s="258"/>
      <c r="P406" s="258"/>
      <c r="Q406" s="258"/>
      <c r="R406" s="259"/>
      <c r="S406" s="258"/>
      <c r="T406" s="272"/>
    </row>
    <row r="407" spans="1:20">
      <c r="A407" s="354"/>
      <c r="B407" s="249"/>
      <c r="C407" s="354"/>
      <c r="D407" s="250"/>
      <c r="E407" s="251"/>
      <c r="F407" s="252"/>
      <c r="G407" s="252"/>
      <c r="H407" s="252"/>
      <c r="I407" s="253"/>
      <c r="J407" s="252"/>
      <c r="K407" s="254"/>
      <c r="L407" s="250"/>
      <c r="M407" s="251"/>
      <c r="N407" s="251"/>
      <c r="O407" s="252"/>
      <c r="P407" s="252"/>
      <c r="Q407" s="252"/>
      <c r="R407" s="253"/>
      <c r="S407" s="252"/>
      <c r="T407" s="273"/>
    </row>
    <row r="408" spans="1:20">
      <c r="A408" s="355"/>
      <c r="B408" s="255"/>
      <c r="C408" s="355"/>
      <c r="D408" s="256"/>
      <c r="E408" s="257"/>
      <c r="F408" s="258"/>
      <c r="G408" s="258"/>
      <c r="H408" s="258"/>
      <c r="I408" s="259"/>
      <c r="J408" s="258"/>
      <c r="K408" s="248"/>
      <c r="L408" s="256"/>
      <c r="M408" s="257"/>
      <c r="N408" s="257"/>
      <c r="O408" s="258"/>
      <c r="P408" s="258"/>
      <c r="Q408" s="258"/>
      <c r="R408" s="259"/>
      <c r="S408" s="258"/>
      <c r="T408" s="272"/>
    </row>
    <row r="409" spans="1:20">
      <c r="A409" s="354"/>
      <c r="B409" s="249"/>
      <c r="C409" s="354"/>
      <c r="D409" s="250"/>
      <c r="E409" s="251"/>
      <c r="F409" s="252"/>
      <c r="G409" s="252"/>
      <c r="H409" s="252"/>
      <c r="I409" s="253"/>
      <c r="J409" s="252"/>
      <c r="K409" s="254"/>
      <c r="L409" s="250"/>
      <c r="M409" s="251"/>
      <c r="N409" s="251"/>
      <c r="O409" s="252"/>
      <c r="P409" s="252"/>
      <c r="Q409" s="252"/>
      <c r="R409" s="253"/>
      <c r="S409" s="252"/>
      <c r="T409" s="273"/>
    </row>
    <row r="410" spans="1:20">
      <c r="A410" s="355"/>
      <c r="B410" s="255"/>
      <c r="C410" s="355"/>
      <c r="D410" s="256"/>
      <c r="E410" s="257"/>
      <c r="F410" s="258"/>
      <c r="G410" s="258"/>
      <c r="H410" s="258"/>
      <c r="I410" s="259"/>
      <c r="J410" s="258"/>
      <c r="K410" s="248"/>
      <c r="L410" s="256"/>
      <c r="M410" s="257"/>
      <c r="N410" s="257"/>
      <c r="O410" s="258"/>
      <c r="P410" s="258"/>
      <c r="Q410" s="258"/>
      <c r="R410" s="259"/>
      <c r="S410" s="258"/>
      <c r="T410" s="272"/>
    </row>
    <row r="411" spans="1:20">
      <c r="A411" s="354"/>
      <c r="B411" s="249"/>
      <c r="C411" s="354"/>
      <c r="D411" s="250"/>
      <c r="E411" s="251"/>
      <c r="F411" s="252"/>
      <c r="G411" s="252"/>
      <c r="H411" s="252"/>
      <c r="I411" s="253"/>
      <c r="J411" s="252"/>
      <c r="K411" s="254"/>
      <c r="L411" s="250"/>
      <c r="M411" s="251"/>
      <c r="N411" s="251"/>
      <c r="O411" s="252"/>
      <c r="P411" s="252"/>
      <c r="Q411" s="252"/>
      <c r="R411" s="253"/>
      <c r="S411" s="252"/>
      <c r="T411" s="273"/>
    </row>
    <row r="412" spans="1:20">
      <c r="A412" s="355"/>
      <c r="B412" s="255"/>
      <c r="C412" s="355"/>
      <c r="D412" s="256"/>
      <c r="E412" s="257"/>
      <c r="F412" s="258"/>
      <c r="G412" s="258"/>
      <c r="H412" s="258"/>
      <c r="I412" s="259"/>
      <c r="J412" s="258"/>
      <c r="K412" s="248"/>
      <c r="L412" s="256"/>
      <c r="M412" s="257"/>
      <c r="N412" s="257"/>
      <c r="O412" s="258"/>
      <c r="P412" s="258"/>
      <c r="Q412" s="258"/>
      <c r="R412" s="259"/>
      <c r="S412" s="258"/>
      <c r="T412" s="272"/>
    </row>
    <row r="413" spans="1:20">
      <c r="A413" s="354"/>
      <c r="B413" s="249"/>
      <c r="C413" s="354"/>
      <c r="D413" s="250"/>
      <c r="E413" s="251"/>
      <c r="F413" s="252"/>
      <c r="G413" s="252"/>
      <c r="H413" s="252"/>
      <c r="I413" s="253"/>
      <c r="J413" s="252"/>
      <c r="K413" s="254"/>
      <c r="L413" s="250"/>
      <c r="M413" s="251"/>
      <c r="N413" s="251"/>
      <c r="O413" s="252"/>
      <c r="P413" s="252"/>
      <c r="Q413" s="252"/>
      <c r="R413" s="253"/>
      <c r="S413" s="252"/>
      <c r="T413" s="273"/>
    </row>
    <row r="414" spans="1:20">
      <c r="A414" s="355"/>
      <c r="B414" s="255"/>
      <c r="C414" s="355"/>
      <c r="D414" s="256"/>
      <c r="E414" s="257"/>
      <c r="F414" s="258"/>
      <c r="G414" s="258"/>
      <c r="H414" s="258"/>
      <c r="I414" s="259"/>
      <c r="J414" s="258"/>
      <c r="K414" s="248"/>
      <c r="L414" s="256"/>
      <c r="M414" s="257"/>
      <c r="N414" s="257"/>
      <c r="O414" s="258"/>
      <c r="P414" s="258"/>
      <c r="Q414" s="258"/>
      <c r="R414" s="259"/>
      <c r="S414" s="258"/>
      <c r="T414" s="272"/>
    </row>
    <row r="415" spans="1:20">
      <c r="A415" s="354"/>
      <c r="B415" s="249"/>
      <c r="C415" s="354"/>
      <c r="D415" s="250"/>
      <c r="E415" s="251"/>
      <c r="F415" s="252"/>
      <c r="G415" s="252"/>
      <c r="H415" s="252"/>
      <c r="I415" s="253"/>
      <c r="J415" s="252"/>
      <c r="K415" s="254"/>
      <c r="L415" s="250"/>
      <c r="M415" s="251"/>
      <c r="N415" s="251"/>
      <c r="O415" s="252"/>
      <c r="P415" s="252"/>
      <c r="Q415" s="252"/>
      <c r="R415" s="253"/>
      <c r="S415" s="252"/>
      <c r="T415" s="273"/>
    </row>
    <row r="416" spans="1:20">
      <c r="A416" s="355"/>
      <c r="B416" s="255"/>
      <c r="C416" s="355"/>
      <c r="D416" s="256"/>
      <c r="E416" s="257"/>
      <c r="F416" s="258"/>
      <c r="G416" s="258"/>
      <c r="H416" s="258"/>
      <c r="I416" s="259"/>
      <c r="J416" s="258"/>
      <c r="K416" s="248"/>
      <c r="L416" s="256"/>
      <c r="M416" s="257"/>
      <c r="N416" s="257"/>
      <c r="O416" s="258"/>
      <c r="P416" s="258"/>
      <c r="Q416" s="258"/>
      <c r="R416" s="259"/>
      <c r="S416" s="258"/>
      <c r="T416" s="272"/>
    </row>
    <row r="417" spans="1:20">
      <c r="A417" s="354"/>
      <c r="B417" s="249"/>
      <c r="C417" s="354"/>
      <c r="D417" s="250"/>
      <c r="E417" s="251"/>
      <c r="F417" s="252"/>
      <c r="G417" s="252"/>
      <c r="H417" s="252"/>
      <c r="I417" s="253"/>
      <c r="J417" s="252"/>
      <c r="K417" s="254"/>
      <c r="L417" s="250"/>
      <c r="M417" s="251"/>
      <c r="N417" s="251"/>
      <c r="O417" s="252"/>
      <c r="P417" s="252"/>
      <c r="Q417" s="252"/>
      <c r="R417" s="253"/>
      <c r="S417" s="252"/>
      <c r="T417" s="273"/>
    </row>
    <row r="418" spans="1:20">
      <c r="A418" s="355"/>
      <c r="B418" s="255"/>
      <c r="C418" s="355"/>
      <c r="D418" s="256"/>
      <c r="E418" s="257"/>
      <c r="F418" s="258"/>
      <c r="G418" s="258"/>
      <c r="H418" s="258"/>
      <c r="I418" s="259"/>
      <c r="J418" s="258"/>
      <c r="K418" s="248"/>
      <c r="L418" s="256"/>
      <c r="M418" s="257"/>
      <c r="N418" s="257"/>
      <c r="O418" s="258"/>
      <c r="P418" s="258"/>
      <c r="Q418" s="258"/>
      <c r="R418" s="259"/>
      <c r="S418" s="258"/>
      <c r="T418" s="272"/>
    </row>
    <row r="419" spans="1:20">
      <c r="A419" s="354"/>
      <c r="B419" s="249"/>
      <c r="C419" s="354"/>
      <c r="D419" s="250"/>
      <c r="E419" s="251"/>
      <c r="F419" s="252"/>
      <c r="G419" s="252"/>
      <c r="H419" s="252"/>
      <c r="I419" s="253"/>
      <c r="J419" s="252"/>
      <c r="K419" s="254"/>
      <c r="L419" s="250"/>
      <c r="M419" s="251"/>
      <c r="N419" s="251"/>
      <c r="O419" s="252"/>
      <c r="P419" s="252"/>
      <c r="Q419" s="252"/>
      <c r="R419" s="253"/>
      <c r="S419" s="252"/>
      <c r="T419" s="273"/>
    </row>
    <row r="420" spans="1:20">
      <c r="A420" s="355"/>
      <c r="B420" s="255"/>
      <c r="C420" s="355"/>
      <c r="D420" s="256"/>
      <c r="E420" s="257"/>
      <c r="F420" s="258"/>
      <c r="G420" s="258"/>
      <c r="H420" s="258"/>
      <c r="I420" s="259"/>
      <c r="J420" s="258"/>
      <c r="K420" s="248"/>
      <c r="L420" s="256"/>
      <c r="M420" s="257"/>
      <c r="N420" s="257"/>
      <c r="O420" s="258"/>
      <c r="P420" s="258"/>
      <c r="Q420" s="258"/>
      <c r="R420" s="259"/>
      <c r="S420" s="258"/>
      <c r="T420" s="272"/>
    </row>
    <row r="421" spans="1:20">
      <c r="A421" s="354"/>
      <c r="B421" s="249"/>
      <c r="C421" s="354"/>
      <c r="D421" s="250"/>
      <c r="E421" s="251"/>
      <c r="F421" s="252"/>
      <c r="G421" s="252"/>
      <c r="H421" s="252"/>
      <c r="I421" s="253"/>
      <c r="J421" s="252"/>
      <c r="K421" s="254"/>
      <c r="L421" s="250"/>
      <c r="M421" s="251"/>
      <c r="N421" s="251"/>
      <c r="O421" s="252"/>
      <c r="P421" s="252"/>
      <c r="Q421" s="252"/>
      <c r="R421" s="253"/>
      <c r="S421" s="252"/>
      <c r="T421" s="273"/>
    </row>
    <row r="422" spans="1:20">
      <c r="A422" s="355"/>
      <c r="B422" s="255"/>
      <c r="C422" s="355"/>
      <c r="D422" s="256"/>
      <c r="E422" s="257"/>
      <c r="F422" s="258"/>
      <c r="G422" s="258"/>
      <c r="H422" s="258"/>
      <c r="I422" s="259"/>
      <c r="J422" s="258"/>
      <c r="K422" s="248"/>
      <c r="L422" s="256"/>
      <c r="M422" s="257"/>
      <c r="N422" s="257"/>
      <c r="O422" s="258"/>
      <c r="P422" s="258"/>
      <c r="Q422" s="258"/>
      <c r="R422" s="259"/>
      <c r="S422" s="258"/>
      <c r="T422" s="272"/>
    </row>
    <row r="423" spans="1:20">
      <c r="A423" s="354"/>
      <c r="B423" s="249"/>
      <c r="C423" s="354"/>
      <c r="D423" s="250"/>
      <c r="E423" s="251"/>
      <c r="F423" s="252"/>
      <c r="G423" s="252"/>
      <c r="H423" s="252"/>
      <c r="I423" s="253"/>
      <c r="J423" s="252"/>
      <c r="K423" s="254"/>
      <c r="L423" s="250"/>
      <c r="M423" s="251"/>
      <c r="N423" s="251"/>
      <c r="O423" s="252"/>
      <c r="P423" s="252"/>
      <c r="Q423" s="252"/>
      <c r="R423" s="253"/>
      <c r="S423" s="252"/>
      <c r="T423" s="273"/>
    </row>
    <row r="424" spans="1:20">
      <c r="A424" s="355"/>
      <c r="B424" s="255"/>
      <c r="C424" s="355"/>
      <c r="D424" s="256"/>
      <c r="E424" s="257"/>
      <c r="F424" s="258"/>
      <c r="G424" s="258"/>
      <c r="H424" s="258"/>
      <c r="I424" s="259"/>
      <c r="J424" s="258"/>
      <c r="K424" s="248"/>
      <c r="L424" s="256"/>
      <c r="M424" s="257"/>
      <c r="N424" s="257"/>
      <c r="O424" s="258"/>
      <c r="P424" s="258"/>
      <c r="Q424" s="258"/>
      <c r="R424" s="259"/>
      <c r="S424" s="258"/>
      <c r="T424" s="272"/>
    </row>
    <row r="425" spans="1:20">
      <c r="A425" s="354"/>
      <c r="B425" s="249"/>
      <c r="C425" s="354"/>
      <c r="D425" s="250"/>
      <c r="E425" s="251"/>
      <c r="F425" s="252"/>
      <c r="G425" s="252"/>
      <c r="H425" s="252"/>
      <c r="I425" s="253"/>
      <c r="J425" s="252"/>
      <c r="K425" s="254"/>
      <c r="L425" s="250"/>
      <c r="M425" s="251"/>
      <c r="N425" s="251"/>
      <c r="O425" s="252"/>
      <c r="P425" s="252"/>
      <c r="Q425" s="252"/>
      <c r="R425" s="253"/>
      <c r="S425" s="252"/>
      <c r="T425" s="273"/>
    </row>
    <row r="426" spans="1:20">
      <c r="A426" s="355"/>
      <c r="B426" s="255"/>
      <c r="C426" s="355"/>
      <c r="D426" s="256"/>
      <c r="E426" s="257"/>
      <c r="F426" s="258"/>
      <c r="G426" s="258"/>
      <c r="H426" s="258"/>
      <c r="I426" s="259"/>
      <c r="J426" s="258"/>
      <c r="K426" s="248"/>
      <c r="L426" s="256"/>
      <c r="M426" s="257"/>
      <c r="N426" s="257"/>
      <c r="O426" s="258"/>
      <c r="P426" s="258"/>
      <c r="Q426" s="258"/>
      <c r="R426" s="259"/>
      <c r="S426" s="258"/>
      <c r="T426" s="272"/>
    </row>
    <row r="427" spans="1:20">
      <c r="A427" s="354"/>
      <c r="B427" s="249"/>
      <c r="C427" s="354"/>
      <c r="D427" s="250"/>
      <c r="E427" s="251"/>
      <c r="F427" s="252"/>
      <c r="G427" s="252"/>
      <c r="H427" s="252"/>
      <c r="I427" s="253"/>
      <c r="J427" s="252"/>
      <c r="K427" s="254"/>
      <c r="L427" s="250"/>
      <c r="M427" s="251"/>
      <c r="N427" s="251"/>
      <c r="O427" s="252"/>
      <c r="P427" s="252"/>
      <c r="Q427" s="252"/>
      <c r="R427" s="253"/>
      <c r="S427" s="252"/>
      <c r="T427" s="273"/>
    </row>
    <row r="428" spans="1:20">
      <c r="A428" s="355"/>
      <c r="B428" s="255"/>
      <c r="C428" s="355"/>
      <c r="D428" s="256"/>
      <c r="E428" s="257"/>
      <c r="F428" s="258"/>
      <c r="G428" s="258"/>
      <c r="H428" s="258"/>
      <c r="I428" s="259"/>
      <c r="J428" s="258"/>
      <c r="K428" s="248"/>
      <c r="L428" s="256"/>
      <c r="M428" s="257"/>
      <c r="N428" s="257"/>
      <c r="O428" s="258"/>
      <c r="P428" s="258"/>
      <c r="Q428" s="258"/>
      <c r="R428" s="259"/>
      <c r="S428" s="258"/>
      <c r="T428" s="272"/>
    </row>
    <row r="429" spans="1:20">
      <c r="A429" s="354"/>
      <c r="B429" s="249"/>
      <c r="C429" s="354"/>
      <c r="D429" s="250"/>
      <c r="E429" s="251"/>
      <c r="F429" s="252"/>
      <c r="G429" s="252"/>
      <c r="H429" s="252"/>
      <c r="I429" s="253"/>
      <c r="J429" s="252"/>
      <c r="K429" s="254"/>
      <c r="L429" s="250"/>
      <c r="M429" s="251"/>
      <c r="N429" s="251"/>
      <c r="O429" s="252"/>
      <c r="P429" s="252"/>
      <c r="Q429" s="252"/>
      <c r="R429" s="253"/>
      <c r="S429" s="252"/>
      <c r="T429" s="273"/>
    </row>
    <row r="430" spans="1:20">
      <c r="A430" s="355"/>
      <c r="B430" s="255"/>
      <c r="C430" s="355"/>
      <c r="D430" s="256"/>
      <c r="E430" s="257"/>
      <c r="F430" s="258"/>
      <c r="G430" s="258"/>
      <c r="H430" s="258"/>
      <c r="I430" s="259"/>
      <c r="J430" s="258"/>
      <c r="K430" s="248"/>
      <c r="L430" s="256"/>
      <c r="M430" s="257"/>
      <c r="N430" s="257"/>
      <c r="O430" s="258"/>
      <c r="P430" s="258"/>
      <c r="Q430" s="258"/>
      <c r="R430" s="259"/>
      <c r="S430" s="258"/>
      <c r="T430" s="272"/>
    </row>
    <row r="431" spans="1:20">
      <c r="A431" s="354"/>
      <c r="B431" s="249"/>
      <c r="C431" s="354"/>
      <c r="D431" s="250"/>
      <c r="E431" s="251"/>
      <c r="F431" s="252"/>
      <c r="G431" s="252"/>
      <c r="H431" s="252"/>
      <c r="I431" s="253"/>
      <c r="J431" s="252"/>
      <c r="K431" s="254"/>
      <c r="L431" s="250"/>
      <c r="M431" s="251"/>
      <c r="N431" s="251"/>
      <c r="O431" s="252"/>
      <c r="P431" s="252"/>
      <c r="Q431" s="252"/>
      <c r="R431" s="253"/>
      <c r="S431" s="252"/>
      <c r="T431" s="273"/>
    </row>
    <row r="432" spans="1:20">
      <c r="A432" s="355"/>
      <c r="B432" s="255"/>
      <c r="C432" s="355"/>
      <c r="D432" s="256"/>
      <c r="E432" s="257"/>
      <c r="F432" s="258"/>
      <c r="G432" s="258"/>
      <c r="H432" s="258"/>
      <c r="I432" s="259"/>
      <c r="J432" s="258"/>
      <c r="K432" s="248"/>
      <c r="L432" s="256"/>
      <c r="M432" s="257"/>
      <c r="N432" s="257"/>
      <c r="O432" s="258"/>
      <c r="P432" s="258"/>
      <c r="Q432" s="258"/>
      <c r="R432" s="259"/>
      <c r="S432" s="258"/>
      <c r="T432" s="272"/>
    </row>
    <row r="433" spans="1:20">
      <c r="A433" s="354"/>
      <c r="B433" s="249"/>
      <c r="C433" s="354"/>
      <c r="D433" s="250"/>
      <c r="E433" s="251"/>
      <c r="F433" s="252"/>
      <c r="G433" s="252"/>
      <c r="H433" s="252"/>
      <c r="I433" s="253"/>
      <c r="J433" s="252"/>
      <c r="K433" s="254"/>
      <c r="L433" s="250"/>
      <c r="M433" s="251"/>
      <c r="N433" s="251"/>
      <c r="O433" s="252"/>
      <c r="P433" s="252"/>
      <c r="Q433" s="252"/>
      <c r="R433" s="253"/>
      <c r="S433" s="252"/>
      <c r="T433" s="273"/>
    </row>
    <row r="434" spans="1:20">
      <c r="A434" s="355"/>
      <c r="B434" s="255"/>
      <c r="C434" s="355"/>
      <c r="D434" s="256"/>
      <c r="E434" s="257"/>
      <c r="F434" s="258"/>
      <c r="G434" s="258"/>
      <c r="H434" s="258"/>
      <c r="I434" s="259"/>
      <c r="J434" s="258"/>
      <c r="K434" s="248"/>
      <c r="L434" s="256"/>
      <c r="M434" s="257"/>
      <c r="N434" s="257"/>
      <c r="O434" s="258"/>
      <c r="P434" s="258"/>
      <c r="Q434" s="258"/>
      <c r="R434" s="259"/>
      <c r="S434" s="258"/>
      <c r="T434" s="272"/>
    </row>
    <row r="435" spans="1:20">
      <c r="A435" s="354"/>
      <c r="B435" s="249"/>
      <c r="C435" s="354"/>
      <c r="D435" s="250"/>
      <c r="E435" s="251"/>
      <c r="F435" s="252"/>
      <c r="G435" s="252"/>
      <c r="H435" s="252"/>
      <c r="I435" s="253"/>
      <c r="J435" s="252"/>
      <c r="K435" s="254"/>
      <c r="L435" s="250"/>
      <c r="M435" s="251"/>
      <c r="N435" s="251"/>
      <c r="O435" s="252"/>
      <c r="P435" s="252"/>
      <c r="Q435" s="252"/>
      <c r="R435" s="253"/>
      <c r="S435" s="252"/>
      <c r="T435" s="273"/>
    </row>
    <row r="436" spans="1:20">
      <c r="A436" s="355"/>
      <c r="B436" s="255"/>
      <c r="C436" s="355"/>
      <c r="D436" s="256"/>
      <c r="E436" s="257"/>
      <c r="F436" s="258"/>
      <c r="G436" s="258"/>
      <c r="H436" s="258"/>
      <c r="I436" s="259"/>
      <c r="J436" s="258"/>
      <c r="K436" s="248"/>
      <c r="L436" s="256"/>
      <c r="M436" s="257"/>
      <c r="N436" s="257"/>
      <c r="O436" s="258"/>
      <c r="P436" s="258"/>
      <c r="Q436" s="258"/>
      <c r="R436" s="259"/>
      <c r="S436" s="258"/>
      <c r="T436" s="272"/>
    </row>
    <row r="437" spans="1:20">
      <c r="A437" s="354"/>
      <c r="B437" s="249"/>
      <c r="C437" s="354"/>
      <c r="D437" s="250"/>
      <c r="E437" s="251"/>
      <c r="F437" s="252"/>
      <c r="G437" s="252"/>
      <c r="H437" s="252"/>
      <c r="I437" s="253"/>
      <c r="J437" s="252"/>
      <c r="K437" s="254"/>
      <c r="L437" s="250"/>
      <c r="M437" s="251"/>
      <c r="N437" s="251"/>
      <c r="O437" s="252"/>
      <c r="P437" s="252"/>
      <c r="Q437" s="252"/>
      <c r="R437" s="253"/>
      <c r="S437" s="252"/>
      <c r="T437" s="273"/>
    </row>
    <row r="438" spans="1:20">
      <c r="A438" s="355"/>
      <c r="B438" s="255"/>
      <c r="C438" s="355"/>
      <c r="D438" s="256"/>
      <c r="E438" s="257"/>
      <c r="F438" s="258"/>
      <c r="G438" s="258"/>
      <c r="H438" s="258"/>
      <c r="I438" s="259"/>
      <c r="J438" s="258"/>
      <c r="K438" s="248"/>
      <c r="L438" s="256"/>
      <c r="M438" s="257"/>
      <c r="N438" s="257"/>
      <c r="O438" s="258"/>
      <c r="P438" s="258"/>
      <c r="Q438" s="258"/>
      <c r="R438" s="259"/>
      <c r="S438" s="258"/>
      <c r="T438" s="272"/>
    </row>
    <row r="439" spans="1:20">
      <c r="A439" s="354"/>
      <c r="B439" s="249"/>
      <c r="C439" s="354"/>
      <c r="D439" s="250"/>
      <c r="E439" s="251"/>
      <c r="F439" s="252"/>
      <c r="G439" s="252"/>
      <c r="H439" s="252"/>
      <c r="I439" s="253"/>
      <c r="J439" s="252"/>
      <c r="K439" s="254"/>
      <c r="L439" s="250"/>
      <c r="M439" s="251"/>
      <c r="N439" s="251"/>
      <c r="O439" s="252"/>
      <c r="P439" s="252"/>
      <c r="Q439" s="252"/>
      <c r="R439" s="253"/>
      <c r="S439" s="252"/>
      <c r="T439" s="273"/>
    </row>
    <row r="440" spans="1:20">
      <c r="A440" s="355"/>
      <c r="B440" s="255"/>
      <c r="C440" s="355"/>
      <c r="D440" s="256"/>
      <c r="E440" s="257"/>
      <c r="F440" s="258"/>
      <c r="G440" s="258"/>
      <c r="H440" s="258"/>
      <c r="I440" s="259"/>
      <c r="J440" s="258"/>
      <c r="K440" s="248"/>
      <c r="L440" s="256"/>
      <c r="M440" s="257"/>
      <c r="N440" s="257"/>
      <c r="O440" s="258"/>
      <c r="P440" s="258"/>
      <c r="Q440" s="258"/>
      <c r="R440" s="259"/>
      <c r="S440" s="258"/>
      <c r="T440" s="272"/>
    </row>
    <row r="441" spans="1:20">
      <c r="A441" s="354"/>
      <c r="B441" s="249"/>
      <c r="C441" s="354"/>
      <c r="D441" s="250"/>
      <c r="E441" s="251"/>
      <c r="F441" s="252"/>
      <c r="G441" s="252"/>
      <c r="H441" s="252"/>
      <c r="I441" s="253"/>
      <c r="J441" s="252"/>
      <c r="K441" s="254"/>
      <c r="L441" s="250"/>
      <c r="M441" s="251"/>
      <c r="N441" s="251"/>
      <c r="O441" s="252"/>
      <c r="P441" s="252"/>
      <c r="Q441" s="252"/>
      <c r="R441" s="253"/>
      <c r="S441" s="252"/>
      <c r="T441" s="273"/>
    </row>
    <row r="442" spans="1:20">
      <c r="A442" s="355"/>
      <c r="B442" s="255"/>
      <c r="C442" s="355"/>
      <c r="D442" s="256"/>
      <c r="E442" s="257"/>
      <c r="F442" s="258"/>
      <c r="G442" s="258"/>
      <c r="H442" s="258"/>
      <c r="I442" s="259"/>
      <c r="J442" s="258"/>
      <c r="K442" s="248"/>
      <c r="L442" s="256"/>
      <c r="M442" s="257"/>
      <c r="N442" s="257"/>
      <c r="O442" s="258"/>
      <c r="P442" s="258"/>
      <c r="Q442" s="258"/>
      <c r="R442" s="259"/>
      <c r="S442" s="258"/>
      <c r="T442" s="272"/>
    </row>
    <row r="443" spans="1:20">
      <c r="A443" s="354"/>
      <c r="B443" s="249"/>
      <c r="C443" s="354"/>
      <c r="D443" s="250"/>
      <c r="E443" s="251"/>
      <c r="F443" s="252"/>
      <c r="G443" s="252"/>
      <c r="H443" s="252"/>
      <c r="I443" s="253"/>
      <c r="J443" s="252"/>
      <c r="K443" s="254"/>
      <c r="L443" s="250"/>
      <c r="M443" s="251"/>
      <c r="N443" s="251"/>
      <c r="O443" s="252"/>
      <c r="P443" s="252"/>
      <c r="Q443" s="252"/>
      <c r="R443" s="253"/>
      <c r="S443" s="252"/>
      <c r="T443" s="273"/>
    </row>
    <row r="444" spans="1:20">
      <c r="A444" s="355"/>
      <c r="B444" s="255"/>
      <c r="C444" s="355"/>
      <c r="D444" s="256"/>
      <c r="E444" s="257"/>
      <c r="F444" s="258"/>
      <c r="G444" s="258"/>
      <c r="H444" s="258"/>
      <c r="I444" s="259"/>
      <c r="J444" s="258"/>
      <c r="K444" s="248"/>
      <c r="L444" s="256"/>
      <c r="M444" s="257"/>
      <c r="N444" s="257"/>
      <c r="O444" s="258"/>
      <c r="P444" s="258"/>
      <c r="Q444" s="258"/>
      <c r="R444" s="259"/>
      <c r="S444" s="258"/>
      <c r="T444" s="272"/>
    </row>
    <row r="445" spans="1:20">
      <c r="A445" s="354"/>
      <c r="B445" s="249"/>
      <c r="C445" s="354"/>
      <c r="D445" s="250"/>
      <c r="E445" s="251"/>
      <c r="F445" s="252"/>
      <c r="G445" s="252"/>
      <c r="H445" s="252"/>
      <c r="I445" s="253"/>
      <c r="J445" s="252"/>
      <c r="K445" s="254"/>
      <c r="L445" s="250"/>
      <c r="M445" s="251"/>
      <c r="N445" s="251"/>
      <c r="O445" s="252"/>
      <c r="P445" s="252"/>
      <c r="Q445" s="252"/>
      <c r="R445" s="253"/>
      <c r="S445" s="252"/>
      <c r="T445" s="273"/>
    </row>
    <row r="446" spans="1:20">
      <c r="A446" s="355"/>
      <c r="B446" s="255"/>
      <c r="C446" s="355"/>
      <c r="D446" s="256"/>
      <c r="E446" s="257"/>
      <c r="F446" s="258"/>
      <c r="G446" s="258"/>
      <c r="H446" s="258"/>
      <c r="I446" s="259"/>
      <c r="J446" s="258"/>
      <c r="K446" s="248"/>
      <c r="L446" s="256"/>
      <c r="M446" s="257"/>
      <c r="N446" s="257"/>
      <c r="O446" s="258"/>
      <c r="P446" s="258"/>
      <c r="Q446" s="258"/>
      <c r="R446" s="259"/>
      <c r="S446" s="258"/>
      <c r="T446" s="272"/>
    </row>
    <row r="447" spans="1:20">
      <c r="A447" s="354"/>
      <c r="B447" s="249"/>
      <c r="C447" s="354"/>
      <c r="D447" s="250"/>
      <c r="E447" s="251"/>
      <c r="F447" s="252"/>
      <c r="G447" s="252"/>
      <c r="H447" s="252"/>
      <c r="I447" s="253"/>
      <c r="J447" s="252"/>
      <c r="K447" s="254"/>
      <c r="L447" s="250"/>
      <c r="M447" s="251"/>
      <c r="N447" s="251"/>
      <c r="O447" s="252"/>
      <c r="P447" s="252"/>
      <c r="Q447" s="252"/>
      <c r="R447" s="253"/>
      <c r="S447" s="252"/>
      <c r="T447" s="273"/>
    </row>
    <row r="448" spans="1:20">
      <c r="A448" s="355"/>
      <c r="B448" s="255"/>
      <c r="C448" s="355"/>
      <c r="D448" s="256"/>
      <c r="E448" s="257"/>
      <c r="F448" s="258"/>
      <c r="G448" s="258"/>
      <c r="H448" s="258"/>
      <c r="I448" s="259"/>
      <c r="J448" s="258"/>
      <c r="K448" s="248"/>
      <c r="L448" s="256"/>
      <c r="M448" s="257"/>
      <c r="N448" s="257"/>
      <c r="O448" s="258"/>
      <c r="P448" s="258"/>
      <c r="Q448" s="258"/>
      <c r="R448" s="259"/>
      <c r="S448" s="258"/>
      <c r="T448" s="272"/>
    </row>
    <row r="449" spans="1:20">
      <c r="A449" s="354"/>
      <c r="B449" s="249"/>
      <c r="C449" s="354"/>
      <c r="D449" s="250"/>
      <c r="E449" s="251"/>
      <c r="F449" s="252"/>
      <c r="G449" s="252"/>
      <c r="H449" s="252"/>
      <c r="I449" s="253"/>
      <c r="J449" s="252"/>
      <c r="K449" s="254"/>
      <c r="L449" s="250"/>
      <c r="M449" s="251"/>
      <c r="N449" s="251"/>
      <c r="O449" s="252"/>
      <c r="P449" s="252"/>
      <c r="Q449" s="252"/>
      <c r="R449" s="253"/>
      <c r="S449" s="252"/>
      <c r="T449" s="273"/>
    </row>
    <row r="450" spans="1:20">
      <c r="A450" s="355"/>
      <c r="B450" s="255"/>
      <c r="C450" s="355"/>
      <c r="D450" s="256"/>
      <c r="E450" s="257"/>
      <c r="F450" s="258"/>
      <c r="G450" s="258"/>
      <c r="H450" s="258"/>
      <c r="I450" s="259"/>
      <c r="J450" s="258"/>
      <c r="K450" s="248"/>
      <c r="L450" s="256"/>
      <c r="M450" s="257"/>
      <c r="N450" s="257"/>
      <c r="O450" s="258"/>
      <c r="P450" s="258"/>
      <c r="Q450" s="258"/>
      <c r="R450" s="259"/>
      <c r="S450" s="258"/>
      <c r="T450" s="272"/>
    </row>
    <row r="451" spans="1:20">
      <c r="A451" s="354"/>
      <c r="B451" s="249"/>
      <c r="C451" s="354"/>
      <c r="D451" s="250"/>
      <c r="E451" s="251"/>
      <c r="F451" s="252"/>
      <c r="G451" s="252"/>
      <c r="H451" s="252"/>
      <c r="I451" s="253"/>
      <c r="J451" s="252"/>
      <c r="K451" s="254"/>
      <c r="L451" s="250"/>
      <c r="M451" s="251"/>
      <c r="N451" s="251"/>
      <c r="O451" s="252"/>
      <c r="P451" s="252"/>
      <c r="Q451" s="252"/>
      <c r="R451" s="253"/>
      <c r="S451" s="252"/>
      <c r="T451" s="273"/>
    </row>
    <row r="452" spans="1:20">
      <c r="A452" s="355"/>
      <c r="B452" s="255"/>
      <c r="C452" s="355"/>
      <c r="D452" s="256"/>
      <c r="E452" s="257"/>
      <c r="F452" s="258"/>
      <c r="G452" s="258"/>
      <c r="H452" s="258"/>
      <c r="I452" s="259"/>
      <c r="J452" s="258"/>
      <c r="K452" s="248"/>
      <c r="L452" s="256"/>
      <c r="M452" s="257"/>
      <c r="N452" s="257"/>
      <c r="O452" s="258"/>
      <c r="P452" s="258"/>
      <c r="Q452" s="258"/>
      <c r="R452" s="259"/>
      <c r="S452" s="258"/>
      <c r="T452" s="272"/>
    </row>
    <row r="453" spans="1:20">
      <c r="A453" s="354"/>
      <c r="B453" s="249"/>
      <c r="C453" s="354"/>
      <c r="D453" s="250"/>
      <c r="E453" s="251"/>
      <c r="F453" s="252"/>
      <c r="G453" s="252"/>
      <c r="H453" s="252"/>
      <c r="I453" s="253"/>
      <c r="J453" s="252"/>
      <c r="K453" s="254"/>
      <c r="L453" s="250"/>
      <c r="M453" s="251"/>
      <c r="N453" s="251"/>
      <c r="O453" s="252"/>
      <c r="P453" s="252"/>
      <c r="Q453" s="252"/>
      <c r="R453" s="253"/>
      <c r="S453" s="252"/>
      <c r="T453" s="273"/>
    </row>
    <row r="454" spans="1:20">
      <c r="A454" s="355"/>
      <c r="B454" s="255"/>
      <c r="C454" s="355"/>
      <c r="D454" s="256"/>
      <c r="E454" s="257"/>
      <c r="F454" s="258"/>
      <c r="G454" s="258"/>
      <c r="H454" s="258"/>
      <c r="I454" s="259"/>
      <c r="J454" s="258"/>
      <c r="K454" s="248"/>
      <c r="L454" s="256"/>
      <c r="M454" s="257"/>
      <c r="N454" s="257"/>
      <c r="O454" s="258"/>
      <c r="P454" s="258"/>
      <c r="Q454" s="258"/>
      <c r="R454" s="259"/>
      <c r="S454" s="258"/>
      <c r="T454" s="272"/>
    </row>
    <row r="455" spans="1:20">
      <c r="A455" s="354"/>
      <c r="B455" s="249"/>
      <c r="C455" s="354"/>
      <c r="D455" s="250"/>
      <c r="E455" s="251"/>
      <c r="F455" s="252"/>
      <c r="G455" s="252"/>
      <c r="H455" s="252"/>
      <c r="I455" s="253"/>
      <c r="J455" s="252"/>
      <c r="K455" s="254"/>
      <c r="L455" s="250"/>
      <c r="M455" s="251"/>
      <c r="N455" s="251"/>
      <c r="O455" s="252"/>
      <c r="P455" s="252"/>
      <c r="Q455" s="252"/>
      <c r="R455" s="253"/>
      <c r="S455" s="252"/>
      <c r="T455" s="273"/>
    </row>
    <row r="456" spans="1:20">
      <c r="A456" s="355"/>
      <c r="B456" s="255"/>
      <c r="C456" s="355"/>
      <c r="D456" s="256"/>
      <c r="E456" s="257"/>
      <c r="F456" s="258"/>
      <c r="G456" s="258"/>
      <c r="H456" s="258"/>
      <c r="I456" s="259"/>
      <c r="J456" s="258"/>
      <c r="K456" s="248"/>
      <c r="L456" s="256"/>
      <c r="M456" s="257"/>
      <c r="N456" s="257"/>
      <c r="O456" s="258"/>
      <c r="P456" s="258"/>
      <c r="Q456" s="258"/>
      <c r="R456" s="259"/>
      <c r="S456" s="258"/>
      <c r="T456" s="272"/>
    </row>
    <row r="457" spans="1:20">
      <c r="A457" s="354"/>
      <c r="B457" s="249"/>
      <c r="C457" s="354"/>
      <c r="D457" s="250"/>
      <c r="E457" s="251"/>
      <c r="F457" s="252"/>
      <c r="G457" s="252"/>
      <c r="H457" s="252"/>
      <c r="I457" s="253"/>
      <c r="J457" s="252"/>
      <c r="K457" s="254"/>
      <c r="L457" s="250"/>
      <c r="M457" s="251"/>
      <c r="N457" s="251"/>
      <c r="O457" s="252"/>
      <c r="P457" s="252"/>
      <c r="Q457" s="252"/>
      <c r="R457" s="253"/>
      <c r="S457" s="252"/>
      <c r="T457" s="273"/>
    </row>
    <row r="458" spans="1:20">
      <c r="A458" s="355"/>
      <c r="B458" s="255"/>
      <c r="C458" s="355"/>
      <c r="D458" s="256"/>
      <c r="E458" s="257"/>
      <c r="F458" s="258"/>
      <c r="G458" s="258"/>
      <c r="H458" s="258"/>
      <c r="I458" s="259"/>
      <c r="J458" s="258"/>
      <c r="K458" s="248"/>
      <c r="L458" s="256"/>
      <c r="M458" s="257"/>
      <c r="N458" s="257"/>
      <c r="O458" s="258"/>
      <c r="P458" s="258"/>
      <c r="Q458" s="258"/>
      <c r="R458" s="259"/>
      <c r="S458" s="258"/>
      <c r="T458" s="272"/>
    </row>
    <row r="459" spans="1:20">
      <c r="A459" s="354"/>
      <c r="B459" s="249"/>
      <c r="C459" s="354"/>
      <c r="D459" s="250"/>
      <c r="E459" s="251"/>
      <c r="F459" s="252"/>
      <c r="G459" s="252"/>
      <c r="H459" s="252"/>
      <c r="I459" s="253"/>
      <c r="J459" s="252"/>
      <c r="K459" s="254"/>
      <c r="L459" s="250"/>
      <c r="M459" s="251"/>
      <c r="N459" s="251"/>
      <c r="O459" s="252"/>
      <c r="P459" s="252"/>
      <c r="Q459" s="252"/>
      <c r="R459" s="253"/>
      <c r="S459" s="252"/>
      <c r="T459" s="273"/>
    </row>
    <row r="460" spans="1:20">
      <c r="A460" s="355"/>
      <c r="B460" s="255"/>
      <c r="C460" s="355"/>
      <c r="D460" s="256"/>
      <c r="E460" s="257"/>
      <c r="F460" s="258"/>
      <c r="G460" s="258"/>
      <c r="H460" s="258"/>
      <c r="I460" s="259"/>
      <c r="J460" s="258"/>
      <c r="K460" s="248"/>
      <c r="L460" s="256"/>
      <c r="M460" s="257"/>
      <c r="N460" s="257"/>
      <c r="O460" s="258"/>
      <c r="P460" s="258"/>
      <c r="Q460" s="258"/>
      <c r="R460" s="259"/>
      <c r="S460" s="258"/>
      <c r="T460" s="272"/>
    </row>
    <row r="461" spans="1:20">
      <c r="A461" s="354"/>
      <c r="B461" s="249"/>
      <c r="C461" s="354"/>
      <c r="D461" s="250"/>
      <c r="E461" s="251"/>
      <c r="F461" s="252"/>
      <c r="G461" s="252"/>
      <c r="H461" s="252"/>
      <c r="I461" s="253"/>
      <c r="J461" s="252"/>
      <c r="K461" s="254"/>
      <c r="L461" s="250"/>
      <c r="M461" s="251"/>
      <c r="N461" s="251"/>
      <c r="O461" s="252"/>
      <c r="P461" s="252"/>
      <c r="Q461" s="252"/>
      <c r="R461" s="253"/>
      <c r="S461" s="252"/>
      <c r="T461" s="273"/>
    </row>
    <row r="462" spans="1:20">
      <c r="A462" s="355"/>
      <c r="B462" s="255"/>
      <c r="C462" s="355"/>
      <c r="D462" s="256"/>
      <c r="E462" s="257"/>
      <c r="F462" s="258"/>
      <c r="G462" s="258"/>
      <c r="H462" s="258"/>
      <c r="I462" s="259"/>
      <c r="J462" s="258"/>
      <c r="K462" s="248"/>
      <c r="L462" s="256"/>
      <c r="M462" s="257"/>
      <c r="N462" s="257"/>
      <c r="O462" s="258"/>
      <c r="P462" s="258"/>
      <c r="Q462" s="258"/>
      <c r="R462" s="259"/>
      <c r="S462" s="258"/>
      <c r="T462" s="272"/>
    </row>
    <row r="463" spans="1:20">
      <c r="A463" s="354"/>
      <c r="B463" s="249"/>
      <c r="C463" s="354"/>
      <c r="D463" s="250"/>
      <c r="E463" s="251"/>
      <c r="F463" s="252"/>
      <c r="G463" s="252"/>
      <c r="H463" s="252"/>
      <c r="I463" s="253"/>
      <c r="J463" s="252"/>
      <c r="K463" s="254"/>
      <c r="L463" s="250"/>
      <c r="M463" s="251"/>
      <c r="N463" s="251"/>
      <c r="O463" s="252"/>
      <c r="P463" s="252"/>
      <c r="Q463" s="252"/>
      <c r="R463" s="253"/>
      <c r="S463" s="252"/>
      <c r="T463" s="273"/>
    </row>
    <row r="464" spans="1:20">
      <c r="A464" s="355"/>
      <c r="B464" s="255"/>
      <c r="C464" s="355"/>
      <c r="D464" s="256"/>
      <c r="E464" s="257"/>
      <c r="F464" s="258"/>
      <c r="G464" s="258"/>
      <c r="H464" s="258"/>
      <c r="I464" s="259"/>
      <c r="J464" s="258"/>
      <c r="K464" s="248"/>
      <c r="L464" s="256"/>
      <c r="M464" s="257"/>
      <c r="N464" s="257"/>
      <c r="O464" s="258"/>
      <c r="P464" s="258"/>
      <c r="Q464" s="258"/>
      <c r="R464" s="259"/>
      <c r="S464" s="258"/>
      <c r="T464" s="272"/>
    </row>
    <row r="465" spans="1:20">
      <c r="A465" s="354"/>
      <c r="B465" s="249"/>
      <c r="C465" s="354"/>
      <c r="D465" s="250"/>
      <c r="E465" s="251"/>
      <c r="F465" s="252"/>
      <c r="G465" s="252"/>
      <c r="H465" s="252"/>
      <c r="I465" s="253"/>
      <c r="J465" s="252"/>
      <c r="K465" s="254"/>
      <c r="L465" s="250"/>
      <c r="M465" s="251"/>
      <c r="N465" s="251"/>
      <c r="O465" s="252"/>
      <c r="P465" s="252"/>
      <c r="Q465" s="252"/>
      <c r="R465" s="253"/>
      <c r="S465" s="252"/>
      <c r="T465" s="273"/>
    </row>
    <row r="466" spans="1:20">
      <c r="A466" s="355"/>
      <c r="B466" s="255"/>
      <c r="C466" s="355"/>
      <c r="D466" s="256"/>
      <c r="E466" s="257"/>
      <c r="F466" s="258"/>
      <c r="G466" s="258"/>
      <c r="H466" s="258"/>
      <c r="I466" s="259"/>
      <c r="J466" s="258"/>
      <c r="K466" s="248"/>
      <c r="L466" s="256"/>
      <c r="M466" s="257"/>
      <c r="N466" s="257"/>
      <c r="O466" s="258"/>
      <c r="P466" s="258"/>
      <c r="Q466" s="258"/>
      <c r="R466" s="259"/>
      <c r="S466" s="258"/>
      <c r="T466" s="272"/>
    </row>
    <row r="467" spans="1:20">
      <c r="A467" s="354"/>
      <c r="B467" s="249"/>
      <c r="C467" s="354"/>
      <c r="D467" s="250"/>
      <c r="E467" s="251"/>
      <c r="F467" s="252"/>
      <c r="G467" s="252"/>
      <c r="H467" s="252"/>
      <c r="I467" s="253"/>
      <c r="J467" s="252"/>
      <c r="K467" s="254"/>
      <c r="L467" s="250"/>
      <c r="M467" s="251"/>
      <c r="N467" s="251"/>
      <c r="O467" s="252"/>
      <c r="P467" s="252"/>
      <c r="Q467" s="252"/>
      <c r="R467" s="253"/>
      <c r="S467" s="252"/>
      <c r="T467" s="273"/>
    </row>
    <row r="468" spans="1:20">
      <c r="A468" s="355"/>
      <c r="B468" s="255"/>
      <c r="C468" s="355"/>
      <c r="D468" s="256"/>
      <c r="E468" s="257"/>
      <c r="F468" s="258"/>
      <c r="G468" s="258"/>
      <c r="H468" s="258"/>
      <c r="I468" s="259"/>
      <c r="J468" s="258"/>
      <c r="K468" s="248"/>
      <c r="L468" s="256"/>
      <c r="M468" s="257"/>
      <c r="N468" s="257"/>
      <c r="O468" s="258"/>
      <c r="P468" s="258"/>
      <c r="Q468" s="258"/>
      <c r="R468" s="259"/>
      <c r="S468" s="258"/>
      <c r="T468" s="272"/>
    </row>
    <row r="469" spans="1:20">
      <c r="A469" s="354"/>
      <c r="B469" s="249"/>
      <c r="C469" s="354"/>
      <c r="D469" s="250"/>
      <c r="E469" s="251"/>
      <c r="F469" s="252"/>
      <c r="G469" s="252"/>
      <c r="H469" s="252"/>
      <c r="I469" s="253"/>
      <c r="J469" s="252"/>
      <c r="K469" s="254"/>
      <c r="L469" s="250"/>
      <c r="M469" s="251"/>
      <c r="N469" s="251"/>
      <c r="O469" s="252"/>
      <c r="P469" s="252"/>
      <c r="Q469" s="252"/>
      <c r="R469" s="253"/>
      <c r="S469" s="252"/>
      <c r="T469" s="273"/>
    </row>
    <row r="470" spans="1:20">
      <c r="A470" s="355"/>
      <c r="B470" s="255"/>
      <c r="C470" s="355"/>
      <c r="D470" s="256"/>
      <c r="E470" s="257"/>
      <c r="F470" s="258"/>
      <c r="G470" s="258"/>
      <c r="H470" s="258"/>
      <c r="I470" s="259"/>
      <c r="J470" s="258"/>
      <c r="K470" s="248"/>
      <c r="L470" s="256"/>
      <c r="M470" s="257"/>
      <c r="N470" s="257"/>
      <c r="O470" s="258"/>
      <c r="P470" s="258"/>
      <c r="Q470" s="258"/>
      <c r="R470" s="259"/>
      <c r="S470" s="258"/>
      <c r="T470" s="272"/>
    </row>
    <row r="471" spans="1:20">
      <c r="A471" s="354"/>
      <c r="B471" s="249"/>
      <c r="C471" s="354"/>
      <c r="D471" s="250"/>
      <c r="E471" s="251"/>
      <c r="F471" s="252"/>
      <c r="G471" s="252"/>
      <c r="H471" s="252"/>
      <c r="I471" s="253"/>
      <c r="J471" s="252"/>
      <c r="K471" s="254"/>
      <c r="L471" s="250"/>
      <c r="M471" s="251"/>
      <c r="N471" s="251"/>
      <c r="O471" s="252"/>
      <c r="P471" s="252"/>
      <c r="Q471" s="252"/>
      <c r="R471" s="253"/>
      <c r="S471" s="252"/>
      <c r="T471" s="273"/>
    </row>
    <row r="472" spans="1:20">
      <c r="A472" s="355"/>
      <c r="B472" s="255"/>
      <c r="C472" s="355"/>
      <c r="D472" s="256"/>
      <c r="E472" s="257"/>
      <c r="F472" s="258"/>
      <c r="G472" s="258"/>
      <c r="H472" s="258"/>
      <c r="I472" s="259"/>
      <c r="J472" s="258"/>
      <c r="K472" s="248"/>
      <c r="L472" s="256"/>
      <c r="M472" s="257"/>
      <c r="N472" s="257"/>
      <c r="O472" s="258"/>
      <c r="P472" s="258"/>
      <c r="Q472" s="258"/>
      <c r="R472" s="259"/>
      <c r="S472" s="258"/>
      <c r="T472" s="272"/>
    </row>
    <row r="473" spans="1:20">
      <c r="A473" s="354"/>
      <c r="B473" s="249"/>
      <c r="C473" s="354"/>
      <c r="D473" s="250"/>
      <c r="E473" s="251"/>
      <c r="F473" s="252"/>
      <c r="G473" s="252"/>
      <c r="H473" s="252"/>
      <c r="I473" s="253"/>
      <c r="J473" s="252"/>
      <c r="K473" s="254"/>
      <c r="L473" s="250"/>
      <c r="M473" s="251"/>
      <c r="N473" s="251"/>
      <c r="O473" s="252"/>
      <c r="P473" s="252"/>
      <c r="Q473" s="252"/>
      <c r="R473" s="253"/>
      <c r="S473" s="252"/>
      <c r="T473" s="273"/>
    </row>
    <row r="474" spans="1:20">
      <c r="A474" s="355"/>
      <c r="B474" s="255"/>
      <c r="C474" s="355"/>
      <c r="D474" s="256"/>
      <c r="E474" s="257"/>
      <c r="F474" s="258"/>
      <c r="G474" s="258"/>
      <c r="H474" s="258"/>
      <c r="I474" s="259"/>
      <c r="J474" s="258"/>
      <c r="K474" s="248"/>
      <c r="L474" s="256"/>
      <c r="M474" s="257"/>
      <c r="N474" s="257"/>
      <c r="O474" s="258"/>
      <c r="P474" s="258"/>
      <c r="Q474" s="258"/>
      <c r="R474" s="259"/>
      <c r="S474" s="258"/>
      <c r="T474" s="272"/>
    </row>
    <row r="475" spans="1:20">
      <c r="A475" s="354"/>
      <c r="B475" s="249"/>
      <c r="C475" s="354"/>
      <c r="D475" s="250"/>
      <c r="E475" s="251"/>
      <c r="F475" s="252"/>
      <c r="G475" s="252"/>
      <c r="H475" s="252"/>
      <c r="I475" s="253"/>
      <c r="J475" s="252"/>
      <c r="K475" s="254"/>
      <c r="L475" s="250"/>
      <c r="M475" s="251"/>
      <c r="N475" s="251"/>
      <c r="O475" s="252"/>
      <c r="P475" s="252"/>
      <c r="Q475" s="252"/>
      <c r="R475" s="253"/>
      <c r="S475" s="252"/>
      <c r="T475" s="273"/>
    </row>
    <row r="476" spans="1:20">
      <c r="A476" s="355"/>
      <c r="B476" s="255"/>
      <c r="C476" s="355"/>
      <c r="D476" s="256"/>
      <c r="E476" s="257"/>
      <c r="F476" s="258"/>
      <c r="G476" s="258"/>
      <c r="H476" s="258"/>
      <c r="I476" s="259"/>
      <c r="J476" s="258"/>
      <c r="K476" s="248"/>
      <c r="L476" s="256"/>
      <c r="M476" s="257"/>
      <c r="N476" s="257"/>
      <c r="O476" s="258"/>
      <c r="P476" s="258"/>
      <c r="Q476" s="258"/>
      <c r="R476" s="259"/>
      <c r="S476" s="258"/>
      <c r="T476" s="272"/>
    </row>
    <row r="477" spans="1:20">
      <c r="A477" s="354"/>
      <c r="B477" s="249"/>
      <c r="C477" s="354"/>
      <c r="D477" s="250"/>
      <c r="E477" s="251"/>
      <c r="F477" s="252"/>
      <c r="G477" s="252"/>
      <c r="H477" s="252"/>
      <c r="I477" s="253"/>
      <c r="J477" s="252"/>
      <c r="K477" s="254"/>
      <c r="L477" s="250"/>
      <c r="M477" s="251"/>
      <c r="N477" s="251"/>
      <c r="O477" s="252"/>
      <c r="P477" s="252"/>
      <c r="Q477" s="252"/>
      <c r="R477" s="253"/>
      <c r="S477" s="252"/>
      <c r="T477" s="273"/>
    </row>
    <row r="478" spans="1:20">
      <c r="A478" s="355"/>
      <c r="B478" s="255"/>
      <c r="C478" s="355"/>
      <c r="D478" s="256"/>
      <c r="E478" s="257"/>
      <c r="F478" s="258"/>
      <c r="G478" s="258"/>
      <c r="H478" s="258"/>
      <c r="I478" s="259"/>
      <c r="J478" s="258"/>
      <c r="K478" s="248"/>
      <c r="L478" s="256"/>
      <c r="M478" s="257"/>
      <c r="N478" s="257"/>
      <c r="O478" s="258"/>
      <c r="P478" s="258"/>
      <c r="Q478" s="258"/>
      <c r="R478" s="259"/>
      <c r="S478" s="258"/>
      <c r="T478" s="272"/>
    </row>
    <row r="479" spans="1:20">
      <c r="A479" s="354"/>
      <c r="B479" s="249"/>
      <c r="C479" s="354"/>
      <c r="D479" s="250"/>
      <c r="E479" s="251"/>
      <c r="F479" s="252"/>
      <c r="G479" s="252"/>
      <c r="H479" s="252"/>
      <c r="I479" s="253"/>
      <c r="J479" s="252"/>
      <c r="K479" s="254"/>
      <c r="L479" s="250"/>
      <c r="M479" s="251"/>
      <c r="N479" s="251"/>
      <c r="O479" s="252"/>
      <c r="P479" s="252"/>
      <c r="Q479" s="252"/>
      <c r="R479" s="253"/>
      <c r="S479" s="252"/>
      <c r="T479" s="273"/>
    </row>
    <row r="480" spans="1:20">
      <c r="A480" s="355"/>
      <c r="B480" s="255"/>
      <c r="C480" s="355"/>
      <c r="D480" s="256"/>
      <c r="E480" s="257"/>
      <c r="F480" s="258"/>
      <c r="G480" s="258"/>
      <c r="H480" s="258"/>
      <c r="I480" s="259"/>
      <c r="J480" s="258"/>
      <c r="K480" s="248"/>
      <c r="L480" s="256"/>
      <c r="M480" s="257"/>
      <c r="N480" s="257"/>
      <c r="O480" s="258"/>
      <c r="P480" s="258"/>
      <c r="Q480" s="258"/>
      <c r="R480" s="259"/>
      <c r="S480" s="258"/>
      <c r="T480" s="272"/>
    </row>
    <row r="481" spans="1:20">
      <c r="A481" s="354"/>
      <c r="B481" s="249"/>
      <c r="C481" s="354"/>
      <c r="D481" s="250"/>
      <c r="E481" s="251"/>
      <c r="F481" s="252"/>
      <c r="G481" s="252"/>
      <c r="H481" s="252"/>
      <c r="I481" s="253"/>
      <c r="J481" s="252"/>
      <c r="K481" s="254"/>
      <c r="L481" s="250"/>
      <c r="M481" s="251"/>
      <c r="N481" s="251"/>
      <c r="O481" s="252"/>
      <c r="P481" s="252"/>
      <c r="Q481" s="252"/>
      <c r="R481" s="253"/>
      <c r="S481" s="252"/>
      <c r="T481" s="273"/>
    </row>
    <row r="482" spans="1:20">
      <c r="A482" s="355"/>
      <c r="B482" s="255"/>
      <c r="C482" s="355"/>
      <c r="D482" s="256"/>
      <c r="E482" s="257"/>
      <c r="F482" s="258"/>
      <c r="G482" s="258"/>
      <c r="H482" s="258"/>
      <c r="I482" s="259"/>
      <c r="J482" s="258"/>
      <c r="K482" s="248"/>
      <c r="L482" s="256"/>
      <c r="M482" s="257"/>
      <c r="N482" s="257"/>
      <c r="O482" s="258"/>
      <c r="P482" s="258"/>
      <c r="Q482" s="258"/>
      <c r="R482" s="259"/>
      <c r="S482" s="258"/>
      <c r="T482" s="272"/>
    </row>
    <row r="483" spans="1:20">
      <c r="A483" s="354"/>
      <c r="B483" s="249"/>
      <c r="C483" s="354"/>
      <c r="D483" s="250"/>
      <c r="E483" s="251"/>
      <c r="F483" s="252"/>
      <c r="G483" s="252"/>
      <c r="H483" s="252"/>
      <c r="I483" s="253"/>
      <c r="J483" s="252"/>
      <c r="K483" s="254"/>
      <c r="L483" s="250"/>
      <c r="M483" s="251"/>
      <c r="N483" s="251"/>
      <c r="O483" s="252"/>
      <c r="P483" s="252"/>
      <c r="Q483" s="252"/>
      <c r="R483" s="253"/>
      <c r="S483" s="252"/>
      <c r="T483" s="273"/>
    </row>
    <row r="484" spans="1:20">
      <c r="A484" s="355"/>
      <c r="B484" s="255"/>
      <c r="C484" s="355"/>
      <c r="D484" s="256"/>
      <c r="E484" s="257"/>
      <c r="F484" s="258"/>
      <c r="G484" s="258"/>
      <c r="H484" s="258"/>
      <c r="I484" s="259"/>
      <c r="J484" s="258"/>
      <c r="K484" s="248"/>
      <c r="L484" s="256"/>
      <c r="M484" s="257"/>
      <c r="N484" s="257"/>
      <c r="O484" s="258"/>
      <c r="P484" s="258"/>
      <c r="Q484" s="258"/>
      <c r="R484" s="259"/>
      <c r="S484" s="258"/>
      <c r="T484" s="272"/>
    </row>
    <row r="485" spans="1:20">
      <c r="A485" s="354"/>
      <c r="B485" s="249"/>
      <c r="C485" s="354"/>
      <c r="D485" s="250"/>
      <c r="E485" s="251"/>
      <c r="F485" s="252"/>
      <c r="G485" s="252"/>
      <c r="H485" s="252"/>
      <c r="I485" s="253"/>
      <c r="J485" s="252"/>
      <c r="K485" s="254"/>
      <c r="L485" s="250"/>
      <c r="M485" s="251"/>
      <c r="N485" s="251"/>
      <c r="O485" s="252"/>
      <c r="P485" s="252"/>
      <c r="Q485" s="252"/>
      <c r="R485" s="253"/>
      <c r="S485" s="252"/>
      <c r="T485" s="273"/>
    </row>
    <row r="486" spans="1:20">
      <c r="A486" s="355"/>
      <c r="B486" s="255"/>
      <c r="C486" s="355"/>
      <c r="D486" s="256"/>
      <c r="E486" s="257"/>
      <c r="F486" s="258"/>
      <c r="G486" s="258"/>
      <c r="H486" s="258"/>
      <c r="I486" s="259"/>
      <c r="J486" s="258"/>
      <c r="K486" s="248"/>
      <c r="L486" s="256"/>
      <c r="M486" s="257"/>
      <c r="N486" s="257"/>
      <c r="O486" s="258"/>
      <c r="P486" s="258"/>
      <c r="Q486" s="258"/>
      <c r="R486" s="259"/>
      <c r="S486" s="258"/>
      <c r="T486" s="272"/>
    </row>
    <row r="487" spans="1:20">
      <c r="A487" s="354"/>
      <c r="B487" s="249"/>
      <c r="C487" s="354"/>
      <c r="D487" s="250"/>
      <c r="E487" s="251"/>
      <c r="F487" s="252"/>
      <c r="G487" s="252"/>
      <c r="H487" s="252"/>
      <c r="I487" s="253"/>
      <c r="J487" s="252"/>
      <c r="K487" s="254"/>
      <c r="L487" s="250"/>
      <c r="M487" s="251"/>
      <c r="N487" s="251"/>
      <c r="O487" s="252"/>
      <c r="P487" s="252"/>
      <c r="Q487" s="252"/>
      <c r="R487" s="253"/>
      <c r="S487" s="252"/>
      <c r="T487" s="273"/>
    </row>
    <row r="488" spans="1:20">
      <c r="A488" s="355"/>
      <c r="B488" s="255"/>
      <c r="C488" s="355"/>
      <c r="D488" s="256"/>
      <c r="E488" s="257"/>
      <c r="F488" s="258"/>
      <c r="G488" s="258"/>
      <c r="H488" s="258"/>
      <c r="I488" s="259"/>
      <c r="J488" s="258"/>
      <c r="K488" s="248"/>
      <c r="L488" s="256"/>
      <c r="M488" s="257"/>
      <c r="N488" s="257"/>
      <c r="O488" s="258"/>
      <c r="P488" s="258"/>
      <c r="Q488" s="258"/>
      <c r="R488" s="259"/>
      <c r="S488" s="258"/>
      <c r="T488" s="272"/>
    </row>
    <row r="489" spans="1:20">
      <c r="A489" s="354"/>
      <c r="B489" s="249"/>
      <c r="C489" s="354"/>
      <c r="D489" s="250"/>
      <c r="E489" s="251"/>
      <c r="F489" s="252"/>
      <c r="G489" s="252"/>
      <c r="H489" s="252"/>
      <c r="I489" s="253"/>
      <c r="J489" s="252"/>
      <c r="K489" s="254"/>
      <c r="L489" s="250"/>
      <c r="M489" s="251"/>
      <c r="N489" s="251"/>
      <c r="O489" s="252"/>
      <c r="P489" s="252"/>
      <c r="Q489" s="252"/>
      <c r="R489" s="253"/>
      <c r="S489" s="252"/>
      <c r="T489" s="273"/>
    </row>
    <row r="490" spans="1:20">
      <c r="A490" s="355"/>
      <c r="B490" s="255"/>
      <c r="C490" s="355"/>
      <c r="D490" s="256"/>
      <c r="E490" s="257"/>
      <c r="F490" s="258"/>
      <c r="G490" s="258"/>
      <c r="H490" s="258"/>
      <c r="I490" s="259"/>
      <c r="J490" s="258"/>
      <c r="K490" s="248"/>
      <c r="L490" s="256"/>
      <c r="M490" s="257"/>
      <c r="N490" s="257"/>
      <c r="O490" s="258"/>
      <c r="P490" s="258"/>
      <c r="Q490" s="258"/>
      <c r="R490" s="259"/>
      <c r="S490" s="258"/>
      <c r="T490" s="272"/>
    </row>
    <row r="491" spans="1:20">
      <c r="A491" s="354"/>
      <c r="B491" s="249"/>
      <c r="C491" s="354"/>
      <c r="D491" s="250"/>
      <c r="E491" s="251"/>
      <c r="F491" s="252"/>
      <c r="G491" s="252"/>
      <c r="H491" s="252"/>
      <c r="I491" s="253"/>
      <c r="J491" s="252"/>
      <c r="K491" s="254"/>
      <c r="L491" s="250"/>
      <c r="M491" s="251"/>
      <c r="N491" s="251"/>
      <c r="O491" s="252"/>
      <c r="P491" s="252"/>
      <c r="Q491" s="252"/>
      <c r="R491" s="253"/>
      <c r="S491" s="252"/>
      <c r="T491" s="273"/>
    </row>
    <row r="492" spans="1:20">
      <c r="A492" s="355"/>
      <c r="B492" s="255"/>
      <c r="C492" s="355"/>
      <c r="D492" s="256"/>
      <c r="E492" s="257"/>
      <c r="F492" s="258"/>
      <c r="G492" s="258"/>
      <c r="H492" s="258"/>
      <c r="I492" s="259"/>
      <c r="J492" s="258"/>
      <c r="K492" s="248"/>
      <c r="L492" s="256"/>
      <c r="M492" s="257"/>
      <c r="N492" s="257"/>
      <c r="O492" s="258"/>
      <c r="P492" s="258"/>
      <c r="Q492" s="258"/>
      <c r="R492" s="259"/>
      <c r="S492" s="258"/>
      <c r="T492" s="272"/>
    </row>
    <row r="493" spans="1:20">
      <c r="A493" s="354"/>
      <c r="B493" s="249"/>
      <c r="C493" s="354"/>
      <c r="D493" s="250"/>
      <c r="E493" s="251"/>
      <c r="F493" s="252"/>
      <c r="G493" s="252"/>
      <c r="H493" s="252"/>
      <c r="I493" s="253"/>
      <c r="J493" s="252"/>
      <c r="K493" s="254"/>
      <c r="L493" s="250"/>
      <c r="M493" s="251"/>
      <c r="N493" s="251"/>
      <c r="O493" s="252"/>
      <c r="P493" s="252"/>
      <c r="Q493" s="252"/>
      <c r="R493" s="253"/>
      <c r="S493" s="252"/>
      <c r="T493" s="273"/>
    </row>
    <row r="494" spans="1:20">
      <c r="A494" s="355"/>
      <c r="B494" s="255"/>
      <c r="C494" s="355"/>
      <c r="D494" s="256"/>
      <c r="E494" s="257"/>
      <c r="F494" s="258"/>
      <c r="G494" s="258"/>
      <c r="H494" s="258"/>
      <c r="I494" s="259"/>
      <c r="J494" s="258"/>
      <c r="K494" s="248"/>
      <c r="L494" s="256"/>
      <c r="M494" s="257"/>
      <c r="N494" s="257"/>
      <c r="O494" s="258"/>
      <c r="P494" s="258"/>
      <c r="Q494" s="258"/>
      <c r="R494" s="259"/>
      <c r="S494" s="258"/>
      <c r="T494" s="272"/>
    </row>
    <row r="495" spans="1:20">
      <c r="A495" s="354"/>
      <c r="B495" s="249"/>
      <c r="C495" s="354"/>
      <c r="D495" s="250"/>
      <c r="E495" s="251"/>
      <c r="F495" s="252"/>
      <c r="G495" s="252"/>
      <c r="H495" s="252"/>
      <c r="I495" s="253"/>
      <c r="J495" s="252"/>
      <c r="K495" s="254"/>
      <c r="L495" s="250"/>
      <c r="M495" s="251"/>
      <c r="N495" s="251"/>
      <c r="O495" s="252"/>
      <c r="P495" s="252"/>
      <c r="Q495" s="252"/>
      <c r="R495" s="253"/>
      <c r="S495" s="252"/>
      <c r="T495" s="273"/>
    </row>
    <row r="496" spans="1:20">
      <c r="A496" s="355"/>
      <c r="B496" s="255"/>
      <c r="C496" s="355"/>
      <c r="D496" s="256"/>
      <c r="E496" s="257"/>
      <c r="F496" s="258"/>
      <c r="G496" s="258"/>
      <c r="H496" s="258"/>
      <c r="I496" s="259"/>
      <c r="J496" s="258"/>
      <c r="K496" s="248"/>
      <c r="L496" s="256"/>
      <c r="M496" s="257"/>
      <c r="N496" s="257"/>
      <c r="O496" s="258"/>
      <c r="P496" s="258"/>
      <c r="Q496" s="258"/>
      <c r="R496" s="259"/>
      <c r="S496" s="258"/>
      <c r="T496" s="272"/>
    </row>
    <row r="497" spans="1:20">
      <c r="A497" s="354"/>
      <c r="B497" s="249"/>
      <c r="C497" s="354"/>
      <c r="D497" s="250"/>
      <c r="E497" s="251"/>
      <c r="F497" s="252"/>
      <c r="G497" s="252"/>
      <c r="H497" s="252"/>
      <c r="I497" s="253"/>
      <c r="J497" s="252"/>
      <c r="K497" s="254"/>
      <c r="L497" s="250"/>
      <c r="M497" s="251"/>
      <c r="N497" s="251"/>
      <c r="O497" s="252"/>
      <c r="P497" s="252"/>
      <c r="Q497" s="252"/>
      <c r="R497" s="253"/>
      <c r="S497" s="252"/>
      <c r="T497" s="273"/>
    </row>
    <row r="498" spans="1:20">
      <c r="A498" s="355"/>
      <c r="B498" s="255"/>
      <c r="C498" s="355"/>
      <c r="D498" s="256"/>
      <c r="E498" s="257"/>
      <c r="F498" s="258"/>
      <c r="G498" s="258"/>
      <c r="H498" s="258"/>
      <c r="I498" s="259"/>
      <c r="J498" s="258"/>
      <c r="K498" s="248"/>
      <c r="L498" s="256"/>
      <c r="M498" s="257"/>
      <c r="N498" s="257"/>
      <c r="O498" s="258"/>
      <c r="P498" s="258"/>
      <c r="Q498" s="258"/>
      <c r="R498" s="259"/>
      <c r="S498" s="258"/>
      <c r="T498" s="272"/>
    </row>
    <row r="499" spans="1:20">
      <c r="A499" s="354"/>
      <c r="B499" s="249"/>
      <c r="C499" s="354"/>
      <c r="D499" s="250"/>
      <c r="E499" s="251"/>
      <c r="F499" s="252"/>
      <c r="G499" s="252"/>
      <c r="H499" s="252"/>
      <c r="I499" s="253"/>
      <c r="J499" s="252"/>
      <c r="K499" s="254"/>
      <c r="L499" s="250"/>
      <c r="M499" s="251"/>
      <c r="N499" s="251"/>
      <c r="O499" s="252"/>
      <c r="P499" s="252"/>
      <c r="Q499" s="252"/>
      <c r="R499" s="253"/>
      <c r="S499" s="252"/>
      <c r="T499" s="273"/>
    </row>
    <row r="500" spans="1:20">
      <c r="A500" s="355"/>
      <c r="B500" s="255"/>
      <c r="C500" s="355"/>
      <c r="D500" s="256"/>
      <c r="E500" s="257"/>
      <c r="F500" s="258"/>
      <c r="G500" s="258"/>
      <c r="H500" s="258"/>
      <c r="I500" s="259"/>
      <c r="J500" s="258"/>
      <c r="K500" s="248"/>
      <c r="L500" s="256"/>
      <c r="M500" s="257"/>
      <c r="N500" s="257"/>
      <c r="O500" s="258"/>
      <c r="P500" s="258"/>
      <c r="Q500" s="258"/>
      <c r="R500" s="259"/>
      <c r="S500" s="258"/>
      <c r="T500" s="272"/>
    </row>
    <row r="501" spans="1:20">
      <c r="A501" s="354"/>
      <c r="B501" s="249"/>
      <c r="C501" s="354"/>
      <c r="D501" s="250"/>
      <c r="E501" s="251"/>
      <c r="F501" s="252"/>
      <c r="G501" s="252"/>
      <c r="H501" s="252"/>
      <c r="I501" s="253"/>
      <c r="J501" s="252"/>
      <c r="K501" s="254"/>
      <c r="L501" s="250"/>
      <c r="M501" s="251"/>
      <c r="N501" s="251"/>
      <c r="O501" s="252"/>
      <c r="P501" s="252"/>
      <c r="Q501" s="252"/>
      <c r="R501" s="253"/>
      <c r="S501" s="252"/>
      <c r="T501" s="273"/>
    </row>
    <row r="502" spans="1:20">
      <c r="A502" s="355"/>
      <c r="B502" s="255"/>
      <c r="C502" s="355"/>
      <c r="D502" s="256"/>
      <c r="E502" s="257"/>
      <c r="F502" s="258"/>
      <c r="G502" s="258"/>
      <c r="H502" s="258"/>
      <c r="I502" s="259"/>
      <c r="J502" s="258"/>
      <c r="K502" s="248"/>
      <c r="L502" s="256"/>
      <c r="M502" s="257"/>
      <c r="N502" s="257"/>
      <c r="O502" s="258"/>
      <c r="P502" s="258"/>
      <c r="Q502" s="258"/>
      <c r="R502" s="259"/>
      <c r="S502" s="258"/>
      <c r="T502" s="272"/>
    </row>
    <row r="503" spans="1:20">
      <c r="A503" s="354"/>
      <c r="B503" s="249"/>
      <c r="C503" s="354"/>
      <c r="D503" s="250"/>
      <c r="E503" s="251"/>
      <c r="F503" s="252"/>
      <c r="G503" s="252"/>
      <c r="H503" s="252"/>
      <c r="I503" s="253"/>
      <c r="J503" s="252"/>
      <c r="K503" s="254"/>
      <c r="L503" s="250"/>
      <c r="M503" s="251"/>
      <c r="N503" s="251"/>
      <c r="O503" s="252"/>
      <c r="P503" s="252"/>
      <c r="Q503" s="252"/>
      <c r="R503" s="253"/>
      <c r="S503" s="252"/>
      <c r="T503" s="273"/>
    </row>
    <row r="504" spans="1:20">
      <c r="A504" s="355"/>
      <c r="B504" s="255"/>
      <c r="C504" s="355"/>
      <c r="D504" s="256"/>
      <c r="E504" s="257"/>
      <c r="F504" s="258"/>
      <c r="G504" s="258"/>
      <c r="H504" s="258"/>
      <c r="I504" s="259"/>
      <c r="J504" s="258"/>
      <c r="K504" s="248"/>
      <c r="L504" s="256"/>
      <c r="M504" s="257"/>
      <c r="N504" s="257"/>
      <c r="O504" s="258"/>
      <c r="P504" s="258"/>
      <c r="Q504" s="258"/>
      <c r="R504" s="259"/>
      <c r="S504" s="258"/>
      <c r="T504" s="272"/>
    </row>
    <row r="505" spans="1:20">
      <c r="A505" s="354"/>
      <c r="B505" s="249"/>
      <c r="C505" s="354"/>
      <c r="D505" s="250"/>
      <c r="E505" s="251"/>
      <c r="F505" s="252"/>
      <c r="G505" s="252"/>
      <c r="H505" s="252"/>
      <c r="I505" s="253"/>
      <c r="J505" s="252"/>
      <c r="K505" s="254"/>
      <c r="L505" s="250"/>
      <c r="M505" s="251"/>
      <c r="N505" s="251"/>
      <c r="O505" s="252"/>
      <c r="P505" s="252"/>
      <c r="Q505" s="252"/>
      <c r="R505" s="253"/>
      <c r="S505" s="252"/>
      <c r="T505" s="273"/>
    </row>
    <row r="506" spans="1:20">
      <c r="A506" s="355"/>
      <c r="B506" s="255"/>
      <c r="C506" s="355"/>
      <c r="D506" s="256"/>
      <c r="E506" s="257"/>
      <c r="F506" s="258"/>
      <c r="G506" s="258"/>
      <c r="H506" s="258"/>
      <c r="I506" s="259"/>
      <c r="J506" s="258"/>
      <c r="K506" s="248"/>
      <c r="L506" s="256"/>
      <c r="M506" s="257"/>
      <c r="N506" s="257"/>
      <c r="O506" s="258"/>
      <c r="P506" s="258"/>
      <c r="Q506" s="258"/>
      <c r="R506" s="259"/>
      <c r="S506" s="258"/>
      <c r="T506" s="272"/>
    </row>
    <row r="507" spans="1:20">
      <c r="A507" s="354"/>
      <c r="B507" s="249"/>
      <c r="C507" s="354"/>
      <c r="D507" s="250"/>
      <c r="E507" s="251"/>
      <c r="F507" s="252"/>
      <c r="G507" s="252"/>
      <c r="H507" s="252"/>
      <c r="I507" s="253"/>
      <c r="J507" s="252"/>
      <c r="K507" s="254"/>
      <c r="L507" s="250"/>
      <c r="M507" s="251"/>
      <c r="N507" s="251"/>
      <c r="O507" s="252"/>
      <c r="P507" s="252"/>
      <c r="Q507" s="252"/>
      <c r="R507" s="253"/>
      <c r="S507" s="252"/>
      <c r="T507" s="273"/>
    </row>
    <row r="508" spans="1:20">
      <c r="A508" s="355"/>
      <c r="B508" s="255"/>
      <c r="C508" s="355"/>
      <c r="D508" s="256"/>
      <c r="E508" s="257"/>
      <c r="F508" s="258"/>
      <c r="G508" s="258"/>
      <c r="H508" s="258"/>
      <c r="I508" s="259"/>
      <c r="J508" s="258"/>
      <c r="K508" s="248"/>
      <c r="L508" s="256"/>
      <c r="M508" s="257"/>
      <c r="N508" s="257"/>
      <c r="O508" s="258"/>
      <c r="P508" s="258"/>
      <c r="Q508" s="258"/>
      <c r="R508" s="259"/>
      <c r="S508" s="258"/>
      <c r="T508" s="272"/>
    </row>
    <row r="509" spans="1:20">
      <c r="A509" s="354"/>
      <c r="B509" s="249"/>
      <c r="C509" s="354"/>
      <c r="D509" s="250"/>
      <c r="E509" s="251"/>
      <c r="F509" s="252"/>
      <c r="G509" s="252"/>
      <c r="H509" s="252"/>
      <c r="I509" s="253"/>
      <c r="J509" s="252"/>
      <c r="K509" s="254"/>
      <c r="L509" s="250"/>
      <c r="M509" s="251"/>
      <c r="N509" s="251"/>
      <c r="O509" s="252"/>
      <c r="P509" s="252"/>
      <c r="Q509" s="252"/>
      <c r="R509" s="253"/>
      <c r="S509" s="252"/>
      <c r="T509" s="273"/>
    </row>
    <row r="510" spans="1:20">
      <c r="A510" s="355"/>
      <c r="B510" s="255"/>
      <c r="C510" s="355"/>
      <c r="D510" s="256"/>
      <c r="E510" s="257"/>
      <c r="F510" s="258"/>
      <c r="G510" s="258"/>
      <c r="H510" s="258"/>
      <c r="I510" s="259"/>
      <c r="J510" s="258"/>
      <c r="K510" s="248"/>
      <c r="L510" s="256"/>
      <c r="M510" s="257"/>
      <c r="N510" s="257"/>
      <c r="O510" s="258"/>
      <c r="P510" s="258"/>
      <c r="Q510" s="258"/>
      <c r="R510" s="259"/>
      <c r="S510" s="258"/>
      <c r="T510" s="272"/>
    </row>
    <row r="511" spans="1:20">
      <c r="A511" s="354"/>
      <c r="B511" s="249"/>
      <c r="C511" s="354"/>
      <c r="D511" s="250"/>
      <c r="E511" s="251"/>
      <c r="F511" s="252"/>
      <c r="G511" s="252"/>
      <c r="H511" s="252"/>
      <c r="I511" s="253"/>
      <c r="J511" s="252"/>
      <c r="K511" s="254"/>
      <c r="L511" s="250"/>
      <c r="M511" s="251"/>
      <c r="N511" s="251"/>
      <c r="O511" s="252"/>
      <c r="P511" s="252"/>
      <c r="Q511" s="252"/>
      <c r="R511" s="253"/>
      <c r="S511" s="252"/>
      <c r="T511" s="273"/>
    </row>
    <row r="512" spans="1:20">
      <c r="A512" s="355"/>
      <c r="B512" s="255"/>
      <c r="C512" s="355"/>
      <c r="D512" s="256"/>
      <c r="E512" s="257"/>
      <c r="F512" s="258"/>
      <c r="G512" s="258"/>
      <c r="H512" s="258"/>
      <c r="I512" s="259"/>
      <c r="J512" s="258"/>
      <c r="K512" s="248"/>
      <c r="L512" s="256"/>
      <c r="M512" s="257"/>
      <c r="N512" s="257"/>
      <c r="O512" s="258"/>
      <c r="P512" s="258"/>
      <c r="Q512" s="258"/>
      <c r="R512" s="259"/>
      <c r="S512" s="258"/>
      <c r="T512" s="272"/>
    </row>
    <row r="513" spans="1:20">
      <c r="A513" s="354"/>
      <c r="B513" s="249"/>
      <c r="C513" s="354"/>
      <c r="D513" s="250"/>
      <c r="E513" s="251"/>
      <c r="F513" s="252"/>
      <c r="G513" s="252"/>
      <c r="H513" s="252"/>
      <c r="I513" s="253"/>
      <c r="J513" s="252"/>
      <c r="K513" s="254"/>
      <c r="L513" s="250"/>
      <c r="M513" s="251"/>
      <c r="N513" s="251"/>
      <c r="O513" s="252"/>
      <c r="P513" s="252"/>
      <c r="Q513" s="252"/>
      <c r="R513" s="253"/>
      <c r="S513" s="252"/>
      <c r="T513" s="273"/>
    </row>
    <row r="514" spans="1:20">
      <c r="A514" s="355"/>
      <c r="B514" s="255"/>
      <c r="C514" s="355"/>
      <c r="D514" s="256"/>
      <c r="E514" s="257"/>
      <c r="F514" s="258"/>
      <c r="G514" s="258"/>
      <c r="H514" s="258"/>
      <c r="I514" s="259"/>
      <c r="J514" s="258"/>
      <c r="K514" s="248"/>
      <c r="L514" s="256"/>
      <c r="M514" s="257"/>
      <c r="N514" s="257"/>
      <c r="O514" s="258"/>
      <c r="P514" s="258"/>
      <c r="Q514" s="258"/>
      <c r="R514" s="259"/>
      <c r="S514" s="258"/>
      <c r="T514" s="272"/>
    </row>
    <row r="515" spans="1:20">
      <c r="A515" s="354"/>
      <c r="B515" s="249"/>
      <c r="C515" s="354"/>
      <c r="D515" s="250"/>
      <c r="E515" s="251"/>
      <c r="F515" s="252"/>
      <c r="G515" s="252"/>
      <c r="H515" s="252"/>
      <c r="I515" s="253"/>
      <c r="J515" s="252"/>
      <c r="K515" s="254"/>
      <c r="L515" s="250"/>
      <c r="M515" s="251"/>
      <c r="N515" s="251"/>
      <c r="O515" s="252"/>
      <c r="P515" s="252"/>
      <c r="Q515" s="252"/>
      <c r="R515" s="253"/>
      <c r="S515" s="252"/>
      <c r="T515" s="273"/>
    </row>
    <row r="516" spans="1:20">
      <c r="A516" s="355"/>
      <c r="B516" s="255"/>
      <c r="C516" s="355"/>
      <c r="D516" s="256"/>
      <c r="E516" s="257"/>
      <c r="F516" s="258"/>
      <c r="G516" s="258"/>
      <c r="H516" s="258"/>
      <c r="I516" s="259"/>
      <c r="J516" s="258"/>
      <c r="K516" s="248"/>
      <c r="L516" s="256"/>
      <c r="M516" s="257"/>
      <c r="N516" s="257"/>
      <c r="O516" s="258"/>
      <c r="P516" s="258"/>
      <c r="Q516" s="258"/>
      <c r="R516" s="259"/>
      <c r="S516" s="258"/>
      <c r="T516" s="272"/>
    </row>
    <row r="517" spans="1:20">
      <c r="A517" s="354"/>
      <c r="B517" s="249"/>
      <c r="C517" s="354"/>
      <c r="D517" s="250"/>
      <c r="E517" s="251"/>
      <c r="F517" s="252"/>
      <c r="G517" s="252"/>
      <c r="H517" s="252"/>
      <c r="I517" s="253"/>
      <c r="J517" s="252"/>
      <c r="K517" s="254"/>
      <c r="L517" s="250"/>
      <c r="M517" s="251"/>
      <c r="N517" s="251"/>
      <c r="O517" s="252"/>
      <c r="P517" s="252"/>
      <c r="Q517" s="252"/>
      <c r="R517" s="253"/>
      <c r="S517" s="252"/>
      <c r="T517" s="273"/>
    </row>
    <row r="518" spans="1:20">
      <c r="A518" s="355"/>
      <c r="B518" s="255"/>
      <c r="C518" s="355"/>
      <c r="D518" s="256"/>
      <c r="E518" s="257"/>
      <c r="F518" s="258"/>
      <c r="G518" s="258"/>
      <c r="H518" s="258"/>
      <c r="I518" s="259"/>
      <c r="J518" s="258"/>
      <c r="K518" s="248"/>
      <c r="L518" s="256"/>
      <c r="M518" s="257"/>
      <c r="N518" s="257"/>
      <c r="O518" s="258"/>
      <c r="P518" s="258"/>
      <c r="Q518" s="258"/>
      <c r="R518" s="259"/>
      <c r="S518" s="258"/>
      <c r="T518" s="272"/>
    </row>
    <row r="519" spans="1:20">
      <c r="A519" s="354"/>
      <c r="B519" s="249"/>
      <c r="C519" s="354"/>
      <c r="D519" s="250"/>
      <c r="E519" s="251"/>
      <c r="F519" s="252"/>
      <c r="G519" s="252"/>
      <c r="H519" s="252"/>
      <c r="I519" s="253"/>
      <c r="J519" s="252"/>
      <c r="K519" s="254"/>
      <c r="L519" s="250"/>
      <c r="M519" s="251"/>
      <c r="N519" s="251"/>
      <c r="O519" s="252"/>
      <c r="P519" s="252"/>
      <c r="Q519" s="252"/>
      <c r="R519" s="253"/>
      <c r="S519" s="252"/>
      <c r="T519" s="273"/>
    </row>
    <row r="520" spans="1:20">
      <c r="A520" s="355"/>
      <c r="B520" s="255"/>
      <c r="C520" s="355"/>
      <c r="D520" s="256"/>
      <c r="E520" s="257"/>
      <c r="F520" s="258"/>
      <c r="G520" s="258"/>
      <c r="H520" s="258"/>
      <c r="I520" s="259"/>
      <c r="J520" s="258"/>
      <c r="K520" s="248"/>
      <c r="L520" s="256"/>
      <c r="M520" s="257"/>
      <c r="N520" s="257"/>
      <c r="O520" s="258"/>
      <c r="P520" s="258"/>
      <c r="Q520" s="258"/>
      <c r="R520" s="259"/>
      <c r="S520" s="258"/>
      <c r="T520" s="272"/>
    </row>
    <row r="521" spans="1:20">
      <c r="A521" s="354"/>
      <c r="B521" s="249"/>
      <c r="C521" s="354"/>
      <c r="D521" s="250"/>
      <c r="E521" s="251"/>
      <c r="F521" s="252"/>
      <c r="G521" s="252"/>
      <c r="H521" s="252"/>
      <c r="I521" s="253"/>
      <c r="J521" s="252"/>
      <c r="K521" s="254"/>
      <c r="L521" s="250"/>
      <c r="M521" s="251"/>
      <c r="N521" s="251"/>
      <c r="O521" s="252"/>
      <c r="P521" s="252"/>
      <c r="Q521" s="252"/>
      <c r="R521" s="253"/>
      <c r="S521" s="252"/>
      <c r="T521" s="273"/>
    </row>
    <row r="522" spans="1:20">
      <c r="A522" s="355"/>
      <c r="B522" s="255"/>
      <c r="C522" s="355"/>
      <c r="D522" s="256"/>
      <c r="E522" s="257"/>
      <c r="F522" s="258"/>
      <c r="G522" s="258"/>
      <c r="H522" s="258"/>
      <c r="I522" s="259"/>
      <c r="J522" s="258"/>
      <c r="K522" s="248"/>
      <c r="L522" s="256"/>
      <c r="M522" s="257"/>
      <c r="N522" s="257"/>
      <c r="O522" s="258"/>
      <c r="P522" s="258"/>
      <c r="Q522" s="258"/>
      <c r="R522" s="259"/>
      <c r="S522" s="258"/>
      <c r="T522" s="272"/>
    </row>
    <row r="523" spans="1:20" ht="15" thickBot="1">
      <c r="A523" s="361"/>
      <c r="B523" s="262"/>
      <c r="C523" s="361"/>
      <c r="D523" s="250"/>
      <c r="E523" s="251"/>
      <c r="F523" s="252"/>
      <c r="G523" s="252"/>
      <c r="H523" s="252"/>
      <c r="I523" s="253"/>
      <c r="J523" s="252"/>
      <c r="K523" s="254"/>
      <c r="L523" s="250"/>
      <c r="M523" s="251"/>
      <c r="N523" s="251"/>
      <c r="O523" s="252"/>
      <c r="P523" s="252"/>
      <c r="Q523" s="252"/>
      <c r="R523" s="253"/>
      <c r="S523" s="252"/>
      <c r="T523" s="273"/>
    </row>
    <row r="524" spans="1:20">
      <c r="A524" s="263"/>
      <c r="B524" s="263"/>
      <c r="C524" s="263"/>
      <c r="D524" s="264"/>
      <c r="E524" s="265"/>
      <c r="F524" s="263"/>
      <c r="G524" s="263"/>
      <c r="H524" s="263"/>
      <c r="I524" s="266"/>
      <c r="J524" s="263"/>
      <c r="K524" s="263"/>
      <c r="L524" s="264"/>
      <c r="M524" s="265"/>
      <c r="N524" s="265"/>
      <c r="O524" s="263"/>
      <c r="P524" s="263"/>
      <c r="Q524" s="263"/>
      <c r="R524" s="266"/>
      <c r="S524" s="263"/>
      <c r="T524" s="265"/>
    </row>
    <row r="525" spans="1:20">
      <c r="A525" s="263"/>
      <c r="B525" s="263"/>
      <c r="C525" s="263"/>
      <c r="D525" s="264"/>
      <c r="E525" s="265"/>
      <c r="F525" s="263"/>
      <c r="G525" s="263"/>
      <c r="H525" s="263"/>
      <c r="I525" s="266"/>
      <c r="J525" s="263"/>
      <c r="K525" s="263"/>
      <c r="L525" s="264"/>
      <c r="M525" s="265"/>
      <c r="N525" s="265"/>
      <c r="O525" s="263"/>
      <c r="P525" s="263"/>
      <c r="Q525" s="263"/>
      <c r="R525" s="266"/>
      <c r="S525" s="263"/>
      <c r="T525" s="265"/>
    </row>
    <row r="526" spans="1:20">
      <c r="A526" s="263"/>
      <c r="B526" s="263"/>
      <c r="C526" s="263"/>
      <c r="D526" s="264"/>
      <c r="E526" s="265"/>
      <c r="F526" s="263"/>
      <c r="G526" s="263"/>
      <c r="H526" s="263"/>
      <c r="I526" s="266"/>
      <c r="J526" s="263"/>
      <c r="K526" s="263"/>
      <c r="L526" s="264"/>
      <c r="M526" s="265"/>
      <c r="N526" s="265"/>
      <c r="O526" s="263"/>
      <c r="P526" s="263"/>
      <c r="Q526" s="263"/>
      <c r="R526" s="266"/>
      <c r="S526" s="263"/>
      <c r="T526" s="265"/>
    </row>
    <row r="527" spans="1:20" ht="15.5">
      <c r="A527" s="267"/>
      <c r="B527" s="267"/>
      <c r="C527" s="267"/>
      <c r="D527" s="268"/>
      <c r="E527" s="269">
        <f>SUM(E4:E526)</f>
        <v>5166</v>
      </c>
      <c r="F527" s="267"/>
      <c r="G527" s="267"/>
      <c r="H527" s="267"/>
      <c r="I527" s="270"/>
      <c r="J527" s="267"/>
      <c r="K527" s="267"/>
      <c r="L527" s="268"/>
      <c r="M527" s="269">
        <f>SUM(M4:M526)</f>
        <v>2681</v>
      </c>
      <c r="N527" s="269"/>
      <c r="O527" s="267"/>
      <c r="P527" s="267"/>
      <c r="Q527" s="267"/>
      <c r="R527" s="270"/>
      <c r="S527" s="267"/>
      <c r="T527" s="269">
        <f>SUM(T4:T526)</f>
        <v>277.08</v>
      </c>
    </row>
  </sheetData>
  <mergeCells count="23">
    <mergeCell ref="G97:G98"/>
    <mergeCell ref="H97:H98"/>
    <mergeCell ref="I97:I98"/>
    <mergeCell ref="J97:J98"/>
    <mergeCell ref="K97:K98"/>
    <mergeCell ref="A97:A98"/>
    <mergeCell ref="B97:B98"/>
    <mergeCell ref="D97:D98"/>
    <mergeCell ref="E97:E98"/>
    <mergeCell ref="F97:F98"/>
    <mergeCell ref="D1:T1"/>
    <mergeCell ref="D2:K2"/>
    <mergeCell ref="L2:S2"/>
    <mergeCell ref="A76:A77"/>
    <mergeCell ref="B76:B77"/>
    <mergeCell ref="D76:D77"/>
    <mergeCell ref="E76:E77"/>
    <mergeCell ref="F76:F77"/>
    <mergeCell ref="G76:G77"/>
    <mergeCell ref="H76:H77"/>
    <mergeCell ref="I76:I77"/>
    <mergeCell ref="J76:J77"/>
    <mergeCell ref="K76:K77"/>
  </mergeCells>
  <phoneticPr fontId="27" type="noConversion"/>
  <dataValidations count="2">
    <dataValidation type="list" allowBlank="1" showInputMessage="1" showErrorMessage="1" sqref="D3 L34 D34 D25:D30 L25:L30 L37:L46 L4 D109:D168 D37:D41 L109:L1048576" xr:uid="{9975C40C-83BA-4A86-81D1-17793E61A738}">
      <formula1>$AD$13:$AD$14</formula1>
    </dataValidation>
    <dataValidation type="list" allowBlank="1" showInputMessage="1" showErrorMessage="1" sqref="L16:L24 D4:D24 D35:D36 D31:D33 L31:L33 L35:L36 L5:L14 L95:L108 L47:L91 D42:D91 D95:D108" xr:uid="{CE701D71-6638-4E92-BC0F-6DF6F814BC58}">
      <formula1>$AD$7:$AD$14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4F01498-999F-4E99-8090-189E43BB0744}">
          <x14:formula1>
            <xm:f>'Intern Deploy-Planning TKR DV'!$I$3:$I$5</xm:f>
          </x14:formula1>
          <xm:sqref>S108:S1048576 J108:J1048576</xm:sqref>
        </x14:dataValidation>
        <x14:dataValidation type="list" allowBlank="1" showInputMessage="1" showErrorMessage="1" xr:uid="{3F25FCEA-0EEE-4E07-8720-576D21ED35CC}">
          <x14:formula1>
            <xm:f>'Intern Deploy-Planning TKR DV'!$G$3:$G$14</xm:f>
          </x14:formula1>
          <xm:sqref>H108:H1048576 P108:P1048576 Q109:Q1048576</xm:sqref>
        </x14:dataValidation>
        <x14:dataValidation type="list" allowBlank="1" showInputMessage="1" showErrorMessage="1" xr:uid="{CD5BAEBD-650D-4A61-B8D4-A01516A2EDB4}">
          <x14:formula1>
            <xm:f>'Intern Deploy-Planning TKR DV'!$F$3:$F$6</xm:f>
          </x14:formula1>
          <xm:sqref>O108:O1048576 G108:G1048576</xm:sqref>
        </x14:dataValidation>
        <x14:dataValidation type="list" allowBlank="1" showInputMessage="1" showErrorMessage="1" xr:uid="{F7F8B144-04BC-4055-AEDC-153053650A0C}">
          <x14:formula1>
            <xm:f>'Intern Deploy-Planning TKR DV'!$E$3:$E$7</xm:f>
          </x14:formula1>
          <xm:sqref>N108:N1048576 F108:F1048576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F1B9C-4F9C-44BF-B17D-75323734FF7F}">
  <sheetPr codeName="Sheet12"/>
  <dimension ref="A1:J11"/>
  <sheetViews>
    <sheetView topLeftCell="A10" workbookViewId="0">
      <selection sqref="A1:G11"/>
    </sheetView>
  </sheetViews>
  <sheetFormatPr defaultColWidth="8.453125" defaultRowHeight="14.5"/>
  <cols>
    <col min="1" max="1" width="8.453125" style="503"/>
    <col min="2" max="2" width="11.1796875" style="503" customWidth="1"/>
    <col min="3" max="3" width="13.81640625" style="503" bestFit="1" customWidth="1"/>
    <col min="4" max="4" width="8.453125" style="503"/>
    <col min="5" max="5" width="11.81640625" style="503" customWidth="1"/>
    <col min="6" max="6" width="22.453125" style="503" bestFit="1" customWidth="1"/>
    <col min="7" max="7" width="23.453125" style="503" customWidth="1"/>
    <col min="8" max="16384" width="8.453125" style="503"/>
  </cols>
  <sheetData>
    <row r="1" spans="1:10" s="511" customFormat="1" ht="43.5">
      <c r="A1" s="506" t="s">
        <v>1084</v>
      </c>
      <c r="B1" s="506" t="s">
        <v>1040</v>
      </c>
      <c r="C1" s="506" t="s">
        <v>1056</v>
      </c>
      <c r="D1" s="506" t="s">
        <v>1063</v>
      </c>
      <c r="E1" s="507" t="s">
        <v>1065</v>
      </c>
      <c r="F1" s="506" t="s">
        <v>1099</v>
      </c>
      <c r="G1" s="506" t="s">
        <v>884</v>
      </c>
    </row>
    <row r="2" spans="1:10" ht="87">
      <c r="A2" s="508" t="s">
        <v>1086</v>
      </c>
      <c r="B2" s="508" t="s">
        <v>826</v>
      </c>
      <c r="C2" s="508" t="s">
        <v>1031</v>
      </c>
      <c r="D2" s="508"/>
      <c r="E2" s="508"/>
      <c r="F2" s="508" t="s">
        <v>1100</v>
      </c>
      <c r="G2" s="508" t="s">
        <v>1101</v>
      </c>
    </row>
    <row r="3" spans="1:10" ht="174">
      <c r="A3" s="508" t="s">
        <v>1086</v>
      </c>
      <c r="B3" s="508" t="s">
        <v>209</v>
      </c>
      <c r="C3" s="508" t="s">
        <v>1102</v>
      </c>
      <c r="D3" s="508"/>
      <c r="E3" s="508"/>
      <c r="F3" s="508" t="s">
        <v>1103</v>
      </c>
      <c r="G3" s="508" t="s">
        <v>1104</v>
      </c>
    </row>
    <row r="4" spans="1:10" ht="43.5">
      <c r="A4" s="508" t="s">
        <v>891</v>
      </c>
      <c r="B4" s="508" t="s">
        <v>807</v>
      </c>
      <c r="C4" s="508"/>
      <c r="D4" s="508"/>
      <c r="E4" s="508"/>
      <c r="F4" s="508" t="s">
        <v>1105</v>
      </c>
      <c r="G4" s="508" t="s">
        <v>1106</v>
      </c>
    </row>
    <row r="5" spans="1:10" ht="72.5">
      <c r="A5" s="508" t="s">
        <v>891</v>
      </c>
      <c r="B5" s="508" t="s">
        <v>917</v>
      </c>
      <c r="C5" s="508"/>
      <c r="D5" s="508"/>
      <c r="E5" s="508"/>
      <c r="F5" s="508" t="s">
        <v>1107</v>
      </c>
      <c r="G5" s="508" t="s">
        <v>1108</v>
      </c>
    </row>
    <row r="6" spans="1:10" ht="232">
      <c r="A6" s="508" t="s">
        <v>1094</v>
      </c>
      <c r="B6" s="508" t="s">
        <v>1048</v>
      </c>
      <c r="C6" s="508" t="s">
        <v>1109</v>
      </c>
      <c r="D6" s="508"/>
      <c r="E6" s="508"/>
      <c r="F6" s="508" t="s">
        <v>1110</v>
      </c>
      <c r="G6" s="508" t="s">
        <v>1111</v>
      </c>
    </row>
    <row r="7" spans="1:10" ht="33" customHeight="1">
      <c r="A7" s="508" t="s">
        <v>1094</v>
      </c>
      <c r="B7" s="508" t="s">
        <v>45</v>
      </c>
      <c r="C7" s="508" t="s">
        <v>1112</v>
      </c>
      <c r="D7" s="508"/>
      <c r="E7" s="508"/>
      <c r="F7" s="508" t="s">
        <v>1113</v>
      </c>
      <c r="G7" s="508" t="s">
        <v>1114</v>
      </c>
    </row>
    <row r="8" spans="1:10" ht="130.5">
      <c r="A8" s="508" t="s">
        <v>1094</v>
      </c>
      <c r="B8" s="508" t="s">
        <v>535</v>
      </c>
      <c r="C8" s="508" t="s">
        <v>1115</v>
      </c>
      <c r="D8" s="508"/>
      <c r="E8" s="508"/>
      <c r="F8" s="508" t="s">
        <v>1116</v>
      </c>
      <c r="G8" s="508" t="s">
        <v>1117</v>
      </c>
    </row>
    <row r="9" spans="1:10" ht="101.5">
      <c r="A9" s="508" t="s">
        <v>1094</v>
      </c>
      <c r="B9" s="508" t="s">
        <v>887</v>
      </c>
      <c r="C9" s="508" t="s">
        <v>1118</v>
      </c>
      <c r="D9" s="508"/>
      <c r="E9" s="508"/>
      <c r="F9" s="508" t="s">
        <v>1119</v>
      </c>
      <c r="G9" s="508" t="s">
        <v>1120</v>
      </c>
    </row>
    <row r="10" spans="1:10" ht="159" customHeight="1">
      <c r="A10" s="508" t="s">
        <v>1094</v>
      </c>
      <c r="B10" s="508" t="s">
        <v>270</v>
      </c>
      <c r="C10" s="509">
        <v>44927</v>
      </c>
      <c r="D10" s="508"/>
      <c r="E10" s="510" t="s">
        <v>1076</v>
      </c>
      <c r="F10" s="510">
        <v>47</v>
      </c>
      <c r="G10" s="510" t="s">
        <v>1121</v>
      </c>
      <c r="H10" s="504"/>
      <c r="I10" s="505"/>
    </row>
    <row r="11" spans="1:10" ht="58.5" thickBot="1">
      <c r="A11" s="508" t="s">
        <v>1094</v>
      </c>
      <c r="B11" s="508" t="s">
        <v>270</v>
      </c>
      <c r="C11" s="508" t="s">
        <v>1078</v>
      </c>
      <c r="D11" s="508"/>
      <c r="E11" s="508"/>
      <c r="F11" s="508">
        <v>50</v>
      </c>
      <c r="G11" s="508" t="s">
        <v>1122</v>
      </c>
      <c r="H11" s="502"/>
      <c r="I11" s="502"/>
      <c r="J11" s="50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Geo &amp; CIC Deployment Plan</vt:lpstr>
      <vt:lpstr>Induction Modality Approaches</vt:lpstr>
      <vt:lpstr>Growth Survey+Stay Ahead Plan</vt:lpstr>
      <vt:lpstr>Summary - Associates</vt:lpstr>
      <vt:lpstr>Intern Deploy-Planning TKR DV</vt:lpstr>
      <vt:lpstr>Intern Category Matrix</vt:lpstr>
      <vt:lpstr>Intern Deploy-Plan Tracker_Arch</vt:lpstr>
      <vt:lpstr>Intern Deploy-Plan Tracker</vt:lpstr>
      <vt:lpstr>Sheet1</vt:lpstr>
      <vt:lpstr>Summary - Intern</vt:lpstr>
      <vt:lpstr>1h 2h data</vt:lpstr>
      <vt:lpstr>Status of Curriculum Completion</vt:lpstr>
      <vt:lpstr>OLD _ Intern Onboarding Plan</vt:lpstr>
    </vt:vector>
  </TitlesOfParts>
  <Manager/>
  <Company>IBM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ADMINIBM</dc:creator>
  <cp:keywords/>
  <dc:description/>
  <cp:lastModifiedBy>Barbara S Mawkhlieng</cp:lastModifiedBy>
  <cp:revision/>
  <dcterms:created xsi:type="dcterms:W3CDTF">2016-08-22T08:53:28Z</dcterms:created>
  <dcterms:modified xsi:type="dcterms:W3CDTF">2023-06-16T07:09:18Z</dcterms:modified>
  <cp:category/>
  <cp:contentStatus/>
</cp:coreProperties>
</file>