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03 EMCS\Pump_Storage_Hydro (PSH) Project\Docs\"/>
    </mc:Choice>
  </mc:AlternateContent>
  <xr:revisionPtr revIDLastSave="0" documentId="13_ncr:1_{4A3E5A59-BAEF-48AF-BABA-6BDEAB756E95}" xr6:coauthVersionLast="47" xr6:coauthVersionMax="47" xr10:uidLastSave="{00000000-0000-0000-0000-000000000000}"/>
  <bookViews>
    <workbookView xWindow="-108" yWindow="-108" windowWidth="23256" windowHeight="12456" activeTab="2" xr2:uid="{A6DE986D-060D-4070-87B7-CA92670472C7}"/>
  </bookViews>
  <sheets>
    <sheet name="Lifetime Generation" sheetId="4" r:id="rId1"/>
    <sheet name="Project Lifetime Cost" sheetId="6" r:id="rId2"/>
    <sheet name="LCOE" sheetId="8" r:id="rId3"/>
    <sheet name="Sheet1" sheetId="7" state="hidden" r:id="rId4"/>
    <sheet name="Sheet3" sheetId="3" state="hidden" r:id="rId5"/>
    <sheet name="Sheet2" sheetId="5" state="hidden" r:id="rId6"/>
    <sheet name="Pumping" sheetId="1" state="hidden" r:id="rId7"/>
    <sheet name="Generation" sheetId="2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6" l="1"/>
  <c r="G51" i="6"/>
  <c r="H51" i="6"/>
  <c r="I51" i="6"/>
  <c r="J51" i="6"/>
  <c r="E51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E50" i="6"/>
  <c r="B35" i="6"/>
  <c r="B36" i="6" s="1"/>
  <c r="B37" i="6" s="1"/>
  <c r="F48" i="6" s="1"/>
  <c r="G48" i="6" s="1"/>
  <c r="H48" i="6" s="1"/>
  <c r="I48" i="6" s="1"/>
  <c r="J48" i="6" s="1"/>
  <c r="K48" i="6" s="1"/>
  <c r="L48" i="6" s="1"/>
  <c r="M48" i="6" s="1"/>
  <c r="N48" i="6" s="1"/>
  <c r="O48" i="6" s="1"/>
  <c r="P48" i="6" s="1"/>
  <c r="Q48" i="6" s="1"/>
  <c r="R48" i="6" s="1"/>
  <c r="S48" i="6" s="1"/>
  <c r="T48" i="6" s="1"/>
  <c r="U48" i="6" s="1"/>
  <c r="V48" i="6" s="1"/>
  <c r="W48" i="6" s="1"/>
  <c r="X48" i="6" s="1"/>
  <c r="Y48" i="6" s="1"/>
  <c r="Z48" i="6" s="1"/>
  <c r="AA48" i="6" s="1"/>
  <c r="AB48" i="6" s="1"/>
  <c r="AC48" i="6" s="1"/>
  <c r="AD48" i="6" s="1"/>
  <c r="AE48" i="6" s="1"/>
  <c r="AF48" i="6" s="1"/>
  <c r="AG48" i="6" s="1"/>
  <c r="AH48" i="6" s="1"/>
  <c r="AI48" i="6" s="1"/>
  <c r="AJ48" i="6" s="1"/>
  <c r="AK48" i="6" s="1"/>
  <c r="AL48" i="6" s="1"/>
  <c r="AM48" i="6" s="1"/>
  <c r="AN48" i="6" s="1"/>
  <c r="AO48" i="6" s="1"/>
  <c r="AP48" i="6" s="1"/>
  <c r="AQ48" i="6" s="1"/>
  <c r="AR48" i="6" s="1"/>
  <c r="AS48" i="6" s="1"/>
  <c r="AT48" i="6" s="1"/>
  <c r="AU48" i="6" s="1"/>
  <c r="AV48" i="6" s="1"/>
  <c r="AW48" i="6" s="1"/>
  <c r="AX48" i="6" s="1"/>
  <c r="AY48" i="6" s="1"/>
  <c r="AZ48" i="6" s="1"/>
  <c r="BA48" i="6" s="1"/>
  <c r="BB48" i="6" s="1"/>
  <c r="BC48" i="6" s="1"/>
  <c r="BD48" i="6" s="1"/>
  <c r="BE48" i="6" s="1"/>
  <c r="BF48" i="6" s="1"/>
  <c r="BG48" i="6" s="1"/>
  <c r="BH48" i="6" s="1"/>
  <c r="BI48" i="6" s="1"/>
  <c r="BJ48" i="6" s="1"/>
  <c r="BK48" i="6" s="1"/>
  <c r="BL48" i="6" s="1"/>
  <c r="B34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E47" i="6"/>
  <c r="F45" i="6"/>
  <c r="G45" i="6"/>
  <c r="H45" i="6"/>
  <c r="I45" i="6"/>
  <c r="J45" i="6"/>
  <c r="K45" i="6"/>
  <c r="L45" i="6"/>
  <c r="M45" i="6"/>
  <c r="N45" i="6"/>
  <c r="E45" i="6"/>
  <c r="B28" i="6"/>
  <c r="B31" i="6" s="1"/>
  <c r="B32" i="6" s="1"/>
  <c r="B21" i="6" a="1"/>
  <c r="B21" i="6" s="1"/>
  <c r="B22" i="6" s="1"/>
  <c r="B23" i="6" s="1"/>
  <c r="B24" i="6" s="1"/>
  <c r="L49" i="6" s="1"/>
  <c r="L51" i="6" s="1"/>
  <c r="D24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D22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D21" i="4"/>
  <c r="B14" i="4"/>
  <c r="B11" i="4"/>
  <c r="B13" i="4" s="1"/>
  <c r="B8" i="3"/>
  <c r="B7" i="3"/>
  <c r="B4" i="3"/>
  <c r="AI49" i="6" l="1"/>
  <c r="AI51" i="6" s="1"/>
  <c r="BE49" i="6"/>
  <c r="BE51" i="6" s="1"/>
  <c r="AS49" i="6"/>
  <c r="AS51" i="6" s="1"/>
  <c r="AG49" i="6"/>
  <c r="AG51" i="6" s="1"/>
  <c r="U49" i="6"/>
  <c r="U51" i="6" s="1"/>
  <c r="AE49" i="6"/>
  <c r="AE51" i="6" s="1"/>
  <c r="BG49" i="6"/>
  <c r="BG51" i="6" s="1"/>
  <c r="AU49" i="6"/>
  <c r="AU51" i="6" s="1"/>
  <c r="W49" i="6"/>
  <c r="W51" i="6" s="1"/>
  <c r="BF49" i="6"/>
  <c r="BF51" i="6" s="1"/>
  <c r="AT49" i="6"/>
  <c r="AT51" i="6" s="1"/>
  <c r="V49" i="6"/>
  <c r="V51" i="6" s="1"/>
  <c r="BD49" i="6"/>
  <c r="BD51" i="6" s="1"/>
  <c r="AR49" i="6"/>
  <c r="AR51" i="6" s="1"/>
  <c r="AF49" i="6"/>
  <c r="AF51" i="6" s="1"/>
  <c r="T49" i="6"/>
  <c r="T51" i="6" s="1"/>
  <c r="AD49" i="6"/>
  <c r="AD51" i="6" s="1"/>
  <c r="AC49" i="6"/>
  <c r="AC51" i="6" s="1"/>
  <c r="AZ49" i="6"/>
  <c r="AZ51" i="6" s="1"/>
  <c r="P49" i="6"/>
  <c r="P51" i="6" s="1"/>
  <c r="BK49" i="6"/>
  <c r="BK51" i="6" s="1"/>
  <c r="AY49" i="6"/>
  <c r="AY51" i="6" s="1"/>
  <c r="AM49" i="6"/>
  <c r="AM51" i="6" s="1"/>
  <c r="AA49" i="6"/>
  <c r="AA51" i="6" s="1"/>
  <c r="O49" i="6"/>
  <c r="O51" i="6" s="1"/>
  <c r="BC49" i="6"/>
  <c r="BC51" i="6" s="1"/>
  <c r="AQ49" i="6"/>
  <c r="AQ51" i="6" s="1"/>
  <c r="S49" i="6"/>
  <c r="S51" i="6" s="1"/>
  <c r="BB49" i="6"/>
  <c r="BB51" i="6" s="1"/>
  <c r="AP49" i="6"/>
  <c r="AP51" i="6" s="1"/>
  <c r="R49" i="6"/>
  <c r="R51" i="6" s="1"/>
  <c r="K49" i="6"/>
  <c r="K51" i="6" s="1"/>
  <c r="BA49" i="6"/>
  <c r="BA51" i="6" s="1"/>
  <c r="AO49" i="6"/>
  <c r="AO51" i="6" s="1"/>
  <c r="Q49" i="6"/>
  <c r="Q51" i="6" s="1"/>
  <c r="BL49" i="6"/>
  <c r="BL51" i="6" s="1"/>
  <c r="AN49" i="6"/>
  <c r="AN51" i="6" s="1"/>
  <c r="AB49" i="6"/>
  <c r="AB51" i="6" s="1"/>
  <c r="BJ49" i="6"/>
  <c r="BJ51" i="6" s="1"/>
  <c r="AX49" i="6"/>
  <c r="AX51" i="6" s="1"/>
  <c r="AL49" i="6"/>
  <c r="AL51" i="6" s="1"/>
  <c r="Z49" i="6"/>
  <c r="Z51" i="6" s="1"/>
  <c r="N49" i="6"/>
  <c r="N51" i="6" s="1"/>
  <c r="BI49" i="6"/>
  <c r="BI51" i="6" s="1"/>
  <c r="AW49" i="6"/>
  <c r="AW51" i="6" s="1"/>
  <c r="AK49" i="6"/>
  <c r="AK51" i="6" s="1"/>
  <c r="Y49" i="6"/>
  <c r="Y51" i="6" s="1"/>
  <c r="M49" i="6"/>
  <c r="M51" i="6" s="1"/>
  <c r="AH49" i="6"/>
  <c r="AH51" i="6" s="1"/>
  <c r="BH49" i="6"/>
  <c r="BH51" i="6" s="1"/>
  <c r="AV49" i="6"/>
  <c r="AV51" i="6" s="1"/>
  <c r="AJ49" i="6"/>
  <c r="AJ51" i="6" s="1"/>
  <c r="X49" i="6"/>
  <c r="X51" i="6" s="1"/>
  <c r="J46" i="6"/>
  <c r="V46" i="6"/>
  <c r="E46" i="6"/>
  <c r="F46" i="6"/>
  <c r="I46" i="6"/>
  <c r="K46" i="6"/>
  <c r="W46" i="6"/>
  <c r="L46" i="6"/>
  <c r="X46" i="6"/>
  <c r="M46" i="6"/>
  <c r="N46" i="6"/>
  <c r="O46" i="6"/>
  <c r="P46" i="6"/>
  <c r="Q46" i="6"/>
  <c r="R46" i="6"/>
  <c r="G46" i="6"/>
  <c r="S46" i="6"/>
  <c r="H46" i="6"/>
  <c r="T46" i="6"/>
  <c r="U46" i="6"/>
  <c r="B29" i="6"/>
  <c r="B30" i="6" s="1"/>
  <c r="E53" i="6" l="1"/>
  <c r="B2" i="8" s="1"/>
  <c r="E44" i="6"/>
  <c r="F44" i="6"/>
  <c r="G44" i="6"/>
  <c r="H44" i="6"/>
  <c r="I44" i="6"/>
  <c r="J44" i="6"/>
  <c r="K44" i="6"/>
  <c r="L44" i="6"/>
  <c r="M44" i="6"/>
  <c r="N4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<sst xmlns="http://schemas.openxmlformats.org/spreadsheetml/2006/main" count="104" uniqueCount="77">
  <si>
    <t>Lowest 6 hours</t>
  </si>
  <si>
    <t>Average Cost (Rs/MWh)</t>
  </si>
  <si>
    <t>Highest 6 hours</t>
  </si>
  <si>
    <t>Round Trip
 Efficiency (η)</t>
  </si>
  <si>
    <t>Size of PSH</t>
  </si>
  <si>
    <t>MW</t>
  </si>
  <si>
    <t>Pumping Power</t>
  </si>
  <si>
    <t>pumping hour</t>
  </si>
  <si>
    <t xml:space="preserve">Energy Required for Pumping </t>
  </si>
  <si>
    <t>Energy Produced during pumping</t>
  </si>
  <si>
    <t>MWh</t>
  </si>
  <si>
    <t>Discount rate</t>
  </si>
  <si>
    <t>Lifetime</t>
  </si>
  <si>
    <t>years</t>
  </si>
  <si>
    <t>Construction</t>
  </si>
  <si>
    <t>hr</t>
  </si>
  <si>
    <t>days/year</t>
  </si>
  <si>
    <t>Availability Factor</t>
  </si>
  <si>
    <t>Energy production per day (Hd)</t>
  </si>
  <si>
    <t>Forced 
outage rate (FOR)</t>
  </si>
  <si>
    <t>Scheduled 
Maintance (Nd)</t>
  </si>
  <si>
    <t>Annual Energy Generation</t>
  </si>
  <si>
    <t>Output Power capacity</t>
  </si>
  <si>
    <t>Annual Energy Generation (Et)</t>
  </si>
  <si>
    <t>Efficiency (η)</t>
  </si>
  <si>
    <t>Annual Energy Required to pump water (Ep)</t>
  </si>
  <si>
    <t>Discount Factor</t>
  </si>
  <si>
    <t>Total Production</t>
  </si>
  <si>
    <t>Year</t>
  </si>
  <si>
    <t>n</t>
  </si>
  <si>
    <t>Discounted Generation</t>
  </si>
  <si>
    <t>O &amp; M Cost</t>
  </si>
  <si>
    <t>Capital Investment Cost</t>
  </si>
  <si>
    <t>$/MWh</t>
  </si>
  <si>
    <t>source</t>
  </si>
  <si>
    <t>(EIA 2013)</t>
  </si>
  <si>
    <t>Loan from Local Bank</t>
  </si>
  <si>
    <t>Annual Interest Rate</t>
  </si>
  <si>
    <t>grace Period</t>
  </si>
  <si>
    <t>commitment fee</t>
  </si>
  <si>
    <t>Repaid Year</t>
  </si>
  <si>
    <t>Repaid year</t>
  </si>
  <si>
    <t xml:space="preserve">Interest </t>
  </si>
  <si>
    <t>Grace Period</t>
  </si>
  <si>
    <t>Commitment fee</t>
  </si>
  <si>
    <t>$/kW</t>
  </si>
  <si>
    <t>Annual Fixed Cost</t>
  </si>
  <si>
    <t>Variable cost excluding fuels</t>
  </si>
  <si>
    <t>Discount Rate</t>
  </si>
  <si>
    <t>Excalation Rate (Annually)</t>
  </si>
  <si>
    <t>Rs/MWh</t>
  </si>
  <si>
    <t>average of six cheapest energy cost of a IEX</t>
  </si>
  <si>
    <t>Pumping cost in INR</t>
  </si>
  <si>
    <t>Pumping Cost</t>
  </si>
  <si>
    <t>$</t>
  </si>
  <si>
    <t>Annual Pumping Cost</t>
  </si>
  <si>
    <t>year</t>
  </si>
  <si>
    <t>Discounted Cost</t>
  </si>
  <si>
    <t>Capital Investment</t>
  </si>
  <si>
    <t>Plant Size</t>
  </si>
  <si>
    <t>Loan from Local bank</t>
  </si>
  <si>
    <t>Loan (Local)</t>
  </si>
  <si>
    <t>Discounted Cost for Local</t>
  </si>
  <si>
    <t>Loan (Foreign)</t>
  </si>
  <si>
    <t>Discounted Cost for Foreign Loan</t>
  </si>
  <si>
    <t>Total Capital Investment</t>
  </si>
  <si>
    <t>Annual Payment for Bank Loan (Local Bank)</t>
  </si>
  <si>
    <t>Annual Payment for Bank Loan (Foreign Bank)</t>
  </si>
  <si>
    <t>Loan from Foreign bank</t>
  </si>
  <si>
    <t>Loan from Foreign Bank</t>
  </si>
  <si>
    <t>Annual Variable Cost</t>
  </si>
  <si>
    <t>Annual Energy production</t>
  </si>
  <si>
    <t>Annual Variable cost for 1st year</t>
  </si>
  <si>
    <t>Annual Pumping cost</t>
  </si>
  <si>
    <t>Discount factor</t>
  </si>
  <si>
    <t>Total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</si>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</sst>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5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1" applyFont="1"/>
    <xf numFmtId="0" fontId="0" fillId="2" borderId="0" xfId="0" applyFill="1" applyAlignment="1">
      <alignment wrapText="1"/>
    </xf>
    <xf numFmtId="9" fontId="0" fillId="2" borderId="0" xfId="1" applyFont="1" applyFill="1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9" fontId="0" fillId="0" borderId="2" xfId="0" applyNumberFormat="1" applyBorder="1"/>
    <xf numFmtId="10" fontId="0" fillId="0" borderId="2" xfId="0" applyNumberForma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0" xfId="0" applyNumberFormat="1" applyAlignment="1">
      <alignment horizontal="left" indent="2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1" xfId="0" applyNumberFormat="1" applyBorder="1"/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64" fontId="0" fillId="0" borderId="0" xfId="0" applyNumberFormat="1"/>
    <xf numFmtId="2" fontId="0" fillId="0" borderId="0" xfId="0" applyNumberFormat="1"/>
    <xf numFmtId="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350520</xdr:colOff>
      <xdr:row>2</xdr:row>
      <xdr:rowOff>106680</xdr:rowOff>
    </xdr:from>
    <xdr:to>
      <xdr:col>12</xdr:col>
      <xdr:colOff>107531</xdr:colOff>
      <xdr:row>5</xdr:row>
      <xdr:rowOff>249703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23D7EC-7BDC-FAE8-CB55-17362BCAE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5780" y="792480"/>
          <a:ext cx="6096851" cy="1057423"/>
        </a:xfrm>
        <a:prstGeom prst="rect">
          <a:avLst/>
        </a:prstGeom>
      </xdr:spPr>
    </xdr:pic>
    <xdr:clientData/>
  </xdr:twoCellAnchor>
  <xdr:twoCellAnchor editAs="oneCell">
    <xdr:from>
      <xdr:col>5</xdr:col>
      <xdr:colOff>556260</xdr:colOff>
      <xdr:row>5</xdr:row>
      <xdr:rowOff>388620</xdr:rowOff>
    </xdr:from>
    <xdr:to>
      <xdr:col>7</xdr:col>
      <xdr:colOff>343019</xdr:colOff>
      <xdr:row>9</xdr:row>
      <xdr:rowOff>22927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FFA1CC-8C2D-D659-9169-3C4D3066E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4260" y="1760220"/>
          <a:ext cx="1371719" cy="777307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10</xdr:row>
      <xdr:rowOff>22860</xdr:rowOff>
    </xdr:from>
    <xdr:to>
      <xdr:col>7</xdr:col>
      <xdr:colOff>621299</xdr:colOff>
      <xdr:row>15</xdr:row>
      <xdr:rowOff>32546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9196E9-0C42-6C85-00A1-D361D13F0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9940" y="2766060"/>
          <a:ext cx="1924319" cy="1152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2</xdr:row>
      <xdr:rowOff>45720</xdr:rowOff>
    </xdr:from>
    <xdr:to>
      <xdr:col>8</xdr:col>
      <xdr:colOff>429009</xdr:colOff>
      <xdr:row>7</xdr:row>
      <xdr:rowOff>55406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BC600C-62E7-695F-AFC0-190E1F5FE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3140" y="502920"/>
          <a:ext cx="2753109" cy="1152686"/>
        </a:xfrm>
        <a:prstGeom prst="rect">
          <a:avLst/>
        </a:prstGeom>
      </xdr:spPr>
    </xdr:pic>
    <xdr:clientData/>
  </xdr:twoCellAnchor>
  <xdr:twoCellAnchor editAs="oneCell">
    <xdr:from>
      <xdr:col>5</xdr:col>
      <xdr:colOff>563880</xdr:colOff>
      <xdr:row>15</xdr:row>
      <xdr:rowOff>106680</xdr:rowOff>
    </xdr:from>
    <xdr:to>
      <xdr:col>10</xdr:col>
      <xdr:colOff>1107705</xdr:colOff>
      <xdr:row>25</xdr:row>
      <xdr:rowOff>49841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6B30FD-F7BA-9107-9C2F-3103BCE5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59240" y="3535680"/>
          <a:ext cx="6449325" cy="222916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avcpf2</v>
    <v>268435456</v>
    <v>1</v>
    <v>Powered by Refinitiv</v>
    <v>0</v>
    <v>INR/USD</v>
    <v>2</v>
    <v>3</v>
    <v>Finance</v>
    <v>4</v>
    <v>1.1979999999999999E-2</v>
    <v>1.136E-2</v>
    <v>1.2E-5</v>
    <v>1.054E-3</v>
    <v>USD</v>
    <v>INR</v>
    <v>1.141E-2</v>
    <v>Currency Pair</v>
    <v>45875.639282407406</v>
    <v>1.1379999999999999E-2</v>
    <v>Indian Rupee/US Dollar FX Cross Rate</v>
    <v>1.1390000000000001E-2</v>
    <v>1.1379999999999999E-2</v>
    <v>1.1390000000000001E-2</v>
    <v>INRUSD</v>
    <v>INR/USD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57F9-46F9-4AE1-A66A-CA14116961BE}">
  <dimension ref="A1:BK24"/>
  <sheetViews>
    <sheetView topLeftCell="A15" workbookViewId="0">
      <selection activeCell="B13" sqref="B13"/>
    </sheetView>
  </sheetViews>
  <sheetFormatPr defaultRowHeight="18" x14ac:dyDescent="0.35"/>
  <cols>
    <col min="1" max="1" width="34.25" bestFit="1" customWidth="1"/>
    <col min="3" max="3" width="11.6640625" customWidth="1"/>
    <col min="4" max="4" width="11.75" bestFit="1" customWidth="1"/>
  </cols>
  <sheetData>
    <row r="1" spans="1:3" x14ac:dyDescent="0.35">
      <c r="A1" s="1" t="s">
        <v>11</v>
      </c>
      <c r="B1" s="2">
        <v>0.08</v>
      </c>
    </row>
    <row r="2" spans="1:3" x14ac:dyDescent="0.35">
      <c r="A2" t="s">
        <v>12</v>
      </c>
      <c r="B2">
        <v>60</v>
      </c>
      <c r="C2" t="s">
        <v>13</v>
      </c>
    </row>
    <row r="3" spans="1:3" x14ac:dyDescent="0.35">
      <c r="A3" t="s">
        <v>14</v>
      </c>
      <c r="B3">
        <v>5</v>
      </c>
      <c r="C3" t="s">
        <v>13</v>
      </c>
    </row>
    <row r="4" spans="1:3" x14ac:dyDescent="0.35">
      <c r="A4" s="1" t="s">
        <v>18</v>
      </c>
      <c r="B4">
        <v>10</v>
      </c>
      <c r="C4" t="s">
        <v>15</v>
      </c>
    </row>
    <row r="5" spans="1:3" ht="36" x14ac:dyDescent="0.35">
      <c r="A5" s="1" t="s">
        <v>19</v>
      </c>
      <c r="B5" s="3">
        <v>0.05</v>
      </c>
    </row>
    <row r="6" spans="1:3" ht="36" x14ac:dyDescent="0.35">
      <c r="A6" s="1" t="s">
        <v>20</v>
      </c>
      <c r="B6">
        <v>20</v>
      </c>
      <c r="C6" t="s">
        <v>16</v>
      </c>
    </row>
    <row r="7" spans="1:3" x14ac:dyDescent="0.35">
      <c r="A7" s="1" t="s">
        <v>22</v>
      </c>
      <c r="B7">
        <v>100</v>
      </c>
      <c r="C7" t="s">
        <v>5</v>
      </c>
    </row>
    <row r="8" spans="1:3" x14ac:dyDescent="0.35">
      <c r="A8" s="1" t="s">
        <v>24</v>
      </c>
      <c r="B8" s="2">
        <v>0.75</v>
      </c>
    </row>
    <row r="9" spans="1:3" x14ac:dyDescent="0.35">
      <c r="A9" s="1"/>
    </row>
    <row r="11" spans="1:3" x14ac:dyDescent="0.35">
      <c r="A11" s="4" t="s">
        <v>17</v>
      </c>
      <c r="B11" s="5">
        <f>((B4*(1-B5)*365)-(B6*24))/8760</f>
        <v>0.34103881278538811</v>
      </c>
    </row>
    <row r="13" spans="1:3" x14ac:dyDescent="0.35">
      <c r="A13" t="s">
        <v>23</v>
      </c>
      <c r="B13">
        <f>B7*B11*8760</f>
        <v>298750</v>
      </c>
      <c r="C13" t="s">
        <v>10</v>
      </c>
    </row>
    <row r="14" spans="1:3" x14ac:dyDescent="0.35">
      <c r="A14" t="s">
        <v>25</v>
      </c>
      <c r="B14">
        <f>B13/B8</f>
        <v>398333.33333333331</v>
      </c>
      <c r="C14" t="s">
        <v>10</v>
      </c>
    </row>
    <row r="18" spans="2:63" x14ac:dyDescent="0.35">
      <c r="B18" t="s">
        <v>29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>
        <v>12</v>
      </c>
      <c r="Q18">
        <v>13</v>
      </c>
      <c r="R18">
        <v>14</v>
      </c>
      <c r="S18">
        <v>15</v>
      </c>
      <c r="T18">
        <v>16</v>
      </c>
      <c r="U18">
        <v>17</v>
      </c>
      <c r="V18">
        <v>18</v>
      </c>
      <c r="W18">
        <v>19</v>
      </c>
      <c r="X18">
        <v>20</v>
      </c>
      <c r="Y18">
        <v>21</v>
      </c>
      <c r="Z18">
        <v>22</v>
      </c>
      <c r="AA18">
        <v>23</v>
      </c>
      <c r="AB18">
        <v>24</v>
      </c>
      <c r="AC18">
        <v>25</v>
      </c>
      <c r="AD18">
        <v>26</v>
      </c>
      <c r="AE18">
        <v>27</v>
      </c>
      <c r="AF18">
        <v>28</v>
      </c>
      <c r="AG18">
        <v>29</v>
      </c>
      <c r="AH18">
        <v>30</v>
      </c>
      <c r="AI18">
        <v>31</v>
      </c>
      <c r="AJ18">
        <v>32</v>
      </c>
      <c r="AK18">
        <v>33</v>
      </c>
      <c r="AL18">
        <v>34</v>
      </c>
      <c r="AM18">
        <v>35</v>
      </c>
      <c r="AN18">
        <v>36</v>
      </c>
      <c r="AO18">
        <v>37</v>
      </c>
      <c r="AP18">
        <v>38</v>
      </c>
      <c r="AQ18">
        <v>39</v>
      </c>
      <c r="AR18">
        <v>40</v>
      </c>
      <c r="AS18">
        <v>41</v>
      </c>
      <c r="AT18">
        <v>42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48</v>
      </c>
      <c r="BA18">
        <v>49</v>
      </c>
      <c r="BB18">
        <v>50</v>
      </c>
      <c r="BC18">
        <v>51</v>
      </c>
      <c r="BD18">
        <v>52</v>
      </c>
      <c r="BE18">
        <v>53</v>
      </c>
      <c r="BF18">
        <v>54</v>
      </c>
      <c r="BG18">
        <v>55</v>
      </c>
      <c r="BH18">
        <v>56</v>
      </c>
      <c r="BI18">
        <v>57</v>
      </c>
      <c r="BJ18">
        <v>58</v>
      </c>
      <c r="BK18">
        <v>59</v>
      </c>
    </row>
    <row r="19" spans="2:63" x14ac:dyDescent="0.35">
      <c r="B19" t="s">
        <v>28</v>
      </c>
      <c r="D19">
        <v>2025</v>
      </c>
      <c r="E19">
        <v>2026</v>
      </c>
      <c r="F19">
        <v>2027</v>
      </c>
      <c r="G19">
        <v>2028</v>
      </c>
      <c r="H19">
        <v>2029</v>
      </c>
      <c r="I19">
        <v>2030</v>
      </c>
      <c r="J19">
        <v>2031</v>
      </c>
      <c r="K19">
        <v>2032</v>
      </c>
      <c r="L19">
        <v>2033</v>
      </c>
      <c r="M19">
        <v>2034</v>
      </c>
      <c r="N19">
        <v>2035</v>
      </c>
      <c r="O19">
        <v>2036</v>
      </c>
      <c r="P19">
        <v>2037</v>
      </c>
      <c r="Q19">
        <v>2038</v>
      </c>
      <c r="R19">
        <v>2039</v>
      </c>
      <c r="S19">
        <v>2040</v>
      </c>
      <c r="T19">
        <v>2041</v>
      </c>
      <c r="U19">
        <v>2042</v>
      </c>
      <c r="V19">
        <v>2043</v>
      </c>
      <c r="W19">
        <v>2044</v>
      </c>
      <c r="X19">
        <v>2045</v>
      </c>
      <c r="Y19">
        <v>2046</v>
      </c>
      <c r="Z19">
        <v>2047</v>
      </c>
      <c r="AA19">
        <v>2048</v>
      </c>
      <c r="AB19">
        <v>2049</v>
      </c>
      <c r="AC19">
        <v>2050</v>
      </c>
      <c r="AD19">
        <v>2051</v>
      </c>
      <c r="AE19">
        <v>2052</v>
      </c>
      <c r="AF19">
        <v>2053</v>
      </c>
      <c r="AG19">
        <v>2054</v>
      </c>
      <c r="AH19">
        <v>2055</v>
      </c>
      <c r="AI19">
        <v>2056</v>
      </c>
      <c r="AJ19">
        <v>2057</v>
      </c>
      <c r="AK19">
        <v>2058</v>
      </c>
      <c r="AL19">
        <v>2059</v>
      </c>
      <c r="AM19">
        <v>2060</v>
      </c>
      <c r="AN19">
        <v>2061</v>
      </c>
      <c r="AO19">
        <v>2062</v>
      </c>
      <c r="AP19">
        <v>2063</v>
      </c>
      <c r="AQ19">
        <v>2064</v>
      </c>
      <c r="AR19">
        <v>2065</v>
      </c>
      <c r="AS19">
        <v>2066</v>
      </c>
      <c r="AT19">
        <v>2067</v>
      </c>
      <c r="AU19">
        <v>2068</v>
      </c>
      <c r="AV19">
        <v>2069</v>
      </c>
      <c r="AW19">
        <v>2070</v>
      </c>
      <c r="AX19">
        <v>2071</v>
      </c>
      <c r="AY19">
        <v>2072</v>
      </c>
      <c r="AZ19">
        <v>2073</v>
      </c>
      <c r="BA19">
        <v>2074</v>
      </c>
      <c r="BB19">
        <v>2075</v>
      </c>
      <c r="BC19">
        <v>2076</v>
      </c>
      <c r="BD19">
        <v>2077</v>
      </c>
      <c r="BE19">
        <v>2078</v>
      </c>
      <c r="BF19">
        <v>2079</v>
      </c>
      <c r="BG19">
        <v>2080</v>
      </c>
      <c r="BH19">
        <v>2081</v>
      </c>
      <c r="BI19">
        <v>2082</v>
      </c>
      <c r="BJ19">
        <v>2083</v>
      </c>
      <c r="BK19">
        <v>2084</v>
      </c>
    </row>
    <row r="20" spans="2:63" x14ac:dyDescent="0.35">
      <c r="B20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298750</v>
      </c>
      <c r="J20">
        <v>298750</v>
      </c>
      <c r="K20">
        <v>298750</v>
      </c>
      <c r="L20">
        <v>298750</v>
      </c>
      <c r="M20">
        <v>298750</v>
      </c>
      <c r="N20">
        <v>298750</v>
      </c>
      <c r="O20">
        <v>298750</v>
      </c>
      <c r="P20">
        <v>298750</v>
      </c>
      <c r="Q20">
        <v>298750</v>
      </c>
      <c r="R20">
        <v>298750</v>
      </c>
      <c r="S20">
        <v>298750</v>
      </c>
      <c r="T20">
        <v>298750</v>
      </c>
      <c r="U20">
        <v>298750</v>
      </c>
      <c r="V20">
        <v>298750</v>
      </c>
      <c r="W20">
        <v>298750</v>
      </c>
      <c r="X20">
        <v>298750</v>
      </c>
      <c r="Y20">
        <v>298750</v>
      </c>
      <c r="Z20">
        <v>298750</v>
      </c>
      <c r="AA20">
        <v>298750</v>
      </c>
      <c r="AB20">
        <v>298750</v>
      </c>
      <c r="AC20">
        <v>298750</v>
      </c>
      <c r="AD20">
        <v>298750</v>
      </c>
      <c r="AE20">
        <v>298750</v>
      </c>
      <c r="AF20">
        <v>298750</v>
      </c>
      <c r="AG20">
        <v>298750</v>
      </c>
      <c r="AH20">
        <v>298750</v>
      </c>
      <c r="AI20">
        <v>298750</v>
      </c>
      <c r="AJ20">
        <v>298750</v>
      </c>
      <c r="AK20">
        <v>298750</v>
      </c>
      <c r="AL20">
        <v>298750</v>
      </c>
      <c r="AM20">
        <v>298750</v>
      </c>
      <c r="AN20">
        <v>298750</v>
      </c>
      <c r="AO20">
        <v>298750</v>
      </c>
      <c r="AP20">
        <v>298750</v>
      </c>
      <c r="AQ20">
        <v>298750</v>
      </c>
      <c r="AR20">
        <v>298750</v>
      </c>
      <c r="AS20">
        <v>298750</v>
      </c>
      <c r="AT20">
        <v>298750</v>
      </c>
      <c r="AU20">
        <v>298750</v>
      </c>
      <c r="AV20">
        <v>298750</v>
      </c>
      <c r="AW20">
        <v>298750</v>
      </c>
      <c r="AX20">
        <v>298750</v>
      </c>
      <c r="AY20">
        <v>298750</v>
      </c>
      <c r="AZ20">
        <v>298750</v>
      </c>
      <c r="BA20">
        <v>298750</v>
      </c>
      <c r="BB20">
        <v>298750</v>
      </c>
      <c r="BC20">
        <v>298750</v>
      </c>
      <c r="BD20">
        <v>298750</v>
      </c>
      <c r="BE20">
        <v>298750</v>
      </c>
      <c r="BF20">
        <v>298750</v>
      </c>
      <c r="BG20">
        <v>298750</v>
      </c>
      <c r="BH20">
        <v>298750</v>
      </c>
      <c r="BI20">
        <v>298750</v>
      </c>
      <c r="BJ20">
        <v>298750</v>
      </c>
      <c r="BK20">
        <v>298750</v>
      </c>
    </row>
    <row r="21" spans="2:63" x14ac:dyDescent="0.35">
      <c r="B21" t="s">
        <v>26</v>
      </c>
      <c r="D21">
        <f>1/(1+$B$1)^D18</f>
        <v>1</v>
      </c>
      <c r="E21">
        <f t="shared" ref="E21:BK21" si="0">1/(1+$B$1)^E18</f>
        <v>0.92592592592592582</v>
      </c>
      <c r="F21">
        <f t="shared" si="0"/>
        <v>0.85733882030178321</v>
      </c>
      <c r="G21">
        <f t="shared" si="0"/>
        <v>0.79383224102016958</v>
      </c>
      <c r="H21">
        <f t="shared" si="0"/>
        <v>0.73502985279645328</v>
      </c>
      <c r="I21">
        <f t="shared" si="0"/>
        <v>0.68058319703375303</v>
      </c>
      <c r="J21">
        <f t="shared" si="0"/>
        <v>0.63016962688310452</v>
      </c>
      <c r="K21">
        <f t="shared" si="0"/>
        <v>0.58349039526213387</v>
      </c>
      <c r="L21">
        <f t="shared" si="0"/>
        <v>0.54026888450197574</v>
      </c>
      <c r="M21">
        <f t="shared" si="0"/>
        <v>0.50024896713145905</v>
      </c>
      <c r="N21">
        <f t="shared" si="0"/>
        <v>0.46319348808468425</v>
      </c>
      <c r="O21">
        <f t="shared" si="0"/>
        <v>0.42888285933767062</v>
      </c>
      <c r="P21">
        <f t="shared" si="0"/>
        <v>0.39711375864599124</v>
      </c>
      <c r="Q21">
        <f t="shared" si="0"/>
        <v>0.36769792467221413</v>
      </c>
      <c r="R21">
        <f t="shared" si="0"/>
        <v>0.34046104136316119</v>
      </c>
      <c r="S21">
        <f t="shared" si="0"/>
        <v>0.31524170496588994</v>
      </c>
      <c r="T21">
        <f t="shared" si="0"/>
        <v>0.29189046756100923</v>
      </c>
      <c r="U21">
        <f t="shared" si="0"/>
        <v>0.27026895144537894</v>
      </c>
      <c r="V21">
        <f t="shared" si="0"/>
        <v>0.25024902911609154</v>
      </c>
      <c r="W21">
        <f t="shared" si="0"/>
        <v>0.23171206399638106</v>
      </c>
      <c r="X21">
        <f t="shared" si="0"/>
        <v>0.21454820740405653</v>
      </c>
      <c r="Y21">
        <f t="shared" si="0"/>
        <v>0.19865574759634863</v>
      </c>
      <c r="Z21">
        <f t="shared" si="0"/>
        <v>0.18394050703365611</v>
      </c>
      <c r="AA21">
        <f t="shared" si="0"/>
        <v>0.17031528429042234</v>
      </c>
      <c r="AB21">
        <f t="shared" si="0"/>
        <v>0.1576993373059466</v>
      </c>
      <c r="AC21">
        <f t="shared" si="0"/>
        <v>0.1460179049129135</v>
      </c>
      <c r="AD21">
        <f t="shared" si="0"/>
        <v>0.13520176380825324</v>
      </c>
      <c r="AE21">
        <f t="shared" si="0"/>
        <v>0.12518681834097523</v>
      </c>
      <c r="AF21">
        <f t="shared" si="0"/>
        <v>0.11591372068608817</v>
      </c>
      <c r="AG21">
        <f t="shared" si="0"/>
        <v>0.10732751915378534</v>
      </c>
      <c r="AH21">
        <f t="shared" si="0"/>
        <v>9.9377332549801231E-2</v>
      </c>
      <c r="AI21">
        <f t="shared" si="0"/>
        <v>9.2016048657223348E-2</v>
      </c>
      <c r="AJ21">
        <f t="shared" si="0"/>
        <v>8.5200045052984577E-2</v>
      </c>
      <c r="AK21">
        <f t="shared" si="0"/>
        <v>7.8888930604615354E-2</v>
      </c>
      <c r="AL21">
        <f t="shared" si="0"/>
        <v>7.3045306115384581E-2</v>
      </c>
      <c r="AM21">
        <f t="shared" si="0"/>
        <v>6.7634542699430159E-2</v>
      </c>
      <c r="AN21">
        <f t="shared" si="0"/>
        <v>6.2624576573546434E-2</v>
      </c>
      <c r="AO21">
        <f t="shared" si="0"/>
        <v>5.7985719049580033E-2</v>
      </c>
      <c r="AP21">
        <f t="shared" si="0"/>
        <v>5.3690480601462989E-2</v>
      </c>
      <c r="AQ21">
        <f t="shared" si="0"/>
        <v>4.9713407964317585E-2</v>
      </c>
      <c r="AR21">
        <f t="shared" si="0"/>
        <v>4.6030933300294057E-2</v>
      </c>
      <c r="AS21">
        <f t="shared" si="0"/>
        <v>4.2621234537309309E-2</v>
      </c>
      <c r="AT21">
        <f t="shared" si="0"/>
        <v>3.9464106053064177E-2</v>
      </c>
      <c r="AU21">
        <f t="shared" si="0"/>
        <v>3.6540838938022388E-2</v>
      </c>
      <c r="AV21">
        <f t="shared" si="0"/>
        <v>3.3834110127798502E-2</v>
      </c>
      <c r="AW21">
        <f t="shared" si="0"/>
        <v>3.1327879747961578E-2</v>
      </c>
      <c r="AX21">
        <f t="shared" si="0"/>
        <v>2.900729606292738E-2</v>
      </c>
      <c r="AY21">
        <f t="shared" si="0"/>
        <v>2.6858607465673496E-2</v>
      </c>
      <c r="AZ21">
        <f t="shared" si="0"/>
        <v>2.4869080986734723E-2</v>
      </c>
      <c r="BA21">
        <f t="shared" si="0"/>
        <v>2.3026926839569185E-2</v>
      </c>
      <c r="BB21">
        <f t="shared" si="0"/>
        <v>2.1321228555156651E-2</v>
      </c>
      <c r="BC21">
        <f t="shared" si="0"/>
        <v>1.9741878291811711E-2</v>
      </c>
      <c r="BD21">
        <f t="shared" si="0"/>
        <v>1.8279516936862698E-2</v>
      </c>
      <c r="BE21">
        <f t="shared" si="0"/>
        <v>1.6925478645243238E-2</v>
      </c>
      <c r="BF21">
        <f t="shared" si="0"/>
        <v>1.5671739486336329E-2</v>
      </c>
      <c r="BG21">
        <f t="shared" si="0"/>
        <v>1.4510869894755859E-2</v>
      </c>
      <c r="BH21">
        <f t="shared" si="0"/>
        <v>1.3435990643292463E-2</v>
      </c>
      <c r="BI21">
        <f t="shared" si="0"/>
        <v>1.244073207712265E-2</v>
      </c>
      <c r="BJ21">
        <f t="shared" si="0"/>
        <v>1.1519196367706156E-2</v>
      </c>
      <c r="BK21">
        <f t="shared" si="0"/>
        <v>1.0665922562690886E-2</v>
      </c>
    </row>
    <row r="22" spans="2:63" x14ac:dyDescent="0.35">
      <c r="B22" t="s">
        <v>30</v>
      </c>
      <c r="D22">
        <f>D20/D21</f>
        <v>0</v>
      </c>
      <c r="E22">
        <f t="shared" ref="E22:BK22" si="1">E20/E21</f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438961.76294400007</v>
      </c>
      <c r="J22">
        <f t="shared" si="1"/>
        <v>474078.70397952019</v>
      </c>
      <c r="K22">
        <f t="shared" si="1"/>
        <v>512005.00029788178</v>
      </c>
      <c r="L22">
        <f t="shared" si="1"/>
        <v>552965.40032171237</v>
      </c>
      <c r="M22">
        <f t="shared" si="1"/>
        <v>597202.63234744931</v>
      </c>
      <c r="N22">
        <f t="shared" si="1"/>
        <v>644978.84293524537</v>
      </c>
      <c r="O22">
        <f t="shared" si="1"/>
        <v>696577.15037006489</v>
      </c>
      <c r="P22">
        <f t="shared" si="1"/>
        <v>752303.32239967026</v>
      </c>
      <c r="Q22">
        <f t="shared" si="1"/>
        <v>812487.58819164382</v>
      </c>
      <c r="R22">
        <f t="shared" si="1"/>
        <v>877486.59524697554</v>
      </c>
      <c r="S22">
        <f t="shared" si="1"/>
        <v>947685.52286673372</v>
      </c>
      <c r="T22">
        <f t="shared" si="1"/>
        <v>1023500.3646960723</v>
      </c>
      <c r="U22">
        <f t="shared" si="1"/>
        <v>1105380.3938717579</v>
      </c>
      <c r="V22">
        <f t="shared" si="1"/>
        <v>1193810.825381499</v>
      </c>
      <c r="W22">
        <f t="shared" si="1"/>
        <v>1289315.6914120188</v>
      </c>
      <c r="X22">
        <f t="shared" si="1"/>
        <v>1392460.9467249804</v>
      </c>
      <c r="Y22">
        <f t="shared" si="1"/>
        <v>1503857.8224629788</v>
      </c>
      <c r="Z22">
        <f t="shared" si="1"/>
        <v>1624166.4482600174</v>
      </c>
      <c r="AA22">
        <f t="shared" si="1"/>
        <v>1754099.7641208188</v>
      </c>
      <c r="AB22">
        <f t="shared" si="1"/>
        <v>1894427.7452504844</v>
      </c>
      <c r="AC22">
        <f t="shared" si="1"/>
        <v>2045981.9648705234</v>
      </c>
      <c r="AD22">
        <f t="shared" si="1"/>
        <v>2209660.5220601652</v>
      </c>
      <c r="AE22">
        <f t="shared" si="1"/>
        <v>2386433.3638249785</v>
      </c>
      <c r="AF22">
        <f t="shared" si="1"/>
        <v>2577348.0329309767</v>
      </c>
      <c r="AG22">
        <f t="shared" si="1"/>
        <v>2783535.8755654548</v>
      </c>
      <c r="AH22">
        <f t="shared" si="1"/>
        <v>3006218.7456106916</v>
      </c>
      <c r="AI22">
        <f t="shared" si="1"/>
        <v>3246716.2452595471</v>
      </c>
      <c r="AJ22">
        <f t="shared" si="1"/>
        <v>3506453.5448803115</v>
      </c>
      <c r="AK22">
        <f t="shared" si="1"/>
        <v>3786969.8284707358</v>
      </c>
      <c r="AL22">
        <f t="shared" si="1"/>
        <v>4089927.4147483953</v>
      </c>
      <c r="AM22">
        <f t="shared" si="1"/>
        <v>4417121.6079282677</v>
      </c>
      <c r="AN22">
        <f t="shared" si="1"/>
        <v>4770491.3365625292</v>
      </c>
      <c r="AO22">
        <f t="shared" si="1"/>
        <v>5152130.6434875317</v>
      </c>
      <c r="AP22">
        <f t="shared" si="1"/>
        <v>5564301.0949665345</v>
      </c>
      <c r="AQ22">
        <f t="shared" si="1"/>
        <v>6009445.1825638572</v>
      </c>
      <c r="AR22">
        <f t="shared" si="1"/>
        <v>6490200.7971689664</v>
      </c>
      <c r="AS22">
        <f t="shared" si="1"/>
        <v>7009416.8609424839</v>
      </c>
      <c r="AT22">
        <f t="shared" si="1"/>
        <v>7570170.2098178826</v>
      </c>
      <c r="AU22">
        <f t="shared" si="1"/>
        <v>8175783.826603312</v>
      </c>
      <c r="AV22">
        <f t="shared" si="1"/>
        <v>8829846.5327315796</v>
      </c>
      <c r="AW22">
        <f t="shared" si="1"/>
        <v>9536234.2553501055</v>
      </c>
      <c r="AX22">
        <f t="shared" si="1"/>
        <v>10299132.995778115</v>
      </c>
      <c r="AY22">
        <f t="shared" si="1"/>
        <v>11123063.635440366</v>
      </c>
      <c r="AZ22">
        <f t="shared" si="1"/>
        <v>12012908.726275593</v>
      </c>
      <c r="BA22">
        <f t="shared" si="1"/>
        <v>12973941.424377643</v>
      </c>
      <c r="BB22">
        <f t="shared" si="1"/>
        <v>14011856.738327855</v>
      </c>
      <c r="BC22">
        <f t="shared" si="1"/>
        <v>15132805.277394086</v>
      </c>
      <c r="BD22">
        <f t="shared" si="1"/>
        <v>16343429.699585611</v>
      </c>
      <c r="BE22">
        <f t="shared" si="1"/>
        <v>17650904.07555246</v>
      </c>
      <c r="BF22">
        <f t="shared" si="1"/>
        <v>19062976.401596658</v>
      </c>
      <c r="BG22">
        <f t="shared" si="1"/>
        <v>20588014.513724394</v>
      </c>
      <c r="BH22">
        <f t="shared" si="1"/>
        <v>22235055.674822345</v>
      </c>
      <c r="BI22">
        <f t="shared" si="1"/>
        <v>24013860.128808133</v>
      </c>
      <c r="BJ22">
        <f t="shared" si="1"/>
        <v>25934968.939112786</v>
      </c>
      <c r="BK22">
        <f t="shared" si="1"/>
        <v>28009766.454241809</v>
      </c>
    </row>
    <row r="24" spans="2:63" x14ac:dyDescent="0.35">
      <c r="B24" s="6" t="s">
        <v>27</v>
      </c>
      <c r="C24" s="6"/>
      <c r="D24" s="6">
        <f>SUM(D22:BK22)</f>
        <v>372644825.09546423</v>
      </c>
      <c r="E24" s="6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78C8-9BC6-4008-89E6-6F20CA9A0C5B}">
  <dimension ref="A1:BL53"/>
  <sheetViews>
    <sheetView topLeftCell="A40" workbookViewId="0">
      <selection activeCell="C57" sqref="C57"/>
    </sheetView>
  </sheetViews>
  <sheetFormatPr defaultRowHeight="18" x14ac:dyDescent="0.35"/>
  <cols>
    <col min="1" max="1" width="35.83203125" bestFit="1" customWidth="1"/>
    <col min="2" max="2" width="12.9140625" bestFit="1" customWidth="1"/>
    <col min="3" max="3" width="7.25" bestFit="1" customWidth="1"/>
    <col min="4" max="4" width="33.75" bestFit="1" customWidth="1"/>
    <col min="5" max="5" width="14.9140625" bestFit="1" customWidth="1"/>
    <col min="6" max="27" width="12.9140625" bestFit="1" customWidth="1"/>
    <col min="28" max="64" width="13.9140625" bestFit="1" customWidth="1"/>
  </cols>
  <sheetData>
    <row r="1" spans="1:5" x14ac:dyDescent="0.35">
      <c r="A1" s="7" t="s">
        <v>32</v>
      </c>
      <c r="B1" s="7">
        <v>968</v>
      </c>
      <c r="C1" s="7" t="s">
        <v>45</v>
      </c>
      <c r="D1" t="s">
        <v>34</v>
      </c>
      <c r="E1" t="s">
        <v>35</v>
      </c>
    </row>
    <row r="2" spans="1:5" x14ac:dyDescent="0.35">
      <c r="A2" s="8" t="s">
        <v>36</v>
      </c>
      <c r="B2" s="9">
        <v>0.2</v>
      </c>
      <c r="C2" s="8"/>
    </row>
    <row r="3" spans="1:5" x14ac:dyDescent="0.35">
      <c r="A3" s="8" t="s">
        <v>40</v>
      </c>
      <c r="B3" s="8">
        <v>10</v>
      </c>
      <c r="C3" s="8" t="s">
        <v>13</v>
      </c>
    </row>
    <row r="4" spans="1:5" x14ac:dyDescent="0.35">
      <c r="A4" s="8" t="s">
        <v>37</v>
      </c>
      <c r="B4" s="9">
        <v>0.11</v>
      </c>
      <c r="C4" s="8"/>
    </row>
    <row r="5" spans="1:5" x14ac:dyDescent="0.35">
      <c r="A5" s="8" t="s">
        <v>38</v>
      </c>
      <c r="B5" s="8">
        <v>2</v>
      </c>
      <c r="C5" s="8" t="s">
        <v>13</v>
      </c>
    </row>
    <row r="6" spans="1:5" x14ac:dyDescent="0.35">
      <c r="A6" s="8" t="s">
        <v>39</v>
      </c>
      <c r="B6" s="10">
        <v>5.0000000000000001E-3</v>
      </c>
      <c r="C6" s="8"/>
    </row>
    <row r="7" spans="1:5" x14ac:dyDescent="0.35">
      <c r="A7" s="8" t="s">
        <v>69</v>
      </c>
      <c r="B7" s="9">
        <v>0.8</v>
      </c>
      <c r="C7" s="8"/>
    </row>
    <row r="8" spans="1:5" x14ac:dyDescent="0.35">
      <c r="A8" s="8" t="s">
        <v>41</v>
      </c>
      <c r="B8" s="8">
        <v>20</v>
      </c>
      <c r="C8" s="8" t="s">
        <v>13</v>
      </c>
    </row>
    <row r="9" spans="1:5" x14ac:dyDescent="0.35">
      <c r="A9" s="8" t="s">
        <v>42</v>
      </c>
      <c r="B9" s="9">
        <v>0.06</v>
      </c>
      <c r="C9" s="8"/>
    </row>
    <row r="10" spans="1:5" x14ac:dyDescent="0.35">
      <c r="A10" s="8" t="s">
        <v>43</v>
      </c>
      <c r="B10" s="9">
        <v>0.03</v>
      </c>
      <c r="C10" s="8" t="s">
        <v>13</v>
      </c>
    </row>
    <row r="11" spans="1:5" x14ac:dyDescent="0.35">
      <c r="A11" s="8" t="s">
        <v>44</v>
      </c>
      <c r="B11" s="10">
        <v>5.0000000000000001E-3</v>
      </c>
      <c r="C11" s="8"/>
    </row>
    <row r="13" spans="1:5" x14ac:dyDescent="0.35">
      <c r="A13" s="11" t="s">
        <v>31</v>
      </c>
      <c r="B13" s="12"/>
      <c r="C13" s="13"/>
    </row>
    <row r="14" spans="1:5" x14ac:dyDescent="0.35">
      <c r="A14" s="14" t="s">
        <v>46</v>
      </c>
      <c r="B14" s="15">
        <v>7.34</v>
      </c>
      <c r="C14" s="16" t="s">
        <v>45</v>
      </c>
    </row>
    <row r="15" spans="1:5" x14ac:dyDescent="0.35">
      <c r="A15" s="14" t="s">
        <v>47</v>
      </c>
      <c r="B15">
        <v>15.44</v>
      </c>
      <c r="C15" s="16" t="s">
        <v>33</v>
      </c>
    </row>
    <row r="16" spans="1:5" x14ac:dyDescent="0.35">
      <c r="A16" s="17" t="s">
        <v>48</v>
      </c>
      <c r="B16" s="19">
        <v>0.08</v>
      </c>
      <c r="C16" s="18"/>
    </row>
    <row r="17" spans="1:4" x14ac:dyDescent="0.35">
      <c r="A17" t="s">
        <v>49</v>
      </c>
      <c r="B17" s="2">
        <v>0.03</v>
      </c>
    </row>
    <row r="18" spans="1:4" x14ac:dyDescent="0.35">
      <c r="B18" s="2"/>
    </row>
    <row r="20" spans="1:4" x14ac:dyDescent="0.35">
      <c r="A20" t="s">
        <v>52</v>
      </c>
      <c r="B20">
        <v>1984.089113</v>
      </c>
      <c r="C20" t="s">
        <v>50</v>
      </c>
      <c r="D20" t="s">
        <v>51</v>
      </c>
    </row>
    <row r="21" spans="1:4" x14ac:dyDescent="0.35">
      <c r="A21" t="e" vm="1">
        <v>#VALUE!</v>
      </c>
      <c r="B21" s="22" cm="1">
        <f t="array" aca="1" ref="B21" ca="1">_FV(A21,"Price")</f>
        <v>1.1390000000000001E-2</v>
      </c>
      <c r="C21" t="s">
        <v>54</v>
      </c>
    </row>
    <row r="22" spans="1:4" x14ac:dyDescent="0.35">
      <c r="A22" t="s">
        <v>53</v>
      </c>
      <c r="B22" s="23">
        <f ca="1">B20*B21</f>
        <v>22.598774997070002</v>
      </c>
      <c r="C22" t="s">
        <v>33</v>
      </c>
    </row>
    <row r="23" spans="1:4" x14ac:dyDescent="0.35">
      <c r="A23" t="s">
        <v>25</v>
      </c>
      <c r="B23">
        <f ca="1">B22/B16</f>
        <v>282.484687463375</v>
      </c>
      <c r="C23" t="s">
        <v>10</v>
      </c>
    </row>
    <row r="24" spans="1:4" x14ac:dyDescent="0.35">
      <c r="A24" t="s">
        <v>55</v>
      </c>
      <c r="B24">
        <f ca="1">B23*B22</f>
        <v>6383.8078921024526</v>
      </c>
      <c r="C24" t="s">
        <v>54</v>
      </c>
    </row>
    <row r="26" spans="1:4" x14ac:dyDescent="0.35">
      <c r="A26" t="s">
        <v>65</v>
      </c>
      <c r="B26">
        <v>968</v>
      </c>
      <c r="C26" t="s">
        <v>45</v>
      </c>
    </row>
    <row r="27" spans="1:4" x14ac:dyDescent="0.35">
      <c r="A27" t="s">
        <v>59</v>
      </c>
      <c r="B27">
        <v>100</v>
      </c>
      <c r="C27" t="s">
        <v>5</v>
      </c>
    </row>
    <row r="28" spans="1:4" x14ac:dyDescent="0.35">
      <c r="A28" t="s">
        <v>58</v>
      </c>
      <c r="B28">
        <f>B26*B27</f>
        <v>96800</v>
      </c>
      <c r="C28" t="s">
        <v>54</v>
      </c>
    </row>
    <row r="29" spans="1:4" x14ac:dyDescent="0.35">
      <c r="A29" t="s">
        <v>60</v>
      </c>
      <c r="B29">
        <f>B28*B2</f>
        <v>19360</v>
      </c>
    </row>
    <row r="30" spans="1:4" x14ac:dyDescent="0.35">
      <c r="A30" t="s">
        <v>66</v>
      </c>
      <c r="B30" s="24">
        <f>PMT(B4,B3,-B29)</f>
        <v>3287.3556286074127</v>
      </c>
    </row>
    <row r="31" spans="1:4" x14ac:dyDescent="0.35">
      <c r="A31" t="s">
        <v>68</v>
      </c>
      <c r="B31">
        <f>B7*B28</f>
        <v>77440</v>
      </c>
      <c r="C31" t="s">
        <v>54</v>
      </c>
    </row>
    <row r="32" spans="1:4" x14ac:dyDescent="0.35">
      <c r="A32" t="s">
        <v>67</v>
      </c>
      <c r="B32" s="24">
        <f>PMT(B9,B8,-B31)</f>
        <v>6751.5720922873761</v>
      </c>
    </row>
    <row r="33" spans="1:64" x14ac:dyDescent="0.35">
      <c r="B33" s="24"/>
    </row>
    <row r="34" spans="1:64" x14ac:dyDescent="0.35">
      <c r="A34" t="s">
        <v>46</v>
      </c>
      <c r="B34" s="24">
        <f>B27*1000*B14</f>
        <v>734000</v>
      </c>
    </row>
    <row r="35" spans="1:64" x14ac:dyDescent="0.35">
      <c r="A35" t="s">
        <v>71</v>
      </c>
      <c r="B35">
        <f>'Lifetime Generation'!B13</f>
        <v>298750</v>
      </c>
      <c r="C35" t="s">
        <v>10</v>
      </c>
    </row>
    <row r="36" spans="1:64" x14ac:dyDescent="0.35">
      <c r="A36" t="s">
        <v>70</v>
      </c>
      <c r="B36" s="24">
        <f>B35*B15</f>
        <v>4612700</v>
      </c>
    </row>
    <row r="37" spans="1:64" x14ac:dyDescent="0.35">
      <c r="A37" t="s">
        <v>72</v>
      </c>
      <c r="B37" s="24">
        <f>B34+B36</f>
        <v>5346700</v>
      </c>
    </row>
    <row r="38" spans="1:64" x14ac:dyDescent="0.35">
      <c r="B38" s="24"/>
    </row>
    <row r="41" spans="1:64" x14ac:dyDescent="0.35">
      <c r="D41" t="s">
        <v>29</v>
      </c>
      <c r="E41">
        <v>0</v>
      </c>
      <c r="F41">
        <v>1</v>
      </c>
      <c r="G41">
        <v>2</v>
      </c>
      <c r="H41">
        <v>3</v>
      </c>
      <c r="I41">
        <v>4</v>
      </c>
      <c r="J41">
        <v>5</v>
      </c>
      <c r="K41">
        <v>6</v>
      </c>
      <c r="L41">
        <v>7</v>
      </c>
      <c r="M41">
        <v>8</v>
      </c>
      <c r="N41">
        <v>9</v>
      </c>
      <c r="O41">
        <v>10</v>
      </c>
      <c r="P41">
        <v>11</v>
      </c>
      <c r="Q41">
        <v>12</v>
      </c>
      <c r="R41">
        <v>13</v>
      </c>
      <c r="S41">
        <v>14</v>
      </c>
      <c r="T41">
        <v>15</v>
      </c>
      <c r="U41">
        <v>16</v>
      </c>
      <c r="V41">
        <v>17</v>
      </c>
      <c r="W41">
        <v>18</v>
      </c>
      <c r="X41">
        <v>19</v>
      </c>
      <c r="Y41">
        <v>20</v>
      </c>
      <c r="Z41">
        <v>21</v>
      </c>
      <c r="AA41">
        <v>22</v>
      </c>
      <c r="AB41">
        <v>23</v>
      </c>
      <c r="AC41">
        <v>24</v>
      </c>
      <c r="AD41">
        <v>25</v>
      </c>
      <c r="AE41">
        <v>26</v>
      </c>
      <c r="AF41">
        <v>27</v>
      </c>
      <c r="AG41">
        <v>28</v>
      </c>
      <c r="AH41">
        <v>29</v>
      </c>
      <c r="AI41">
        <v>30</v>
      </c>
      <c r="AJ41">
        <v>31</v>
      </c>
      <c r="AK41">
        <v>32</v>
      </c>
      <c r="AL41">
        <v>33</v>
      </c>
      <c r="AM41">
        <v>34</v>
      </c>
      <c r="AN41">
        <v>35</v>
      </c>
      <c r="AO41">
        <v>36</v>
      </c>
      <c r="AP41">
        <v>37</v>
      </c>
      <c r="AQ41">
        <v>38</v>
      </c>
      <c r="AR41">
        <v>39</v>
      </c>
      <c r="AS41">
        <v>40</v>
      </c>
      <c r="AT41">
        <v>41</v>
      </c>
      <c r="AU41">
        <v>42</v>
      </c>
      <c r="AV41">
        <v>43</v>
      </c>
      <c r="AW41">
        <v>44</v>
      </c>
      <c r="AX41">
        <v>45</v>
      </c>
      <c r="AY41">
        <v>46</v>
      </c>
      <c r="AZ41">
        <v>47</v>
      </c>
      <c r="BA41">
        <v>48</v>
      </c>
      <c r="BB41">
        <v>49</v>
      </c>
      <c r="BC41">
        <v>50</v>
      </c>
      <c r="BD41">
        <v>51</v>
      </c>
      <c r="BE41">
        <v>52</v>
      </c>
      <c r="BF41">
        <v>53</v>
      </c>
      <c r="BG41">
        <v>54</v>
      </c>
      <c r="BH41">
        <v>55</v>
      </c>
      <c r="BI41">
        <v>56</v>
      </c>
      <c r="BJ41">
        <v>57</v>
      </c>
      <c r="BK41">
        <v>58</v>
      </c>
      <c r="BL41">
        <v>59</v>
      </c>
    </row>
    <row r="42" spans="1:64" x14ac:dyDescent="0.35">
      <c r="D42" t="s">
        <v>56</v>
      </c>
      <c r="E42">
        <v>2025</v>
      </c>
      <c r="F42">
        <v>2026</v>
      </c>
      <c r="G42">
        <v>2027</v>
      </c>
      <c r="H42">
        <v>2028</v>
      </c>
      <c r="I42">
        <v>2029</v>
      </c>
      <c r="J42">
        <v>2030</v>
      </c>
      <c r="K42">
        <v>2031</v>
      </c>
      <c r="L42">
        <v>2032</v>
      </c>
      <c r="M42">
        <v>2033</v>
      </c>
      <c r="N42">
        <v>2034</v>
      </c>
      <c r="O42">
        <v>2035</v>
      </c>
      <c r="P42">
        <v>2036</v>
      </c>
      <c r="Q42">
        <v>2037</v>
      </c>
      <c r="R42">
        <v>2038</v>
      </c>
      <c r="S42">
        <v>2039</v>
      </c>
      <c r="T42">
        <v>2040</v>
      </c>
      <c r="U42">
        <v>2041</v>
      </c>
      <c r="V42">
        <v>2042</v>
      </c>
      <c r="W42">
        <v>2043</v>
      </c>
      <c r="X42">
        <v>2044</v>
      </c>
      <c r="Y42">
        <v>2045</v>
      </c>
      <c r="Z42">
        <v>2046</v>
      </c>
      <c r="AA42">
        <v>2047</v>
      </c>
      <c r="AB42">
        <v>2048</v>
      </c>
      <c r="AC42">
        <v>2049</v>
      </c>
      <c r="AD42">
        <v>2050</v>
      </c>
      <c r="AE42">
        <v>2051</v>
      </c>
      <c r="AF42">
        <v>2052</v>
      </c>
      <c r="AG42">
        <v>2053</v>
      </c>
      <c r="AH42">
        <v>2054</v>
      </c>
      <c r="AI42">
        <v>2055</v>
      </c>
      <c r="AJ42">
        <v>2056</v>
      </c>
      <c r="AK42">
        <v>2057</v>
      </c>
      <c r="AL42">
        <v>2058</v>
      </c>
      <c r="AM42">
        <v>2059</v>
      </c>
      <c r="AN42">
        <v>2060</v>
      </c>
      <c r="AO42">
        <v>2061</v>
      </c>
      <c r="AP42">
        <v>2062</v>
      </c>
      <c r="AQ42">
        <v>2063</v>
      </c>
      <c r="AR42">
        <v>2064</v>
      </c>
      <c r="AS42">
        <v>2065</v>
      </c>
      <c r="AT42">
        <v>2066</v>
      </c>
      <c r="AU42">
        <v>2067</v>
      </c>
      <c r="AV42">
        <v>2068</v>
      </c>
      <c r="AW42">
        <v>2069</v>
      </c>
      <c r="AX42">
        <v>2070</v>
      </c>
      <c r="AY42">
        <v>2071</v>
      </c>
      <c r="AZ42">
        <v>2072</v>
      </c>
      <c r="BA42">
        <v>2073</v>
      </c>
      <c r="BB42">
        <v>2074</v>
      </c>
      <c r="BC42">
        <v>2075</v>
      </c>
      <c r="BD42">
        <v>2076</v>
      </c>
      <c r="BE42">
        <v>2077</v>
      </c>
      <c r="BF42">
        <v>2078</v>
      </c>
      <c r="BG42">
        <v>2079</v>
      </c>
      <c r="BH42">
        <v>2080</v>
      </c>
      <c r="BI42">
        <v>2081</v>
      </c>
      <c r="BJ42">
        <v>2082</v>
      </c>
      <c r="BK42">
        <v>2083</v>
      </c>
      <c r="BL42">
        <v>2084</v>
      </c>
    </row>
    <row r="43" spans="1:64" x14ac:dyDescent="0.35">
      <c r="D43" t="s">
        <v>58</v>
      </c>
      <c r="E43">
        <v>96800</v>
      </c>
    </row>
    <row r="44" spans="1:64" x14ac:dyDescent="0.35">
      <c r="D44" t="s">
        <v>61</v>
      </c>
      <c r="E44" s="24">
        <f>$B$30</f>
        <v>3287.3556286074127</v>
      </c>
      <c r="F44" s="24">
        <f t="shared" ref="F44:N44" si="0">$B$30</f>
        <v>3287.3556286074127</v>
      </c>
      <c r="G44" s="24">
        <f t="shared" si="0"/>
        <v>3287.3556286074127</v>
      </c>
      <c r="H44" s="24">
        <f t="shared" si="0"/>
        <v>3287.3556286074127</v>
      </c>
      <c r="I44" s="24">
        <f t="shared" si="0"/>
        <v>3287.3556286074127</v>
      </c>
      <c r="J44" s="24">
        <f t="shared" si="0"/>
        <v>3287.3556286074127</v>
      </c>
      <c r="K44" s="24">
        <f t="shared" si="0"/>
        <v>3287.3556286074127</v>
      </c>
      <c r="L44" s="24">
        <f t="shared" si="0"/>
        <v>3287.3556286074127</v>
      </c>
      <c r="M44" s="24">
        <f t="shared" si="0"/>
        <v>3287.3556286074127</v>
      </c>
      <c r="N44" s="24">
        <f t="shared" si="0"/>
        <v>3287.3556286074127</v>
      </c>
    </row>
    <row r="45" spans="1:64" x14ac:dyDescent="0.35">
      <c r="D45" t="s">
        <v>62</v>
      </c>
      <c r="E45">
        <f>1/(1+$B$4)^E41</f>
        <v>1</v>
      </c>
      <c r="F45">
        <f t="shared" ref="F45:N45" si="1">1/(1+$B$4)^F41</f>
        <v>0.9009009009009008</v>
      </c>
      <c r="G45">
        <f t="shared" si="1"/>
        <v>0.8116224332440547</v>
      </c>
      <c r="H45">
        <f t="shared" si="1"/>
        <v>0.73119138130095018</v>
      </c>
      <c r="I45">
        <f t="shared" si="1"/>
        <v>0.65873097414500015</v>
      </c>
      <c r="J45">
        <f t="shared" si="1"/>
        <v>0.5934513280585586</v>
      </c>
      <c r="K45">
        <f t="shared" si="1"/>
        <v>0.53464083608879154</v>
      </c>
      <c r="L45">
        <f t="shared" si="1"/>
        <v>0.48165841089080319</v>
      </c>
      <c r="M45">
        <f t="shared" si="1"/>
        <v>0.43392649629802077</v>
      </c>
      <c r="N45">
        <f t="shared" si="1"/>
        <v>0.39092477143965831</v>
      </c>
    </row>
    <row r="46" spans="1:64" x14ac:dyDescent="0.35">
      <c r="D46" t="s">
        <v>63</v>
      </c>
      <c r="E46" s="24">
        <f>$B$32</f>
        <v>6751.5720922873761</v>
      </c>
      <c r="F46" s="24">
        <f t="shared" ref="F46:X46" si="2">$B$32</f>
        <v>6751.5720922873761</v>
      </c>
      <c r="G46" s="24">
        <f t="shared" si="2"/>
        <v>6751.5720922873761</v>
      </c>
      <c r="H46" s="24">
        <f t="shared" si="2"/>
        <v>6751.5720922873761</v>
      </c>
      <c r="I46" s="24">
        <f t="shared" si="2"/>
        <v>6751.5720922873761</v>
      </c>
      <c r="J46" s="24">
        <f t="shared" si="2"/>
        <v>6751.5720922873761</v>
      </c>
      <c r="K46" s="24">
        <f t="shared" si="2"/>
        <v>6751.5720922873761</v>
      </c>
      <c r="L46" s="24">
        <f t="shared" si="2"/>
        <v>6751.5720922873761</v>
      </c>
      <c r="M46" s="24">
        <f t="shared" si="2"/>
        <v>6751.5720922873761</v>
      </c>
      <c r="N46" s="24">
        <f t="shared" si="2"/>
        <v>6751.5720922873761</v>
      </c>
      <c r="O46" s="24">
        <f t="shared" si="2"/>
        <v>6751.5720922873761</v>
      </c>
      <c r="P46" s="24">
        <f t="shared" si="2"/>
        <v>6751.5720922873761</v>
      </c>
      <c r="Q46" s="24">
        <f t="shared" si="2"/>
        <v>6751.5720922873761</v>
      </c>
      <c r="R46" s="24">
        <f t="shared" si="2"/>
        <v>6751.5720922873761</v>
      </c>
      <c r="S46" s="24">
        <f t="shared" si="2"/>
        <v>6751.5720922873761</v>
      </c>
      <c r="T46" s="24">
        <f t="shared" si="2"/>
        <v>6751.5720922873761</v>
      </c>
      <c r="U46" s="24">
        <f t="shared" si="2"/>
        <v>6751.5720922873761</v>
      </c>
      <c r="V46" s="24">
        <f t="shared" si="2"/>
        <v>6751.5720922873761</v>
      </c>
      <c r="W46" s="24">
        <f t="shared" si="2"/>
        <v>6751.5720922873761</v>
      </c>
      <c r="X46" s="24">
        <f t="shared" si="2"/>
        <v>6751.5720922873761</v>
      </c>
    </row>
    <row r="47" spans="1:64" x14ac:dyDescent="0.35">
      <c r="D47" t="s">
        <v>64</v>
      </c>
      <c r="E47">
        <f>1/(1+$B$9)^E41</f>
        <v>1</v>
      </c>
      <c r="F47">
        <f t="shared" ref="F47:X47" si="3">1/(1+$B$9)^F41</f>
        <v>0.94339622641509424</v>
      </c>
      <c r="G47">
        <f t="shared" si="3"/>
        <v>0.88999644001423983</v>
      </c>
      <c r="H47">
        <f t="shared" si="3"/>
        <v>0.8396192830323016</v>
      </c>
      <c r="I47">
        <f t="shared" si="3"/>
        <v>0.79209366323802044</v>
      </c>
      <c r="J47">
        <f t="shared" si="3"/>
        <v>0.74725817286605689</v>
      </c>
      <c r="K47">
        <f t="shared" si="3"/>
        <v>0.70496054043967626</v>
      </c>
      <c r="L47">
        <f t="shared" si="3"/>
        <v>0.66505711362233599</v>
      </c>
      <c r="M47">
        <f t="shared" si="3"/>
        <v>0.62741237134182648</v>
      </c>
      <c r="N47">
        <f t="shared" si="3"/>
        <v>0.59189846353002495</v>
      </c>
      <c r="O47">
        <f t="shared" si="3"/>
        <v>0.55839477691511785</v>
      </c>
      <c r="P47">
        <f t="shared" si="3"/>
        <v>0.52678752539162055</v>
      </c>
      <c r="Q47">
        <f t="shared" si="3"/>
        <v>0.4969693635770005</v>
      </c>
      <c r="R47">
        <f t="shared" si="3"/>
        <v>0.46883902224245327</v>
      </c>
      <c r="S47">
        <f t="shared" si="3"/>
        <v>0.44230096437967292</v>
      </c>
      <c r="T47">
        <f t="shared" si="3"/>
        <v>0.41726506073554037</v>
      </c>
      <c r="U47">
        <f t="shared" si="3"/>
        <v>0.39364628371277405</v>
      </c>
      <c r="V47">
        <f t="shared" si="3"/>
        <v>0.37136441859695657</v>
      </c>
      <c r="W47">
        <f t="shared" si="3"/>
        <v>0.35034379112920433</v>
      </c>
      <c r="X47">
        <f t="shared" si="3"/>
        <v>0.3305130104992493</v>
      </c>
    </row>
    <row r="48" spans="1:64" x14ac:dyDescent="0.35">
      <c r="D48" t="s">
        <v>31</v>
      </c>
      <c r="F48" s="24">
        <f>B37</f>
        <v>5346700</v>
      </c>
      <c r="G48" s="24">
        <f>F48*(1+$B$17)</f>
        <v>5507101</v>
      </c>
      <c r="H48" s="24">
        <f t="shared" ref="H48:BL48" si="4">G48*(1+$B$17)</f>
        <v>5672314.0300000003</v>
      </c>
      <c r="I48" s="24">
        <f t="shared" si="4"/>
        <v>5842483.4509000005</v>
      </c>
      <c r="J48" s="24">
        <f t="shared" si="4"/>
        <v>6017757.9544270011</v>
      </c>
      <c r="K48" s="24">
        <f t="shared" si="4"/>
        <v>6198290.6930598114</v>
      </c>
      <c r="L48" s="24">
        <f t="shared" si="4"/>
        <v>6384239.4138516057</v>
      </c>
      <c r="M48" s="24">
        <f t="shared" si="4"/>
        <v>6575766.5962671544</v>
      </c>
      <c r="N48" s="24">
        <f t="shared" si="4"/>
        <v>6773039.5941551691</v>
      </c>
      <c r="O48" s="24">
        <f t="shared" si="4"/>
        <v>6976230.7819798244</v>
      </c>
      <c r="P48" s="24">
        <f t="shared" si="4"/>
        <v>7185517.7054392193</v>
      </c>
      <c r="Q48" s="24">
        <f t="shared" si="4"/>
        <v>7401083.2366023958</v>
      </c>
      <c r="R48" s="24">
        <f t="shared" si="4"/>
        <v>7623115.7337004682</v>
      </c>
      <c r="S48" s="24">
        <f t="shared" si="4"/>
        <v>7851809.2057114821</v>
      </c>
      <c r="T48" s="24">
        <f t="shared" si="4"/>
        <v>8087363.4818828264</v>
      </c>
      <c r="U48" s="24">
        <f t="shared" si="4"/>
        <v>8329984.3863393115</v>
      </c>
      <c r="V48" s="24">
        <f t="shared" si="4"/>
        <v>8579883.917929491</v>
      </c>
      <c r="W48" s="24">
        <f t="shared" si="4"/>
        <v>8837280.4354673754</v>
      </c>
      <c r="X48" s="24">
        <f t="shared" si="4"/>
        <v>9102398.8485313971</v>
      </c>
      <c r="Y48" s="24">
        <f t="shared" si="4"/>
        <v>9375470.8139873389</v>
      </c>
      <c r="Z48" s="24">
        <f t="shared" si="4"/>
        <v>9656734.9384069592</v>
      </c>
      <c r="AA48" s="24">
        <f t="shared" si="4"/>
        <v>9946436.9865591675</v>
      </c>
      <c r="AB48" s="24">
        <f t="shared" si="4"/>
        <v>10244830.096155943</v>
      </c>
      <c r="AC48" s="24">
        <f t="shared" si="4"/>
        <v>10552174.999040622</v>
      </c>
      <c r="AD48" s="24">
        <f t="shared" si="4"/>
        <v>10868740.249011841</v>
      </c>
      <c r="AE48" s="24">
        <f t="shared" si="4"/>
        <v>11194802.456482196</v>
      </c>
      <c r="AF48" s="24">
        <f t="shared" si="4"/>
        <v>11530646.530176662</v>
      </c>
      <c r="AG48" s="24">
        <f t="shared" si="4"/>
        <v>11876565.926081963</v>
      </c>
      <c r="AH48" s="24">
        <f t="shared" si="4"/>
        <v>12232862.903864423</v>
      </c>
      <c r="AI48" s="24">
        <f t="shared" si="4"/>
        <v>12599848.790980356</v>
      </c>
      <c r="AJ48" s="24">
        <f t="shared" si="4"/>
        <v>12977844.254709767</v>
      </c>
      <c r="AK48" s="24">
        <f t="shared" si="4"/>
        <v>13367179.582351061</v>
      </c>
      <c r="AL48" s="24">
        <f t="shared" si="4"/>
        <v>13768194.969821593</v>
      </c>
      <c r="AM48" s="24">
        <f t="shared" si="4"/>
        <v>14181240.818916241</v>
      </c>
      <c r="AN48" s="24">
        <f t="shared" si="4"/>
        <v>14606678.043483729</v>
      </c>
      <c r="AO48" s="24">
        <f t="shared" si="4"/>
        <v>15044878.384788241</v>
      </c>
      <c r="AP48" s="24">
        <f t="shared" si="4"/>
        <v>15496224.736331889</v>
      </c>
      <c r="AQ48" s="24">
        <f t="shared" si="4"/>
        <v>15961111.478421846</v>
      </c>
      <c r="AR48" s="24">
        <f t="shared" si="4"/>
        <v>16439944.822774502</v>
      </c>
      <c r="AS48" s="24">
        <f t="shared" si="4"/>
        <v>16933143.167457737</v>
      </c>
      <c r="AT48" s="24">
        <f t="shared" si="4"/>
        <v>17441137.462481469</v>
      </c>
      <c r="AU48" s="24">
        <f t="shared" si="4"/>
        <v>17964371.586355913</v>
      </c>
      <c r="AV48" s="24">
        <f t="shared" si="4"/>
        <v>18503302.733946592</v>
      </c>
      <c r="AW48" s="24">
        <f t="shared" si="4"/>
        <v>19058401.815964989</v>
      </c>
      <c r="AX48" s="24">
        <f t="shared" si="4"/>
        <v>19630153.87044394</v>
      </c>
      <c r="AY48" s="24">
        <f t="shared" si="4"/>
        <v>20219058.48655726</v>
      </c>
      <c r="AZ48" s="24">
        <f t="shared" si="4"/>
        <v>20825630.241153978</v>
      </c>
      <c r="BA48" s="24">
        <f t="shared" si="4"/>
        <v>21450399.148388598</v>
      </c>
      <c r="BB48" s="24">
        <f t="shared" si="4"/>
        <v>22093911.122840255</v>
      </c>
      <c r="BC48" s="24">
        <f t="shared" si="4"/>
        <v>22756728.456525464</v>
      </c>
      <c r="BD48" s="24">
        <f t="shared" si="4"/>
        <v>23439430.310221229</v>
      </c>
      <c r="BE48" s="24">
        <f t="shared" si="4"/>
        <v>24142613.219527867</v>
      </c>
      <c r="BF48" s="24">
        <f t="shared" si="4"/>
        <v>24866891.616113704</v>
      </c>
      <c r="BG48" s="24">
        <f t="shared" si="4"/>
        <v>25612898.364597116</v>
      </c>
      <c r="BH48" s="24">
        <f t="shared" si="4"/>
        <v>26381285.315535031</v>
      </c>
      <c r="BI48" s="24">
        <f t="shared" si="4"/>
        <v>27172723.875001084</v>
      </c>
      <c r="BJ48" s="24">
        <f t="shared" si="4"/>
        <v>27987905.591251116</v>
      </c>
      <c r="BK48" s="24">
        <f t="shared" si="4"/>
        <v>28827542.758988649</v>
      </c>
      <c r="BL48" s="24">
        <f t="shared" si="4"/>
        <v>29692369.04175831</v>
      </c>
    </row>
    <row r="49" spans="4:64" x14ac:dyDescent="0.35">
      <c r="D49" t="s">
        <v>73</v>
      </c>
      <c r="K49">
        <f ca="1">$B$24</f>
        <v>6383.8078921024526</v>
      </c>
      <c r="L49">
        <f t="shared" ref="L49:BL49" ca="1" si="5">$B$24</f>
        <v>6383.8078921024526</v>
      </c>
      <c r="M49">
        <f t="shared" ca="1" si="5"/>
        <v>6383.8078921024526</v>
      </c>
      <c r="N49">
        <f t="shared" ca="1" si="5"/>
        <v>6383.8078921024526</v>
      </c>
      <c r="O49">
        <f t="shared" ca="1" si="5"/>
        <v>6383.8078921024526</v>
      </c>
      <c r="P49">
        <f t="shared" ca="1" si="5"/>
        <v>6383.8078921024526</v>
      </c>
      <c r="Q49">
        <f t="shared" ca="1" si="5"/>
        <v>6383.8078921024526</v>
      </c>
      <c r="R49">
        <f t="shared" ca="1" si="5"/>
        <v>6383.8078921024526</v>
      </c>
      <c r="S49">
        <f t="shared" ca="1" si="5"/>
        <v>6383.8078921024526</v>
      </c>
      <c r="T49">
        <f t="shared" ca="1" si="5"/>
        <v>6383.8078921024526</v>
      </c>
      <c r="U49">
        <f t="shared" ca="1" si="5"/>
        <v>6383.8078921024526</v>
      </c>
      <c r="V49">
        <f t="shared" ca="1" si="5"/>
        <v>6383.8078921024526</v>
      </c>
      <c r="W49">
        <f t="shared" ca="1" si="5"/>
        <v>6383.8078921024526</v>
      </c>
      <c r="X49">
        <f t="shared" ca="1" si="5"/>
        <v>6383.8078921024526</v>
      </c>
      <c r="Y49">
        <f t="shared" ca="1" si="5"/>
        <v>6383.8078921024526</v>
      </c>
      <c r="Z49">
        <f t="shared" ca="1" si="5"/>
        <v>6383.8078921024526</v>
      </c>
      <c r="AA49">
        <f t="shared" ca="1" si="5"/>
        <v>6383.8078921024526</v>
      </c>
      <c r="AB49">
        <f t="shared" ca="1" si="5"/>
        <v>6383.8078921024526</v>
      </c>
      <c r="AC49">
        <f t="shared" ca="1" si="5"/>
        <v>6383.8078921024526</v>
      </c>
      <c r="AD49">
        <f t="shared" ca="1" si="5"/>
        <v>6383.8078921024526</v>
      </c>
      <c r="AE49">
        <f t="shared" ca="1" si="5"/>
        <v>6383.8078921024526</v>
      </c>
      <c r="AF49">
        <f t="shared" ca="1" si="5"/>
        <v>6383.8078921024526</v>
      </c>
      <c r="AG49">
        <f t="shared" ca="1" si="5"/>
        <v>6383.8078921024526</v>
      </c>
      <c r="AH49">
        <f t="shared" ca="1" si="5"/>
        <v>6383.8078921024526</v>
      </c>
      <c r="AI49">
        <f t="shared" ca="1" si="5"/>
        <v>6383.8078921024526</v>
      </c>
      <c r="AJ49">
        <f t="shared" ca="1" si="5"/>
        <v>6383.8078921024526</v>
      </c>
      <c r="AK49">
        <f t="shared" ca="1" si="5"/>
        <v>6383.8078921024526</v>
      </c>
      <c r="AL49">
        <f t="shared" ca="1" si="5"/>
        <v>6383.8078921024526</v>
      </c>
      <c r="AM49">
        <f t="shared" ca="1" si="5"/>
        <v>6383.8078921024526</v>
      </c>
      <c r="AN49">
        <f t="shared" ca="1" si="5"/>
        <v>6383.8078921024526</v>
      </c>
      <c r="AO49">
        <f t="shared" ca="1" si="5"/>
        <v>6383.8078921024526</v>
      </c>
      <c r="AP49">
        <f t="shared" ca="1" si="5"/>
        <v>6383.8078921024526</v>
      </c>
      <c r="AQ49">
        <f t="shared" ca="1" si="5"/>
        <v>6383.8078921024526</v>
      </c>
      <c r="AR49">
        <f t="shared" ca="1" si="5"/>
        <v>6383.8078921024526</v>
      </c>
      <c r="AS49">
        <f t="shared" ca="1" si="5"/>
        <v>6383.8078921024526</v>
      </c>
      <c r="AT49">
        <f t="shared" ca="1" si="5"/>
        <v>6383.8078921024526</v>
      </c>
      <c r="AU49">
        <f t="shared" ca="1" si="5"/>
        <v>6383.8078921024526</v>
      </c>
      <c r="AV49">
        <f t="shared" ca="1" si="5"/>
        <v>6383.8078921024526</v>
      </c>
      <c r="AW49">
        <f t="shared" ca="1" si="5"/>
        <v>6383.8078921024526</v>
      </c>
      <c r="AX49">
        <f t="shared" ca="1" si="5"/>
        <v>6383.8078921024526</v>
      </c>
      <c r="AY49">
        <f t="shared" ca="1" si="5"/>
        <v>6383.8078921024526</v>
      </c>
      <c r="AZ49">
        <f t="shared" ca="1" si="5"/>
        <v>6383.8078921024526</v>
      </c>
      <c r="BA49">
        <f t="shared" ca="1" si="5"/>
        <v>6383.8078921024526</v>
      </c>
      <c r="BB49">
        <f t="shared" ca="1" si="5"/>
        <v>6383.8078921024526</v>
      </c>
      <c r="BC49">
        <f t="shared" ca="1" si="5"/>
        <v>6383.8078921024526</v>
      </c>
      <c r="BD49">
        <f t="shared" ca="1" si="5"/>
        <v>6383.8078921024526</v>
      </c>
      <c r="BE49">
        <f t="shared" ca="1" si="5"/>
        <v>6383.8078921024526</v>
      </c>
      <c r="BF49">
        <f t="shared" ca="1" si="5"/>
        <v>6383.8078921024526</v>
      </c>
      <c r="BG49">
        <f t="shared" ca="1" si="5"/>
        <v>6383.8078921024526</v>
      </c>
      <c r="BH49">
        <f t="shared" ca="1" si="5"/>
        <v>6383.8078921024526</v>
      </c>
      <c r="BI49">
        <f t="shared" ca="1" si="5"/>
        <v>6383.8078921024526</v>
      </c>
      <c r="BJ49">
        <f t="shared" ca="1" si="5"/>
        <v>6383.8078921024526</v>
      </c>
      <c r="BK49">
        <f t="shared" ca="1" si="5"/>
        <v>6383.8078921024526</v>
      </c>
      <c r="BL49">
        <f t="shared" ca="1" si="5"/>
        <v>6383.8078921024526</v>
      </c>
    </row>
    <row r="50" spans="4:64" x14ac:dyDescent="0.35">
      <c r="D50" t="s">
        <v>74</v>
      </c>
      <c r="E50">
        <f>(1/1+$B$16)^E41</f>
        <v>1</v>
      </c>
      <c r="F50">
        <f t="shared" ref="F50:BL50" si="6">(1/1+$B$16)^F41</f>
        <v>1.08</v>
      </c>
      <c r="G50">
        <f t="shared" si="6"/>
        <v>1.1664000000000001</v>
      </c>
      <c r="H50">
        <f t="shared" si="6"/>
        <v>1.2597120000000002</v>
      </c>
      <c r="I50">
        <f t="shared" si="6"/>
        <v>1.3604889600000003</v>
      </c>
      <c r="J50">
        <f t="shared" si="6"/>
        <v>1.4693280768000003</v>
      </c>
      <c r="K50">
        <f t="shared" si="6"/>
        <v>1.5868743229440005</v>
      </c>
      <c r="L50">
        <f t="shared" si="6"/>
        <v>1.7138242687795207</v>
      </c>
      <c r="M50">
        <f t="shared" si="6"/>
        <v>1.8509302102818823</v>
      </c>
      <c r="N50">
        <f t="shared" si="6"/>
        <v>1.9990046271044331</v>
      </c>
      <c r="O50">
        <f t="shared" si="6"/>
        <v>2.1589249972727877</v>
      </c>
      <c r="P50">
        <f t="shared" si="6"/>
        <v>2.3316389970546108</v>
      </c>
      <c r="Q50">
        <f t="shared" si="6"/>
        <v>2.5181701168189798</v>
      </c>
      <c r="R50">
        <f t="shared" si="6"/>
        <v>2.7196237261644982</v>
      </c>
      <c r="S50">
        <f t="shared" si="6"/>
        <v>2.9371936242576586</v>
      </c>
      <c r="T50">
        <f t="shared" si="6"/>
        <v>3.1721691141982715</v>
      </c>
      <c r="U50">
        <f t="shared" si="6"/>
        <v>3.4259426433341331</v>
      </c>
      <c r="V50">
        <f t="shared" si="6"/>
        <v>3.7000180548008639</v>
      </c>
      <c r="W50">
        <f t="shared" si="6"/>
        <v>3.9960194991849334</v>
      </c>
      <c r="X50">
        <f t="shared" si="6"/>
        <v>4.3157010591197285</v>
      </c>
      <c r="Y50">
        <f t="shared" si="6"/>
        <v>4.6609571438493065</v>
      </c>
      <c r="Z50">
        <f t="shared" si="6"/>
        <v>5.0338337153572512</v>
      </c>
      <c r="AA50">
        <f t="shared" si="6"/>
        <v>5.4365404125858321</v>
      </c>
      <c r="AB50">
        <f t="shared" si="6"/>
        <v>5.8714636455926987</v>
      </c>
      <c r="AC50">
        <f t="shared" si="6"/>
        <v>6.3411807372401148</v>
      </c>
      <c r="AD50">
        <f t="shared" si="6"/>
        <v>6.8484751962193249</v>
      </c>
      <c r="AE50">
        <f t="shared" si="6"/>
        <v>7.3963532119168702</v>
      </c>
      <c r="AF50">
        <f t="shared" si="6"/>
        <v>7.9880614688702201</v>
      </c>
      <c r="AG50">
        <f t="shared" si="6"/>
        <v>8.6271063863798378</v>
      </c>
      <c r="AH50">
        <f t="shared" si="6"/>
        <v>9.3172748972902255</v>
      </c>
      <c r="AI50">
        <f t="shared" si="6"/>
        <v>10.062656889073445</v>
      </c>
      <c r="AJ50">
        <f t="shared" si="6"/>
        <v>10.867669440199322</v>
      </c>
      <c r="AK50">
        <f t="shared" si="6"/>
        <v>11.737082995415268</v>
      </c>
      <c r="AL50">
        <f t="shared" si="6"/>
        <v>12.676049635048489</v>
      </c>
      <c r="AM50">
        <f t="shared" si="6"/>
        <v>13.690133605852369</v>
      </c>
      <c r="AN50">
        <f t="shared" si="6"/>
        <v>14.785344294320559</v>
      </c>
      <c r="AO50">
        <f t="shared" si="6"/>
        <v>15.968171837866207</v>
      </c>
      <c r="AP50">
        <f t="shared" si="6"/>
        <v>17.245625584895503</v>
      </c>
      <c r="AQ50">
        <f t="shared" si="6"/>
        <v>18.625275631687146</v>
      </c>
      <c r="AR50">
        <f t="shared" si="6"/>
        <v>20.115297682222117</v>
      </c>
      <c r="AS50">
        <f t="shared" si="6"/>
        <v>21.724521496799888</v>
      </c>
      <c r="AT50">
        <f t="shared" si="6"/>
        <v>23.46248321654388</v>
      </c>
      <c r="AU50">
        <f t="shared" si="6"/>
        <v>25.339481873867388</v>
      </c>
      <c r="AV50">
        <f t="shared" si="6"/>
        <v>27.366640423776779</v>
      </c>
      <c r="AW50">
        <f t="shared" si="6"/>
        <v>29.555971657678928</v>
      </c>
      <c r="AX50">
        <f t="shared" si="6"/>
        <v>31.920449390293239</v>
      </c>
      <c r="AY50">
        <f t="shared" si="6"/>
        <v>34.474085341516705</v>
      </c>
      <c r="AZ50">
        <f t="shared" si="6"/>
        <v>37.232012168838047</v>
      </c>
      <c r="BA50">
        <f t="shared" si="6"/>
        <v>40.210573142345083</v>
      </c>
      <c r="BB50">
        <f t="shared" si="6"/>
        <v>43.427418993732694</v>
      </c>
      <c r="BC50">
        <f t="shared" si="6"/>
        <v>46.901612513231314</v>
      </c>
      <c r="BD50">
        <f t="shared" si="6"/>
        <v>50.653741514289827</v>
      </c>
      <c r="BE50">
        <f t="shared" si="6"/>
        <v>54.706040835433008</v>
      </c>
      <c r="BF50">
        <f t="shared" si="6"/>
        <v>59.082524102267648</v>
      </c>
      <c r="BG50">
        <f t="shared" si="6"/>
        <v>63.809126030449072</v>
      </c>
      <c r="BH50">
        <f t="shared" si="6"/>
        <v>68.913856112885</v>
      </c>
      <c r="BI50">
        <f t="shared" si="6"/>
        <v>74.426964601915799</v>
      </c>
      <c r="BJ50">
        <f t="shared" si="6"/>
        <v>80.381121770069072</v>
      </c>
      <c r="BK50">
        <f t="shared" si="6"/>
        <v>86.811611511674599</v>
      </c>
      <c r="BL50">
        <f t="shared" si="6"/>
        <v>93.75654043260856</v>
      </c>
    </row>
    <row r="51" spans="4:64" x14ac:dyDescent="0.35">
      <c r="D51" t="s">
        <v>57</v>
      </c>
      <c r="E51" s="24">
        <f>E44/E45 + E46/E47+(E48+E49)/E50</f>
        <v>10038.92772089479</v>
      </c>
      <c r="F51" s="24">
        <f t="shared" ref="F51:N51" si="7">F44/F45 + F46/F47+(F48+F49)/F50</f>
        <v>4961453.7793137264</v>
      </c>
      <c r="G51" s="24">
        <f t="shared" si="7"/>
        <v>4733087.8918956714</v>
      </c>
      <c r="H51" s="24">
        <f t="shared" si="7"/>
        <v>4515402.8780578254</v>
      </c>
      <c r="I51" s="24">
        <f t="shared" si="7"/>
        <v>4307913.892397969</v>
      </c>
      <c r="J51" s="24">
        <f t="shared" si="7"/>
        <v>4110159.4594728341</v>
      </c>
      <c r="K51" s="24">
        <f t="shared" ca="1" si="7"/>
        <v>3925723.3670525402</v>
      </c>
      <c r="L51" s="24">
        <f t="shared" ca="1" si="7"/>
        <v>3745844.2144848546</v>
      </c>
      <c r="M51" s="24">
        <f t="shared" ca="1" si="7"/>
        <v>3574467.8718673186</v>
      </c>
      <c r="N51" s="24">
        <f t="shared" ca="1" si="7"/>
        <v>3411215.3706926666</v>
      </c>
      <c r="O51" s="24">
        <f ca="1">O46/O47+(O48+O49)/O50</f>
        <v>3246392.6451633009</v>
      </c>
      <c r="P51" s="24">
        <f t="shared" ref="P51:X51" ca="1" si="8">P46/P47+(P48+P49)/P50</f>
        <v>3097299.7846817444</v>
      </c>
      <c r="Q51" s="24">
        <f t="shared" ca="1" si="8"/>
        <v>2955192.5696289665</v>
      </c>
      <c r="R51" s="24">
        <f t="shared" ca="1" si="8"/>
        <v>2819751.7666472481</v>
      </c>
      <c r="S51" s="24">
        <f t="shared" ca="1" si="8"/>
        <v>2690673.2326952079</v>
      </c>
      <c r="T51" s="24">
        <f t="shared" ca="1" si="8"/>
        <v>2567667.2306057741</v>
      </c>
      <c r="U51" s="24">
        <f t="shared" ca="1" si="8"/>
        <v>2450457.7775138528</v>
      </c>
      <c r="V51" s="24">
        <f t="shared" ca="1" si="8"/>
        <v>2338782.0246783546</v>
      </c>
      <c r="W51" s="24">
        <f t="shared" ca="1" si="8"/>
        <v>2232389.6672961335</v>
      </c>
      <c r="X51" s="24">
        <f t="shared" ca="1" si="8"/>
        <v>2131042.382975061</v>
      </c>
      <c r="Y51" s="24">
        <f ca="1">(Y48+Y49)/Y50</f>
        <v>2012860.0912496969</v>
      </c>
      <c r="Z51" s="24">
        <f t="shared" ref="Z51:BL51" ca="1" si="9">(Z48+Z49)/Z50</f>
        <v>1919634.0786583314</v>
      </c>
      <c r="AA51" s="24">
        <f t="shared" ca="1" si="9"/>
        <v>1830726.9033464829</v>
      </c>
      <c r="AB51" s="24">
        <f t="shared" ca="1" si="9"/>
        <v>1745938.4103898732</v>
      </c>
      <c r="AC51" s="24">
        <f t="shared" ca="1" si="9"/>
        <v>1665077.7267591569</v>
      </c>
      <c r="AD51" s="24">
        <f t="shared" ca="1" si="9"/>
        <v>1587962.8304571381</v>
      </c>
      <c r="AE51" s="24">
        <f t="shared" ca="1" si="9"/>
        <v>1514420.1396881845</v>
      </c>
      <c r="AF51" s="24">
        <f t="shared" ca="1" si="9"/>
        <v>1444284.1211261344</v>
      </c>
      <c r="AG51" s="24">
        <f t="shared" ca="1" si="9"/>
        <v>1377396.9163906956</v>
      </c>
      <c r="AH51" s="24">
        <f t="shared" ca="1" si="9"/>
        <v>1313607.9858839528</v>
      </c>
      <c r="AI51" s="24">
        <f t="shared" ca="1" si="9"/>
        <v>1252773.7691782934</v>
      </c>
      <c r="AJ51" s="24">
        <f t="shared" ca="1" si="9"/>
        <v>1194757.3611848585</v>
      </c>
      <c r="AK51" s="24">
        <f t="shared" ca="1" si="9"/>
        <v>1139428.2033676626</v>
      </c>
      <c r="AL51" s="24">
        <f t="shared" ca="1" si="9"/>
        <v>1086661.7893028629</v>
      </c>
      <c r="AM51" s="24">
        <f t="shared" ca="1" si="9"/>
        <v>1036339.3839153844</v>
      </c>
      <c r="AN51" s="24">
        <f t="shared" ca="1" si="9"/>
        <v>988347.75575629261</v>
      </c>
      <c r="AO51" s="24">
        <f t="shared" ca="1" si="9"/>
        <v>942578.92171403463</v>
      </c>
      <c r="AP51" s="24">
        <f t="shared" ca="1" si="9"/>
        <v>898929.90358099132</v>
      </c>
      <c r="AQ51" s="24">
        <f t="shared" ca="1" si="9"/>
        <v>857302.49592379085</v>
      </c>
      <c r="AR51" s="24">
        <f t="shared" ca="1" si="9"/>
        <v>817603.0447315654</v>
      </c>
      <c r="AS51" s="24">
        <f t="shared" ca="1" si="9"/>
        <v>779742.23634086037</v>
      </c>
      <c r="AT51" s="24">
        <f t="shared" ca="1" si="9"/>
        <v>743634.89615928486</v>
      </c>
      <c r="AU51" s="24">
        <f t="shared" ca="1" si="9"/>
        <v>709199.79673227889</v>
      </c>
      <c r="AV51" s="24">
        <f t="shared" ca="1" si="9"/>
        <v>676359.47471860831</v>
      </c>
      <c r="AW51" s="24">
        <f t="shared" ca="1" si="9"/>
        <v>645040.05636045046</v>
      </c>
      <c r="AX51" s="24">
        <f t="shared" ca="1" si="9"/>
        <v>615171.09105322813</v>
      </c>
      <c r="AY51" s="24">
        <f t="shared" ca="1" si="9"/>
        <v>586685.39263874595</v>
      </c>
      <c r="AZ51" s="24">
        <f t="shared" ca="1" si="9"/>
        <v>559518.88806272426</v>
      </c>
      <c r="BA51" s="24">
        <f t="shared" ca="1" si="9"/>
        <v>533610.47305453406</v>
      </c>
      <c r="BB51" s="24">
        <f t="shared" ca="1" si="9"/>
        <v>508901.87450287578</v>
      </c>
      <c r="BC51" s="24">
        <f t="shared" ca="1" si="9"/>
        <v>485337.51921633643</v>
      </c>
      <c r="BD51" s="24">
        <f t="shared" ca="1" si="9"/>
        <v>462864.40877223411</v>
      </c>
      <c r="BE51" s="24">
        <f t="shared" ca="1" si="9"/>
        <v>441432.00017097028</v>
      </c>
      <c r="BF51" s="24">
        <f t="shared" ca="1" si="9"/>
        <v>420992.09202626371</v>
      </c>
      <c r="BG51" s="24">
        <f t="shared" ca="1" si="9"/>
        <v>401498.71603419166</v>
      </c>
      <c r="BH51" s="24">
        <f t="shared" ca="1" si="9"/>
        <v>382908.03347591753</v>
      </c>
      <c r="BI51" s="24">
        <f t="shared" ca="1" si="9"/>
        <v>365178.23652039113</v>
      </c>
      <c r="BJ51" s="24">
        <f t="shared" ca="1" si="9"/>
        <v>348269.45410417556</v>
      </c>
      <c r="BK51" s="24">
        <f t="shared" ca="1" si="9"/>
        <v>332143.66217591881</v>
      </c>
      <c r="BL51" s="24">
        <f t="shared" ca="1" si="9"/>
        <v>316764.59810286661</v>
      </c>
    </row>
    <row r="53" spans="4:64" x14ac:dyDescent="0.35">
      <c r="D53" t="s">
        <v>75</v>
      </c>
      <c r="E53" s="24">
        <f ca="1">SUM(E51:BL51)</f>
        <v>100766841.46767022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DC00-4282-48FA-985C-D11D0E6F757B}">
  <dimension ref="A2:C2"/>
  <sheetViews>
    <sheetView tabSelected="1" workbookViewId="0">
      <selection activeCell="C3" sqref="B3:C20"/>
    </sheetView>
  </sheetViews>
  <sheetFormatPr defaultRowHeight="18" x14ac:dyDescent="0.35"/>
  <sheetData>
    <row r="2" spans="1:3" x14ac:dyDescent="0.35">
      <c r="A2" t="s">
        <v>76</v>
      </c>
      <c r="B2">
        <f ca="1">'Project Lifetime Cost'!E53/'Lifetime Generation'!D24</f>
        <v>0.2704098773996278</v>
      </c>
      <c r="C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7426-4197-4EE7-87B8-BB1C07D21487}">
  <dimension ref="A1:F6"/>
  <sheetViews>
    <sheetView workbookViewId="0">
      <selection activeCell="F5" sqref="F5"/>
    </sheetView>
  </sheetViews>
  <sheetFormatPr defaultRowHeight="18" x14ac:dyDescent="0.35"/>
  <sheetData>
    <row r="1" spans="1:6" x14ac:dyDescent="0.35">
      <c r="A1" s="20">
        <v>4</v>
      </c>
      <c r="B1" s="21">
        <v>1767.0241940000001</v>
      </c>
    </row>
    <row r="2" spans="1:6" x14ac:dyDescent="0.35">
      <c r="A2" s="20">
        <v>13</v>
      </c>
      <c r="B2" s="21">
        <v>1869.6764519999999</v>
      </c>
    </row>
    <row r="3" spans="1:6" x14ac:dyDescent="0.35">
      <c r="A3" s="20">
        <v>12</v>
      </c>
      <c r="B3" s="21">
        <v>1947.6928230000001</v>
      </c>
    </row>
    <row r="4" spans="1:6" x14ac:dyDescent="0.35">
      <c r="A4" s="20">
        <v>11</v>
      </c>
      <c r="B4" s="21">
        <v>1987.4964520000001</v>
      </c>
    </row>
    <row r="5" spans="1:6" x14ac:dyDescent="0.35">
      <c r="A5" s="20">
        <v>15</v>
      </c>
      <c r="B5" s="21">
        <v>2086.835</v>
      </c>
      <c r="F5">
        <v>1984.089113</v>
      </c>
    </row>
    <row r="6" spans="1:6" x14ac:dyDescent="0.35">
      <c r="A6" s="20">
        <v>10</v>
      </c>
      <c r="B6" s="21">
        <v>2245.8097579999999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3371-13A7-4342-9C04-D4E4ACF101D8}">
  <dimension ref="A1:C8"/>
  <sheetViews>
    <sheetView workbookViewId="0">
      <selection activeCell="E19" sqref="E19"/>
    </sheetView>
  </sheetViews>
  <sheetFormatPr defaultRowHeight="18" x14ac:dyDescent="0.35"/>
  <cols>
    <col min="1" max="1" width="26.25" bestFit="1" customWidth="1"/>
  </cols>
  <sheetData>
    <row r="1" spans="1:3" ht="36" x14ac:dyDescent="0.35">
      <c r="A1" s="1" t="s">
        <v>3</v>
      </c>
      <c r="B1" s="2">
        <v>0.75</v>
      </c>
    </row>
    <row r="2" spans="1:3" x14ac:dyDescent="0.35">
      <c r="A2" t="s">
        <v>4</v>
      </c>
      <c r="B2">
        <v>100</v>
      </c>
      <c r="C2" t="s">
        <v>5</v>
      </c>
    </row>
    <row r="4" spans="1:3" x14ac:dyDescent="0.35">
      <c r="A4" t="s">
        <v>6</v>
      </c>
      <c r="B4">
        <f>B2/B1</f>
        <v>133.33333333333334</v>
      </c>
      <c r="C4" t="s">
        <v>5</v>
      </c>
    </row>
    <row r="5" spans="1:3" x14ac:dyDescent="0.35">
      <c r="A5" t="s">
        <v>7</v>
      </c>
      <c r="B5">
        <v>6</v>
      </c>
    </row>
    <row r="7" spans="1:3" x14ac:dyDescent="0.35">
      <c r="A7" t="s">
        <v>8</v>
      </c>
      <c r="B7">
        <f>B4*B5</f>
        <v>800</v>
      </c>
      <c r="C7" t="s">
        <v>10</v>
      </c>
    </row>
    <row r="8" spans="1:3" x14ac:dyDescent="0.35">
      <c r="A8" t="s">
        <v>9</v>
      </c>
      <c r="B8">
        <f>B2*B5</f>
        <v>600</v>
      </c>
      <c r="C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92F-B931-4763-BDEE-C8BF51F8D2AE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7535-4935-482D-B65F-297F5A9577F4}">
  <dimension ref="A1:B7"/>
  <sheetViews>
    <sheetView workbookViewId="0">
      <selection activeCell="B2" sqref="B2"/>
    </sheetView>
  </sheetViews>
  <sheetFormatPr defaultRowHeight="18" x14ac:dyDescent="0.35"/>
  <cols>
    <col min="1" max="1" width="12.33203125" bestFit="1" customWidth="1"/>
    <col min="2" max="2" width="18.9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14</v>
      </c>
      <c r="B2">
        <v>1767.0241940000001</v>
      </c>
    </row>
    <row r="3" spans="1:2" x14ac:dyDescent="0.35">
      <c r="A3">
        <v>13</v>
      </c>
      <c r="B3">
        <v>1869.6764519999999</v>
      </c>
    </row>
    <row r="4" spans="1:2" x14ac:dyDescent="0.35">
      <c r="A4">
        <v>12</v>
      </c>
      <c r="B4">
        <v>1947.6928230000001</v>
      </c>
    </row>
    <row r="5" spans="1:2" x14ac:dyDescent="0.35">
      <c r="A5">
        <v>11</v>
      </c>
      <c r="B5">
        <v>1987.4964520000001</v>
      </c>
    </row>
    <row r="6" spans="1:2" x14ac:dyDescent="0.35">
      <c r="A6">
        <v>15</v>
      </c>
      <c r="B6">
        <v>2086.835</v>
      </c>
    </row>
    <row r="7" spans="1:2" x14ac:dyDescent="0.35">
      <c r="A7">
        <v>10</v>
      </c>
      <c r="B7">
        <v>2245.8097579999999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685A-1C8B-48A4-9F9D-4A295CBEC610}">
  <dimension ref="A1:B7"/>
  <sheetViews>
    <sheetView workbookViewId="0">
      <selection activeCell="A2" sqref="A2:B7"/>
    </sheetView>
  </sheetViews>
  <sheetFormatPr defaultRowHeight="18" x14ac:dyDescent="0.35"/>
  <cols>
    <col min="1" max="1" width="12.6640625" bestFit="1" customWidth="1"/>
    <col min="2" max="2" width="18.914062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>
        <v>23</v>
      </c>
      <c r="B2">
        <v>8744.6274190000004</v>
      </c>
    </row>
    <row r="3" spans="1:2" x14ac:dyDescent="0.35">
      <c r="A3">
        <v>22</v>
      </c>
      <c r="B3">
        <v>8539.4071769999991</v>
      </c>
    </row>
    <row r="4" spans="1:2" x14ac:dyDescent="0.35">
      <c r="A4">
        <v>21</v>
      </c>
      <c r="B4">
        <v>8437.214113</v>
      </c>
    </row>
    <row r="5" spans="1:2" x14ac:dyDescent="0.35">
      <c r="A5">
        <v>24</v>
      </c>
      <c r="B5">
        <v>7853.5436289999998</v>
      </c>
    </row>
    <row r="6" spans="1:2" x14ac:dyDescent="0.35">
      <c r="A6">
        <v>20</v>
      </c>
      <c r="B6">
        <v>7602.7629029999998</v>
      </c>
    </row>
    <row r="7" spans="1:2" x14ac:dyDescent="0.35">
      <c r="A7">
        <v>1</v>
      </c>
      <c r="B7">
        <v>5048.0945970000002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Lifetime Generation</vt:lpstr>
      <vt:lpstr>Project Lifetime Cost</vt:lpstr>
      <vt:lpstr>LCOE</vt:lpstr>
      <vt:lpstr>Sheet1</vt:lpstr>
      <vt:lpstr>Sheet3</vt:lpstr>
      <vt:lpstr>Sheet2</vt:lpstr>
      <vt:lpstr>Pumping</vt:lpstr>
      <vt:lpstr>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Bhatta</dc:creator>
  <cp:lastModifiedBy>Ashish Bhatta</cp:lastModifiedBy>
  <dcterms:created xsi:type="dcterms:W3CDTF">2025-08-03T01:24:30Z</dcterms:created>
  <dcterms:modified xsi:type="dcterms:W3CDTF">2025-08-06T15:49:04Z</dcterms:modified>
</cp:coreProperties>
</file>