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13_ncr:1_{01FD861E-49FC-4778-8E2C-B1DEC01BDFE2}" xr6:coauthVersionLast="47" xr6:coauthVersionMax="47" xr10:uidLastSave="{00000000-0000-0000-0000-000000000000}"/>
  <bookViews>
    <workbookView xWindow="810" yWindow="-120" windowWidth="28110" windowHeight="16440" firstSheet="10" activeTab="10" xr2:uid="{12AD9399-0A57-4B55-9AA6-2A3C22E778ED}"/>
  </bookViews>
  <sheets>
    <sheet name="Sheet1" sheetId="1" r:id="rId1"/>
    <sheet name="Sheet3" sheetId="3" r:id="rId2"/>
    <sheet name="Sheet2" sheetId="2" r:id="rId3"/>
    <sheet name="Dates" sheetId="4" r:id="rId4"/>
    <sheet name="Loan" sheetId="5" r:id="rId5"/>
    <sheet name="Financial" sheetId="6" r:id="rId6"/>
    <sheet name="IRR" sheetId="7" r:id="rId7"/>
    <sheet name="Misc" sheetId="8" r:id="rId8"/>
    <sheet name="SUMIF" sheetId="9" r:id="rId9"/>
    <sheet name="Lookup" sheetId="10" r:id="rId10"/>
    <sheet name="Sheet7" sheetId="11" r:id="rId11"/>
    <sheet name="Sheet8" sheetId="12" r:id="rId12"/>
  </sheets>
  <definedNames>
    <definedName name="Blank">Sheet1!$H$2:$H$9</definedName>
    <definedName name="Cash_TABLE">Sheet8!$A$1:$M$3</definedName>
    <definedName name="_xlnm.CRITERIA">Sheet8!$A$9:$O$10</definedName>
    <definedName name="daily_sales">SUMIF!$G$2:$G$39</definedName>
    <definedName name="Data">Sheet2!$E$14:$G$18</definedName>
    <definedName name="date_list">Sheet7!$B$1:$J$1</definedName>
    <definedName name="discount_rate" comment="discount_rate = 15%">15%</definedName>
    <definedName name="First">Sheet1!$F$2:$F$9</definedName>
    <definedName name="FirstNames">Sheet2!$F$2:$F$10</definedName>
    <definedName name="Fourth">Sheet1!$J$2:$J$9</definedName>
    <definedName name="item_sold">SUMIF!$C$2:$C$41</definedName>
    <definedName name="LastNames">Sheet2!$H$2:$H$10</definedName>
    <definedName name="List">Sheet2!$L$10:$L$14</definedName>
    <definedName name="MiddleNames">Sheet2!$G$2:$G$10</definedName>
    <definedName name="part_list">Sheet7!$A$2:$A$5</definedName>
    <definedName name="quantity">SUMIF!$E$2:$E$41</definedName>
    <definedName name="rate">SUMIF!$F$2:$F$41</definedName>
    <definedName name="Sampletable">SUMIF!$R$11:$W$20</definedName>
    <definedName name="Second">Sheet1!$G$2:$G$9</definedName>
    <definedName name="Store">SUMIF!$B$2:$B$41</definedName>
    <definedName name="Third">Sheet1!$I$2:$I$9</definedName>
    <definedName name="Tip_Table">Lookup!$A$2:$C$18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1" l="1"/>
  <c r="B14" i="12"/>
  <c r="B13" i="12"/>
  <c r="R13" i="11"/>
  <c r="Q13" i="11"/>
  <c r="Q12" i="11"/>
  <c r="O9" i="11"/>
  <c r="O8" i="11"/>
  <c r="L4" i="11"/>
  <c r="L3" i="11"/>
  <c r="L23" i="11"/>
  <c r="L24" i="11" s="1"/>
  <c r="C11" i="4"/>
  <c r="C10" i="4"/>
  <c r="C9" i="4"/>
  <c r="C8" i="4"/>
  <c r="N15" i="4"/>
  <c r="N3" i="4"/>
  <c r="N4" i="4"/>
  <c r="N5" i="4"/>
  <c r="N6" i="4"/>
  <c r="N7" i="4"/>
  <c r="N8" i="4"/>
  <c r="N9" i="4"/>
  <c r="N10" i="4"/>
  <c r="N11" i="4"/>
  <c r="N12" i="4"/>
  <c r="N13" i="4"/>
  <c r="N14" i="4"/>
  <c r="N2" i="4"/>
  <c r="L2" i="11"/>
  <c r="L1" i="11"/>
  <c r="A16" i="11"/>
  <c r="G28" i="11"/>
  <c r="G29" i="11" s="1"/>
  <c r="G27" i="11"/>
  <c r="G26" i="11"/>
  <c r="G25" i="11"/>
  <c r="G24" i="11"/>
  <c r="G23" i="11"/>
  <c r="G22" i="11"/>
  <c r="G21" i="11"/>
  <c r="G20" i="11"/>
  <c r="G19" i="11"/>
  <c r="G18" i="11"/>
  <c r="G17" i="11"/>
  <c r="G15" i="11"/>
  <c r="G14" i="11"/>
  <c r="G13" i="11"/>
  <c r="G12" i="11"/>
  <c r="G11" i="11"/>
  <c r="B12" i="11"/>
  <c r="B11" i="11"/>
  <c r="J6" i="11"/>
  <c r="I6" i="11"/>
  <c r="H6" i="11"/>
  <c r="G6" i="11"/>
  <c r="F6" i="11"/>
  <c r="E6" i="11"/>
  <c r="D6" i="11"/>
  <c r="C6" i="11"/>
  <c r="B6" i="11"/>
  <c r="F5" i="10"/>
  <c r="F3" i="10"/>
  <c r="M2" i="9"/>
  <c r="C24" i="8"/>
  <c r="A11" i="8"/>
  <c r="A12" i="8"/>
  <c r="A13" i="8"/>
  <c r="A28" i="8"/>
  <c r="A27" i="8"/>
  <c r="A26" i="8"/>
  <c r="A25" i="8"/>
  <c r="A24" i="8"/>
  <c r="J15" i="8"/>
  <c r="J14" i="8"/>
  <c r="G16" i="11"/>
  <c r="L27" i="11" l="1"/>
  <c r="L26" i="11"/>
  <c r="L28" i="11" s="1"/>
  <c r="L25" i="11"/>
  <c r="H28" i="11"/>
  <c r="I28" i="11" s="1"/>
  <c r="J28" i="11" s="1"/>
  <c r="Q26" i="9" l="1"/>
  <c r="Q25" i="9"/>
  <c r="Q24" i="9"/>
  <c r="U20" i="9"/>
  <c r="W20" i="9" s="1"/>
  <c r="U19" i="9"/>
  <c r="W19" i="9" s="1"/>
  <c r="U18" i="9"/>
  <c r="W18" i="9" s="1"/>
  <c r="U17" i="9"/>
  <c r="W17" i="9" s="1"/>
  <c r="U16" i="9"/>
  <c r="W16" i="9" s="1"/>
  <c r="U15" i="9"/>
  <c r="W15" i="9" s="1"/>
  <c r="U14" i="9"/>
  <c r="W14" i="9" s="1"/>
  <c r="U13" i="9"/>
  <c r="W13" i="9" s="1"/>
  <c r="U12" i="9"/>
  <c r="W12" i="9" s="1"/>
  <c r="U11" i="9"/>
  <c r="W11" i="9" s="1"/>
  <c r="I8" i="9"/>
  <c r="E27" i="9"/>
  <c r="G27" i="9" s="1"/>
  <c r="E28" i="9"/>
  <c r="G28" i="9" s="1"/>
  <c r="E29" i="9"/>
  <c r="G29" i="9" s="1"/>
  <c r="E30" i="9"/>
  <c r="G30" i="9" s="1"/>
  <c r="E31" i="9"/>
  <c r="G31" i="9" s="1"/>
  <c r="E32" i="9"/>
  <c r="G32" i="9" s="1"/>
  <c r="E33" i="9"/>
  <c r="G33" i="9" s="1"/>
  <c r="E34" i="9"/>
  <c r="G34" i="9" s="1"/>
  <c r="E35" i="9"/>
  <c r="G35" i="9" s="1"/>
  <c r="E36" i="9"/>
  <c r="G36" i="9" s="1"/>
  <c r="E37" i="9"/>
  <c r="G37" i="9" s="1"/>
  <c r="E38" i="9"/>
  <c r="G38" i="9" s="1"/>
  <c r="E39" i="9"/>
  <c r="G39" i="9" s="1"/>
  <c r="E40" i="9"/>
  <c r="G40" i="9" s="1"/>
  <c r="E41" i="9"/>
  <c r="G41" i="9" s="1"/>
  <c r="E8" i="9"/>
  <c r="G8" i="9" s="1"/>
  <c r="E9" i="9"/>
  <c r="G9" i="9" s="1"/>
  <c r="E10" i="9"/>
  <c r="G10" i="9" s="1"/>
  <c r="E11" i="9"/>
  <c r="G11" i="9" s="1"/>
  <c r="E12" i="9"/>
  <c r="G12" i="9" s="1"/>
  <c r="E13" i="9"/>
  <c r="G13" i="9" s="1"/>
  <c r="E14" i="9"/>
  <c r="G14" i="9" s="1"/>
  <c r="E15" i="9"/>
  <c r="G15" i="9" s="1"/>
  <c r="E16" i="9"/>
  <c r="G16" i="9" s="1"/>
  <c r="E17" i="9"/>
  <c r="G17" i="9" s="1"/>
  <c r="E18" i="9"/>
  <c r="G18" i="9" s="1"/>
  <c r="E19" i="9"/>
  <c r="G19" i="9" s="1"/>
  <c r="E20" i="9"/>
  <c r="G20" i="9" s="1"/>
  <c r="E21" i="9"/>
  <c r="G21" i="9" s="1"/>
  <c r="E22" i="9"/>
  <c r="G22" i="9" s="1"/>
  <c r="E23" i="9"/>
  <c r="G23" i="9" s="1"/>
  <c r="E24" i="9"/>
  <c r="G24" i="9" s="1"/>
  <c r="E25" i="9"/>
  <c r="G25" i="9" s="1"/>
  <c r="E26" i="9"/>
  <c r="G26" i="9" s="1"/>
  <c r="E7" i="9"/>
  <c r="G6" i="9"/>
  <c r="G5" i="9"/>
  <c r="G4" i="9"/>
  <c r="G3" i="9"/>
  <c r="G2" i="9"/>
  <c r="J12" i="8"/>
  <c r="J11" i="8"/>
  <c r="J10" i="8"/>
  <c r="J9" i="8"/>
  <c r="J6" i="8"/>
  <c r="J5" i="8"/>
  <c r="J4" i="8"/>
  <c r="J3" i="8"/>
  <c r="J2" i="8"/>
  <c r="E10" i="8"/>
  <c r="E11" i="8"/>
  <c r="E12" i="8"/>
  <c r="E13" i="8"/>
  <c r="E14" i="8"/>
  <c r="E15" i="8"/>
  <c r="E16" i="8"/>
  <c r="E17" i="8"/>
  <c r="E18" i="8"/>
  <c r="F9" i="8"/>
  <c r="F8" i="8"/>
  <c r="F7" i="8"/>
  <c r="F6" i="8"/>
  <c r="F5" i="8"/>
  <c r="F4" i="8"/>
  <c r="F3" i="8"/>
  <c r="F2" i="8"/>
  <c r="E9" i="8"/>
  <c r="E8" i="8"/>
  <c r="E7" i="8"/>
  <c r="E6" i="8"/>
  <c r="E5" i="8"/>
  <c r="E4" i="8"/>
  <c r="E3" i="8"/>
  <c r="E2" i="8"/>
  <c r="D2" i="8"/>
  <c r="B10" i="8"/>
  <c r="B9" i="8"/>
  <c r="B8" i="8"/>
  <c r="B7" i="8"/>
  <c r="B6" i="8"/>
  <c r="B5" i="8"/>
  <c r="B4" i="8"/>
  <c r="B2" i="8"/>
  <c r="B3" i="8"/>
  <c r="R1" i="7"/>
  <c r="F9" i="7"/>
  <c r="F10" i="7"/>
  <c r="A9" i="7"/>
  <c r="AC21" i="6"/>
  <c r="AC22" i="6"/>
  <c r="AC23" i="6"/>
  <c r="AC24" i="6"/>
  <c r="AC25" i="6"/>
  <c r="AC26" i="6"/>
  <c r="AC27" i="6"/>
  <c r="AC28" i="6"/>
  <c r="AC29" i="6"/>
  <c r="AC30" i="6"/>
  <c r="AC20" i="6"/>
  <c r="F19" i="6"/>
  <c r="AD10" i="6"/>
  <c r="AD11" i="6"/>
  <c r="AD12" i="6"/>
  <c r="AD13" i="6"/>
  <c r="AD14" i="6" s="1"/>
  <c r="AD15" i="6" s="1"/>
  <c r="AD16" i="6" s="1"/>
  <c r="AD17" i="6" s="1"/>
  <c r="AD18" i="6" s="1"/>
  <c r="AD9" i="6"/>
  <c r="AC10" i="6"/>
  <c r="AC11" i="6"/>
  <c r="AC12" i="6"/>
  <c r="AC13" i="6"/>
  <c r="AC14" i="6" s="1"/>
  <c r="AC15" i="6" s="1"/>
  <c r="AC16" i="6" s="1"/>
  <c r="AC17" i="6" s="1"/>
  <c r="AC18" i="6" s="1"/>
  <c r="AB10" i="6"/>
  <c r="AB11" i="6"/>
  <c r="AB12" i="6"/>
  <c r="AB13" i="6"/>
  <c r="AB14" i="6" s="1"/>
  <c r="AB15" i="6" s="1"/>
  <c r="AB16" i="6" s="1"/>
  <c r="AB17" i="6" s="1"/>
  <c r="AB18" i="6" s="1"/>
  <c r="AC9" i="6"/>
  <c r="AB9" i="6"/>
  <c r="AA10" i="6"/>
  <c r="AA11" i="6"/>
  <c r="AA12" i="6"/>
  <c r="AA13" i="6"/>
  <c r="AA14" i="6" s="1"/>
  <c r="AA15" i="6" s="1"/>
  <c r="AA16" i="6" s="1"/>
  <c r="AA17" i="6" s="1"/>
  <c r="AA18" i="6" s="1"/>
  <c r="AA9" i="6"/>
  <c r="S9" i="6"/>
  <c r="T9" i="6"/>
  <c r="U9" i="6"/>
  <c r="V9" i="6"/>
  <c r="W9" i="6"/>
  <c r="X9" i="6"/>
  <c r="S10" i="6"/>
  <c r="T10" i="6"/>
  <c r="U10" i="6"/>
  <c r="V10" i="6"/>
  <c r="W10" i="6"/>
  <c r="X10" i="6"/>
  <c r="S11" i="6"/>
  <c r="T11" i="6"/>
  <c r="U11" i="6"/>
  <c r="V11" i="6"/>
  <c r="W11" i="6"/>
  <c r="X11" i="6"/>
  <c r="S12" i="6"/>
  <c r="T12" i="6"/>
  <c r="U12" i="6"/>
  <c r="V12" i="6"/>
  <c r="W12" i="6"/>
  <c r="X12" i="6"/>
  <c r="S13" i="6"/>
  <c r="T13" i="6"/>
  <c r="U13" i="6"/>
  <c r="V13" i="6"/>
  <c r="W13" i="6"/>
  <c r="X13" i="6"/>
  <c r="S14" i="6"/>
  <c r="T14" i="6"/>
  <c r="U14" i="6"/>
  <c r="V14" i="6"/>
  <c r="W14" i="6"/>
  <c r="X14" i="6"/>
  <c r="S15" i="6"/>
  <c r="T15" i="6"/>
  <c r="U15" i="6"/>
  <c r="V15" i="6"/>
  <c r="W15" i="6"/>
  <c r="X15" i="6"/>
  <c r="S16" i="6"/>
  <c r="T16" i="6"/>
  <c r="U16" i="6"/>
  <c r="V16" i="6"/>
  <c r="W16" i="6"/>
  <c r="X16" i="6"/>
  <c r="S17" i="6"/>
  <c r="T17" i="6"/>
  <c r="U17" i="6"/>
  <c r="V17" i="6"/>
  <c r="W17" i="6"/>
  <c r="X17" i="6"/>
  <c r="T8" i="6"/>
  <c r="U8" i="6"/>
  <c r="V8" i="6"/>
  <c r="W8" i="6"/>
  <c r="X8" i="6"/>
  <c r="S8" i="6"/>
  <c r="J4" i="6"/>
  <c r="I2" i="6"/>
  <c r="F6" i="6"/>
  <c r="F4" i="6"/>
  <c r="F2" i="6"/>
  <c r="B59" i="5"/>
  <c r="B52" i="5"/>
  <c r="B50" i="5"/>
  <c r="B43" i="5"/>
  <c r="B37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B29" i="5"/>
  <c r="F6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B19" i="5"/>
  <c r="Z19" i="5" s="1"/>
  <c r="B7" i="5"/>
  <c r="E6" i="5" s="1"/>
  <c r="A12" i="4"/>
  <c r="B15" i="4" s="1"/>
  <c r="F9" i="4"/>
  <c r="I3" i="4"/>
  <c r="I17" i="3"/>
  <c r="I15" i="3"/>
  <c r="M7" i="3"/>
  <c r="M6" i="3"/>
  <c r="M5" i="3"/>
  <c r="M4" i="3"/>
  <c r="N2" i="3"/>
  <c r="L3" i="3"/>
  <c r="L4" i="3"/>
  <c r="L5" i="3"/>
  <c r="L6" i="3"/>
  <c r="L7" i="3"/>
  <c r="L8" i="3"/>
  <c r="L9" i="3"/>
  <c r="L10" i="3"/>
  <c r="L2" i="3"/>
  <c r="A20" i="3"/>
  <c r="A19" i="3"/>
  <c r="C17" i="3"/>
  <c r="B17" i="3"/>
  <c r="A17" i="3"/>
  <c r="D8" i="3"/>
  <c r="D7" i="3"/>
  <c r="D6" i="3"/>
  <c r="D5" i="3"/>
  <c r="D4" i="3"/>
  <c r="D3" i="3"/>
  <c r="M3" i="1"/>
  <c r="M4" i="1"/>
  <c r="M5" i="1"/>
  <c r="M6" i="1"/>
  <c r="M7" i="1"/>
  <c r="M8" i="1"/>
  <c r="M9" i="1"/>
  <c r="M2" i="1"/>
  <c r="L2" i="1" a="1"/>
  <c r="L2" i="1" s="1"/>
  <c r="L3" i="1"/>
  <c r="L4" i="1"/>
  <c r="L5" i="1"/>
  <c r="L7" i="1"/>
  <c r="L8" i="1"/>
  <c r="L9" i="1"/>
  <c r="K2" i="1" a="1"/>
  <c r="K2" i="1" s="1"/>
  <c r="K3" i="1"/>
  <c r="K4" i="1"/>
  <c r="K5" i="1"/>
  <c r="K7" i="1"/>
  <c r="K8" i="1"/>
  <c r="K9" i="1"/>
  <c r="L12" i="2"/>
  <c r="L13" i="2"/>
  <c r="L14" i="2"/>
  <c r="L15" i="2"/>
  <c r="L16" i="2"/>
  <c r="L17" i="2"/>
  <c r="L18" i="2"/>
  <c r="L19" i="2"/>
  <c r="L20" i="2"/>
  <c r="L21" i="2"/>
  <c r="L22" i="2"/>
  <c r="L23" i="2"/>
  <c r="L11" i="2"/>
  <c r="D13" i="1"/>
  <c r="D6" i="1"/>
  <c r="G7" i="9" l="1"/>
  <c r="I17" i="9"/>
  <c r="P32" i="9"/>
  <c r="P31" i="9"/>
  <c r="P30" i="9" a="1"/>
  <c r="P30" i="9" s="1"/>
  <c r="P29" i="9" a="1"/>
  <c r="P29" i="9" s="1"/>
  <c r="X11" i="9" a="1"/>
  <c r="P28" i="9"/>
  <c r="P27" i="9"/>
  <c r="I9" i="9"/>
  <c r="I5" i="9"/>
  <c r="I3" i="9"/>
  <c r="I4" i="9"/>
  <c r="Z29" i="5"/>
  <c r="L6" i="1"/>
  <c r="K6" i="1"/>
  <c r="I11" i="9" l="1"/>
  <c r="G42" i="9"/>
  <c r="I2" i="9"/>
  <c r="X14" i="9"/>
  <c r="X18" i="9"/>
  <c r="X16" i="9"/>
  <c r="X13" i="9"/>
  <c r="X11" i="9"/>
  <c r="X15" i="9"/>
  <c r="X19" i="9"/>
  <c r="X12" i="9"/>
  <c r="X20" i="9"/>
  <c r="X1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C7" authorId="0" shapeId="0" xr:uid="{39183F2C-2668-487A-A5C9-D6AD71F3DEDB}">
      <text>
        <r>
          <rPr>
            <b/>
            <sz val="14"/>
            <color indexed="81"/>
            <rFont val="Tahoma"/>
            <family val="2"/>
          </rPr>
          <t>a:</t>
        </r>
        <r>
          <rPr>
            <sz val="14"/>
            <color indexed="81"/>
            <rFont val="Tahoma"/>
            <family val="2"/>
          </rPr>
          <t xml:space="preserve">
This is for offset of a few months in case of midyear depreciation.</t>
        </r>
      </text>
    </comment>
    <comment ref="AC20" authorId="0" shapeId="0" xr:uid="{5F45BF93-9385-4294-98B2-E4640D9641B4}">
      <text>
        <r>
          <rPr>
            <b/>
            <sz val="14"/>
            <color indexed="81"/>
            <rFont val="Tahoma"/>
            <family val="2"/>
          </rPr>
          <t>a:</t>
        </r>
        <r>
          <rPr>
            <sz val="14"/>
            <color indexed="81"/>
            <rFont val="Tahoma"/>
            <family val="2"/>
          </rPr>
          <t xml:space="preserve">
Applying DB for 5 months</t>
        </r>
      </text>
    </comment>
  </commentList>
</comments>
</file>

<file path=xl/sharedStrings.xml><?xml version="1.0" encoding="utf-8"?>
<sst xmlns="http://schemas.openxmlformats.org/spreadsheetml/2006/main" count="360" uniqueCount="202">
  <si>
    <t>Test</t>
  </si>
  <si>
    <t>Test ag</t>
  </si>
  <si>
    <t>Keith Austen Harper</t>
  </si>
  <si>
    <t>Jonas William Smith</t>
  </si>
  <si>
    <t>Elizabeth Jane Arnold</t>
  </si>
  <si>
    <t>Harry Robert Downing</t>
  </si>
  <si>
    <t>Mary Jane Wright</t>
  </si>
  <si>
    <t>Harold George Palmer</t>
  </si>
  <si>
    <t>Kathleen Gina Townsend</t>
  </si>
  <si>
    <t>George M. Miller</t>
  </si>
  <si>
    <t>Mary Elizabeth Patton</t>
  </si>
  <si>
    <t>Name</t>
  </si>
  <si>
    <t>First</t>
  </si>
  <si>
    <t>Middle</t>
  </si>
  <si>
    <t>Last</t>
  </si>
  <si>
    <t>Keith</t>
  </si>
  <si>
    <t>Jonas</t>
  </si>
  <si>
    <t>Elizabeth</t>
  </si>
  <si>
    <t>Harry</t>
  </si>
  <si>
    <t>Mary</t>
  </si>
  <si>
    <t>Harold</t>
  </si>
  <si>
    <t>Kathleen</t>
  </si>
  <si>
    <t>George</t>
  </si>
  <si>
    <t>Austen</t>
  </si>
  <si>
    <t>William</t>
  </si>
  <si>
    <t>Jane</t>
  </si>
  <si>
    <t>Robert</t>
  </si>
  <si>
    <t>Gina</t>
  </si>
  <si>
    <t>M</t>
  </si>
  <si>
    <t>Harper</t>
  </si>
  <si>
    <t>Smith</t>
  </si>
  <si>
    <t>Arnold</t>
  </si>
  <si>
    <t>Downing</t>
  </si>
  <si>
    <t>Wright</t>
  </si>
  <si>
    <t>Palmer</t>
  </si>
  <si>
    <t>Townsend</t>
  </si>
  <si>
    <t>Miller</t>
  </si>
  <si>
    <t>Patton</t>
  </si>
  <si>
    <t>New York</t>
  </si>
  <si>
    <t>Philadelphia</t>
  </si>
  <si>
    <t>a</t>
  </si>
  <si>
    <t>aas</t>
  </si>
  <si>
    <t>Hello there!</t>
  </si>
  <si>
    <t>Second</t>
  </si>
  <si>
    <t>Blank</t>
  </si>
  <si>
    <t>Third</t>
  </si>
  <si>
    <t>Fourth</t>
  </si>
  <si>
    <t>Discount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</si>
  <si>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</si>
  <si>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</si>
  <si>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</si>
  <si>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</si>
  <si>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</si>
  <si>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</si>
  <si>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</si>
  <si>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</si>
  <si>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Day</t>
  </si>
  <si>
    <t>Year</t>
  </si>
  <si>
    <t>Date</t>
  </si>
  <si>
    <t>5/21/2019</t>
  </si>
  <si>
    <t>elapsed date</t>
  </si>
  <si>
    <t>end of month</t>
  </si>
  <si>
    <t>Holidays</t>
  </si>
  <si>
    <t>Ney years</t>
  </si>
  <si>
    <t>MLK day</t>
  </si>
  <si>
    <t>Prez day</t>
  </si>
  <si>
    <t>Memorial day</t>
  </si>
  <si>
    <t>Inde day</t>
  </si>
  <si>
    <t>Weekday</t>
  </si>
  <si>
    <t>Workdays in 2019</t>
  </si>
  <si>
    <t>Workdays minus weekday holidays</t>
  </si>
  <si>
    <t>Principal</t>
  </si>
  <si>
    <t>Annual Interest Rate</t>
  </si>
  <si>
    <t>Number of periods</t>
  </si>
  <si>
    <t>Monthly Payment</t>
  </si>
  <si>
    <t>fv is principal</t>
  </si>
  <si>
    <t>Loan Principal</t>
  </si>
  <si>
    <t>Annual Interest rate</t>
  </si>
  <si>
    <t>Interest</t>
  </si>
  <si>
    <t>Total Number of payment periods</t>
  </si>
  <si>
    <t>Sequence Number of actual period for which you want to calculate the interest</t>
  </si>
  <si>
    <t>Annual int rate</t>
  </si>
  <si>
    <t>Affordable monthly payment</t>
  </si>
  <si>
    <t>Number of payments</t>
  </si>
  <si>
    <t>Ann int rate</t>
  </si>
  <si>
    <t>Amount paid by loan's end future value</t>
  </si>
  <si>
    <t>Number of pmts</t>
  </si>
  <si>
    <t>Payment</t>
  </si>
  <si>
    <t>Periodic Interest rate</t>
  </si>
  <si>
    <t>Pmt</t>
  </si>
  <si>
    <t>Term in Years</t>
  </si>
  <si>
    <t>Future Value</t>
  </si>
  <si>
    <t>Present Value</t>
  </si>
  <si>
    <t>Formula</t>
  </si>
  <si>
    <t>assumes that each payment is made at the end of the period</t>
  </si>
  <si>
    <t>the type argument here is 1, which means that each payment is made at the beginning of each month.</t>
  </si>
  <si>
    <t>NPV</t>
  </si>
  <si>
    <t>Year 1</t>
  </si>
  <si>
    <t>Year 2</t>
  </si>
  <si>
    <t>Year 3</t>
  </si>
  <si>
    <t>Year 4</t>
  </si>
  <si>
    <t>Year 5</t>
  </si>
  <si>
    <t>Initial Investment</t>
  </si>
  <si>
    <t>Loan Payments</t>
  </si>
  <si>
    <t>Interest Rate</t>
  </si>
  <si>
    <t>Term(in Years</t>
  </si>
  <si>
    <t>Depreciation table</t>
  </si>
  <si>
    <t>Type of Asset</t>
  </si>
  <si>
    <t>Office Furniture</t>
  </si>
  <si>
    <t>Cost</t>
  </si>
  <si>
    <t>Life(in years)</t>
  </si>
  <si>
    <t>Salvage</t>
  </si>
  <si>
    <t>Straight Line</t>
  </si>
  <si>
    <t>SYD</t>
  </si>
  <si>
    <t>Declining Balance</t>
  </si>
  <si>
    <t>Double Declining Balance</t>
  </si>
  <si>
    <t>Initial investment</t>
  </si>
  <si>
    <t>Payment per period</t>
  </si>
  <si>
    <t>A initial investment with monthly $50 payments</t>
  </si>
  <si>
    <t>and a 5% annual interest rate at the end of two years</t>
  </si>
  <si>
    <t>is worth</t>
  </si>
  <si>
    <t>5 months</t>
  </si>
  <si>
    <t>whole year</t>
  </si>
  <si>
    <t>Business Venture 1</t>
  </si>
  <si>
    <t>Business Venture 2</t>
  </si>
  <si>
    <t>Crative(Payment for Artists)</t>
  </si>
  <si>
    <t>T Shirt Production</t>
  </si>
  <si>
    <t>Marketing</t>
  </si>
  <si>
    <t>Administration costs</t>
  </si>
  <si>
    <t>Expected Revenue</t>
  </si>
  <si>
    <t>Purchase of Video Equipment</t>
  </si>
  <si>
    <t>First Year Expected Revenue</t>
  </si>
  <si>
    <t>Second Year Expected Revenue</t>
  </si>
  <si>
    <t>INTERNAL RATE OF RETURN</t>
  </si>
  <si>
    <t>INTERNAL RATE OF RETURN AFTER 1 YEAR</t>
  </si>
  <si>
    <t>INTERNAL RATE OF RETURN AFTER 2 YEARS</t>
  </si>
  <si>
    <t>Internal Rate for (March-May, 2018)---&gt;&gt;</t>
  </si>
  <si>
    <t>Amount</t>
  </si>
  <si>
    <t>Item</t>
  </si>
  <si>
    <t>xxi</t>
  </si>
  <si>
    <t>vi</t>
  </si>
  <si>
    <t>ii</t>
  </si>
  <si>
    <t>c</t>
  </si>
  <si>
    <t>m</t>
  </si>
  <si>
    <t>D</t>
  </si>
  <si>
    <t>L</t>
  </si>
  <si>
    <t>V</t>
  </si>
  <si>
    <t>Rounding pi</t>
  </si>
  <si>
    <t>Anderson Rd</t>
  </si>
  <si>
    <t>BlueBerry Muffins</t>
  </si>
  <si>
    <t>item_sold</t>
  </si>
  <si>
    <t>quantity</t>
  </si>
  <si>
    <t>rate</t>
  </si>
  <si>
    <t>daily_sales</t>
  </si>
  <si>
    <t>Lemon tarts</t>
  </si>
  <si>
    <t>Choco Cookies</t>
  </si>
  <si>
    <t>Strawberry Pie</t>
  </si>
  <si>
    <t>Curtis Way</t>
  </si>
  <si>
    <t>Store</t>
  </si>
  <si>
    <t>Lemon tarts, Anderson Rd</t>
  </si>
  <si>
    <t>All but Strawberry Pie</t>
  </si>
  <si>
    <t>Rows</t>
  </si>
  <si>
    <t>Colums</t>
  </si>
  <si>
    <t>array sum</t>
  </si>
  <si>
    <t>sumproduct</t>
  </si>
  <si>
    <t>Tip Table</t>
  </si>
  <si>
    <t>Tip Percentage</t>
  </si>
  <si>
    <t>PreTax Total</t>
  </si>
  <si>
    <t>Tip</t>
  </si>
  <si>
    <t>Tax</t>
  </si>
  <si>
    <t>Total</t>
  </si>
  <si>
    <t>Part Number</t>
  </si>
  <si>
    <t>AB-100</t>
  </si>
  <si>
    <t>AB-101</t>
  </si>
  <si>
    <t>AB-102</t>
  </si>
  <si>
    <t>AB-103</t>
  </si>
  <si>
    <t>TOTAL</t>
  </si>
  <si>
    <t>Part</t>
  </si>
  <si>
    <t>Production</t>
  </si>
  <si>
    <t>20 working days from today</t>
  </si>
  <si>
    <t>Start Date and Time</t>
  </si>
  <si>
    <t>End Date and Time</t>
  </si>
  <si>
    <t>Count of elapsed hours</t>
  </si>
  <si>
    <t>WES7164</t>
  </si>
  <si>
    <t>WPO7164</t>
  </si>
  <si>
    <t>Cash and cash equivalents</t>
  </si>
  <si>
    <t>Marketable securities and time deposits</t>
  </si>
  <si>
    <t>Trade receivables</t>
  </si>
  <si>
    <t>Other current receivables</t>
  </si>
  <si>
    <t>Current income tax receivables</t>
  </si>
  <si>
    <t>Inventories</t>
  </si>
  <si>
    <t>Assets classified as held for sale</t>
  </si>
  <si>
    <t>Current assets</t>
  </si>
  <si>
    <t>Property, plant and equipment</t>
  </si>
  <si>
    <r>
      <t>Intangible assets</t>
    </r>
    <r>
      <rPr>
        <vertAlign val="superscript"/>
        <sz val="10"/>
        <rFont val="Arial"/>
        <family val="2"/>
      </rPr>
      <t>1</t>
    </r>
  </si>
  <si>
    <r>
      <t>Goodwill</t>
    </r>
    <r>
      <rPr>
        <vertAlign val="superscript"/>
        <sz val="10"/>
        <rFont val="Arial"/>
        <family val="2"/>
      </rPr>
      <t>1</t>
    </r>
  </si>
  <si>
    <t>Prepaid consideration for acquisition</t>
  </si>
  <si>
    <t>Investments in associated companies</t>
  </si>
  <si>
    <t>CRITERIA AREA</t>
  </si>
  <si>
    <r>
      <t>Intangible assets</t>
    </r>
    <r>
      <rPr>
        <b/>
        <vertAlign val="superscript"/>
        <sz val="10"/>
        <rFont val="Arial"/>
        <family val="2"/>
      </rPr>
      <t>1</t>
    </r>
  </si>
  <si>
    <r>
      <t>Goodwill</t>
    </r>
    <r>
      <rPr>
        <b/>
        <vertAlign val="superscript"/>
        <sz val="10"/>
        <rFont val="Arial"/>
        <family val="2"/>
      </rPr>
      <t>1</t>
    </r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</si>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</sst>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Blue]\(&quot;₹&quot;\ #,##0\);[Red]\(&quot;₹&quot;\ \-#,##0\);[Green]General;[Cyan]General"/>
    <numFmt numFmtId="165" formatCode="#\ ##0.0"/>
    <numFmt numFmtId="166" formatCode="&quot;$&quot;#,##0.00"/>
    <numFmt numFmtId="168" formatCode="0.000"/>
    <numFmt numFmtId="188" formatCode="0.00000000000000000000000"/>
    <numFmt numFmtId="192" formatCode="[$-F800]dddd\,\ mmmm\ dd\,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69BBFF"/>
      <name val="Arial"/>
      <family val="2"/>
    </font>
    <font>
      <sz val="10"/>
      <color rgb="FF69BBFF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textRotation="45"/>
    </xf>
    <xf numFmtId="0" fontId="0" fillId="0" borderId="0" xfId="0" applyAlignment="1">
      <alignment textRotation="180"/>
    </xf>
    <xf numFmtId="165" fontId="3" fillId="0" borderId="1" xfId="1" applyNumberFormat="1" applyFont="1" applyFill="1" applyBorder="1" applyAlignment="1">
      <alignment horizontal="right"/>
    </xf>
    <xf numFmtId="165" fontId="3" fillId="0" borderId="1" xfId="2" applyNumberFormat="1" applyFont="1" applyFill="1" applyBorder="1" applyAlignment="1">
      <alignment horizontal="right"/>
    </xf>
    <xf numFmtId="3" fontId="3" fillId="0" borderId="1" xfId="1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right"/>
    </xf>
    <xf numFmtId="20" fontId="0" fillId="0" borderId="0" xfId="0" applyNumberFormat="1"/>
    <xf numFmtId="0" fontId="0" fillId="0" borderId="0" xfId="0" quotePrefix="1"/>
    <xf numFmtId="22" fontId="0" fillId="0" borderId="0" xfId="0" applyNumberFormat="1"/>
    <xf numFmtId="8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8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wrapText="1"/>
    </xf>
    <xf numFmtId="8" fontId="0" fillId="0" borderId="9" xfId="0" applyNumberFormat="1" applyBorder="1"/>
    <xf numFmtId="8" fontId="0" fillId="0" borderId="10" xfId="0" applyNumberFormat="1" applyBorder="1"/>
    <xf numFmtId="8" fontId="0" fillId="0" borderId="2" xfId="0" applyNumberFormat="1" applyBorder="1"/>
    <xf numFmtId="0" fontId="0" fillId="0" borderId="3" xfId="0" applyBorder="1" applyAlignment="1">
      <alignment wrapText="1"/>
    </xf>
    <xf numFmtId="10" fontId="0" fillId="0" borderId="7" xfId="0" applyNumberFormat="1" applyBorder="1"/>
    <xf numFmtId="10" fontId="0" fillId="0" borderId="10" xfId="4" applyNumberFormat="1" applyFont="1" applyBorder="1"/>
    <xf numFmtId="0" fontId="1" fillId="0" borderId="11" xfId="0" applyFont="1" applyBorder="1"/>
    <xf numFmtId="0" fontId="0" fillId="0" borderId="11" xfId="0" applyBorder="1"/>
    <xf numFmtId="0" fontId="1" fillId="0" borderId="11" xfId="0" applyFont="1" applyBorder="1" applyAlignment="1">
      <alignment wrapText="1"/>
    </xf>
    <xf numFmtId="10" fontId="0" fillId="0" borderId="11" xfId="0" applyNumberFormat="1" applyBorder="1"/>
    <xf numFmtId="8" fontId="0" fillId="0" borderId="11" xfId="0" applyNumberFormat="1" applyBorder="1"/>
    <xf numFmtId="0" fontId="0" fillId="0" borderId="11" xfId="0" applyBorder="1" applyAlignment="1">
      <alignment wrapText="1"/>
    </xf>
    <xf numFmtId="0" fontId="1" fillId="0" borderId="11" xfId="0" applyFont="1" applyFill="1" applyBorder="1" applyAlignment="1">
      <alignment wrapText="1"/>
    </xf>
    <xf numFmtId="6" fontId="0" fillId="0" borderId="0" xfId="0" applyNumberFormat="1"/>
    <xf numFmtId="9" fontId="0" fillId="0" borderId="0" xfId="0" applyNumberFormat="1"/>
    <xf numFmtId="0" fontId="7" fillId="0" borderId="11" xfId="0" applyFont="1" applyFill="1" applyBorder="1" applyAlignment="1">
      <alignment wrapText="1"/>
    </xf>
    <xf numFmtId="6" fontId="0" fillId="0" borderId="11" xfId="0" applyNumberFormat="1" applyBorder="1"/>
    <xf numFmtId="10" fontId="1" fillId="0" borderId="11" xfId="0" applyNumberFormat="1" applyFont="1" applyBorder="1"/>
    <xf numFmtId="6" fontId="1" fillId="0" borderId="11" xfId="0" applyNumberFormat="1" applyFont="1" applyBorder="1"/>
    <xf numFmtId="8" fontId="0" fillId="0" borderId="0" xfId="5" applyNumberFormat="1" applyFont="1"/>
    <xf numFmtId="6" fontId="0" fillId="0" borderId="0" xfId="0" applyNumberFormat="1" applyFill="1" applyBorder="1"/>
    <xf numFmtId="9" fontId="1" fillId="0" borderId="0" xfId="0" applyNumberFormat="1" applyFont="1"/>
    <xf numFmtId="0" fontId="7" fillId="0" borderId="11" xfId="0" applyFont="1" applyFill="1" applyBorder="1" applyAlignment="1">
      <alignment horizontal="center" wrapText="1"/>
    </xf>
    <xf numFmtId="166" fontId="0" fillId="0" borderId="0" xfId="0" applyNumberFormat="1" applyAlignment="1">
      <alignment horizontal="center"/>
    </xf>
    <xf numFmtId="2" fontId="0" fillId="0" borderId="0" xfId="0" applyNumberFormat="1"/>
    <xf numFmtId="168" fontId="0" fillId="0" borderId="0" xfId="0" applyNumberFormat="1"/>
    <xf numFmtId="188" fontId="0" fillId="0" borderId="0" xfId="0" applyNumberFormat="1"/>
    <xf numFmtId="166" fontId="0" fillId="0" borderId="0" xfId="0" applyNumberFormat="1"/>
    <xf numFmtId="17" fontId="0" fillId="0" borderId="0" xfId="0" applyNumberFormat="1"/>
    <xf numFmtId="17" fontId="1" fillId="0" borderId="0" xfId="0" applyNumberFormat="1" applyFont="1"/>
    <xf numFmtId="192" fontId="0" fillId="0" borderId="0" xfId="0" applyNumberFormat="1"/>
    <xf numFmtId="0" fontId="15" fillId="0" borderId="0" xfId="0" applyFont="1"/>
    <xf numFmtId="0" fontId="10" fillId="0" borderId="1" xfId="1" applyFont="1" applyFill="1" applyBorder="1" applyAlignment="1">
      <alignment horizontal="left"/>
    </xf>
    <xf numFmtId="165" fontId="10" fillId="0" borderId="1" xfId="1" applyNumberFormat="1" applyFont="1" applyFill="1" applyBorder="1" applyAlignment="1" applyProtection="1">
      <alignment horizontal="right"/>
    </xf>
    <xf numFmtId="0" fontId="3" fillId="0" borderId="1" xfId="1" applyFont="1" applyFill="1" applyBorder="1" applyAlignment="1">
      <alignment horizontal="left"/>
    </xf>
    <xf numFmtId="165" fontId="3" fillId="0" borderId="1" xfId="1" applyNumberFormat="1" applyFont="1" applyFill="1" applyBorder="1" applyAlignment="1" applyProtection="1">
      <alignment horizontal="right"/>
    </xf>
    <xf numFmtId="165" fontId="12" fillId="0" borderId="1" xfId="1" applyNumberFormat="1" applyFont="1" applyFill="1" applyBorder="1" applyAlignment="1" applyProtection="1">
      <alignment horizontal="right"/>
    </xf>
    <xf numFmtId="165" fontId="13" fillId="0" borderId="1" xfId="1" applyNumberFormat="1" applyFont="1" applyFill="1" applyBorder="1" applyAlignment="1" applyProtection="1">
      <alignment horizontal="right"/>
    </xf>
  </cellXfs>
  <cellStyles count="6">
    <cellStyle name="Currency" xfId="5" builtinId="4"/>
    <cellStyle name="Normal" xfId="0" builtinId="0"/>
    <cellStyle name="Normal 2" xfId="1" xr:uid="{F6F5F9E5-AB19-4295-94AA-C694601A178F}"/>
    <cellStyle name="Normal_GB 2007 Rieter Holding gesamt" xfId="2" xr:uid="{5D5B7EAD-5C72-4F24-99EB-D492371CEC90}"/>
    <cellStyle name="Percent" xfId="4" builtinId="5"/>
    <cellStyle name="Standard_GB 2007 Rieter Konzern dt V0" xfId="3" xr:uid="{BA46E6B6-34F0-47D4-852A-2F2437C8872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85354-AE0D-452F-AF3C-9B66A846256A}" name="Table1" displayName="Table1" ref="E1:H10" totalsRowShown="0" headerRowDxfId="0">
  <autoFilter ref="E1:H10" xr:uid="{C5885354-AE0D-452F-AF3C-9B66A846256A}"/>
  <tableColumns count="4">
    <tableColumn id="1" xr3:uid="{972B54CE-FD76-44DC-B53B-49BC4D5D4F61}" name="Name"/>
    <tableColumn id="2" xr3:uid="{EAC03433-53CC-4454-9556-D4166579B381}" name="First"/>
    <tableColumn id="3" xr3:uid="{3654AFB9-42B4-453F-B23E-52715DFF56DD}" name="Middle"/>
    <tableColumn id="4" xr3:uid="{2F4E6AB5-62CC-4F32-95A8-5F52E1DF8320}" name="Las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6D30-DC3E-4835-958C-EAD8DC0B5875}">
  <sheetPr codeName="Sheet1"/>
  <dimension ref="A1:M20"/>
  <sheetViews>
    <sheetView workbookViewId="0">
      <selection activeCell="D13" sqref="D13"/>
    </sheetView>
  </sheetViews>
  <sheetFormatPr defaultRowHeight="15"/>
  <cols>
    <col min="4" max="4" width="10.42578125" bestFit="1" customWidth="1"/>
    <col min="10" max="10" width="10.140625" bestFit="1" customWidth="1"/>
  </cols>
  <sheetData>
    <row r="1" spans="1:13">
      <c r="F1" s="3" t="s">
        <v>12</v>
      </c>
      <c r="G1" s="3" t="s">
        <v>43</v>
      </c>
      <c r="H1" s="3" t="s">
        <v>44</v>
      </c>
      <c r="I1" s="3" t="s">
        <v>45</v>
      </c>
      <c r="J1" s="3" t="s">
        <v>46</v>
      </c>
      <c r="M1" s="3" t="s">
        <v>47</v>
      </c>
    </row>
    <row r="2" spans="1:13">
      <c r="F2" s="8">
        <v>573</v>
      </c>
      <c r="G2" s="8">
        <v>760</v>
      </c>
      <c r="H2" s="8"/>
      <c r="I2" s="9">
        <v>1075.2</v>
      </c>
      <c r="J2" s="9">
        <v>965.6</v>
      </c>
      <c r="K2">
        <f t="array" ref="K2:K9">F2:F9+J2:J9</f>
        <v>1538.6</v>
      </c>
      <c r="L2">
        <f t="array" ref="L2:L9">First*Third</f>
        <v>616089.59999999998</v>
      </c>
      <c r="M2">
        <f>J2*discount_rate</f>
        <v>144.84</v>
      </c>
    </row>
    <row r="3" spans="1:13">
      <c r="F3" s="10">
        <v>185</v>
      </c>
      <c r="G3" s="10">
        <v>293</v>
      </c>
      <c r="H3" s="10"/>
      <c r="I3" s="11">
        <v>434</v>
      </c>
      <c r="J3" s="11">
        <v>319</v>
      </c>
      <c r="K3">
        <v>504</v>
      </c>
      <c r="L3">
        <v>80290</v>
      </c>
      <c r="M3">
        <f t="shared" ref="M3:M9" si="0">J3*discount_rate</f>
        <v>47.85</v>
      </c>
    </row>
    <row r="4" spans="1:13">
      <c r="F4" s="10">
        <v>93</v>
      </c>
      <c r="G4" s="10">
        <v>137</v>
      </c>
      <c r="H4" s="10"/>
      <c r="I4" s="11">
        <v>149</v>
      </c>
      <c r="J4" s="11">
        <v>184</v>
      </c>
      <c r="K4">
        <v>277</v>
      </c>
      <c r="L4">
        <v>13857</v>
      </c>
      <c r="M4">
        <f t="shared" si="0"/>
        <v>27.599999999999998</v>
      </c>
    </row>
    <row r="5" spans="1:13">
      <c r="F5" s="10">
        <v>51</v>
      </c>
      <c r="G5" s="10">
        <v>100</v>
      </c>
      <c r="H5" s="10"/>
      <c r="I5" s="11">
        <v>146</v>
      </c>
      <c r="J5" s="11">
        <v>174</v>
      </c>
      <c r="K5">
        <v>225</v>
      </c>
      <c r="L5">
        <v>7446</v>
      </c>
      <c r="M5">
        <f t="shared" si="0"/>
        <v>26.099999999999998</v>
      </c>
    </row>
    <row r="6" spans="1:13">
      <c r="D6" s="1">
        <f>"15/2/2019"-"15/12/1949"</f>
        <v>25264</v>
      </c>
      <c r="F6" s="10">
        <v>122</v>
      </c>
      <c r="G6" s="10">
        <v>67</v>
      </c>
      <c r="H6" s="10"/>
      <c r="I6" s="11">
        <v>155</v>
      </c>
      <c r="J6" s="11">
        <v>100</v>
      </c>
      <c r="K6">
        <v>222</v>
      </c>
      <c r="L6">
        <v>18910</v>
      </c>
      <c r="M6">
        <f t="shared" si="0"/>
        <v>15</v>
      </c>
    </row>
    <row r="7" spans="1:13">
      <c r="D7" s="1">
        <v>43511</v>
      </c>
      <c r="F7" s="10">
        <v>66</v>
      </c>
      <c r="G7" s="10">
        <v>106</v>
      </c>
      <c r="H7" s="10"/>
      <c r="I7" s="11">
        <v>109</v>
      </c>
      <c r="J7" s="11">
        <v>115</v>
      </c>
      <c r="K7">
        <v>181</v>
      </c>
      <c r="L7">
        <v>7194</v>
      </c>
      <c r="M7">
        <f t="shared" si="0"/>
        <v>17.25</v>
      </c>
    </row>
    <row r="8" spans="1:13">
      <c r="D8" s="1">
        <v>17944</v>
      </c>
      <c r="F8" s="10">
        <v>38</v>
      </c>
      <c r="G8" s="10">
        <v>41</v>
      </c>
      <c r="H8" s="10"/>
      <c r="I8" s="11">
        <v>47</v>
      </c>
      <c r="J8" s="11">
        <v>46</v>
      </c>
      <c r="K8">
        <v>84</v>
      </c>
      <c r="L8">
        <v>1786</v>
      </c>
      <c r="M8">
        <f t="shared" si="0"/>
        <v>6.8999999999999995</v>
      </c>
    </row>
    <row r="9" spans="1:13">
      <c r="F9" s="10">
        <v>18</v>
      </c>
      <c r="G9" s="10">
        <v>16</v>
      </c>
      <c r="H9" s="10"/>
      <c r="I9" s="11">
        <v>36</v>
      </c>
      <c r="J9" s="11">
        <v>28</v>
      </c>
      <c r="K9">
        <v>46</v>
      </c>
      <c r="L9">
        <v>648</v>
      </c>
      <c r="M9">
        <f t="shared" si="0"/>
        <v>4.2</v>
      </c>
    </row>
    <row r="13" spans="1:13">
      <c r="D13" s="2">
        <f>D7-D8</f>
        <v>25567</v>
      </c>
    </row>
    <row r="15" spans="1:13">
      <c r="D15" s="1">
        <v>47329</v>
      </c>
    </row>
    <row r="16" spans="1:13">
      <c r="A16" t="s">
        <v>1</v>
      </c>
      <c r="D16" s="1">
        <v>11169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78E-BB5B-43F3-9163-2D61DE3E676E}">
  <sheetPr codeName="Sheet2"/>
  <dimension ref="A1:N20"/>
  <sheetViews>
    <sheetView workbookViewId="0">
      <selection activeCell="I15" sqref="I15"/>
    </sheetView>
  </sheetViews>
  <sheetFormatPr defaultRowHeight="15"/>
  <cols>
    <col min="1" max="1" width="9.7109375" bestFit="1" customWidth="1"/>
    <col min="3" max="3" width="10.42578125" bestFit="1" customWidth="1"/>
    <col min="9" max="9" width="9.7109375" bestFit="1" customWidth="1"/>
    <col min="12" max="12" width="10.7109375" bestFit="1" customWidth="1"/>
    <col min="13" max="14" width="9.7109375" bestFit="1" customWidth="1"/>
  </cols>
  <sheetData>
    <row r="1" spans="1:14">
      <c r="A1" t="s">
        <v>48</v>
      </c>
      <c r="I1" s="3" t="s">
        <v>55</v>
      </c>
      <c r="J1" s="3" t="s">
        <v>56</v>
      </c>
      <c r="K1" s="3" t="s">
        <v>57</v>
      </c>
      <c r="L1" s="3" t="s">
        <v>58</v>
      </c>
    </row>
    <row r="2" spans="1:14">
      <c r="A2" t="s">
        <v>49</v>
      </c>
      <c r="I2">
        <v>2</v>
      </c>
      <c r="J2">
        <v>15</v>
      </c>
      <c r="K2">
        <v>1967</v>
      </c>
      <c r="L2" s="1">
        <f>DATE(K2,I2,J2)</f>
        <v>24518</v>
      </c>
      <c r="M2" s="13" t="s">
        <v>59</v>
      </c>
      <c r="N2" s="1">
        <f>DATEVALUE(M2)</f>
        <v>43606</v>
      </c>
    </row>
    <row r="3" spans="1:14">
      <c r="A3" t="s">
        <v>50</v>
      </c>
      <c r="C3" s="1">
        <v>43589</v>
      </c>
      <c r="D3" t="str">
        <f>_xlfn.SWITCH(WEEKDAY(C3), 1, $A$1, 2, $A$2, 3, $A$3, 4, $A$4, 5, $A$5, 6, $A$6, 7, $A$7)</f>
        <v>Saturday</v>
      </c>
      <c r="I3">
        <v>7</v>
      </c>
      <c r="J3">
        <v>23</v>
      </c>
      <c r="K3">
        <v>1938</v>
      </c>
      <c r="L3" s="1">
        <f t="shared" ref="L3:L10" si="0">DATE(K3,I3,J3)</f>
        <v>14084</v>
      </c>
    </row>
    <row r="4" spans="1:14">
      <c r="A4" t="s">
        <v>51</v>
      </c>
      <c r="C4" s="1">
        <v>43741</v>
      </c>
      <c r="D4" t="str">
        <f t="shared" ref="D4:D8" si="1">_xlfn.SWITCH(WEEKDAY(C4), 1, $A$1, 2, $A$2, 3, $A$3, 4, $A$4, 5, $A$5, 6, $A$6, 7, $A$7)</f>
        <v>Thursday</v>
      </c>
      <c r="I4">
        <v>11</v>
      </c>
      <c r="J4">
        <v>6</v>
      </c>
      <c r="K4">
        <v>1969</v>
      </c>
      <c r="L4" s="1">
        <f t="shared" si="0"/>
        <v>25513</v>
      </c>
      <c r="M4">
        <f>DAY(L4)</f>
        <v>6</v>
      </c>
    </row>
    <row r="5" spans="1:14">
      <c r="A5" t="s">
        <v>52</v>
      </c>
      <c r="C5" s="1">
        <v>43591</v>
      </c>
      <c r="D5" t="str">
        <f t="shared" si="1"/>
        <v>Monday</v>
      </c>
      <c r="I5">
        <v>1</v>
      </c>
      <c r="J5">
        <v>6</v>
      </c>
      <c r="K5">
        <v>1954</v>
      </c>
      <c r="L5" s="1">
        <f t="shared" si="0"/>
        <v>19730</v>
      </c>
      <c r="M5">
        <f>MONTH(L5)</f>
        <v>1</v>
      </c>
    </row>
    <row r="6" spans="1:14">
      <c r="A6" t="s">
        <v>53</v>
      </c>
      <c r="C6" s="1">
        <v>43592</v>
      </c>
      <c r="D6" t="str">
        <f t="shared" si="1"/>
        <v>Tuesday</v>
      </c>
      <c r="I6">
        <v>3</v>
      </c>
      <c r="J6">
        <v>3</v>
      </c>
      <c r="K6">
        <v>1998</v>
      </c>
      <c r="L6" s="1">
        <f t="shared" si="0"/>
        <v>35857</v>
      </c>
      <c r="M6">
        <f>YEAR(L6)</f>
        <v>1998</v>
      </c>
    </row>
    <row r="7" spans="1:14">
      <c r="A7" t="s">
        <v>54</v>
      </c>
      <c r="C7" s="1">
        <v>43532</v>
      </c>
      <c r="D7" t="str">
        <f t="shared" si="1"/>
        <v>Friday</v>
      </c>
      <c r="I7">
        <v>7</v>
      </c>
      <c r="J7">
        <v>30</v>
      </c>
      <c r="K7">
        <v>2000</v>
      </c>
      <c r="L7" s="1">
        <f t="shared" si="0"/>
        <v>36737</v>
      </c>
      <c r="M7">
        <f>WEEKDAY(L7)</f>
        <v>1</v>
      </c>
    </row>
    <row r="8" spans="1:14">
      <c r="C8" s="1">
        <v>43594</v>
      </c>
      <c r="D8" t="str">
        <f t="shared" si="1"/>
        <v>Thursday</v>
      </c>
      <c r="I8">
        <v>5</v>
      </c>
      <c r="J8">
        <v>14</v>
      </c>
      <c r="K8">
        <v>2004</v>
      </c>
      <c r="L8" s="1">
        <f t="shared" si="0"/>
        <v>38121</v>
      </c>
    </row>
    <row r="9" spans="1:14">
      <c r="I9">
        <v>12</v>
      </c>
      <c r="J9">
        <v>12</v>
      </c>
      <c r="K9">
        <v>2012</v>
      </c>
      <c r="L9" s="1">
        <f t="shared" si="0"/>
        <v>41255</v>
      </c>
    </row>
    <row r="10" spans="1:14">
      <c r="I10">
        <v>4</v>
      </c>
      <c r="J10">
        <v>5</v>
      </c>
      <c r="K10">
        <v>2019</v>
      </c>
      <c r="L10" s="1">
        <f t="shared" si="0"/>
        <v>43560</v>
      </c>
    </row>
    <row r="14" spans="1:14">
      <c r="A14" s="12">
        <v>0.27083333333333331</v>
      </c>
    </row>
    <row r="15" spans="1:14">
      <c r="A15" s="12">
        <v>0.80208333333333337</v>
      </c>
      <c r="H15" t="s">
        <v>60</v>
      </c>
      <c r="I15" s="1">
        <f>EDATE(DATE(2019, 1, 31), 1)</f>
        <v>43524</v>
      </c>
    </row>
    <row r="17" spans="1:9">
      <c r="A17" s="12">
        <f>A15-A14</f>
        <v>0.53125</v>
      </c>
      <c r="B17" s="2">
        <f>A15-A14</f>
        <v>0.53125</v>
      </c>
      <c r="C17">
        <f>B17*24</f>
        <v>12.75</v>
      </c>
      <c r="G17" t="s">
        <v>61</v>
      </c>
      <c r="I17" s="1">
        <f>EOMONTH(DATE(2018, 1, 1), 1)</f>
        <v>43159</v>
      </c>
    </row>
    <row r="19" spans="1:9">
      <c r="A19" s="1">
        <f ca="1">TODAY()</f>
        <v>44679</v>
      </c>
    </row>
    <row r="20" spans="1:9">
      <c r="A20" s="1">
        <f ca="1">TODAY()-1</f>
        <v>44678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609C-878B-4ED4-A048-A61FDBADC7D3}">
  <sheetPr codeName="Sheet3"/>
  <dimension ref="A1:P23"/>
  <sheetViews>
    <sheetView zoomScaleNormal="100" workbookViewId="0">
      <selection activeCell="P24" sqref="P24"/>
    </sheetView>
  </sheetViews>
  <sheetFormatPr defaultRowHeight="15"/>
  <cols>
    <col min="5" max="5" width="20.7109375" bestFit="1" customWidth="1"/>
    <col min="7" max="7" width="9.5703125" customWidth="1"/>
    <col min="13" max="13" width="12.140625" bestFit="1" customWidth="1"/>
    <col min="16" max="16" width="11.7109375" bestFit="1" customWidth="1"/>
  </cols>
  <sheetData>
    <row r="1" spans="5:16">
      <c r="E1" s="3" t="s">
        <v>11</v>
      </c>
      <c r="F1" s="3" t="s">
        <v>12</v>
      </c>
      <c r="G1" s="3" t="s">
        <v>13</v>
      </c>
      <c r="H1" s="3" t="s">
        <v>14</v>
      </c>
    </row>
    <row r="2" spans="5:16">
      <c r="E2" t="s">
        <v>2</v>
      </c>
      <c r="F2" t="s">
        <v>15</v>
      </c>
      <c r="G2" t="s">
        <v>23</v>
      </c>
      <c r="H2" t="s">
        <v>29</v>
      </c>
      <c r="M2" t="s">
        <v>38</v>
      </c>
    </row>
    <row r="3" spans="5:16">
      <c r="E3" t="s">
        <v>3</v>
      </c>
      <c r="F3" t="s">
        <v>16</v>
      </c>
      <c r="G3" t="s">
        <v>24</v>
      </c>
      <c r="H3" t="s">
        <v>30</v>
      </c>
      <c r="M3" t="s">
        <v>39</v>
      </c>
    </row>
    <row r="4" spans="5:16">
      <c r="E4" t="s">
        <v>4</v>
      </c>
      <c r="F4" t="s">
        <v>17</v>
      </c>
      <c r="G4" t="s">
        <v>25</v>
      </c>
      <c r="H4" t="s">
        <v>31</v>
      </c>
    </row>
    <row r="5" spans="5:16">
      <c r="E5" t="s">
        <v>5</v>
      </c>
      <c r="F5" t="s">
        <v>18</v>
      </c>
      <c r="G5" t="s">
        <v>26</v>
      </c>
      <c r="H5" t="s">
        <v>32</v>
      </c>
    </row>
    <row r="6" spans="5:16">
      <c r="E6" t="s">
        <v>6</v>
      </c>
      <c r="F6" t="s">
        <v>19</v>
      </c>
      <c r="G6" t="s">
        <v>25</v>
      </c>
      <c r="H6" t="s">
        <v>33</v>
      </c>
    </row>
    <row r="7" spans="5:16">
      <c r="E7" t="s">
        <v>7</v>
      </c>
      <c r="F7" t="s">
        <v>20</v>
      </c>
      <c r="G7" t="s">
        <v>22</v>
      </c>
      <c r="H7" t="s">
        <v>34</v>
      </c>
    </row>
    <row r="8" spans="5:16">
      <c r="E8" t="s">
        <v>8</v>
      </c>
      <c r="F8" t="s">
        <v>21</v>
      </c>
      <c r="G8" t="s">
        <v>27</v>
      </c>
      <c r="H8" t="s">
        <v>35</v>
      </c>
    </row>
    <row r="9" spans="5:16">
      <c r="E9" t="s">
        <v>9</v>
      </c>
      <c r="F9" t="s">
        <v>22</v>
      </c>
      <c r="G9" t="s">
        <v>28</v>
      </c>
      <c r="H9" t="s">
        <v>36</v>
      </c>
    </row>
    <row r="10" spans="5:16">
      <c r="E10" t="s">
        <v>10</v>
      </c>
      <c r="F10" t="s">
        <v>19</v>
      </c>
      <c r="G10" t="s">
        <v>17</v>
      </c>
      <c r="H10" t="s">
        <v>37</v>
      </c>
      <c r="P10" s="5">
        <v>1200</v>
      </c>
    </row>
    <row r="11" spans="5:16">
      <c r="L11">
        <f ca="1">RANDBETWEEN(1,10)</f>
        <v>5</v>
      </c>
      <c r="P11" s="5">
        <v>-8000</v>
      </c>
    </row>
    <row r="12" spans="5:16">
      <c r="L12">
        <f t="shared" ref="L12:L23" ca="1" si="0">RANDBETWEEN(1,10)</f>
        <v>8</v>
      </c>
      <c r="P12" s="5">
        <v>0</v>
      </c>
    </row>
    <row r="13" spans="5:16">
      <c r="L13">
        <f t="shared" ca="1" si="0"/>
        <v>2</v>
      </c>
      <c r="P13" s="5" t="s">
        <v>42</v>
      </c>
    </row>
    <row r="14" spans="5:16">
      <c r="F14" s="4"/>
      <c r="L14">
        <f t="shared" ca="1" si="0"/>
        <v>7</v>
      </c>
    </row>
    <row r="15" spans="5:16">
      <c r="L15">
        <f t="shared" ca="1" si="0"/>
        <v>6</v>
      </c>
    </row>
    <row r="16" spans="5:16">
      <c r="L16">
        <f t="shared" ca="1" si="0"/>
        <v>5</v>
      </c>
    </row>
    <row r="17" spans="1:12">
      <c r="E17" s="4"/>
      <c r="L17">
        <f t="shared" ca="1" si="0"/>
        <v>7</v>
      </c>
    </row>
    <row r="18" spans="1:12">
      <c r="L18">
        <f t="shared" ca="1" si="0"/>
        <v>4</v>
      </c>
    </row>
    <row r="19" spans="1:12" ht="23.25">
      <c r="F19" t="s">
        <v>40</v>
      </c>
      <c r="G19" s="6" t="s">
        <v>41</v>
      </c>
      <c r="L19">
        <f t="shared" ca="1" si="0"/>
        <v>9</v>
      </c>
    </row>
    <row r="20" spans="1:12" ht="24.75">
      <c r="A20" s="7" t="s">
        <v>0</v>
      </c>
      <c r="L20">
        <f t="shared" ca="1" si="0"/>
        <v>5</v>
      </c>
    </row>
    <row r="21" spans="1:12">
      <c r="L21">
        <f t="shared" ca="1" si="0"/>
        <v>4</v>
      </c>
    </row>
    <row r="22" spans="1:12">
      <c r="L22">
        <f t="shared" ca="1" si="0"/>
        <v>5</v>
      </c>
    </row>
    <row r="23" spans="1:12">
      <c r="L23">
        <f t="shared" ca="1" si="0"/>
        <v>8</v>
      </c>
    </row>
  </sheetData>
  <conditionalFormatting sqref="L11:L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{A4406EAA-9F4E-4987-BF52-67BBBE0A72FA}</x14:id>
        </ext>
      </extLst>
    </cfRule>
  </conditionalFormatting>
  <dataValidations xWindow="961" yWindow="378" count="2">
    <dataValidation type="list" errorStyle="warning" allowBlank="1" showInputMessage="1" showErrorMessage="1" errorTitle="ERROR" error="Only use cities from the list." promptTitle="City Names" prompt="Select the city name from the list" sqref="N2:N3" xr:uid="{B297B711-8EE8-46CE-8F1A-FB62EB0E8D04}">
      <formula1>$M$2:$M$3</formula1>
    </dataValidation>
    <dataValidation type="whole" allowBlank="1" showInputMessage="1" showErrorMessage="1" sqref="L11:L23" xr:uid="{E8D70A68-CD53-4590-B2C3-AA61713EB5D2}">
      <formula1>5</formula1>
      <formula2>10</formula2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06EAA-9F4E-4987-BF52-67BBBE0A72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L11:L23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324D-AB9C-4C90-AAE4-A04EFAC5F501}">
  <sheetPr codeName="Sheet4"/>
  <dimension ref="A1:N15"/>
  <sheetViews>
    <sheetView workbookViewId="0">
      <selection activeCell="C12" sqref="C12"/>
    </sheetView>
  </sheetViews>
  <sheetFormatPr defaultRowHeight="15"/>
  <cols>
    <col min="1" max="1" width="14.85546875" bestFit="1" customWidth="1"/>
    <col min="2" max="2" width="21.5703125" bestFit="1" customWidth="1"/>
    <col min="6" max="6" width="16.42578125" bestFit="1" customWidth="1"/>
    <col min="12" max="12" width="18.5703125" bestFit="1" customWidth="1"/>
    <col min="13" max="13" width="15.85546875" bestFit="1" customWidth="1"/>
  </cols>
  <sheetData>
    <row r="1" spans="1:14">
      <c r="A1" s="3" t="s">
        <v>62</v>
      </c>
      <c r="C1" s="3" t="s">
        <v>68</v>
      </c>
      <c r="L1" t="s">
        <v>180</v>
      </c>
      <c r="M1" t="s">
        <v>181</v>
      </c>
      <c r="N1" t="s">
        <v>182</v>
      </c>
    </row>
    <row r="2" spans="1:14">
      <c r="A2" t="s">
        <v>63</v>
      </c>
      <c r="B2" s="1">
        <v>43466</v>
      </c>
      <c r="C2" t="s">
        <v>50</v>
      </c>
      <c r="F2" t="s">
        <v>69</v>
      </c>
      <c r="I2">
        <v>262</v>
      </c>
      <c r="L2" s="14">
        <v>41228.375</v>
      </c>
      <c r="M2" s="14">
        <v>41228.395833333336</v>
      </c>
      <c r="N2">
        <f>(INT(M2)-INT(L2))*24 + HOUR(M2) - HOUR(L2)</f>
        <v>0</v>
      </c>
    </row>
    <row r="3" spans="1:14">
      <c r="A3" t="s">
        <v>64</v>
      </c>
      <c r="B3" s="1">
        <v>43486</v>
      </c>
      <c r="C3" t="s">
        <v>49</v>
      </c>
      <c r="F3" t="s">
        <v>70</v>
      </c>
      <c r="I3">
        <f>NETWORKDAYS(DATE(2018, 12, 31), DATE(2019, 12, 31), B2:B6)</f>
        <v>257</v>
      </c>
      <c r="L3" s="14">
        <v>41228.375</v>
      </c>
      <c r="M3" s="14">
        <v>41228.875</v>
      </c>
      <c r="N3">
        <f t="shared" ref="N3:N15" si="0">(INT(M3)-INT(L3))*24 + HOUR(M3) - HOUR(L3)</f>
        <v>12</v>
      </c>
    </row>
    <row r="4" spans="1:14">
      <c r="A4" t="s">
        <v>65</v>
      </c>
      <c r="B4" s="1">
        <v>43514</v>
      </c>
      <c r="C4" t="s">
        <v>49</v>
      </c>
      <c r="L4" s="14">
        <v>41228.375</v>
      </c>
      <c r="M4" s="14">
        <v>41228.999305555553</v>
      </c>
      <c r="N4">
        <f t="shared" si="0"/>
        <v>14</v>
      </c>
    </row>
    <row r="5" spans="1:14">
      <c r="A5" t="s">
        <v>66</v>
      </c>
      <c r="B5" s="1">
        <v>43615</v>
      </c>
      <c r="C5" t="s">
        <v>52</v>
      </c>
      <c r="L5" s="14">
        <v>41228.375</v>
      </c>
      <c r="M5" s="14">
        <v>41229</v>
      </c>
      <c r="N5">
        <f t="shared" si="0"/>
        <v>15</v>
      </c>
    </row>
    <row r="6" spans="1:14">
      <c r="A6" t="s">
        <v>67</v>
      </c>
      <c r="B6" s="1">
        <v>43650</v>
      </c>
      <c r="C6" t="s">
        <v>52</v>
      </c>
      <c r="L6" s="14">
        <v>41228.375</v>
      </c>
      <c r="M6" s="14">
        <v>41229.083333333336</v>
      </c>
      <c r="N6">
        <f t="shared" si="0"/>
        <v>17</v>
      </c>
    </row>
    <row r="7" spans="1:14">
      <c r="L7" s="14">
        <v>41228.375</v>
      </c>
      <c r="M7" s="14">
        <v>41229.375</v>
      </c>
      <c r="N7">
        <f t="shared" si="0"/>
        <v>24</v>
      </c>
    </row>
    <row r="8" spans="1:14">
      <c r="C8" t="str">
        <f>CHOOSE(1,C2,C3:C4,C5,C6)</f>
        <v>Tuesday</v>
      </c>
      <c r="L8" s="14">
        <v>41228.375</v>
      </c>
      <c r="M8" s="14">
        <v>41236.479166666664</v>
      </c>
      <c r="N8">
        <f t="shared" si="0"/>
        <v>194</v>
      </c>
    </row>
    <row r="9" spans="1:14">
      <c r="C9" t="b">
        <f>OR(I3&gt;250, I3&lt;200)</f>
        <v>1</v>
      </c>
      <c r="F9">
        <f xml:space="preserve"> YEARFRAC(B5, DATE(2019, 12, 31))</f>
        <v>0.58333333333333337</v>
      </c>
      <c r="L9" s="14">
        <v>41228.375</v>
      </c>
      <c r="M9" s="14">
        <v>41245.645833333336</v>
      </c>
      <c r="N9">
        <f t="shared" si="0"/>
        <v>414</v>
      </c>
    </row>
    <row r="10" spans="1:14">
      <c r="C10" t="b">
        <f>AND(I2&gt;250, I2&lt;260)</f>
        <v>0</v>
      </c>
      <c r="L10" s="14">
        <v>41228.375</v>
      </c>
      <c r="M10" s="14">
        <v>41273.072916666664</v>
      </c>
      <c r="N10">
        <f t="shared" si="0"/>
        <v>1072</v>
      </c>
    </row>
    <row r="11" spans="1:14">
      <c r="C11" t="str">
        <f ca="1">OFFSET(A4,2,2)</f>
        <v>Thursday</v>
      </c>
      <c r="L11" s="14">
        <v>41228.375</v>
      </c>
      <c r="M11" s="14">
        <v>41289.666666666664</v>
      </c>
      <c r="N11">
        <f t="shared" si="0"/>
        <v>1471</v>
      </c>
    </row>
    <row r="12" spans="1:14">
      <c r="A12" s="14">
        <f ca="1">NOW()</f>
        <v>44679.598758680557</v>
      </c>
      <c r="L12" s="14">
        <v>41228.375</v>
      </c>
      <c r="M12" s="14">
        <v>41292.416666666664</v>
      </c>
      <c r="N12">
        <f t="shared" si="0"/>
        <v>1537</v>
      </c>
    </row>
    <row r="13" spans="1:14">
      <c r="L13" s="14">
        <v>41228.375</v>
      </c>
      <c r="M13" s="14">
        <v>41348.375</v>
      </c>
      <c r="N13">
        <f t="shared" si="0"/>
        <v>2880</v>
      </c>
    </row>
    <row r="14" spans="1:14">
      <c r="B14" t="s">
        <v>179</v>
      </c>
      <c r="L14" s="14">
        <v>41228.375</v>
      </c>
      <c r="M14" s="14">
        <v>41593.373611111114</v>
      </c>
      <c r="N14">
        <f t="shared" si="0"/>
        <v>8759</v>
      </c>
    </row>
    <row r="15" spans="1:14">
      <c r="B15" s="57">
        <f ca="1">WORKDAY(A12,20)</f>
        <v>44707</v>
      </c>
      <c r="L15" s="14">
        <v>41228.375</v>
      </c>
      <c r="M15" s="14">
        <v>41593.375</v>
      </c>
      <c r="N15">
        <f t="shared" si="0"/>
        <v>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3B6-D182-425B-A8D3-DF0689B82813}">
  <sheetPr codeName="Sheet5"/>
  <dimension ref="A1:Z59"/>
  <sheetViews>
    <sheetView topLeftCell="A43" zoomScaleNormal="100" workbookViewId="0">
      <selection activeCell="B7" sqref="B7"/>
    </sheetView>
  </sheetViews>
  <sheetFormatPr defaultRowHeight="15"/>
  <cols>
    <col min="1" max="1" width="19.42578125" bestFit="1" customWidth="1"/>
    <col min="2" max="2" width="10.85546875" bestFit="1" customWidth="1"/>
    <col min="5" max="5" width="11.5703125" bestFit="1" customWidth="1"/>
    <col min="26" max="26" width="11.5703125" bestFit="1" customWidth="1"/>
  </cols>
  <sheetData>
    <row r="1" spans="1:26">
      <c r="A1" s="16" t="s">
        <v>71</v>
      </c>
      <c r="B1" s="17">
        <v>15000</v>
      </c>
      <c r="C1" s="17"/>
      <c r="D1" s="18"/>
    </row>
    <row r="2" spans="1:26">
      <c r="A2" s="19" t="s">
        <v>72</v>
      </c>
      <c r="B2" s="20">
        <v>0.05</v>
      </c>
      <c r="C2" s="20"/>
      <c r="D2" s="21"/>
    </row>
    <row r="3" spans="1:26">
      <c r="A3" s="19" t="s">
        <v>73</v>
      </c>
      <c r="B3" s="20">
        <v>24</v>
      </c>
      <c r="C3" s="20"/>
      <c r="D3" s="21"/>
    </row>
    <row r="4" spans="1:26">
      <c r="A4" s="19"/>
      <c r="B4" s="20"/>
      <c r="C4" s="20"/>
      <c r="D4" s="21"/>
    </row>
    <row r="5" spans="1:26">
      <c r="A5" s="19"/>
      <c r="B5" s="20"/>
      <c r="C5" s="20"/>
      <c r="D5" s="21"/>
    </row>
    <row r="6" spans="1:26">
      <c r="A6" s="19"/>
      <c r="B6" s="20"/>
      <c r="C6" s="20"/>
      <c r="D6" s="21"/>
      <c r="E6" s="15">
        <f>B7*B3</f>
        <v>-15793.700304264639</v>
      </c>
      <c r="F6">
        <f>793.7</f>
        <v>793.7</v>
      </c>
    </row>
    <row r="7" spans="1:26">
      <c r="A7" s="19" t="s">
        <v>74</v>
      </c>
      <c r="B7" s="22">
        <f>PMT(B2/12,B3,B1)</f>
        <v>-658.07084601102667</v>
      </c>
      <c r="C7" s="20" t="s">
        <v>75</v>
      </c>
      <c r="D7" s="21"/>
    </row>
    <row r="8" spans="1:26">
      <c r="A8" s="19"/>
      <c r="B8" s="20"/>
      <c r="C8" s="20"/>
      <c r="D8" s="21"/>
    </row>
    <row r="9" spans="1:26" ht="15.75" thickBot="1">
      <c r="A9" s="23"/>
      <c r="B9" s="24"/>
      <c r="C9" s="24"/>
      <c r="D9" s="25"/>
    </row>
    <row r="10" spans="1:26" ht="15.75" thickBot="1"/>
    <row r="11" spans="1:2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1:26">
      <c r="A12" s="26" t="s">
        <v>76</v>
      </c>
      <c r="B12" s="20">
        <v>15000</v>
      </c>
      <c r="C12" s="20">
        <v>15000</v>
      </c>
      <c r="D12" s="20">
        <v>15000</v>
      </c>
      <c r="E12" s="20">
        <v>15000</v>
      </c>
      <c r="F12" s="20">
        <v>15000</v>
      </c>
      <c r="G12" s="20">
        <v>15000</v>
      </c>
      <c r="H12" s="20">
        <v>15000</v>
      </c>
      <c r="I12" s="20">
        <v>15000</v>
      </c>
      <c r="J12" s="20">
        <v>15000</v>
      </c>
      <c r="K12" s="20">
        <v>15000</v>
      </c>
      <c r="L12" s="20">
        <v>15000</v>
      </c>
      <c r="M12" s="20">
        <v>15000</v>
      </c>
      <c r="N12" s="20">
        <v>15000</v>
      </c>
      <c r="O12" s="20">
        <v>15000</v>
      </c>
      <c r="P12" s="20">
        <v>15000</v>
      </c>
      <c r="Q12" s="20">
        <v>15000</v>
      </c>
      <c r="R12" s="20">
        <v>15000</v>
      </c>
      <c r="S12" s="20">
        <v>15000</v>
      </c>
      <c r="T12" s="20">
        <v>15000</v>
      </c>
      <c r="U12" s="20">
        <v>15000</v>
      </c>
      <c r="V12" s="20">
        <v>15000</v>
      </c>
      <c r="W12" s="20">
        <v>15000</v>
      </c>
      <c r="X12" s="20">
        <v>15000</v>
      </c>
      <c r="Y12" s="20">
        <v>15000</v>
      </c>
      <c r="Z12" s="21"/>
    </row>
    <row r="13" spans="1:26">
      <c r="A13" s="26" t="s">
        <v>77</v>
      </c>
      <c r="B13" s="20">
        <v>0.05</v>
      </c>
      <c r="C13" s="20">
        <v>0.05</v>
      </c>
      <c r="D13" s="20">
        <v>0.05</v>
      </c>
      <c r="E13" s="20">
        <v>0.05</v>
      </c>
      <c r="F13" s="20">
        <v>0.05</v>
      </c>
      <c r="G13" s="20">
        <v>0.05</v>
      </c>
      <c r="H13" s="20">
        <v>0.05</v>
      </c>
      <c r="I13" s="20">
        <v>0.05</v>
      </c>
      <c r="J13" s="20">
        <v>0.05</v>
      </c>
      <c r="K13" s="20">
        <v>0.05</v>
      </c>
      <c r="L13" s="20">
        <v>0.05</v>
      </c>
      <c r="M13" s="20">
        <v>0.05</v>
      </c>
      <c r="N13" s="20">
        <v>0.05</v>
      </c>
      <c r="O13" s="20">
        <v>0.05</v>
      </c>
      <c r="P13" s="20">
        <v>0.05</v>
      </c>
      <c r="Q13" s="20">
        <v>0.05</v>
      </c>
      <c r="R13" s="20">
        <v>0.05</v>
      </c>
      <c r="S13" s="20">
        <v>0.05</v>
      </c>
      <c r="T13" s="20">
        <v>0.05</v>
      </c>
      <c r="U13" s="20">
        <v>0.05</v>
      </c>
      <c r="V13" s="20">
        <v>0.05</v>
      </c>
      <c r="W13" s="20">
        <v>0.05</v>
      </c>
      <c r="X13" s="20">
        <v>0.05</v>
      </c>
      <c r="Y13" s="20">
        <v>0.05</v>
      </c>
      <c r="Z13" s="21"/>
    </row>
    <row r="14" spans="1:26" ht="30">
      <c r="A14" s="26" t="s">
        <v>79</v>
      </c>
      <c r="B14" s="20">
        <v>24</v>
      </c>
      <c r="C14" s="20">
        <v>24</v>
      </c>
      <c r="D14" s="20">
        <v>24</v>
      </c>
      <c r="E14" s="20">
        <v>24</v>
      </c>
      <c r="F14" s="20">
        <v>24</v>
      </c>
      <c r="G14" s="20">
        <v>24</v>
      </c>
      <c r="H14" s="20">
        <v>24</v>
      </c>
      <c r="I14" s="20">
        <v>24</v>
      </c>
      <c r="J14" s="20">
        <v>24</v>
      </c>
      <c r="K14" s="20">
        <v>24</v>
      </c>
      <c r="L14" s="20">
        <v>24</v>
      </c>
      <c r="M14" s="20">
        <v>24</v>
      </c>
      <c r="N14" s="20">
        <v>24</v>
      </c>
      <c r="O14" s="20">
        <v>24</v>
      </c>
      <c r="P14" s="20">
        <v>24</v>
      </c>
      <c r="Q14" s="20">
        <v>24</v>
      </c>
      <c r="R14" s="20">
        <v>24</v>
      </c>
      <c r="S14" s="20">
        <v>24</v>
      </c>
      <c r="T14" s="20">
        <v>24</v>
      </c>
      <c r="U14" s="20">
        <v>24</v>
      </c>
      <c r="V14" s="20">
        <v>24</v>
      </c>
      <c r="W14" s="20">
        <v>24</v>
      </c>
      <c r="X14" s="20">
        <v>24</v>
      </c>
      <c r="Y14" s="20">
        <v>24</v>
      </c>
      <c r="Z14" s="21"/>
    </row>
    <row r="15" spans="1:26" ht="75">
      <c r="A15" s="26" t="s">
        <v>80</v>
      </c>
      <c r="B15" s="20">
        <v>1</v>
      </c>
      <c r="C15" s="20">
        <v>2</v>
      </c>
      <c r="D15" s="20">
        <v>3</v>
      </c>
      <c r="E15" s="20">
        <v>4</v>
      </c>
      <c r="F15" s="20">
        <v>5</v>
      </c>
      <c r="G15" s="20">
        <v>6</v>
      </c>
      <c r="H15" s="20">
        <v>7</v>
      </c>
      <c r="I15" s="20">
        <v>8</v>
      </c>
      <c r="J15" s="20">
        <v>9</v>
      </c>
      <c r="K15" s="20">
        <v>10</v>
      </c>
      <c r="L15" s="20">
        <v>11</v>
      </c>
      <c r="M15" s="20">
        <v>12</v>
      </c>
      <c r="N15" s="20">
        <v>13</v>
      </c>
      <c r="O15" s="20">
        <v>14</v>
      </c>
      <c r="P15" s="20">
        <v>15</v>
      </c>
      <c r="Q15" s="20">
        <v>16</v>
      </c>
      <c r="R15" s="20">
        <v>17</v>
      </c>
      <c r="S15" s="20">
        <v>18</v>
      </c>
      <c r="T15" s="20">
        <v>19</v>
      </c>
      <c r="U15" s="20">
        <v>20</v>
      </c>
      <c r="V15" s="20">
        <v>21</v>
      </c>
      <c r="W15" s="20">
        <v>22</v>
      </c>
      <c r="X15" s="20">
        <v>23</v>
      </c>
      <c r="Y15" s="20">
        <v>24</v>
      </c>
      <c r="Z15" s="21"/>
    </row>
    <row r="16" spans="1:26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spans="1:26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spans="1:26" ht="15.75" thickBo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</row>
    <row r="19" spans="1:26" ht="15.75" thickBot="1">
      <c r="A19" s="23" t="s">
        <v>78</v>
      </c>
      <c r="B19" s="27">
        <f>IPMT(B13/12,B15,B14,B12)</f>
        <v>-62.5</v>
      </c>
      <c r="C19" s="27">
        <f t="shared" ref="C19:Y19" si="0">IPMT(C13/12,C15,C14,C12)</f>
        <v>-60.01845480828738</v>
      </c>
      <c r="D19" s="27">
        <f t="shared" si="0"/>
        <v>-57.526569844942635</v>
      </c>
      <c r="E19" s="27">
        <f t="shared" si="0"/>
        <v>-55.024302027583957</v>
      </c>
      <c r="F19" s="27">
        <f t="shared" si="0"/>
        <v>-52.511608094319605</v>
      </c>
      <c r="G19" s="27">
        <f t="shared" si="0"/>
        <v>-49.988444602999998</v>
      </c>
      <c r="H19" s="27">
        <f t="shared" si="0"/>
        <v>-47.454767930466552</v>
      </c>
      <c r="I19" s="27">
        <f t="shared" si="0"/>
        <v>-44.910534271797559</v>
      </c>
      <c r="J19" s="27">
        <f t="shared" si="0"/>
        <v>-42.355699639550764</v>
      </c>
      <c r="K19" s="27">
        <f t="shared" si="0"/>
        <v>-39.790219863002946</v>
      </c>
      <c r="L19" s="27">
        <f t="shared" si="0"/>
        <v>-37.21405058738619</v>
      </c>
      <c r="M19" s="27">
        <f t="shared" si="0"/>
        <v>-34.627147273121025</v>
      </c>
      <c r="N19" s="27">
        <f t="shared" si="0"/>
        <v>-32.029465195046413</v>
      </c>
      <c r="O19" s="27">
        <f t="shared" si="0"/>
        <v>-29.420959441646499</v>
      </c>
      <c r="P19" s="27">
        <f t="shared" si="0"/>
        <v>-26.801584914274077</v>
      </c>
      <c r="Q19" s="27">
        <f t="shared" si="0"/>
        <v>-24.171296326370943</v>
      </c>
      <c r="R19" s="27">
        <f t="shared" si="0"/>
        <v>-21.530048202684881</v>
      </c>
      <c r="S19" s="27">
        <f t="shared" si="0"/>
        <v>-18.877794878483456</v>
      </c>
      <c r="T19" s="27">
        <f t="shared" si="0"/>
        <v>-16.214490498764526</v>
      </c>
      <c r="U19" s="27">
        <f t="shared" si="0"/>
        <v>-13.540089017463433</v>
      </c>
      <c r="V19" s="27">
        <f t="shared" si="0"/>
        <v>-10.854544196656921</v>
      </c>
      <c r="W19" s="27">
        <f t="shared" si="0"/>
        <v>-8.1578096057637151</v>
      </c>
      <c r="X19" s="27">
        <f t="shared" si="0"/>
        <v>-5.4498386207417875</v>
      </c>
      <c r="Y19" s="27">
        <f t="shared" si="0"/>
        <v>-2.7305844232822674</v>
      </c>
      <c r="Z19" s="29">
        <f>SUM(B19:Y19)</f>
        <v>-793.70030426463757</v>
      </c>
    </row>
    <row r="21" spans="1:26" ht="15.75" thickBot="1"/>
    <row r="22" spans="1:26">
      <c r="A22" s="30" t="s">
        <v>76</v>
      </c>
      <c r="B22" s="17">
        <v>15000</v>
      </c>
      <c r="C22" s="17">
        <v>15000</v>
      </c>
      <c r="D22" s="17">
        <v>15000</v>
      </c>
      <c r="E22" s="17">
        <v>15000</v>
      </c>
      <c r="F22" s="17">
        <v>15000</v>
      </c>
      <c r="G22" s="17">
        <v>15000</v>
      </c>
      <c r="H22" s="17">
        <v>15000</v>
      </c>
      <c r="I22" s="17">
        <v>15000</v>
      </c>
      <c r="J22" s="17">
        <v>15000</v>
      </c>
      <c r="K22" s="17">
        <v>15000</v>
      </c>
      <c r="L22" s="17">
        <v>15000</v>
      </c>
      <c r="M22" s="17">
        <v>15000</v>
      </c>
      <c r="N22" s="17">
        <v>15000</v>
      </c>
      <c r="O22" s="17">
        <v>15000</v>
      </c>
      <c r="P22" s="17">
        <v>15000</v>
      </c>
      <c r="Q22" s="17">
        <v>15000</v>
      </c>
      <c r="R22" s="17">
        <v>15000</v>
      </c>
      <c r="S22" s="17">
        <v>15000</v>
      </c>
      <c r="T22" s="17">
        <v>15000</v>
      </c>
      <c r="U22" s="17">
        <v>15000</v>
      </c>
      <c r="V22" s="17">
        <v>15000</v>
      </c>
      <c r="W22" s="17">
        <v>15000</v>
      </c>
      <c r="X22" s="17">
        <v>15000</v>
      </c>
      <c r="Y22" s="18">
        <v>15000</v>
      </c>
    </row>
    <row r="23" spans="1:26">
      <c r="A23" s="26" t="s">
        <v>77</v>
      </c>
      <c r="B23" s="20">
        <v>0.05</v>
      </c>
      <c r="C23" s="20">
        <v>0.05</v>
      </c>
      <c r="D23" s="20">
        <v>0.05</v>
      </c>
      <c r="E23" s="20">
        <v>0.05</v>
      </c>
      <c r="F23" s="20">
        <v>0.05</v>
      </c>
      <c r="G23" s="20">
        <v>0.05</v>
      </c>
      <c r="H23" s="20">
        <v>0.05</v>
      </c>
      <c r="I23" s="20">
        <v>0.05</v>
      </c>
      <c r="J23" s="20">
        <v>0.05</v>
      </c>
      <c r="K23" s="20">
        <v>0.05</v>
      </c>
      <c r="L23" s="20">
        <v>0.05</v>
      </c>
      <c r="M23" s="20">
        <v>0.05</v>
      </c>
      <c r="N23" s="20">
        <v>0.05</v>
      </c>
      <c r="O23" s="20">
        <v>0.05</v>
      </c>
      <c r="P23" s="20">
        <v>0.05</v>
      </c>
      <c r="Q23" s="20">
        <v>0.05</v>
      </c>
      <c r="R23" s="20">
        <v>0.05</v>
      </c>
      <c r="S23" s="20">
        <v>0.05</v>
      </c>
      <c r="T23" s="20">
        <v>0.05</v>
      </c>
      <c r="U23" s="20">
        <v>0.05</v>
      </c>
      <c r="V23" s="20">
        <v>0.05</v>
      </c>
      <c r="W23" s="20">
        <v>0.05</v>
      </c>
      <c r="X23" s="20">
        <v>0.05</v>
      </c>
      <c r="Y23" s="21">
        <v>0.05</v>
      </c>
    </row>
    <row r="24" spans="1:26" ht="30">
      <c r="A24" s="26" t="s">
        <v>79</v>
      </c>
      <c r="B24" s="20">
        <v>24</v>
      </c>
      <c r="C24" s="20">
        <v>24</v>
      </c>
      <c r="D24" s="20">
        <v>24</v>
      </c>
      <c r="E24" s="20">
        <v>24</v>
      </c>
      <c r="F24" s="20">
        <v>24</v>
      </c>
      <c r="G24" s="20">
        <v>24</v>
      </c>
      <c r="H24" s="20">
        <v>24</v>
      </c>
      <c r="I24" s="20">
        <v>24</v>
      </c>
      <c r="J24" s="20">
        <v>24</v>
      </c>
      <c r="K24" s="20">
        <v>24</v>
      </c>
      <c r="L24" s="20">
        <v>24</v>
      </c>
      <c r="M24" s="20">
        <v>24</v>
      </c>
      <c r="N24" s="20">
        <v>24</v>
      </c>
      <c r="O24" s="20">
        <v>24</v>
      </c>
      <c r="P24" s="20">
        <v>24</v>
      </c>
      <c r="Q24" s="20">
        <v>24</v>
      </c>
      <c r="R24" s="20">
        <v>24</v>
      </c>
      <c r="S24" s="20">
        <v>24</v>
      </c>
      <c r="T24" s="20">
        <v>24</v>
      </c>
      <c r="U24" s="20">
        <v>24</v>
      </c>
      <c r="V24" s="20">
        <v>24</v>
      </c>
      <c r="W24" s="20">
        <v>24</v>
      </c>
      <c r="X24" s="20">
        <v>24</v>
      </c>
      <c r="Y24" s="21">
        <v>24</v>
      </c>
    </row>
    <row r="25" spans="1:26" ht="75">
      <c r="A25" s="26" t="s">
        <v>80</v>
      </c>
      <c r="B25" s="20">
        <v>1</v>
      </c>
      <c r="C25" s="20">
        <v>2</v>
      </c>
      <c r="D25" s="20">
        <v>3</v>
      </c>
      <c r="E25" s="20">
        <v>4</v>
      </c>
      <c r="F25" s="20">
        <v>5</v>
      </c>
      <c r="G25" s="20">
        <v>6</v>
      </c>
      <c r="H25" s="20">
        <v>7</v>
      </c>
      <c r="I25" s="20">
        <v>8</v>
      </c>
      <c r="J25" s="20">
        <v>9</v>
      </c>
      <c r="K25" s="20">
        <v>10</v>
      </c>
      <c r="L25" s="20">
        <v>11</v>
      </c>
      <c r="M25" s="20">
        <v>12</v>
      </c>
      <c r="N25" s="20">
        <v>13</v>
      </c>
      <c r="O25" s="20">
        <v>14</v>
      </c>
      <c r="P25" s="20">
        <v>15</v>
      </c>
      <c r="Q25" s="20">
        <v>16</v>
      </c>
      <c r="R25" s="20">
        <v>17</v>
      </c>
      <c r="S25" s="20">
        <v>18</v>
      </c>
      <c r="T25" s="20">
        <v>19</v>
      </c>
      <c r="U25" s="20">
        <v>20</v>
      </c>
      <c r="V25" s="20">
        <v>21</v>
      </c>
      <c r="W25" s="20">
        <v>22</v>
      </c>
      <c r="X25" s="20">
        <v>23</v>
      </c>
      <c r="Y25" s="21">
        <v>24</v>
      </c>
    </row>
    <row r="26" spans="1:26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1:26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</row>
    <row r="28" spans="1:26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</row>
    <row r="29" spans="1:26" ht="15.75" thickBot="1">
      <c r="A29" s="23" t="s">
        <v>71</v>
      </c>
      <c r="B29" s="27">
        <f>PPMT(B23/12,B25,B24,B22)</f>
        <v>-595.57084601102667</v>
      </c>
      <c r="C29" s="27">
        <f t="shared" ref="C29:Y29" si="1">PPMT(C23/12,C25,C24,C22)</f>
        <v>-598.05239120273916</v>
      </c>
      <c r="D29" s="27">
        <f t="shared" si="1"/>
        <v>-600.54427616608393</v>
      </c>
      <c r="E29" s="27">
        <f t="shared" si="1"/>
        <v>-603.04654398344269</v>
      </c>
      <c r="F29" s="27">
        <f t="shared" si="1"/>
        <v>-605.55923791670693</v>
      </c>
      <c r="G29" s="27">
        <f t="shared" si="1"/>
        <v>-608.08240140802661</v>
      </c>
      <c r="H29" s="27">
        <f t="shared" si="1"/>
        <v>-610.6160780805601</v>
      </c>
      <c r="I29" s="27">
        <f t="shared" si="1"/>
        <v>-613.1603117392292</v>
      </c>
      <c r="J29" s="27">
        <f t="shared" si="1"/>
        <v>-615.71514637147584</v>
      </c>
      <c r="K29" s="27">
        <f t="shared" si="1"/>
        <v>-618.28062614802366</v>
      </c>
      <c r="L29" s="27">
        <f t="shared" si="1"/>
        <v>-620.85679542364051</v>
      </c>
      <c r="M29" s="27">
        <f t="shared" si="1"/>
        <v>-623.44369873790561</v>
      </c>
      <c r="N29" s="27">
        <f t="shared" si="1"/>
        <v>-626.04138081598035</v>
      </c>
      <c r="O29" s="27">
        <f t="shared" si="1"/>
        <v>-628.6498865693801</v>
      </c>
      <c r="P29" s="27">
        <f t="shared" si="1"/>
        <v>-631.26926109675242</v>
      </c>
      <c r="Q29" s="27">
        <f t="shared" si="1"/>
        <v>-633.89954968465577</v>
      </c>
      <c r="R29" s="27">
        <f t="shared" si="1"/>
        <v>-636.54079780834184</v>
      </c>
      <c r="S29" s="27">
        <f t="shared" si="1"/>
        <v>-639.19305113254313</v>
      </c>
      <c r="T29" s="27">
        <f t="shared" si="1"/>
        <v>-641.8563555122621</v>
      </c>
      <c r="U29" s="27">
        <f t="shared" si="1"/>
        <v>-644.53075699356316</v>
      </c>
      <c r="V29" s="27">
        <f t="shared" si="1"/>
        <v>-647.21630181436967</v>
      </c>
      <c r="W29" s="27">
        <f t="shared" si="1"/>
        <v>-649.91303640526291</v>
      </c>
      <c r="X29" s="27">
        <f t="shared" si="1"/>
        <v>-652.62100739028483</v>
      </c>
      <c r="Y29" s="28">
        <f t="shared" si="1"/>
        <v>-655.34026158774441</v>
      </c>
      <c r="Z29" s="15">
        <f>SUM(B29:Y29)</f>
        <v>-15000.000000000002</v>
      </c>
    </row>
    <row r="31" spans="1:26" ht="15.75" thickBot="1"/>
    <row r="32" spans="1:26">
      <c r="A32" s="16" t="s">
        <v>71</v>
      </c>
      <c r="B32" s="18">
        <v>4000</v>
      </c>
    </row>
    <row r="33" spans="1:2">
      <c r="A33" s="19" t="s">
        <v>81</v>
      </c>
      <c r="B33" s="21">
        <v>0.06</v>
      </c>
    </row>
    <row r="34" spans="1:2" ht="30">
      <c r="A34" s="26" t="s">
        <v>82</v>
      </c>
      <c r="B34" s="21">
        <v>-200</v>
      </c>
    </row>
    <row r="35" spans="1:2">
      <c r="A35" s="19"/>
      <c r="B35" s="21"/>
    </row>
    <row r="36" spans="1:2">
      <c r="A36" s="19"/>
      <c r="B36" s="21"/>
    </row>
    <row r="37" spans="1:2" ht="15.75" thickBot="1">
      <c r="A37" s="23" t="s">
        <v>83</v>
      </c>
      <c r="B37" s="25">
        <f>NPER(B33/12,B34,B32)</f>
        <v>21.124739598583997</v>
      </c>
    </row>
    <row r="38" spans="1:2" ht="15.75" thickBot="1"/>
    <row r="39" spans="1:2">
      <c r="A39" s="16" t="s">
        <v>71</v>
      </c>
      <c r="B39" s="18">
        <v>4000</v>
      </c>
    </row>
    <row r="40" spans="1:2">
      <c r="A40" s="19" t="s">
        <v>84</v>
      </c>
      <c r="B40" s="21">
        <v>0.05</v>
      </c>
    </row>
    <row r="41" spans="1:2" ht="45">
      <c r="A41" s="26" t="s">
        <v>85</v>
      </c>
      <c r="B41" s="21">
        <v>4400</v>
      </c>
    </row>
    <row r="42" spans="1:2">
      <c r="A42" s="19"/>
      <c r="B42" s="21"/>
    </row>
    <row r="43" spans="1:2" ht="15.75" thickBot="1">
      <c r="A43" s="23" t="s">
        <v>86</v>
      </c>
      <c r="B43" s="25">
        <f>_xlfn.PDURATION(B40/12,B39,B41)</f>
        <v>22.922065217892008</v>
      </c>
    </row>
    <row r="45" spans="1:2" ht="15.75" thickBot="1"/>
    <row r="46" spans="1:2">
      <c r="A46" s="16" t="s">
        <v>71</v>
      </c>
      <c r="B46" s="18">
        <v>15000</v>
      </c>
    </row>
    <row r="47" spans="1:2">
      <c r="A47" s="19" t="s">
        <v>73</v>
      </c>
      <c r="B47" s="21">
        <v>24</v>
      </c>
    </row>
    <row r="48" spans="1:2">
      <c r="A48" s="19" t="s">
        <v>87</v>
      </c>
      <c r="B48" s="21">
        <v>-650</v>
      </c>
    </row>
    <row r="49" spans="1:2">
      <c r="A49" s="19"/>
      <c r="B49" s="21"/>
    </row>
    <row r="50" spans="1:2">
      <c r="A50" s="19" t="s">
        <v>88</v>
      </c>
      <c r="B50" s="31">
        <f>RATE(B47,B48,B46)</f>
        <v>3.1617437285112633E-3</v>
      </c>
    </row>
    <row r="51" spans="1:2">
      <c r="A51" s="19"/>
      <c r="B51" s="21"/>
    </row>
    <row r="52" spans="1:2" ht="15.75" thickBot="1">
      <c r="A52" s="23" t="s">
        <v>84</v>
      </c>
      <c r="B52" s="32">
        <f>B50*12</f>
        <v>3.794092474213516E-2</v>
      </c>
    </row>
    <row r="54" spans="1:2" ht="15.75" thickBot="1"/>
    <row r="55" spans="1:2">
      <c r="A55" s="16" t="s">
        <v>81</v>
      </c>
      <c r="B55" s="18">
        <v>0.05</v>
      </c>
    </row>
    <row r="56" spans="1:2">
      <c r="A56" s="19" t="s">
        <v>86</v>
      </c>
      <c r="B56" s="21">
        <v>24</v>
      </c>
    </row>
    <row r="57" spans="1:2">
      <c r="A57" s="19" t="s">
        <v>89</v>
      </c>
      <c r="B57" s="21">
        <v>-600</v>
      </c>
    </row>
    <row r="58" spans="1:2">
      <c r="A58" s="19"/>
      <c r="B58" s="21"/>
    </row>
    <row r="59" spans="1:2" ht="15.75" thickBot="1">
      <c r="A59" s="23" t="s">
        <v>71</v>
      </c>
      <c r="B59" s="28">
        <f>PV(B55/12,B56,B57)</f>
        <v>13676.339036373651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5CB5-4448-496E-89AA-BAE29BFFFA89}">
  <sheetPr codeName="Sheet6"/>
  <dimension ref="A1:AD30"/>
  <sheetViews>
    <sheetView topLeftCell="N4" workbookViewId="0">
      <selection activeCell="AE31" sqref="AE31"/>
    </sheetView>
  </sheetViews>
  <sheetFormatPr defaultRowHeight="15"/>
  <cols>
    <col min="3" max="3" width="11.28515625" bestFit="1" customWidth="1"/>
    <col min="4" max="4" width="9.85546875" bestFit="1" customWidth="1"/>
    <col min="5" max="5" width="10.85546875" bestFit="1" customWidth="1"/>
    <col min="6" max="6" width="26" customWidth="1"/>
    <col min="7" max="7" width="39.42578125" customWidth="1"/>
    <col min="9" max="9" width="10.85546875" bestFit="1" customWidth="1"/>
    <col min="10" max="10" width="11.5703125" bestFit="1" customWidth="1"/>
    <col min="11" max="14" width="10.85546875" bestFit="1" customWidth="1"/>
    <col min="15" max="15" width="14.85546875" customWidth="1"/>
    <col min="18" max="18" width="31.42578125" customWidth="1"/>
    <col min="26" max="26" width="13" customWidth="1"/>
    <col min="27" max="27" width="13.85546875" customWidth="1"/>
    <col min="29" max="29" width="13.42578125" customWidth="1"/>
    <col min="30" max="30" width="14.85546875" customWidth="1"/>
  </cols>
  <sheetData>
    <row r="1" spans="1:30" ht="47.25">
      <c r="A1" s="35" t="s">
        <v>72</v>
      </c>
      <c r="B1" s="35" t="s">
        <v>90</v>
      </c>
      <c r="C1" s="35" t="s">
        <v>87</v>
      </c>
      <c r="D1" s="35" t="s">
        <v>91</v>
      </c>
      <c r="E1" s="35" t="s">
        <v>92</v>
      </c>
      <c r="F1" s="35" t="s">
        <v>93</v>
      </c>
      <c r="G1" s="34"/>
      <c r="I1" s="39" t="s">
        <v>96</v>
      </c>
      <c r="J1" s="39" t="s">
        <v>97</v>
      </c>
      <c r="K1" s="39" t="s">
        <v>98</v>
      </c>
      <c r="L1" s="39" t="s">
        <v>99</v>
      </c>
      <c r="M1" s="39" t="s">
        <v>100</v>
      </c>
      <c r="N1" s="39" t="s">
        <v>101</v>
      </c>
      <c r="O1" s="39" t="s">
        <v>102</v>
      </c>
      <c r="R1" s="42" t="s">
        <v>103</v>
      </c>
      <c r="S1" s="34"/>
      <c r="T1" s="34"/>
      <c r="U1" s="34"/>
      <c r="V1" s="34"/>
      <c r="W1" s="34"/>
      <c r="X1" s="34"/>
      <c r="Z1" s="49" t="s">
        <v>106</v>
      </c>
      <c r="AA1" s="49"/>
      <c r="AB1" s="49"/>
      <c r="AC1" s="49"/>
    </row>
    <row r="2" spans="1:30" ht="30">
      <c r="A2" s="36">
        <v>1.2500000000000001E-2</v>
      </c>
      <c r="B2" s="34">
        <v>10</v>
      </c>
      <c r="C2" s="37">
        <v>-218.46</v>
      </c>
      <c r="D2" s="37"/>
      <c r="E2" s="37">
        <v>24630.9</v>
      </c>
      <c r="F2" s="37">
        <f>PV(A2/12, B2*12,C2)</f>
        <v>24630.896172235502</v>
      </c>
      <c r="G2" s="38" t="s">
        <v>94</v>
      </c>
      <c r="I2" s="37">
        <f>NPV(2.25%,J2,K2,L2,M2,N2)+O2</f>
        <v>49490.96225659881</v>
      </c>
      <c r="J2" s="37">
        <v>-22000</v>
      </c>
      <c r="K2" s="37">
        <v>15000</v>
      </c>
      <c r="L2" s="37">
        <v>25000</v>
      </c>
      <c r="M2" s="37">
        <v>32000</v>
      </c>
      <c r="N2" s="37">
        <v>38000</v>
      </c>
      <c r="O2" s="37">
        <v>-30000</v>
      </c>
      <c r="R2" s="34" t="s">
        <v>71</v>
      </c>
      <c r="S2" s="43">
        <v>150000</v>
      </c>
      <c r="T2" s="34"/>
      <c r="U2" s="34"/>
      <c r="V2" s="34"/>
      <c r="W2" s="34"/>
      <c r="X2" s="34"/>
      <c r="Z2" s="33" t="s">
        <v>107</v>
      </c>
      <c r="AA2" s="34" t="s">
        <v>108</v>
      </c>
      <c r="AB2" s="34"/>
      <c r="AC2" s="34"/>
    </row>
    <row r="3" spans="1:30">
      <c r="A3" s="36"/>
      <c r="B3" s="34"/>
      <c r="C3" s="37"/>
      <c r="D3" s="37"/>
      <c r="E3" s="37"/>
      <c r="F3" s="34"/>
      <c r="G3" s="38"/>
      <c r="R3" s="34" t="s">
        <v>104</v>
      </c>
      <c r="S3" s="36">
        <v>2.75E-2</v>
      </c>
      <c r="T3" s="34"/>
      <c r="U3" s="34"/>
      <c r="V3" s="34"/>
      <c r="W3" s="34"/>
      <c r="X3" s="34"/>
      <c r="Z3" s="33" t="s">
        <v>109</v>
      </c>
      <c r="AA3" s="43">
        <v>50000</v>
      </c>
      <c r="AB3" s="34"/>
      <c r="AC3" s="34"/>
    </row>
    <row r="4" spans="1:30" ht="45">
      <c r="A4" s="36">
        <v>1.2500000000000001E-2</v>
      </c>
      <c r="B4" s="34">
        <v>10</v>
      </c>
      <c r="C4" s="37">
        <v>-218.46</v>
      </c>
      <c r="D4" s="37"/>
      <c r="E4" s="37"/>
      <c r="F4" s="37">
        <f>PV(A4/12,B4*12,C4,1)</f>
        <v>24630.013617916691</v>
      </c>
      <c r="G4" s="38" t="s">
        <v>95</v>
      </c>
      <c r="I4" t="s">
        <v>91</v>
      </c>
      <c r="J4" s="15">
        <f>FV(2.5%, 22, -1500,,1)</f>
        <v>44376.640951175934</v>
      </c>
      <c r="R4" s="34" t="s">
        <v>105</v>
      </c>
      <c r="S4" s="34">
        <v>30</v>
      </c>
      <c r="T4" s="34"/>
      <c r="U4" s="34"/>
      <c r="V4" s="34"/>
      <c r="W4" s="34"/>
      <c r="X4" s="34"/>
      <c r="Z4" s="33" t="s">
        <v>110</v>
      </c>
      <c r="AA4" s="34">
        <v>10</v>
      </c>
      <c r="AB4" s="34"/>
      <c r="AC4" s="34"/>
    </row>
    <row r="5" spans="1:30">
      <c r="A5" s="36"/>
      <c r="B5" s="34"/>
      <c r="C5" s="37"/>
      <c r="D5" s="37"/>
      <c r="E5" s="37"/>
      <c r="F5" s="34"/>
      <c r="G5" s="34"/>
      <c r="R5" s="34"/>
      <c r="S5" s="34"/>
      <c r="T5" s="34"/>
      <c r="U5" s="34"/>
      <c r="V5" s="34"/>
      <c r="W5" s="34"/>
      <c r="X5" s="34"/>
      <c r="Z5" s="33" t="s">
        <v>111</v>
      </c>
      <c r="AA5" s="43">
        <v>1000</v>
      </c>
      <c r="AB5" s="34"/>
      <c r="AC5" s="34"/>
    </row>
    <row r="6" spans="1:30">
      <c r="A6" s="36">
        <v>1.2500000000000001E-2</v>
      </c>
      <c r="B6" s="34">
        <v>10</v>
      </c>
      <c r="C6" s="37"/>
      <c r="D6" s="37">
        <v>8000</v>
      </c>
      <c r="E6" s="37"/>
      <c r="F6" s="37">
        <f>PV(A6/12, B6*12, ,D6)</f>
        <v>-7060.4345504808089</v>
      </c>
      <c r="G6" s="34"/>
      <c r="R6" s="34"/>
      <c r="S6" s="34"/>
      <c r="T6" s="34"/>
      <c r="U6" s="34"/>
      <c r="V6" s="34"/>
      <c r="W6" s="34"/>
      <c r="X6" s="34"/>
    </row>
    <row r="7" spans="1:30" ht="45">
      <c r="A7" s="36"/>
      <c r="B7" s="34"/>
      <c r="C7" s="37"/>
      <c r="D7" s="37"/>
      <c r="E7" s="37"/>
      <c r="F7" s="34"/>
      <c r="G7" s="34"/>
      <c r="R7" s="33"/>
      <c r="S7" s="44">
        <v>2.75E-2</v>
      </c>
      <c r="T7" s="44">
        <v>0.03</v>
      </c>
      <c r="U7" s="44">
        <v>3.2500000000000001E-2</v>
      </c>
      <c r="V7" s="44">
        <v>3.5000000000000003E-2</v>
      </c>
      <c r="W7" s="44">
        <v>3.7499999999999999E-2</v>
      </c>
      <c r="X7" s="44">
        <v>0.04</v>
      </c>
      <c r="Z7" s="35" t="s">
        <v>57</v>
      </c>
      <c r="AA7" s="35" t="s">
        <v>112</v>
      </c>
      <c r="AB7" s="35" t="s">
        <v>113</v>
      </c>
      <c r="AC7" s="35" t="s">
        <v>114</v>
      </c>
      <c r="AD7" s="35" t="s">
        <v>115</v>
      </c>
    </row>
    <row r="8" spans="1:30">
      <c r="A8" s="36"/>
      <c r="B8" s="34"/>
      <c r="C8" s="37"/>
      <c r="D8" s="37"/>
      <c r="E8" s="37"/>
      <c r="F8" s="34"/>
      <c r="G8" s="34"/>
      <c r="R8" s="45">
        <v>150000</v>
      </c>
      <c r="S8" s="37">
        <f>PMT(S$7/12,$S$4*12,$R8)</f>
        <v>-612.36177149826506</v>
      </c>
      <c r="T8" s="37">
        <f t="shared" ref="T8:X17" si="0">PMT(T$7/12,$S$4*12,$R8)</f>
        <v>-632.40605059417567</v>
      </c>
      <c r="U8" s="37">
        <f t="shared" si="0"/>
        <v>-652.809478608571</v>
      </c>
      <c r="V8" s="37">
        <f t="shared" si="0"/>
        <v>-673.5670317132367</v>
      </c>
      <c r="W8" s="37">
        <f t="shared" si="0"/>
        <v>-694.67338735819158</v>
      </c>
      <c r="X8" s="37">
        <f t="shared" si="0"/>
        <v>-716.12294319818932</v>
      </c>
      <c r="Z8" s="34">
        <v>0</v>
      </c>
      <c r="AA8" s="43">
        <v>50000</v>
      </c>
      <c r="AB8" s="43">
        <v>50000</v>
      </c>
      <c r="AC8" s="43">
        <v>50000</v>
      </c>
      <c r="AD8" s="43">
        <v>50000</v>
      </c>
    </row>
    <row r="9" spans="1:30">
      <c r="R9" s="45">
        <v>151000</v>
      </c>
      <c r="S9" s="37">
        <f t="shared" ref="S9:S17" si="1">PMT(S$7/12,$S$4*12,$R9)</f>
        <v>-616.44418330825351</v>
      </c>
      <c r="T9" s="37">
        <f t="shared" si="0"/>
        <v>-636.62209093147021</v>
      </c>
      <c r="U9" s="37">
        <f t="shared" si="0"/>
        <v>-657.1615417992947</v>
      </c>
      <c r="V9" s="37">
        <f t="shared" si="0"/>
        <v>-678.05747859132498</v>
      </c>
      <c r="W9" s="37">
        <f t="shared" si="0"/>
        <v>-699.30454327391294</v>
      </c>
      <c r="X9" s="37">
        <f t="shared" si="0"/>
        <v>-720.89709615284391</v>
      </c>
      <c r="Z9" s="34">
        <v>1</v>
      </c>
      <c r="AA9" s="43">
        <f>AA8-SLN($AA$3,$AA$5,$AA$4)</f>
        <v>45100</v>
      </c>
      <c r="AB9" s="43">
        <f>AB8-SYD($AA$3,$AA$5,$AA$4,Z9)</f>
        <v>41090.909090909088</v>
      </c>
      <c r="AC9" s="43">
        <f>AC8-DB($AA$3,$AA$5,$AA$4,Z9)</f>
        <v>33800</v>
      </c>
      <c r="AD9" s="43">
        <f>AD8-DDB($AA$3,$AA$5,$AA$4,Z9)</f>
        <v>40000</v>
      </c>
    </row>
    <row r="10" spans="1:30">
      <c r="R10" s="45">
        <v>152000</v>
      </c>
      <c r="S10" s="37">
        <f t="shared" si="1"/>
        <v>-620.52659511824197</v>
      </c>
      <c r="T10" s="37">
        <f t="shared" si="0"/>
        <v>-640.83813126876476</v>
      </c>
      <c r="U10" s="37">
        <f t="shared" si="0"/>
        <v>-661.51360499001851</v>
      </c>
      <c r="V10" s="37">
        <f t="shared" si="0"/>
        <v>-682.54792546941314</v>
      </c>
      <c r="W10" s="37">
        <f t="shared" si="0"/>
        <v>-703.93569918963419</v>
      </c>
      <c r="X10" s="37">
        <f t="shared" si="0"/>
        <v>-725.6712491074984</v>
      </c>
      <c r="Z10" s="34">
        <v>2</v>
      </c>
      <c r="AA10" s="43">
        <f t="shared" ref="AA10:AA18" si="2">AA9-SLN($AA$3,$AA$5,$AA$4)</f>
        <v>40200</v>
      </c>
      <c r="AB10" s="43">
        <f t="shared" ref="AB10:AB18" si="3">AB9-SYD($AA$3,$AA$5,$AA$4,Z10)</f>
        <v>33072.727272727272</v>
      </c>
      <c r="AC10" s="43">
        <f t="shared" ref="AC10:AC18" si="4">AC9-DB($AA$3,$AA$5,$AA$4,Z10)</f>
        <v>22848.799999999999</v>
      </c>
      <c r="AD10" s="43">
        <f t="shared" ref="AD10:AD18" si="5">AD9-DDB($AA$3,$AA$5,$AA$4,Z10)</f>
        <v>32000</v>
      </c>
    </row>
    <row r="11" spans="1:30">
      <c r="R11" s="45">
        <v>153000</v>
      </c>
      <c r="S11" s="37">
        <f t="shared" si="1"/>
        <v>-624.60900692823031</v>
      </c>
      <c r="T11" s="37">
        <f t="shared" si="0"/>
        <v>-645.0541716060593</v>
      </c>
      <c r="U11" s="37">
        <f t="shared" si="0"/>
        <v>-665.86566818074232</v>
      </c>
      <c r="V11" s="37">
        <f t="shared" si="0"/>
        <v>-687.03837234750142</v>
      </c>
      <c r="W11" s="37">
        <f t="shared" si="0"/>
        <v>-708.56685510535544</v>
      </c>
      <c r="X11" s="37">
        <f t="shared" si="0"/>
        <v>-730.44540206215299</v>
      </c>
      <c r="Z11" s="34">
        <v>3</v>
      </c>
      <c r="AA11" s="43">
        <f t="shared" si="2"/>
        <v>35300</v>
      </c>
      <c r="AB11" s="43">
        <f t="shared" si="3"/>
        <v>25945.454545454544</v>
      </c>
      <c r="AC11" s="43">
        <f t="shared" si="4"/>
        <v>15445.788799999998</v>
      </c>
      <c r="AD11" s="43">
        <f t="shared" si="5"/>
        <v>25600</v>
      </c>
    </row>
    <row r="12" spans="1:30">
      <c r="R12" s="45">
        <v>154000</v>
      </c>
      <c r="S12" s="37">
        <f t="shared" si="1"/>
        <v>-628.69141873821889</v>
      </c>
      <c r="T12" s="37">
        <f t="shared" si="0"/>
        <v>-649.27021194335373</v>
      </c>
      <c r="U12" s="37">
        <f t="shared" si="0"/>
        <v>-670.21773137146613</v>
      </c>
      <c r="V12" s="37">
        <f t="shared" si="0"/>
        <v>-691.5288192255897</v>
      </c>
      <c r="W12" s="37">
        <f t="shared" si="0"/>
        <v>-713.1980110210767</v>
      </c>
      <c r="X12" s="37">
        <f t="shared" si="0"/>
        <v>-735.21955501680759</v>
      </c>
      <c r="Z12" s="34">
        <v>4</v>
      </c>
      <c r="AA12" s="43">
        <f t="shared" si="2"/>
        <v>30400</v>
      </c>
      <c r="AB12" s="43">
        <f t="shared" si="3"/>
        <v>19709.090909090908</v>
      </c>
      <c r="AC12" s="43">
        <f t="shared" si="4"/>
        <v>10441.353228799999</v>
      </c>
      <c r="AD12" s="43">
        <f t="shared" si="5"/>
        <v>20480</v>
      </c>
    </row>
    <row r="13" spans="1:30">
      <c r="A13" t="s">
        <v>72</v>
      </c>
      <c r="C13">
        <v>0.05</v>
      </c>
      <c r="R13" s="45">
        <v>155000</v>
      </c>
      <c r="S13" s="37">
        <f t="shared" si="1"/>
        <v>-632.77383054820723</v>
      </c>
      <c r="T13" s="37">
        <f t="shared" si="0"/>
        <v>-653.48625228064827</v>
      </c>
      <c r="U13" s="37">
        <f t="shared" si="0"/>
        <v>-674.56979456218994</v>
      </c>
      <c r="V13" s="37">
        <f t="shared" si="0"/>
        <v>-696.01926610367798</v>
      </c>
      <c r="W13" s="37">
        <f t="shared" si="0"/>
        <v>-717.82916693679806</v>
      </c>
      <c r="X13" s="37">
        <f t="shared" si="0"/>
        <v>-739.99370797146219</v>
      </c>
      <c r="Z13" s="34">
        <v>5</v>
      </c>
      <c r="AA13" s="43">
        <f t="shared" si="2"/>
        <v>25500</v>
      </c>
      <c r="AB13" s="43">
        <f t="shared" si="3"/>
        <v>14363.636363636364</v>
      </c>
      <c r="AC13" s="43">
        <f t="shared" si="4"/>
        <v>7058.3547826687991</v>
      </c>
      <c r="AD13" s="43">
        <f t="shared" si="5"/>
        <v>16383.999999999996</v>
      </c>
    </row>
    <row r="14" spans="1:30">
      <c r="A14" t="s">
        <v>73</v>
      </c>
      <c r="C14">
        <v>24</v>
      </c>
      <c r="R14" s="45">
        <v>156000</v>
      </c>
      <c r="S14" s="37">
        <f t="shared" si="1"/>
        <v>-636.85624235819569</v>
      </c>
      <c r="T14" s="37">
        <f t="shared" si="0"/>
        <v>-657.7022926179427</v>
      </c>
      <c r="U14" s="37">
        <f t="shared" si="0"/>
        <v>-678.92185775291375</v>
      </c>
      <c r="V14" s="37">
        <f t="shared" si="0"/>
        <v>-700.50971298176626</v>
      </c>
      <c r="W14" s="37">
        <f t="shared" si="0"/>
        <v>-722.4603228525192</v>
      </c>
      <c r="X14" s="37">
        <f t="shared" si="0"/>
        <v>-744.7678609261169</v>
      </c>
      <c r="Z14" s="34">
        <v>6</v>
      </c>
      <c r="AA14" s="43">
        <f t="shared" si="2"/>
        <v>20600</v>
      </c>
      <c r="AB14" s="43">
        <f t="shared" si="3"/>
        <v>9909.0909090909081</v>
      </c>
      <c r="AC14" s="43">
        <f t="shared" si="4"/>
        <v>4771.4478330841084</v>
      </c>
      <c r="AD14" s="43">
        <f t="shared" si="5"/>
        <v>13107.199999999993</v>
      </c>
    </row>
    <row r="15" spans="1:30">
      <c r="A15" t="s">
        <v>117</v>
      </c>
      <c r="C15" s="46">
        <v>-50</v>
      </c>
      <c r="R15" s="45">
        <v>157000</v>
      </c>
      <c r="S15" s="37">
        <f t="shared" si="1"/>
        <v>-640.93865416818403</v>
      </c>
      <c r="T15" s="37">
        <f t="shared" si="0"/>
        <v>-661.91833295523725</v>
      </c>
      <c r="U15" s="37">
        <f t="shared" si="0"/>
        <v>-683.27392094363756</v>
      </c>
      <c r="V15" s="37">
        <f t="shared" si="0"/>
        <v>-705.00015985985442</v>
      </c>
      <c r="W15" s="37">
        <f t="shared" si="0"/>
        <v>-727.09147876824056</v>
      </c>
      <c r="X15" s="37">
        <f t="shared" si="0"/>
        <v>-749.54201388077138</v>
      </c>
      <c r="Z15" s="34">
        <v>7</v>
      </c>
      <c r="AA15" s="43">
        <f t="shared" si="2"/>
        <v>15700</v>
      </c>
      <c r="AB15" s="43">
        <f t="shared" si="3"/>
        <v>6345.4545454545441</v>
      </c>
      <c r="AC15" s="43">
        <f t="shared" si="4"/>
        <v>3225.498735164857</v>
      </c>
      <c r="AD15" s="43">
        <f t="shared" si="5"/>
        <v>10485.759999999991</v>
      </c>
    </row>
    <row r="16" spans="1:30">
      <c r="A16" t="s">
        <v>116</v>
      </c>
      <c r="C16" s="46">
        <v>-1000</v>
      </c>
      <c r="R16" s="45">
        <v>158000</v>
      </c>
      <c r="S16" s="37">
        <f t="shared" si="1"/>
        <v>-645.0210659781726</v>
      </c>
      <c r="T16" s="37">
        <f t="shared" si="0"/>
        <v>-666.13437329253179</v>
      </c>
      <c r="U16" s="37">
        <f t="shared" si="0"/>
        <v>-687.62598413436137</v>
      </c>
      <c r="V16" s="37">
        <f t="shared" si="0"/>
        <v>-709.4906067379427</v>
      </c>
      <c r="W16" s="37">
        <f t="shared" si="0"/>
        <v>-731.72263468396193</v>
      </c>
      <c r="X16" s="37">
        <f t="shared" si="0"/>
        <v>-754.31616683542597</v>
      </c>
      <c r="Z16" s="34">
        <v>8</v>
      </c>
      <c r="AA16" s="43">
        <f t="shared" si="2"/>
        <v>10800</v>
      </c>
      <c r="AB16" s="43">
        <f t="shared" si="3"/>
        <v>3672.7272727272716</v>
      </c>
      <c r="AC16" s="43">
        <f t="shared" si="4"/>
        <v>2180.4371449714436</v>
      </c>
      <c r="AD16" s="43">
        <f t="shared" si="5"/>
        <v>8388.6079999999893</v>
      </c>
    </row>
    <row r="17" spans="1:30">
      <c r="R17" s="45">
        <v>159000</v>
      </c>
      <c r="S17" s="37">
        <f t="shared" si="1"/>
        <v>-649.10347778816106</v>
      </c>
      <c r="T17" s="37">
        <f t="shared" si="0"/>
        <v>-670.35041362982622</v>
      </c>
      <c r="U17" s="37">
        <f t="shared" si="0"/>
        <v>-691.97804732508519</v>
      </c>
      <c r="V17" s="37">
        <f t="shared" si="0"/>
        <v>-713.98105361603098</v>
      </c>
      <c r="W17" s="37">
        <f t="shared" si="0"/>
        <v>-736.35379059968307</v>
      </c>
      <c r="X17" s="37">
        <f t="shared" si="0"/>
        <v>-759.09031979008057</v>
      </c>
      <c r="Z17" s="34">
        <v>9</v>
      </c>
      <c r="AA17" s="43">
        <f t="shared" si="2"/>
        <v>5900</v>
      </c>
      <c r="AB17" s="43">
        <f t="shared" si="3"/>
        <v>1890.9090909090899</v>
      </c>
      <c r="AC17" s="43">
        <f t="shared" si="4"/>
        <v>1473.975510000696</v>
      </c>
      <c r="AD17" s="43">
        <f t="shared" si="5"/>
        <v>6710.8863999999876</v>
      </c>
    </row>
    <row r="18" spans="1:30">
      <c r="Z18" s="34">
        <v>10</v>
      </c>
      <c r="AA18" s="43">
        <f t="shared" si="2"/>
        <v>1000</v>
      </c>
      <c r="AB18" s="43">
        <f t="shared" si="3"/>
        <v>999.99999999999898</v>
      </c>
      <c r="AC18" s="43">
        <f t="shared" si="4"/>
        <v>996.40744476047053</v>
      </c>
      <c r="AD18" s="43">
        <f t="shared" si="5"/>
        <v>5368.7091199999868</v>
      </c>
    </row>
    <row r="19" spans="1:30">
      <c r="A19" t="s">
        <v>118</v>
      </c>
      <c r="F19" s="50">
        <f>FV(C13/12,C14,C15,C16)</f>
        <v>2364.2373622582609</v>
      </c>
    </row>
    <row r="20" spans="1:30">
      <c r="A20" t="s">
        <v>119</v>
      </c>
      <c r="F20" s="50"/>
      <c r="Z20">
        <v>1</v>
      </c>
      <c r="AC20" s="47">
        <f>DB($AA$3,$AA$5,$AA$4,Z20,5)</f>
        <v>6750</v>
      </c>
      <c r="AD20" t="s">
        <v>121</v>
      </c>
    </row>
    <row r="21" spans="1:30">
      <c r="A21" t="s">
        <v>120</v>
      </c>
      <c r="Z21">
        <v>2</v>
      </c>
      <c r="AC21" s="47">
        <f t="shared" ref="AC21:AC30" si="6">DB($AA$3,$AA$5,$AA$4,Z21,5)</f>
        <v>14013</v>
      </c>
      <c r="AD21" t="s">
        <v>122</v>
      </c>
    </row>
    <row r="22" spans="1:30">
      <c r="Z22">
        <v>3</v>
      </c>
      <c r="AC22" s="47">
        <f t="shared" si="6"/>
        <v>9472.7880000000005</v>
      </c>
      <c r="AD22" t="s">
        <v>122</v>
      </c>
    </row>
    <row r="23" spans="1:30">
      <c r="Z23">
        <v>4</v>
      </c>
      <c r="AC23" s="47">
        <f t="shared" si="6"/>
        <v>6403.6046880000004</v>
      </c>
      <c r="AD23" t="s">
        <v>122</v>
      </c>
    </row>
    <row r="24" spans="1:30">
      <c r="Z24">
        <v>5</v>
      </c>
      <c r="AC24" s="47">
        <f t="shared" si="6"/>
        <v>4328.8367690880004</v>
      </c>
      <c r="AD24" t="s">
        <v>122</v>
      </c>
    </row>
    <row r="25" spans="1:30">
      <c r="Z25">
        <v>6</v>
      </c>
      <c r="AC25" s="47">
        <f t="shared" si="6"/>
        <v>2926.2936559034879</v>
      </c>
      <c r="AD25" t="s">
        <v>122</v>
      </c>
    </row>
    <row r="26" spans="1:30">
      <c r="Z26">
        <v>7</v>
      </c>
      <c r="AC26" s="47">
        <f t="shared" si="6"/>
        <v>1978.174511390758</v>
      </c>
      <c r="AD26" t="s">
        <v>122</v>
      </c>
    </row>
    <row r="27" spans="1:30">
      <c r="Z27">
        <v>8</v>
      </c>
      <c r="AC27" s="47">
        <f t="shared" si="6"/>
        <v>1337.2459697001523</v>
      </c>
      <c r="AD27" t="s">
        <v>122</v>
      </c>
    </row>
    <row r="28" spans="1:30">
      <c r="Z28">
        <v>9</v>
      </c>
      <c r="AC28" s="47">
        <f t="shared" si="6"/>
        <v>903.9782755173029</v>
      </c>
      <c r="AD28" t="s">
        <v>122</v>
      </c>
    </row>
    <row r="29" spans="1:30">
      <c r="Z29">
        <v>10</v>
      </c>
      <c r="AC29" s="47">
        <f t="shared" si="6"/>
        <v>611.08931424969671</v>
      </c>
      <c r="AD29" t="s">
        <v>122</v>
      </c>
    </row>
    <row r="30" spans="1:30">
      <c r="Z30">
        <v>11</v>
      </c>
      <c r="AC30" s="47">
        <f t="shared" si="6"/>
        <v>240.97288625246378</v>
      </c>
      <c r="AD30" t="s">
        <v>122</v>
      </c>
    </row>
  </sheetData>
  <mergeCells count="2">
    <mergeCell ref="Z1:AC1"/>
    <mergeCell ref="F19:F20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FECF-983C-48FE-A62A-ED5261E2641A}">
  <sheetPr codeName="Sheet7"/>
  <dimension ref="A1:R25"/>
  <sheetViews>
    <sheetView workbookViewId="0">
      <selection activeCell="D17" sqref="D17"/>
    </sheetView>
  </sheetViews>
  <sheetFormatPr defaultRowHeight="15"/>
  <cols>
    <col min="14" max="14" width="9.7109375" bestFit="1" customWidth="1"/>
    <col min="15" max="15" width="10.85546875" bestFit="1" customWidth="1"/>
  </cols>
  <sheetData>
    <row r="1" spans="1:18">
      <c r="A1" s="3" t="s">
        <v>123</v>
      </c>
      <c r="B1" s="3"/>
      <c r="C1" s="3"/>
      <c r="D1" s="3"/>
      <c r="E1" s="3"/>
      <c r="F1" s="3" t="s">
        <v>124</v>
      </c>
      <c r="G1" s="3"/>
      <c r="N1" s="3" t="s">
        <v>136</v>
      </c>
      <c r="O1" s="3"/>
      <c r="P1" s="3"/>
      <c r="Q1" s="3"/>
      <c r="R1" s="48">
        <f>IRR(O4:O25, -0.02)</f>
        <v>-5.3603010793032757E-2</v>
      </c>
    </row>
    <row r="3" spans="1:18">
      <c r="A3" s="40">
        <v>-2500</v>
      </c>
      <c r="B3" t="s">
        <v>125</v>
      </c>
      <c r="F3" s="40">
        <v>-9000</v>
      </c>
      <c r="G3" t="s">
        <v>130</v>
      </c>
      <c r="N3" t="s">
        <v>58</v>
      </c>
      <c r="O3" t="s">
        <v>137</v>
      </c>
      <c r="P3" t="s">
        <v>138</v>
      </c>
    </row>
    <row r="4" spans="1:18">
      <c r="A4" s="40">
        <v>-3500</v>
      </c>
      <c r="B4" t="s">
        <v>126</v>
      </c>
      <c r="F4" s="40">
        <v>-6500</v>
      </c>
      <c r="G4" t="s">
        <v>127</v>
      </c>
      <c r="N4" s="1">
        <v>43161</v>
      </c>
      <c r="O4" s="15">
        <v>13000</v>
      </c>
    </row>
    <row r="5" spans="1:18">
      <c r="A5" s="40">
        <v>-2000</v>
      </c>
      <c r="B5" t="s">
        <v>127</v>
      </c>
      <c r="F5" s="40">
        <v>26000</v>
      </c>
      <c r="G5" t="s">
        <v>131</v>
      </c>
      <c r="N5" s="1">
        <v>43164</v>
      </c>
      <c r="O5" s="15">
        <v>-9000</v>
      </c>
    </row>
    <row r="6" spans="1:18">
      <c r="A6" s="40">
        <v>-400</v>
      </c>
      <c r="B6" t="s">
        <v>128</v>
      </c>
      <c r="F6" s="40">
        <v>54000</v>
      </c>
      <c r="G6" t="s">
        <v>132</v>
      </c>
      <c r="N6" s="1">
        <v>43177</v>
      </c>
      <c r="O6" s="15">
        <v>325</v>
      </c>
    </row>
    <row r="7" spans="1:18">
      <c r="A7" s="40">
        <v>11960</v>
      </c>
      <c r="B7" t="s">
        <v>129</v>
      </c>
      <c r="N7" s="1">
        <v>43179</v>
      </c>
      <c r="O7" s="15">
        <v>-700</v>
      </c>
    </row>
    <row r="8" spans="1:18">
      <c r="N8" s="1">
        <v>43179</v>
      </c>
      <c r="O8" s="15">
        <v>-1450</v>
      </c>
    </row>
    <row r="9" spans="1:18">
      <c r="A9" s="41">
        <f>IRR(A3:A7)</f>
        <v>0.12471728612247102</v>
      </c>
      <c r="B9" s="3" t="s">
        <v>133</v>
      </c>
      <c r="F9" s="41">
        <f>IRR(F3:F5)</f>
        <v>0.37649935255926814</v>
      </c>
      <c r="G9" s="3" t="s">
        <v>134</v>
      </c>
      <c r="N9" s="1">
        <v>43183</v>
      </c>
      <c r="O9" s="15">
        <v>1800</v>
      </c>
    </row>
    <row r="10" spans="1:18">
      <c r="F10" s="41">
        <f>IRR(F3:F6)</f>
        <v>1.0712038575924203</v>
      </c>
      <c r="G10" s="3" t="s">
        <v>135</v>
      </c>
      <c r="N10" s="1">
        <v>43187</v>
      </c>
      <c r="O10" s="15">
        <v>2400</v>
      </c>
    </row>
    <row r="11" spans="1:18">
      <c r="N11" s="1">
        <v>43190</v>
      </c>
      <c r="O11" s="15">
        <v>-3000</v>
      </c>
    </row>
    <row r="12" spans="1:18">
      <c r="N12" s="1">
        <v>43194</v>
      </c>
      <c r="O12" s="15">
        <v>500</v>
      </c>
    </row>
    <row r="13" spans="1:18">
      <c r="N13" s="1">
        <v>43202</v>
      </c>
      <c r="O13" s="15">
        <v>1295</v>
      </c>
    </row>
    <row r="14" spans="1:18">
      <c r="N14" s="1">
        <v>43209</v>
      </c>
      <c r="O14" s="15">
        <v>1600</v>
      </c>
    </row>
    <row r="15" spans="1:18">
      <c r="N15" s="1">
        <v>43210</v>
      </c>
      <c r="O15" s="15">
        <v>-350</v>
      </c>
    </row>
    <row r="16" spans="1:18">
      <c r="N16" s="1">
        <v>43211</v>
      </c>
      <c r="O16" s="15">
        <v>-225</v>
      </c>
    </row>
    <row r="17" spans="14:15">
      <c r="N17" s="1">
        <v>43211</v>
      </c>
      <c r="O17" s="15">
        <v>-140</v>
      </c>
    </row>
    <row r="18" spans="14:15">
      <c r="N18" s="1">
        <v>43214</v>
      </c>
      <c r="O18" s="15">
        <v>2650</v>
      </c>
    </row>
    <row r="19" spans="14:15">
      <c r="N19" s="1">
        <v>43217</v>
      </c>
      <c r="O19" s="15">
        <v>1725</v>
      </c>
    </row>
    <row r="20" spans="14:15">
      <c r="N20" s="1">
        <v>43218</v>
      </c>
      <c r="O20" s="15">
        <v>-1000</v>
      </c>
    </row>
    <row r="21" spans="14:15">
      <c r="N21" s="1">
        <v>43220</v>
      </c>
      <c r="O21" s="15">
        <v>-4500</v>
      </c>
    </row>
    <row r="22" spans="14:15">
      <c r="N22" s="1">
        <v>43232</v>
      </c>
      <c r="O22" s="15">
        <v>2000</v>
      </c>
    </row>
    <row r="23" spans="14:15">
      <c r="N23" s="1">
        <v>43240</v>
      </c>
      <c r="O23" s="15">
        <v>-140</v>
      </c>
    </row>
    <row r="24" spans="14:15">
      <c r="N24" s="1">
        <v>43240</v>
      </c>
      <c r="O24" s="15">
        <v>1700</v>
      </c>
    </row>
    <row r="25" spans="14:15">
      <c r="N25" s="1">
        <v>43251</v>
      </c>
      <c r="O25" s="15">
        <v>-4000</v>
      </c>
    </row>
  </sheetData>
  <pageMargins left="0.7" right="0.7" top="0.75" bottom="0.75" header="0.3" footer="0.3"/>
  <ignoredErrors>
    <ignoredError sqref="F9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8DE2-9FDB-4600-B0C7-87BA63DD5F6C}">
  <sheetPr codeName="Sheet8"/>
  <dimension ref="A1:J28"/>
  <sheetViews>
    <sheetView workbookViewId="0">
      <selection activeCell="A28" sqref="A28"/>
    </sheetView>
  </sheetViews>
  <sheetFormatPr defaultRowHeight="15"/>
  <cols>
    <col min="4" max="4" width="38.42578125" customWidth="1"/>
    <col min="5" max="5" width="13.28515625" customWidth="1"/>
    <col min="6" max="6" width="26.140625" bestFit="1" customWidth="1"/>
    <col min="10" max="10" width="11" bestFit="1" customWidth="1"/>
  </cols>
  <sheetData>
    <row r="1" spans="1:10">
      <c r="E1" t="s">
        <v>147</v>
      </c>
    </row>
    <row r="2" spans="1:10">
      <c r="A2" t="s">
        <v>139</v>
      </c>
      <c r="B2">
        <f>_xlfn.ARABIC(A2)</f>
        <v>21</v>
      </c>
      <c r="D2" s="53">
        <f>PI()</f>
        <v>3.1415926535897931</v>
      </c>
      <c r="E2" s="2">
        <f>ROUND($D$2,1)</f>
        <v>3.1</v>
      </c>
      <c r="F2" s="53">
        <f>ROUNDDOWN(D2,1)</f>
        <v>3.1</v>
      </c>
      <c r="I2">
        <v>12.35</v>
      </c>
      <c r="J2">
        <f>_xlfn.CEILING.MATH(I2,0.5)</f>
        <v>12.5</v>
      </c>
    </row>
    <row r="3" spans="1:10">
      <c r="A3" t="s">
        <v>140</v>
      </c>
      <c r="B3">
        <f>_xlfn.ARABIC(A3)</f>
        <v>6</v>
      </c>
      <c r="E3" s="51">
        <f>ROUND($D$2,2)</f>
        <v>3.14</v>
      </c>
      <c r="F3" s="53">
        <f>ROUNDUP(D2,1)</f>
        <v>3.2</v>
      </c>
      <c r="I3">
        <v>12.15</v>
      </c>
      <c r="J3">
        <f>_xlfn.CEILING.MATH(I3,0.1)</f>
        <v>12.200000000000001</v>
      </c>
    </row>
    <row r="4" spans="1:10">
      <c r="A4" t="s">
        <v>140</v>
      </c>
      <c r="B4">
        <f t="shared" ref="B4:B10" si="0">_xlfn.ARABIC(A4)</f>
        <v>6</v>
      </c>
      <c r="E4" s="52">
        <f>ROUND($D$2,3)</f>
        <v>3.1419999999999999</v>
      </c>
      <c r="F4">
        <f>MROUND(D2,2)</f>
        <v>4</v>
      </c>
      <c r="I4">
        <v>9.94</v>
      </c>
      <c r="J4">
        <f>_xlfn.CEILING.MATH(I4,1)</f>
        <v>10</v>
      </c>
    </row>
    <row r="5" spans="1:10">
      <c r="A5" t="s">
        <v>141</v>
      </c>
      <c r="B5">
        <f t="shared" si="0"/>
        <v>2</v>
      </c>
      <c r="E5" s="2">
        <f>ROUND($D$2,4)</f>
        <v>3.1415999999999999</v>
      </c>
      <c r="F5">
        <f>INT(E5)</f>
        <v>3</v>
      </c>
      <c r="I5">
        <v>8.42</v>
      </c>
      <c r="J5">
        <f>_xlfn.CEILING.MATH(I5,3)</f>
        <v>9</v>
      </c>
    </row>
    <row r="6" spans="1:10">
      <c r="A6" t="s">
        <v>142</v>
      </c>
      <c r="B6">
        <f t="shared" si="0"/>
        <v>100</v>
      </c>
      <c r="E6" s="2">
        <f>ROUND($D$2,5)</f>
        <v>3.1415899999999999</v>
      </c>
      <c r="F6">
        <f>TRUNC(E6)</f>
        <v>3</v>
      </c>
      <c r="I6">
        <v>8.42</v>
      </c>
      <c r="J6">
        <f>_xlfn.CEILING.MATH(I6,5)</f>
        <v>10</v>
      </c>
    </row>
    <row r="7" spans="1:10">
      <c r="A7" t="s">
        <v>143</v>
      </c>
      <c r="B7">
        <f t="shared" si="0"/>
        <v>1000</v>
      </c>
      <c r="E7" s="2">
        <f>ROUND($D$2,6)</f>
        <v>3.1415929999999999</v>
      </c>
      <c r="F7">
        <f>TRUNC(E7,2)</f>
        <v>3.14</v>
      </c>
    </row>
    <row r="8" spans="1:10">
      <c r="A8" t="s">
        <v>144</v>
      </c>
      <c r="B8">
        <f t="shared" si="0"/>
        <v>500</v>
      </c>
      <c r="E8" s="2">
        <f>ROUND($D$2,7)</f>
        <v>3.1415926999999999</v>
      </c>
      <c r="F8">
        <f>EVEN(E8)</f>
        <v>4</v>
      </c>
    </row>
    <row r="9" spans="1:10">
      <c r="A9" t="s">
        <v>145</v>
      </c>
      <c r="B9">
        <f t="shared" si="0"/>
        <v>50</v>
      </c>
      <c r="E9" s="2">
        <f>ROUND($D$2,8)</f>
        <v>3.1415926500000002</v>
      </c>
      <c r="F9">
        <f>ODD(E9)</f>
        <v>5</v>
      </c>
      <c r="J9">
        <f>POWER(2,32)</f>
        <v>4294967296</v>
      </c>
    </row>
    <row r="10" spans="1:10">
      <c r="A10" t="s">
        <v>146</v>
      </c>
      <c r="B10">
        <f t="shared" si="0"/>
        <v>5</v>
      </c>
      <c r="E10" s="2">
        <f t="shared" ref="E10:E18" si="1">ROUND($D$2,8)</f>
        <v>3.1415926500000002</v>
      </c>
      <c r="J10">
        <f>POWER(3,3)</f>
        <v>27</v>
      </c>
    </row>
    <row r="11" spans="1:10">
      <c r="A11" t="str">
        <f t="shared" ref="A11:A12" si="2">ROMAN(B11)</f>
        <v>XXVII</v>
      </c>
      <c r="B11">
        <v>27</v>
      </c>
      <c r="E11" s="2">
        <f t="shared" si="1"/>
        <v>3.1415926500000002</v>
      </c>
      <c r="J11">
        <f>SQRT(144)</f>
        <v>12</v>
      </c>
    </row>
    <row r="12" spans="1:10">
      <c r="A12" t="str">
        <f t="shared" si="2"/>
        <v>LXVIII</v>
      </c>
      <c r="B12">
        <v>68</v>
      </c>
      <c r="E12" s="2">
        <f t="shared" si="1"/>
        <v>3.1415926500000002</v>
      </c>
      <c r="J12">
        <f>SQRT(ABS(I4))</f>
        <v>3.1527765540868891</v>
      </c>
    </row>
    <row r="13" spans="1:10">
      <c r="A13" t="str">
        <f>ROMAN(B13)</f>
        <v>CCXLV</v>
      </c>
      <c r="B13">
        <v>245</v>
      </c>
      <c r="E13" s="2">
        <f t="shared" si="1"/>
        <v>3.1415926500000002</v>
      </c>
    </row>
    <row r="14" spans="1:10">
      <c r="E14" s="2">
        <f t="shared" si="1"/>
        <v>3.1415926500000002</v>
      </c>
      <c r="J14">
        <f>SIGN(5)</f>
        <v>1</v>
      </c>
    </row>
    <row r="15" spans="1:10">
      <c r="E15" s="2">
        <f t="shared" si="1"/>
        <v>3.1415926500000002</v>
      </c>
      <c r="J15">
        <f>SIGN(-5)</f>
        <v>-1</v>
      </c>
    </row>
    <row r="16" spans="1:10">
      <c r="E16" s="2">
        <f t="shared" si="1"/>
        <v>3.1415926500000002</v>
      </c>
    </row>
    <row r="17" spans="1:5">
      <c r="E17" s="2">
        <f t="shared" si="1"/>
        <v>3.1415926500000002</v>
      </c>
    </row>
    <row r="18" spans="1:5">
      <c r="E18" s="2">
        <f t="shared" si="1"/>
        <v>3.1415926500000002</v>
      </c>
    </row>
    <row r="24" spans="1:5">
      <c r="A24">
        <f>PERMUT(4,4)</f>
        <v>24</v>
      </c>
      <c r="C24">
        <f>SUBTOTAL(1,B2:B13)</f>
        <v>169.16666666666666</v>
      </c>
    </row>
    <row r="25" spans="1:5">
      <c r="A25">
        <f>PERMUT(4,2)</f>
        <v>12</v>
      </c>
    </row>
    <row r="26" spans="1:5">
      <c r="A26">
        <f>COMBIN(4,4)</f>
        <v>1</v>
      </c>
    </row>
    <row r="27" spans="1:5">
      <c r="A27">
        <f>COMBIN(4,3)</f>
        <v>4</v>
      </c>
    </row>
    <row r="28" spans="1:5">
      <c r="A28">
        <f>MOD(14,5)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74E2-078F-4ED8-99AE-5ED518F4892E}">
  <sheetPr codeName="Sheet9"/>
  <dimension ref="B1:X42"/>
  <sheetViews>
    <sheetView zoomScale="110" zoomScaleNormal="110" workbookViewId="0">
      <selection activeCell="M3" sqref="M3"/>
    </sheetView>
  </sheetViews>
  <sheetFormatPr defaultRowHeight="15"/>
  <cols>
    <col min="2" max="2" width="12.28515625" bestFit="1" customWidth="1"/>
    <col min="3" max="3" width="17.28515625" bestFit="1" customWidth="1"/>
    <col min="4" max="4" width="8.7109375" bestFit="1" customWidth="1"/>
    <col min="5" max="5" width="8.42578125" bestFit="1" customWidth="1"/>
    <col min="6" max="6" width="7.5703125" bestFit="1" customWidth="1"/>
    <col min="7" max="7" width="10.7109375" bestFit="1" customWidth="1"/>
  </cols>
  <sheetData>
    <row r="1" spans="2:24">
      <c r="B1" t="s">
        <v>158</v>
      </c>
      <c r="C1" t="s">
        <v>150</v>
      </c>
      <c r="D1" t="s">
        <v>58</v>
      </c>
      <c r="E1" t="s">
        <v>151</v>
      </c>
      <c r="F1" t="s">
        <v>152</v>
      </c>
      <c r="G1" t="s">
        <v>153</v>
      </c>
    </row>
    <row r="2" spans="2:24">
      <c r="B2" t="s">
        <v>148</v>
      </c>
      <c r="C2" t="s">
        <v>149</v>
      </c>
      <c r="D2" s="1">
        <v>42370</v>
      </c>
      <c r="E2">
        <v>18</v>
      </c>
      <c r="F2" s="51">
        <v>4.75</v>
      </c>
      <c r="G2" s="51">
        <f>F2*E2</f>
        <v>85.5</v>
      </c>
      <c r="I2">
        <f ca="1">SUMIF(item_sold,"Lemon tarts", daily_sales)</f>
        <v>1147.5</v>
      </c>
      <c r="J2" t="s">
        <v>154</v>
      </c>
      <c r="M2">
        <f>VLOOKUP(B2,Sampletable,5,FALSE)</f>
        <v>2.5</v>
      </c>
    </row>
    <row r="3" spans="2:24">
      <c r="B3" t="s">
        <v>148</v>
      </c>
      <c r="C3" t="s">
        <v>149</v>
      </c>
      <c r="D3" s="1">
        <v>42371</v>
      </c>
      <c r="E3">
        <v>17</v>
      </c>
      <c r="F3" s="51">
        <v>4.75</v>
      </c>
      <c r="G3" s="51">
        <f t="shared" ref="G3:G41" si="0">F3*E3</f>
        <v>80.75</v>
      </c>
      <c r="I3">
        <f ca="1">SUMIF(item_sold,"BlueBerry Muffins", daily_sales)</f>
        <v>1159</v>
      </c>
      <c r="J3" t="s">
        <v>149</v>
      </c>
    </row>
    <row r="4" spans="2:24">
      <c r="B4" t="s">
        <v>148</v>
      </c>
      <c r="C4" t="s">
        <v>149</v>
      </c>
      <c r="D4" s="1">
        <v>42372</v>
      </c>
      <c r="E4">
        <v>17</v>
      </c>
      <c r="F4" s="51">
        <v>4.75</v>
      </c>
      <c r="G4" s="51">
        <f t="shared" si="0"/>
        <v>80.75</v>
      </c>
      <c r="I4">
        <f ca="1">SUMIF(item_sold,"Choco Cookies", daily_sales)</f>
        <v>847.5</v>
      </c>
      <c r="J4" t="s">
        <v>155</v>
      </c>
    </row>
    <row r="5" spans="2:24">
      <c r="B5" t="s">
        <v>148</v>
      </c>
      <c r="C5" t="s">
        <v>149</v>
      </c>
      <c r="D5" s="1">
        <v>42373</v>
      </c>
      <c r="E5">
        <v>32</v>
      </c>
      <c r="F5" s="51">
        <v>4.75</v>
      </c>
      <c r="G5" s="51">
        <f t="shared" si="0"/>
        <v>152</v>
      </c>
      <c r="I5">
        <f ca="1">SUMIF(item_sold,"Strawberry Pie", daily_sales)</f>
        <v>4130.82</v>
      </c>
      <c r="J5" t="s">
        <v>156</v>
      </c>
    </row>
    <row r="6" spans="2:24">
      <c r="B6" t="s">
        <v>148</v>
      </c>
      <c r="C6" t="s">
        <v>149</v>
      </c>
      <c r="D6" s="1">
        <v>42374</v>
      </c>
      <c r="E6">
        <v>16</v>
      </c>
      <c r="F6" s="51">
        <v>4.75</v>
      </c>
      <c r="G6" s="51">
        <f t="shared" si="0"/>
        <v>76</v>
      </c>
    </row>
    <row r="7" spans="2:24">
      <c r="B7" t="s">
        <v>148</v>
      </c>
      <c r="C7" t="s">
        <v>154</v>
      </c>
      <c r="D7" s="1">
        <v>42370</v>
      </c>
      <c r="E7">
        <f ca="1">RANDBETWEEN(15,45)</f>
        <v>39</v>
      </c>
      <c r="F7" s="51">
        <v>3.75</v>
      </c>
      <c r="G7" s="51">
        <f t="shared" ca="1" si="0"/>
        <v>146.25</v>
      </c>
    </row>
    <row r="8" spans="2:24">
      <c r="B8" t="s">
        <v>148</v>
      </c>
      <c r="C8" t="s">
        <v>154</v>
      </c>
      <c r="D8" s="1">
        <v>42371</v>
      </c>
      <c r="E8">
        <f t="shared" ref="E8:E41" ca="1" si="1">RANDBETWEEN(15,45)</f>
        <v>25</v>
      </c>
      <c r="F8" s="51">
        <v>3.75</v>
      </c>
      <c r="G8" s="51">
        <f t="shared" ca="1" si="0"/>
        <v>93.75</v>
      </c>
      <c r="I8" t="e">
        <f>SUMIFS(daily_sales, Store, "Anderson Rd", item_sold,"Lemon tarts")</f>
        <v>#VALUE!</v>
      </c>
      <c r="J8" t="s">
        <v>159</v>
      </c>
    </row>
    <row r="9" spans="2:24">
      <c r="B9" t="s">
        <v>148</v>
      </c>
      <c r="C9" t="s">
        <v>154</v>
      </c>
      <c r="D9" s="1">
        <v>42372</v>
      </c>
      <c r="E9">
        <f t="shared" ca="1" si="1"/>
        <v>38</v>
      </c>
      <c r="F9" s="51">
        <v>3.75</v>
      </c>
      <c r="G9" s="51">
        <f t="shared" ca="1" si="0"/>
        <v>142.5</v>
      </c>
      <c r="I9">
        <f ca="1">SUMIFS(G2:G41, item_sold,"&lt;&gt;Strawberry Pie")</f>
        <v>3154</v>
      </c>
      <c r="J9" t="s">
        <v>160</v>
      </c>
    </row>
    <row r="10" spans="2:24">
      <c r="B10" t="s">
        <v>148</v>
      </c>
      <c r="C10" t="s">
        <v>154</v>
      </c>
      <c r="D10" s="1">
        <v>42373</v>
      </c>
      <c r="E10">
        <f t="shared" ca="1" si="1"/>
        <v>42</v>
      </c>
      <c r="F10" s="51">
        <v>3.75</v>
      </c>
      <c r="G10" s="51">
        <f t="shared" ca="1" si="0"/>
        <v>157.5</v>
      </c>
      <c r="X10" t="s">
        <v>163</v>
      </c>
    </row>
    <row r="11" spans="2:24">
      <c r="B11" t="s">
        <v>148</v>
      </c>
      <c r="C11" t="s">
        <v>154</v>
      </c>
      <c r="D11" s="1">
        <v>42374</v>
      </c>
      <c r="E11">
        <f t="shared" ca="1" si="1"/>
        <v>26</v>
      </c>
      <c r="F11" s="51">
        <v>3.75</v>
      </c>
      <c r="G11" s="51">
        <f t="shared" ca="1" si="0"/>
        <v>97.5</v>
      </c>
      <c r="I11">
        <f ca="1">SUMIFS(G2:G41,item_sold, "&lt;&gt;Strawberry Pie")</f>
        <v>3154</v>
      </c>
      <c r="R11" t="s">
        <v>148</v>
      </c>
      <c r="S11" t="s">
        <v>155</v>
      </c>
      <c r="T11" s="1">
        <v>42370</v>
      </c>
      <c r="U11">
        <f t="shared" ref="U11:U20" ca="1" si="2">RANDBETWEEN(15,45)</f>
        <v>16</v>
      </c>
      <c r="V11" s="51">
        <v>2.5</v>
      </c>
      <c r="W11" s="51">
        <f t="shared" ref="W11:W20" ca="1" si="3">V11*U11</f>
        <v>40</v>
      </c>
      <c r="X11">
        <f t="array" aca="1" ref="X11:X20" ca="1">V11:V20*U11:U20</f>
        <v>40</v>
      </c>
    </row>
    <row r="12" spans="2:24">
      <c r="B12" t="s">
        <v>148</v>
      </c>
      <c r="C12" t="s">
        <v>155</v>
      </c>
      <c r="D12" s="1">
        <v>42370</v>
      </c>
      <c r="E12">
        <f t="shared" ca="1" si="1"/>
        <v>20</v>
      </c>
      <c r="F12" s="51">
        <v>2.5</v>
      </c>
      <c r="G12" s="51">
        <f t="shared" ca="1" si="0"/>
        <v>50</v>
      </c>
      <c r="R12" t="s">
        <v>148</v>
      </c>
      <c r="S12" t="s">
        <v>155</v>
      </c>
      <c r="T12" s="1">
        <v>42371</v>
      </c>
      <c r="U12">
        <f t="shared" ca="1" si="2"/>
        <v>17</v>
      </c>
      <c r="V12" s="51">
        <v>2.5</v>
      </c>
      <c r="W12" s="51">
        <f t="shared" ca="1" si="3"/>
        <v>42.5</v>
      </c>
      <c r="X12">
        <f ca="1"/>
        <v>42.5</v>
      </c>
    </row>
    <row r="13" spans="2:24">
      <c r="B13" t="s">
        <v>148</v>
      </c>
      <c r="C13" t="s">
        <v>155</v>
      </c>
      <c r="D13" s="1">
        <v>42371</v>
      </c>
      <c r="E13">
        <f t="shared" ca="1" si="1"/>
        <v>44</v>
      </c>
      <c r="F13" s="51">
        <v>2.5</v>
      </c>
      <c r="G13" s="51">
        <f t="shared" ca="1" si="0"/>
        <v>110</v>
      </c>
      <c r="R13" t="s">
        <v>148</v>
      </c>
      <c r="S13" t="s">
        <v>155</v>
      </c>
      <c r="T13" s="1">
        <v>42372</v>
      </c>
      <c r="U13">
        <f t="shared" ca="1" si="2"/>
        <v>17</v>
      </c>
      <c r="V13" s="51">
        <v>2.5</v>
      </c>
      <c r="W13" s="51">
        <f t="shared" ca="1" si="3"/>
        <v>42.5</v>
      </c>
      <c r="X13">
        <f ca="1"/>
        <v>42.5</v>
      </c>
    </row>
    <row r="14" spans="2:24">
      <c r="B14" t="s">
        <v>148</v>
      </c>
      <c r="C14" t="s">
        <v>155</v>
      </c>
      <c r="D14" s="1">
        <v>42372</v>
      </c>
      <c r="E14">
        <f t="shared" ca="1" si="1"/>
        <v>29</v>
      </c>
      <c r="F14" s="51">
        <v>2.5</v>
      </c>
      <c r="G14" s="51">
        <f t="shared" ca="1" si="0"/>
        <v>72.5</v>
      </c>
      <c r="R14" t="s">
        <v>148</v>
      </c>
      <c r="S14" t="s">
        <v>155</v>
      </c>
      <c r="T14" s="1">
        <v>42373</v>
      </c>
      <c r="U14">
        <f t="shared" ca="1" si="2"/>
        <v>33</v>
      </c>
      <c r="V14" s="51">
        <v>2.5</v>
      </c>
      <c r="W14" s="51">
        <f t="shared" ca="1" si="3"/>
        <v>82.5</v>
      </c>
      <c r="X14">
        <f ca="1"/>
        <v>82.5</v>
      </c>
    </row>
    <row r="15" spans="2:24">
      <c r="B15" t="s">
        <v>148</v>
      </c>
      <c r="C15" t="s">
        <v>155</v>
      </c>
      <c r="D15" s="1">
        <v>42373</v>
      </c>
      <c r="E15">
        <f t="shared" ca="1" si="1"/>
        <v>37</v>
      </c>
      <c r="F15" s="51">
        <v>2.5</v>
      </c>
      <c r="G15" s="51">
        <f t="shared" ca="1" si="0"/>
        <v>92.5</v>
      </c>
      <c r="R15" t="s">
        <v>148</v>
      </c>
      <c r="S15" t="s">
        <v>155</v>
      </c>
      <c r="T15" s="1">
        <v>42374</v>
      </c>
      <c r="U15">
        <f t="shared" ca="1" si="2"/>
        <v>39</v>
      </c>
      <c r="V15" s="51">
        <v>2.5</v>
      </c>
      <c r="W15" s="51">
        <f t="shared" ca="1" si="3"/>
        <v>97.5</v>
      </c>
      <c r="X15">
        <f ca="1"/>
        <v>97.5</v>
      </c>
    </row>
    <row r="16" spans="2:24">
      <c r="B16" t="s">
        <v>148</v>
      </c>
      <c r="C16" t="s">
        <v>155</v>
      </c>
      <c r="D16" s="1">
        <v>42374</v>
      </c>
      <c r="E16">
        <f t="shared" ca="1" si="1"/>
        <v>26</v>
      </c>
      <c r="F16" s="51">
        <v>2.5</v>
      </c>
      <c r="G16" s="51">
        <f t="shared" ca="1" si="0"/>
        <v>65</v>
      </c>
      <c r="R16" t="s">
        <v>148</v>
      </c>
      <c r="S16" t="s">
        <v>156</v>
      </c>
      <c r="T16" s="1">
        <v>42370</v>
      </c>
      <c r="U16">
        <f t="shared" ca="1" si="2"/>
        <v>25</v>
      </c>
      <c r="V16" s="51">
        <v>12.99</v>
      </c>
      <c r="W16" s="51">
        <f t="shared" ca="1" si="3"/>
        <v>324.75</v>
      </c>
      <c r="X16">
        <f ca="1"/>
        <v>324.75</v>
      </c>
    </row>
    <row r="17" spans="2:24">
      <c r="B17" t="s">
        <v>148</v>
      </c>
      <c r="C17" t="s">
        <v>156</v>
      </c>
      <c r="D17" s="1">
        <v>42370</v>
      </c>
      <c r="E17">
        <f t="shared" ca="1" si="1"/>
        <v>20</v>
      </c>
      <c r="F17" s="51">
        <v>12.99</v>
      </c>
      <c r="G17" s="51">
        <f t="shared" ca="1" si="0"/>
        <v>259.8</v>
      </c>
      <c r="I17">
        <f ca="1">SUMPRODUCT(quantity,rate)</f>
        <v>7284.8200000000015</v>
      </c>
      <c r="J17" t="s">
        <v>164</v>
      </c>
      <c r="R17" t="s">
        <v>148</v>
      </c>
      <c r="S17" t="s">
        <v>156</v>
      </c>
      <c r="T17" s="1">
        <v>42371</v>
      </c>
      <c r="U17">
        <f t="shared" ca="1" si="2"/>
        <v>45</v>
      </c>
      <c r="V17" s="51">
        <v>12.99</v>
      </c>
      <c r="W17" s="51">
        <f t="shared" ca="1" si="3"/>
        <v>584.54999999999995</v>
      </c>
      <c r="X17">
        <f ca="1"/>
        <v>584.54999999999995</v>
      </c>
    </row>
    <row r="18" spans="2:24">
      <c r="B18" t="s">
        <v>148</v>
      </c>
      <c r="C18" t="s">
        <v>156</v>
      </c>
      <c r="D18" s="1">
        <v>42371</v>
      </c>
      <c r="E18">
        <f t="shared" ca="1" si="1"/>
        <v>22</v>
      </c>
      <c r="F18" s="51">
        <v>12.99</v>
      </c>
      <c r="G18" s="51">
        <f t="shared" ca="1" si="0"/>
        <v>285.78000000000003</v>
      </c>
      <c r="R18" t="s">
        <v>148</v>
      </c>
      <c r="S18" t="s">
        <v>156</v>
      </c>
      <c r="T18" s="1">
        <v>42372</v>
      </c>
      <c r="U18">
        <f t="shared" ca="1" si="2"/>
        <v>19</v>
      </c>
      <c r="V18" s="51">
        <v>12.99</v>
      </c>
      <c r="W18" s="51">
        <f t="shared" ca="1" si="3"/>
        <v>246.81</v>
      </c>
      <c r="X18">
        <f ca="1"/>
        <v>246.81</v>
      </c>
    </row>
    <row r="19" spans="2:24">
      <c r="B19" t="s">
        <v>148</v>
      </c>
      <c r="C19" t="s">
        <v>156</v>
      </c>
      <c r="D19" s="1">
        <v>42372</v>
      </c>
      <c r="E19">
        <f t="shared" ca="1" si="1"/>
        <v>28</v>
      </c>
      <c r="F19" s="51">
        <v>12.99</v>
      </c>
      <c r="G19" s="51">
        <f t="shared" ca="1" si="0"/>
        <v>363.72</v>
      </c>
      <c r="R19" t="s">
        <v>148</v>
      </c>
      <c r="S19" t="s">
        <v>156</v>
      </c>
      <c r="T19" s="1">
        <v>42373</v>
      </c>
      <c r="U19">
        <f t="shared" ca="1" si="2"/>
        <v>15</v>
      </c>
      <c r="V19" s="51">
        <v>12.99</v>
      </c>
      <c r="W19" s="51">
        <f t="shared" ca="1" si="3"/>
        <v>194.85</v>
      </c>
      <c r="X19">
        <f ca="1"/>
        <v>194.85</v>
      </c>
    </row>
    <row r="20" spans="2:24">
      <c r="B20" t="s">
        <v>148</v>
      </c>
      <c r="C20" t="s">
        <v>156</v>
      </c>
      <c r="D20" s="1">
        <v>42373</v>
      </c>
      <c r="E20">
        <f t="shared" ca="1" si="1"/>
        <v>28</v>
      </c>
      <c r="F20" s="51">
        <v>12.99</v>
      </c>
      <c r="G20" s="51">
        <f t="shared" ca="1" si="0"/>
        <v>363.72</v>
      </c>
      <c r="R20" t="s">
        <v>148</v>
      </c>
      <c r="S20" t="s">
        <v>156</v>
      </c>
      <c r="T20" s="1">
        <v>42374</v>
      </c>
      <c r="U20">
        <f t="shared" ca="1" si="2"/>
        <v>28</v>
      </c>
      <c r="V20" s="51">
        <v>12.99</v>
      </c>
      <c r="W20" s="51">
        <f t="shared" ca="1" si="3"/>
        <v>363.72</v>
      </c>
      <c r="X20">
        <f ca="1"/>
        <v>363.72</v>
      </c>
    </row>
    <row r="21" spans="2:24">
      <c r="B21" t="s">
        <v>148</v>
      </c>
      <c r="C21" t="s">
        <v>156</v>
      </c>
      <c r="D21" s="1">
        <v>42374</v>
      </c>
      <c r="E21">
        <f t="shared" ca="1" si="1"/>
        <v>42</v>
      </c>
      <c r="F21" s="51">
        <v>12.99</v>
      </c>
      <c r="G21" s="51">
        <f t="shared" ca="1" si="0"/>
        <v>545.58000000000004</v>
      </c>
    </row>
    <row r="22" spans="2:24">
      <c r="B22" t="s">
        <v>157</v>
      </c>
      <c r="C22" t="s">
        <v>149</v>
      </c>
      <c r="D22" s="1">
        <v>42370</v>
      </c>
      <c r="E22">
        <f t="shared" ca="1" si="1"/>
        <v>34</v>
      </c>
      <c r="F22" s="51">
        <v>4.75</v>
      </c>
      <c r="G22" s="51">
        <f t="shared" ca="1" si="0"/>
        <v>161.5</v>
      </c>
    </row>
    <row r="23" spans="2:24">
      <c r="B23" t="s">
        <v>157</v>
      </c>
      <c r="C23" t="s">
        <v>149</v>
      </c>
      <c r="D23" s="1">
        <v>42371</v>
      </c>
      <c r="E23">
        <f t="shared" ca="1" si="1"/>
        <v>19</v>
      </c>
      <c r="F23" s="51">
        <v>4.75</v>
      </c>
      <c r="G23" s="51">
        <f t="shared" ca="1" si="0"/>
        <v>90.25</v>
      </c>
    </row>
    <row r="24" spans="2:24">
      <c r="B24" t="s">
        <v>157</v>
      </c>
      <c r="C24" t="s">
        <v>149</v>
      </c>
      <c r="D24" s="1">
        <v>42372</v>
      </c>
      <c r="E24">
        <f t="shared" ca="1" si="1"/>
        <v>32</v>
      </c>
      <c r="F24" s="51">
        <v>4.75</v>
      </c>
      <c r="G24" s="51">
        <f t="shared" ca="1" si="0"/>
        <v>152</v>
      </c>
      <c r="P24" t="s">
        <v>161</v>
      </c>
      <c r="Q24">
        <f>ROWS(Sampletable)</f>
        <v>10</v>
      </c>
    </row>
    <row r="25" spans="2:24">
      <c r="B25" t="s">
        <v>157</v>
      </c>
      <c r="C25" t="s">
        <v>149</v>
      </c>
      <c r="D25" s="1">
        <v>42373</v>
      </c>
      <c r="E25">
        <f t="shared" ca="1" si="1"/>
        <v>40</v>
      </c>
      <c r="F25" s="51">
        <v>4.75</v>
      </c>
      <c r="G25" s="51">
        <f t="shared" ca="1" si="0"/>
        <v>190</v>
      </c>
      <c r="P25" t="s">
        <v>162</v>
      </c>
      <c r="Q25">
        <f>COLUMNS(Sampletable)</f>
        <v>6</v>
      </c>
    </row>
    <row r="26" spans="2:24">
      <c r="B26" t="s">
        <v>157</v>
      </c>
      <c r="C26" t="s">
        <v>149</v>
      </c>
      <c r="D26" s="1">
        <v>42374</v>
      </c>
      <c r="E26">
        <f t="shared" ca="1" si="1"/>
        <v>19</v>
      </c>
      <c r="F26" s="51">
        <v>4.75</v>
      </c>
      <c r="G26" s="51">
        <f t="shared" ca="1" si="0"/>
        <v>90.25</v>
      </c>
      <c r="Q26">
        <f>COUNT(V11:V20)</f>
        <v>10</v>
      </c>
    </row>
    <row r="27" spans="2:24">
      <c r="B27" t="s">
        <v>157</v>
      </c>
      <c r="C27" t="s">
        <v>154</v>
      </c>
      <c r="D27" s="1">
        <v>42370</v>
      </c>
      <c r="E27">
        <f t="shared" ca="1" si="1"/>
        <v>19</v>
      </c>
      <c r="F27" s="51">
        <v>3.75</v>
      </c>
      <c r="G27" s="51">
        <f t="shared" ca="1" si="0"/>
        <v>71.25</v>
      </c>
      <c r="P27">
        <f ca="1">COUNT(Sampletable)</f>
        <v>40</v>
      </c>
    </row>
    <row r="28" spans="2:24">
      <c r="B28" t="s">
        <v>157</v>
      </c>
      <c r="C28" t="s">
        <v>154</v>
      </c>
      <c r="D28" s="1">
        <v>42371</v>
      </c>
      <c r="E28">
        <f t="shared" ca="1" si="1"/>
        <v>17</v>
      </c>
      <c r="F28" s="51">
        <v>3.75</v>
      </c>
      <c r="G28" s="51">
        <f t="shared" ca="1" si="0"/>
        <v>63.75</v>
      </c>
      <c r="P28">
        <f ca="1">COUNTA(Sampletable)</f>
        <v>60</v>
      </c>
    </row>
    <row r="29" spans="2:24">
      <c r="B29" t="s">
        <v>157</v>
      </c>
      <c r="C29" t="s">
        <v>154</v>
      </c>
      <c r="D29" s="1">
        <v>42372</v>
      </c>
      <c r="E29">
        <f t="shared" ca="1" si="1"/>
        <v>38</v>
      </c>
      <c r="F29" s="51">
        <v>3.75</v>
      </c>
      <c r="G29" s="51">
        <f t="shared" ca="1" si="0"/>
        <v>142.5</v>
      </c>
      <c r="P29">
        <f t="array" aca="1" ref="P29" ca="1">SUM(IF(ISTEXT(Sampletable),1,0))</f>
        <v>20</v>
      </c>
    </row>
    <row r="30" spans="2:24">
      <c r="B30" t="s">
        <v>157</v>
      </c>
      <c r="C30" t="s">
        <v>154</v>
      </c>
      <c r="D30" s="1">
        <v>42373</v>
      </c>
      <c r="E30">
        <f t="shared" ca="1" si="1"/>
        <v>18</v>
      </c>
      <c r="F30" s="51">
        <v>3.75</v>
      </c>
      <c r="G30" s="51">
        <f t="shared" ca="1" si="0"/>
        <v>67.5</v>
      </c>
      <c r="P30">
        <f t="array" aca="1" ref="P30" ca="1">SUM(IF(ISNONTEXT(Sampletable),1,0))</f>
        <v>40</v>
      </c>
    </row>
    <row r="31" spans="2:24">
      <c r="B31" t="s">
        <v>157</v>
      </c>
      <c r="C31" t="s">
        <v>154</v>
      </c>
      <c r="D31" s="1">
        <v>42374</v>
      </c>
      <c r="E31">
        <f t="shared" ca="1" si="1"/>
        <v>44</v>
      </c>
      <c r="F31" s="51">
        <v>3.75</v>
      </c>
      <c r="G31" s="51">
        <f t="shared" ca="1" si="0"/>
        <v>165</v>
      </c>
      <c r="P31">
        <f ca="1">COUNTIF(Sampletable,"&gt;5")</f>
        <v>35</v>
      </c>
    </row>
    <row r="32" spans="2:24">
      <c r="B32" t="s">
        <v>157</v>
      </c>
      <c r="C32" t="s">
        <v>155</v>
      </c>
      <c r="D32" s="1">
        <v>42370</v>
      </c>
      <c r="E32">
        <f t="shared" ca="1" si="1"/>
        <v>40</v>
      </c>
      <c r="F32" s="51">
        <v>2.5</v>
      </c>
      <c r="G32" s="51">
        <f t="shared" ca="1" si="0"/>
        <v>100</v>
      </c>
      <c r="P32">
        <f ca="1">COUNTIF(Sampletable,"*Rd")</f>
        <v>10</v>
      </c>
    </row>
    <row r="33" spans="2:7">
      <c r="B33" t="s">
        <v>157</v>
      </c>
      <c r="C33" t="s">
        <v>155</v>
      </c>
      <c r="D33" s="1">
        <v>42371</v>
      </c>
      <c r="E33">
        <f t="shared" ca="1" si="1"/>
        <v>35</v>
      </c>
      <c r="F33" s="51">
        <v>2.5</v>
      </c>
      <c r="G33" s="51">
        <f t="shared" ca="1" si="0"/>
        <v>87.5</v>
      </c>
    </row>
    <row r="34" spans="2:7">
      <c r="B34" t="s">
        <v>157</v>
      </c>
      <c r="C34" t="s">
        <v>155</v>
      </c>
      <c r="D34" s="1">
        <v>42372</v>
      </c>
      <c r="E34">
        <f t="shared" ca="1" si="1"/>
        <v>44</v>
      </c>
      <c r="F34" s="51">
        <v>2.5</v>
      </c>
      <c r="G34" s="51">
        <f t="shared" ca="1" si="0"/>
        <v>110</v>
      </c>
    </row>
    <row r="35" spans="2:7">
      <c r="B35" t="s">
        <v>157</v>
      </c>
      <c r="C35" t="s">
        <v>155</v>
      </c>
      <c r="D35" s="1">
        <v>42373</v>
      </c>
      <c r="E35">
        <f t="shared" ca="1" si="1"/>
        <v>19</v>
      </c>
      <c r="F35" s="51">
        <v>2.5</v>
      </c>
      <c r="G35" s="51">
        <f t="shared" ca="1" si="0"/>
        <v>47.5</v>
      </c>
    </row>
    <row r="36" spans="2:7">
      <c r="B36" t="s">
        <v>157</v>
      </c>
      <c r="C36" t="s">
        <v>155</v>
      </c>
      <c r="D36" s="1">
        <v>42374</v>
      </c>
      <c r="E36">
        <f t="shared" ca="1" si="1"/>
        <v>45</v>
      </c>
      <c r="F36" s="51">
        <v>2.5</v>
      </c>
      <c r="G36" s="51">
        <f t="shared" ca="1" si="0"/>
        <v>112.5</v>
      </c>
    </row>
    <row r="37" spans="2:7">
      <c r="B37" t="s">
        <v>157</v>
      </c>
      <c r="C37" t="s">
        <v>156</v>
      </c>
      <c r="D37" s="1">
        <v>42370</v>
      </c>
      <c r="E37">
        <f t="shared" ca="1" si="1"/>
        <v>28</v>
      </c>
      <c r="F37" s="51">
        <v>12.99</v>
      </c>
      <c r="G37" s="51">
        <f t="shared" ca="1" si="0"/>
        <v>363.72</v>
      </c>
    </row>
    <row r="38" spans="2:7">
      <c r="B38" t="s">
        <v>157</v>
      </c>
      <c r="C38" t="s">
        <v>156</v>
      </c>
      <c r="D38" s="1">
        <v>42371</v>
      </c>
      <c r="E38">
        <f t="shared" ca="1" si="1"/>
        <v>41</v>
      </c>
      <c r="F38" s="51">
        <v>12.99</v>
      </c>
      <c r="G38" s="51">
        <f t="shared" ca="1" si="0"/>
        <v>532.59</v>
      </c>
    </row>
    <row r="39" spans="2:7">
      <c r="B39" t="s">
        <v>157</v>
      </c>
      <c r="C39" t="s">
        <v>156</v>
      </c>
      <c r="D39" s="1">
        <v>42372</v>
      </c>
      <c r="E39">
        <f t="shared" ca="1" si="1"/>
        <v>32</v>
      </c>
      <c r="F39" s="51">
        <v>12.99</v>
      </c>
      <c r="G39" s="51">
        <f t="shared" ca="1" si="0"/>
        <v>415.68</v>
      </c>
    </row>
    <row r="40" spans="2:7">
      <c r="B40" t="s">
        <v>157</v>
      </c>
      <c r="C40" t="s">
        <v>156</v>
      </c>
      <c r="D40" s="1">
        <v>42373</v>
      </c>
      <c r="E40">
        <f t="shared" ca="1" si="1"/>
        <v>40</v>
      </c>
      <c r="F40" s="51">
        <v>12.99</v>
      </c>
      <c r="G40" s="51">
        <f t="shared" ca="1" si="0"/>
        <v>519.6</v>
      </c>
    </row>
    <row r="41" spans="2:7">
      <c r="B41" t="s">
        <v>157</v>
      </c>
      <c r="C41" t="s">
        <v>156</v>
      </c>
      <c r="D41" s="1">
        <v>42374</v>
      </c>
      <c r="E41">
        <f t="shared" ca="1" si="1"/>
        <v>37</v>
      </c>
      <c r="F41" s="51">
        <v>12.99</v>
      </c>
      <c r="G41" s="51">
        <f t="shared" ca="1" si="0"/>
        <v>480.63</v>
      </c>
    </row>
    <row r="42" spans="2:7">
      <c r="G42" s="51">
        <f ca="1">SUM(G2:G41)</f>
        <v>7284.8200000000015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B5A-965B-4CEA-BBDB-A0FAA2BE7935}">
  <sheetPr codeName="Sheet10"/>
  <dimension ref="A1:F18"/>
  <sheetViews>
    <sheetView workbookViewId="0">
      <selection activeCell="J9" sqref="J9"/>
    </sheetView>
  </sheetViews>
  <sheetFormatPr defaultRowHeight="15"/>
  <cols>
    <col min="5" max="5" width="14.28515625" bestFit="1" customWidth="1"/>
  </cols>
  <sheetData>
    <row r="1" spans="1:6">
      <c r="A1" s="3" t="s">
        <v>165</v>
      </c>
      <c r="B1" s="48">
        <v>0.15</v>
      </c>
      <c r="C1" s="48">
        <v>0.2</v>
      </c>
      <c r="E1" s="3" t="s">
        <v>166</v>
      </c>
      <c r="F1" s="41">
        <v>0.2</v>
      </c>
    </row>
    <row r="2" spans="1:6">
      <c r="A2" s="51">
        <v>0</v>
      </c>
      <c r="B2" s="51">
        <v>0.15</v>
      </c>
      <c r="C2" s="51">
        <v>0.2</v>
      </c>
      <c r="E2" s="3" t="s">
        <v>167</v>
      </c>
      <c r="F2" s="54">
        <v>16.5</v>
      </c>
    </row>
    <row r="3" spans="1:6">
      <c r="A3" s="51">
        <v>1</v>
      </c>
      <c r="B3" s="51">
        <v>0.15</v>
      </c>
      <c r="C3" s="51">
        <v>0.2</v>
      </c>
      <c r="E3" s="3" t="s">
        <v>168</v>
      </c>
      <c r="F3" s="54">
        <f>VLOOKUP(F2,Tip_Table,IF(F1=0.15,2,3))</f>
        <v>3.2</v>
      </c>
    </row>
    <row r="4" spans="1:6">
      <c r="A4" s="51">
        <v>2</v>
      </c>
      <c r="B4" s="51">
        <v>0.3</v>
      </c>
      <c r="C4" s="51">
        <v>0.4</v>
      </c>
      <c r="E4" s="3" t="s">
        <v>169</v>
      </c>
      <c r="F4" s="54">
        <v>1.24</v>
      </c>
    </row>
    <row r="5" spans="1:6">
      <c r="A5" s="51">
        <v>3</v>
      </c>
      <c r="B5" s="51">
        <v>0.45</v>
      </c>
      <c r="C5" s="51">
        <v>0.6</v>
      </c>
      <c r="E5" s="3" t="s">
        <v>170</v>
      </c>
      <c r="F5" s="54">
        <f>SUM(F2:F4)</f>
        <v>20.939999999999998</v>
      </c>
    </row>
    <row r="6" spans="1:6">
      <c r="A6" s="51">
        <v>4</v>
      </c>
      <c r="B6" s="51">
        <v>0.6</v>
      </c>
      <c r="C6" s="51">
        <v>0.8</v>
      </c>
    </row>
    <row r="7" spans="1:6">
      <c r="A7" s="51">
        <v>5</v>
      </c>
      <c r="B7" s="51">
        <v>0.75</v>
      </c>
      <c r="C7" s="51">
        <v>1</v>
      </c>
    </row>
    <row r="8" spans="1:6">
      <c r="A8" s="51">
        <v>6</v>
      </c>
      <c r="B8" s="51">
        <v>0.9</v>
      </c>
      <c r="C8" s="51">
        <v>1.2</v>
      </c>
    </row>
    <row r="9" spans="1:6">
      <c r="A9" s="51">
        <v>7</v>
      </c>
      <c r="B9" s="51">
        <v>1.05</v>
      </c>
      <c r="C9" s="51">
        <v>1.4</v>
      </c>
    </row>
    <row r="10" spans="1:6">
      <c r="A10" s="51">
        <v>8</v>
      </c>
      <c r="B10" s="51">
        <v>1.2</v>
      </c>
      <c r="C10" s="51">
        <v>1.6</v>
      </c>
    </row>
    <row r="11" spans="1:6">
      <c r="A11" s="51">
        <v>9</v>
      </c>
      <c r="B11" s="51">
        <v>1.35</v>
      </c>
      <c r="C11" s="51">
        <v>1.8</v>
      </c>
    </row>
    <row r="12" spans="1:6">
      <c r="A12" s="51">
        <v>10</v>
      </c>
      <c r="B12" s="51">
        <v>1.5</v>
      </c>
      <c r="C12" s="51">
        <v>2</v>
      </c>
    </row>
    <row r="13" spans="1:6">
      <c r="A13" s="51">
        <v>11</v>
      </c>
      <c r="B13" s="51">
        <v>1.65</v>
      </c>
      <c r="C13" s="51">
        <v>2.2000000000000002</v>
      </c>
    </row>
    <row r="14" spans="1:6">
      <c r="A14" s="51">
        <v>12</v>
      </c>
      <c r="B14" s="51">
        <v>1.8</v>
      </c>
      <c r="C14" s="51">
        <v>2.4</v>
      </c>
    </row>
    <row r="15" spans="1:6">
      <c r="A15" s="51">
        <v>13</v>
      </c>
      <c r="B15" s="51">
        <v>1.95</v>
      </c>
      <c r="C15" s="51">
        <v>2.6</v>
      </c>
    </row>
    <row r="16" spans="1:6">
      <c r="A16" s="51">
        <v>14</v>
      </c>
      <c r="B16" s="51">
        <v>2.1</v>
      </c>
      <c r="C16" s="51">
        <v>2.8</v>
      </c>
    </row>
    <row r="17" spans="1:3">
      <c r="A17" s="51">
        <v>15</v>
      </c>
      <c r="B17" s="51">
        <v>2.25</v>
      </c>
      <c r="C17" s="51">
        <v>3</v>
      </c>
    </row>
    <row r="18" spans="1:3">
      <c r="A18" s="51">
        <v>16</v>
      </c>
      <c r="B18" s="51">
        <v>2.4</v>
      </c>
      <c r="C18" s="51">
        <v>3.2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4740-744A-4A8C-8F46-6526B123F44F}">
  <sheetPr codeName="Sheet11"/>
  <dimension ref="A1:R29"/>
  <sheetViews>
    <sheetView tabSelected="1" workbookViewId="0">
      <selection activeCell="F17" sqref="F17"/>
    </sheetView>
  </sheetViews>
  <sheetFormatPr defaultRowHeight="15"/>
  <cols>
    <col min="1" max="1" width="12.28515625" bestFit="1" customWidth="1"/>
  </cols>
  <sheetData>
    <row r="1" spans="1:18">
      <c r="A1" s="3" t="s">
        <v>171</v>
      </c>
      <c r="B1" s="56">
        <v>43556</v>
      </c>
      <c r="C1" s="56">
        <v>43586</v>
      </c>
      <c r="D1" s="56">
        <v>43617</v>
      </c>
      <c r="E1" s="56">
        <v>43647</v>
      </c>
      <c r="F1" s="56">
        <v>43678</v>
      </c>
      <c r="G1" s="56">
        <v>43709</v>
      </c>
      <c r="H1" s="56">
        <v>43739</v>
      </c>
      <c r="I1" s="56">
        <v>43770</v>
      </c>
      <c r="J1" s="56">
        <v>43800</v>
      </c>
      <c r="L1" t="str">
        <f>_xlfn.TEXTJOIN("----",TRUE,G1:J1)</f>
        <v>43709----43739----43770----43800</v>
      </c>
    </row>
    <row r="2" spans="1:18">
      <c r="A2" s="3" t="s">
        <v>172</v>
      </c>
      <c r="B2">
        <v>500</v>
      </c>
      <c r="C2">
        <v>485</v>
      </c>
      <c r="D2">
        <v>438</v>
      </c>
      <c r="E2">
        <v>505</v>
      </c>
      <c r="F2">
        <v>483</v>
      </c>
      <c r="G2">
        <v>540</v>
      </c>
      <c r="H2">
        <v>441</v>
      </c>
      <c r="I2">
        <v>550</v>
      </c>
      <c r="J2">
        <v>345</v>
      </c>
      <c r="L2" t="str">
        <f>J2&amp;" "&amp;I2</f>
        <v>345 550</v>
      </c>
    </row>
    <row r="3" spans="1:18">
      <c r="A3" s="3" t="s">
        <v>173</v>
      </c>
      <c r="B3">
        <v>175</v>
      </c>
      <c r="C3">
        <v>170</v>
      </c>
      <c r="D3">
        <v>153</v>
      </c>
      <c r="E3">
        <v>177</v>
      </c>
      <c r="F3">
        <v>169</v>
      </c>
      <c r="G3">
        <v>189</v>
      </c>
      <c r="H3">
        <v>154</v>
      </c>
      <c r="I3">
        <v>193</v>
      </c>
      <c r="J3">
        <v>200</v>
      </c>
      <c r="L3" t="str">
        <f>CONCATENATE(I2, " ", J2)</f>
        <v>550 345</v>
      </c>
    </row>
    <row r="4" spans="1:18">
      <c r="A4" s="3" t="s">
        <v>174</v>
      </c>
      <c r="B4">
        <v>350</v>
      </c>
      <c r="C4">
        <v>340</v>
      </c>
      <c r="D4">
        <v>306</v>
      </c>
      <c r="E4">
        <v>354</v>
      </c>
      <c r="F4">
        <v>338</v>
      </c>
      <c r="G4">
        <v>378</v>
      </c>
      <c r="H4">
        <v>309</v>
      </c>
      <c r="I4">
        <v>385</v>
      </c>
      <c r="J4">
        <v>350</v>
      </c>
      <c r="L4" t="str">
        <f>DOLLAR(J4)</f>
        <v>$350.00</v>
      </c>
    </row>
    <row r="5" spans="1:18">
      <c r="A5" s="3" t="s">
        <v>175</v>
      </c>
      <c r="B5">
        <v>890</v>
      </c>
      <c r="C5">
        <v>863</v>
      </c>
      <c r="D5">
        <v>779</v>
      </c>
      <c r="E5">
        <v>899</v>
      </c>
      <c r="F5">
        <v>859</v>
      </c>
      <c r="G5">
        <v>961</v>
      </c>
      <c r="H5">
        <v>785</v>
      </c>
      <c r="I5">
        <v>979</v>
      </c>
      <c r="J5">
        <v>885</v>
      </c>
    </row>
    <row r="6" spans="1:18">
      <c r="A6" s="3" t="s">
        <v>176</v>
      </c>
      <c r="B6">
        <f>SUM(B2:B5)</f>
        <v>1915</v>
      </c>
      <c r="C6">
        <f t="shared" ref="C6:J6" si="0">SUM(C2:C5)</f>
        <v>1858</v>
      </c>
      <c r="D6">
        <f t="shared" si="0"/>
        <v>1676</v>
      </c>
      <c r="E6">
        <f t="shared" si="0"/>
        <v>1935</v>
      </c>
      <c r="F6">
        <f t="shared" si="0"/>
        <v>1849</v>
      </c>
      <c r="G6">
        <f t="shared" si="0"/>
        <v>2068</v>
      </c>
      <c r="H6">
        <f t="shared" si="0"/>
        <v>1689</v>
      </c>
      <c r="I6">
        <f t="shared" si="0"/>
        <v>2107</v>
      </c>
      <c r="J6">
        <f t="shared" si="0"/>
        <v>1780</v>
      </c>
    </row>
    <row r="8" spans="1:18">
      <c r="N8" s="1">
        <v>43222</v>
      </c>
      <c r="O8" t="str">
        <f>"We opened office on " &amp; TEXT(N8, "mmm d, YYY")</f>
        <v>We opened office on May 2, 2018</v>
      </c>
    </row>
    <row r="9" spans="1:18">
      <c r="A9" s="3" t="s">
        <v>177</v>
      </c>
      <c r="B9" t="s">
        <v>173</v>
      </c>
      <c r="O9" t="str">
        <f>REPT("*", 90)</f>
        <v>******************************************************************************************</v>
      </c>
    </row>
    <row r="10" spans="1:18">
      <c r="A10" s="3" t="s">
        <v>58</v>
      </c>
      <c r="B10" s="55">
        <v>43709</v>
      </c>
    </row>
    <row r="11" spans="1:18">
      <c r="A11" s="3" t="s">
        <v>178</v>
      </c>
      <c r="B11">
        <f>INDEX(B2:J5,MATCH(B9, part_list,0),MATCH(B10,date_list,0))</f>
        <v>189</v>
      </c>
      <c r="G11">
        <f ca="1">CELL("color",G5)</f>
        <v>0</v>
      </c>
    </row>
    <row r="12" spans="1:18">
      <c r="B12">
        <f>INDEX(B2:J5, 4,5)</f>
        <v>859</v>
      </c>
      <c r="G12">
        <f ca="1">CELL("contents",G6)</f>
        <v>2068</v>
      </c>
      <c r="P12" t="s">
        <v>183</v>
      </c>
      <c r="Q12" t="str">
        <f>REPLACE(P12,1,3,LEFT(P12,3)&amp;"--")</f>
        <v>WES--7164</v>
      </c>
    </row>
    <row r="13" spans="1:18">
      <c r="G13">
        <f ca="1">CELL("col",G6)</f>
        <v>7</v>
      </c>
      <c r="P13" t="s">
        <v>184</v>
      </c>
      <c r="Q13" t="str">
        <f>SUBSTITUTE(P12,"ES","PO")</f>
        <v>WPO7164</v>
      </c>
      <c r="R13" t="b">
        <f>EXACT(Q13,P13)</f>
        <v>1</v>
      </c>
    </row>
    <row r="14" spans="1:18">
      <c r="G14" t="str">
        <f ca="1">CELL("address",G6)</f>
        <v>$G$6</v>
      </c>
    </row>
    <row r="15" spans="1:18">
      <c r="G15" t="str">
        <f ca="1">CELL("filename",G6)</f>
        <v>C:\Users\a\Dropbox\git-practice\Excel\[Testing.xlsx]Sheet7</v>
      </c>
    </row>
    <row r="16" spans="1:18">
      <c r="A16" t="str">
        <f>T(A10)</f>
        <v>Date</v>
      </c>
      <c r="G16" t="str">
        <f ca="1">CELL("format",G6)</f>
        <v>G</v>
      </c>
    </row>
    <row r="17" spans="1:12">
      <c r="G17">
        <f ca="1">CELL("parentheses",G6)</f>
        <v>0</v>
      </c>
    </row>
    <row r="18" spans="1:12">
      <c r="G18" t="str">
        <f ca="1">CELL("prefix",G6)</f>
        <v/>
      </c>
    </row>
    <row r="19" spans="1:12">
      <c r="G19">
        <f ca="1">CELL("protect",G6)</f>
        <v>1</v>
      </c>
    </row>
    <row r="20" spans="1:12">
      <c r="G20">
        <f ca="1">CELL("row",G6)</f>
        <v>6</v>
      </c>
    </row>
    <row r="21" spans="1:12">
      <c r="A21">
        <f>CONVERT(10,"gal", "l")</f>
        <v>37.854117840000001</v>
      </c>
      <c r="G21" t="str">
        <f ca="1">CELL("type",G6)</f>
        <v>v</v>
      </c>
    </row>
    <row r="22" spans="1:12">
      <c r="G22">
        <f ca="1">CELL("width",G6)</f>
        <v>8</v>
      </c>
    </row>
    <row r="23" spans="1:12">
      <c r="G23" t="str">
        <f ca="1">INFO("DIRECTORY")</f>
        <v>C:\Users\a\Dropbox\git-practice\Excel\</v>
      </c>
      <c r="L23" t="str">
        <f ca="1">IF(INFO("RELEASE")&gt;9, "This version can import XML", "This version cannot import XML.")</f>
        <v>This version can import XML</v>
      </c>
    </row>
    <row r="24" spans="1:12">
      <c r="G24">
        <f ca="1">INFO("NUMFILE")</f>
        <v>127</v>
      </c>
      <c r="L24" t="str">
        <f ca="1">LEFT(L23,9)</f>
        <v>This vers</v>
      </c>
    </row>
    <row r="25" spans="1:12">
      <c r="G25" t="str">
        <f ca="1">INFO("OSVERSION")</f>
        <v>Windows (32-bit) NT 10.00</v>
      </c>
      <c r="L25" t="str">
        <f ca="1">RIGHT(L23,9)</f>
        <v>mport XML</v>
      </c>
    </row>
    <row r="26" spans="1:12">
      <c r="G26" t="str">
        <f ca="1">INFO("RECALC")</f>
        <v>Automatic</v>
      </c>
      <c r="L26" t="str">
        <f ca="1">MID(L23,3, 15)</f>
        <v xml:space="preserve">is version can </v>
      </c>
    </row>
    <row r="27" spans="1:12">
      <c r="G27" t="str">
        <f ca="1">INFO("RELEASE")</f>
        <v>16.0</v>
      </c>
      <c r="L27">
        <f ca="1">LEN(L23)</f>
        <v>27</v>
      </c>
    </row>
    <row r="28" spans="1:12">
      <c r="G28" t="str">
        <f ca="1">INFO("SYSTEM")</f>
        <v>pcdos</v>
      </c>
      <c r="H28" t="str">
        <f ca="1">PROPER(G28)</f>
        <v>Pcdos</v>
      </c>
      <c r="I28" t="str">
        <f ca="1">UPPER(H28)</f>
        <v>PCDOS</v>
      </c>
      <c r="J28" t="str">
        <f ca="1">LOWER(I28)</f>
        <v>pcdos</v>
      </c>
      <c r="L28">
        <f ca="1">LEN(L26)</f>
        <v>15</v>
      </c>
    </row>
    <row r="29" spans="1:12">
      <c r="G29">
        <f ca="1">TYPE(G28)</f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5F9E-790F-42C9-975F-4A304D52C280}">
  <sheetPr codeName="Sheet12"/>
  <dimension ref="A1:M14"/>
  <sheetViews>
    <sheetView workbookViewId="0">
      <selection activeCell="C17" sqref="C17"/>
    </sheetView>
  </sheetViews>
  <sheetFormatPr defaultColWidth="12.42578125" defaultRowHeight="15"/>
  <sheetData>
    <row r="1" spans="1:13">
      <c r="A1" s="61" t="s">
        <v>185</v>
      </c>
      <c r="B1" s="61" t="s">
        <v>186</v>
      </c>
      <c r="C1" s="61" t="s">
        <v>187</v>
      </c>
      <c r="D1" s="61" t="s">
        <v>188</v>
      </c>
      <c r="E1" s="61" t="s">
        <v>189</v>
      </c>
      <c r="F1" s="61" t="s">
        <v>190</v>
      </c>
      <c r="G1" s="61" t="s">
        <v>191</v>
      </c>
      <c r="H1" s="59" t="s">
        <v>192</v>
      </c>
      <c r="I1" s="61" t="s">
        <v>193</v>
      </c>
      <c r="J1" s="61" t="s">
        <v>194</v>
      </c>
      <c r="K1" s="61" t="s">
        <v>195</v>
      </c>
      <c r="L1" s="61" t="s">
        <v>196</v>
      </c>
      <c r="M1" s="61" t="s">
        <v>197</v>
      </c>
    </row>
    <row r="2" spans="1:13">
      <c r="A2" s="64">
        <v>248.7</v>
      </c>
      <c r="B2" s="64">
        <v>0.7</v>
      </c>
      <c r="C2" s="64">
        <v>122</v>
      </c>
      <c r="D2" s="64">
        <v>80.099999999999994</v>
      </c>
      <c r="E2" s="64">
        <v>3.1</v>
      </c>
      <c r="F2" s="64">
        <v>249.6</v>
      </c>
      <c r="G2" s="64">
        <v>14.7</v>
      </c>
      <c r="H2" s="63">
        <v>718.90000000000009</v>
      </c>
      <c r="I2" s="64">
        <v>234.2</v>
      </c>
      <c r="J2" s="64">
        <v>86.8</v>
      </c>
      <c r="K2" s="64">
        <v>91.6</v>
      </c>
      <c r="L2" s="64">
        <v>191.8</v>
      </c>
      <c r="M2" s="64">
        <v>17.100000000000001</v>
      </c>
    </row>
    <row r="3" spans="1:13">
      <c r="A3" s="62">
        <v>282.3</v>
      </c>
      <c r="B3" s="62">
        <v>0.9</v>
      </c>
      <c r="C3" s="62">
        <v>50.4</v>
      </c>
      <c r="D3" s="62">
        <v>26.1</v>
      </c>
      <c r="E3" s="62">
        <v>3.5</v>
      </c>
      <c r="F3" s="62">
        <v>192.5</v>
      </c>
      <c r="G3" s="62">
        <v>0</v>
      </c>
      <c r="H3" s="60">
        <v>555.70000000000005</v>
      </c>
      <c r="I3" s="62">
        <v>210.6</v>
      </c>
      <c r="J3" s="62">
        <v>46</v>
      </c>
      <c r="K3" s="62">
        <v>43.5</v>
      </c>
      <c r="L3" s="62">
        <v>0</v>
      </c>
      <c r="M3" s="62">
        <v>15.8</v>
      </c>
    </row>
    <row r="8" spans="1:13" ht="18.75">
      <c r="B8" s="58" t="s">
        <v>198</v>
      </c>
    </row>
    <row r="9" spans="1:13">
      <c r="A9" s="59" t="s">
        <v>185</v>
      </c>
      <c r="B9" s="59" t="s">
        <v>186</v>
      </c>
      <c r="C9" s="59" t="s">
        <v>187</v>
      </c>
      <c r="D9" s="59" t="s">
        <v>188</v>
      </c>
      <c r="E9" s="59" t="s">
        <v>189</v>
      </c>
      <c r="F9" s="59" t="s">
        <v>190</v>
      </c>
      <c r="G9" s="59" t="s">
        <v>191</v>
      </c>
      <c r="H9" s="59" t="s">
        <v>192</v>
      </c>
      <c r="I9" s="59" t="s">
        <v>193</v>
      </c>
      <c r="J9" s="59" t="s">
        <v>199</v>
      </c>
      <c r="K9" s="59" t="s">
        <v>200</v>
      </c>
      <c r="L9" s="59" t="s">
        <v>196</v>
      </c>
      <c r="M9" s="59" t="s">
        <v>197</v>
      </c>
    </row>
    <row r="10" spans="1:13">
      <c r="A10" t="s">
        <v>201</v>
      </c>
    </row>
    <row r="13" spans="1:13">
      <c r="B13">
        <f>DAVERAGE(Cash_TABLE,A1,A9:O10)</f>
        <v>265.5</v>
      </c>
    </row>
    <row r="14" spans="1:13">
      <c r="B14">
        <f>DSUM(Cash_TABLE,A1,A9:M10)</f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Sheet1</vt:lpstr>
      <vt:lpstr>Sheet3</vt:lpstr>
      <vt:lpstr>Sheet2</vt:lpstr>
      <vt:lpstr>Dates</vt:lpstr>
      <vt:lpstr>Loan</vt:lpstr>
      <vt:lpstr>Financial</vt:lpstr>
      <vt:lpstr>IRR</vt:lpstr>
      <vt:lpstr>Misc</vt:lpstr>
      <vt:lpstr>SUMIF</vt:lpstr>
      <vt:lpstr>Lookup</vt:lpstr>
      <vt:lpstr>Sheet7</vt:lpstr>
      <vt:lpstr>Sheet8</vt:lpstr>
      <vt:lpstr>Blank</vt:lpstr>
      <vt:lpstr>Cash_TABLE</vt:lpstr>
      <vt:lpstr>CRITERIA</vt:lpstr>
      <vt:lpstr>daily_sales</vt:lpstr>
      <vt:lpstr>Data</vt:lpstr>
      <vt:lpstr>date_list</vt:lpstr>
      <vt:lpstr>First</vt:lpstr>
      <vt:lpstr>FirstNames</vt:lpstr>
      <vt:lpstr>Fourth</vt:lpstr>
      <vt:lpstr>item_sold</vt:lpstr>
      <vt:lpstr>LastNames</vt:lpstr>
      <vt:lpstr>List</vt:lpstr>
      <vt:lpstr>MiddleNames</vt:lpstr>
      <vt:lpstr>part_list</vt:lpstr>
      <vt:lpstr>quantity</vt:lpstr>
      <vt:lpstr>rate</vt:lpstr>
      <vt:lpstr>Sampletable</vt:lpstr>
      <vt:lpstr>Second</vt:lpstr>
      <vt:lpstr>Store</vt:lpstr>
      <vt:lpstr>Third</vt:lpstr>
      <vt:lpstr>Tip_Table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2022-04-15T13:59:56Z</cp:lastPrinted>
  <dcterms:created xsi:type="dcterms:W3CDTF">2022-04-14T08:05:18Z</dcterms:created>
  <dcterms:modified xsi:type="dcterms:W3CDTF">2022-04-28T13:08:29Z</dcterms:modified>
</cp:coreProperties>
</file>