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Neurons" state="visible" r:id="rId3"/>
    <sheet sheetId="2" name="Neurotransmitters-Peptide Recep" state="visible" r:id="rId4"/>
    <sheet sheetId="3" name="ACH NeuroTransmitter" state="visible" r:id="rId5"/>
    <sheet sheetId="4" name="Serotonin Neurotransmitter" state="visible" r:id="rId6"/>
    <sheet sheetId="5" name="Dopamine Neurotransmitter" state="visible" r:id="rId7"/>
    <sheet sheetId="6" name="Tyramine Neurotransmitter" state="visible" r:id="rId8"/>
    <sheet sheetId="7" name="Octopamine Neurotransmitters" state="visible" r:id="rId9"/>
    <sheet sheetId="8" name="Glutamate Neurotransmitter" state="visible" r:id="rId10"/>
    <sheet sheetId="9" name="Gamma Neurotransmitter" state="visible" r:id="rId11"/>
    <sheet sheetId="10" name="Insulin-like peptides " state="visible" r:id="rId12"/>
    <sheet sheetId="11" name="FMRFamide-related peptides " state="visible" r:id="rId13"/>
    <sheet sheetId="12" name="Non-Insulin, non-FLP Peptides " state="visible" r:id="rId14"/>
    <sheet sheetId="13" name="flp neuropeptide" state="visible" r:id="rId15"/>
    <sheet sheetId="14" name="Sheet12" state="visible" r:id="rId16"/>
  </sheets>
  <definedNames/>
  <calcPr/>
</workbook>
</file>

<file path=xl/sharedStrings.xml><?xml version="1.0" encoding="utf-8"?>
<sst xmlns="http://schemas.openxmlformats.org/spreadsheetml/2006/main" count="3688" uniqueCount="1810">
  <si>
    <t>Neuron</t>
  </si>
  <si>
    <t>Type</t>
  </si>
  <si>
    <t>Location</t>
  </si>
  <si>
    <t>Description</t>
  </si>
  <si>
    <t>Neurotransmitter/Neuropeptide</t>
  </si>
  <si>
    <t>Innexin Expression</t>
  </si>
  <si>
    <t>Receptor expression</t>
  </si>
  <si>
    <t>Function</t>
  </si>
  <si>
    <t>ADAL</t>
  </si>
  <si>
    <t>Interneuron</t>
  </si>
  <si>
    <t>Lateral in head, at the level of the second bulb of the pharynx</t>
  </si>
  <si>
    <t>Integrative ring interneurons</t>
  </si>
  <si>
    <t>- Glutamate
- Possibly FLP-8, a FMRFamide-like peptide
(Loer, 2010; Li and Kim, 2008; Lee et al.,1999)
</t>
  </si>
  <si>
    <t> - INX-4
 - INX-19
 - UNC-9
(Altun et al, 2009; Chuang et al, 2007)</t>
  </si>
  <si>
    <t>Unknown</t>
  </si>
  <si>
    <t>Unknown. However, topological cluster analyses suggest ADA may be involved in chemosensation (Sohn et al., 2011).</t>
  </si>
  <si>
    <t>ADAR</t>
  </si>
  <si>
    <t>- Glutamate
- Possibly FLP-8, a FMRFamide-like peptide
(Loer, 2010; Li and Kim, 2008; Lee et al.,1999)</t>
  </si>
  <si>
    <t>- INX-4
 - INX-19
 - UNC-9
(Altun et al, 2009; Chuang et al, 2007</t>
  </si>
  <si>
    <t>ADEL</t>
  </si>
  <si>
    <t>Sensory neuron</t>
  </si>
  <si>
    <t>Lateral in head, behind the second bulb of the pharynx</t>
  </si>
  <si>
    <t>Anterior deirids. The sensillar branch from the dorsal process follows a dorsal and frequently posterior trajectory ending laterally within the lateral alae in the anterior third of the body.</t>
  </si>
  <si>
    <t>- Dopamine
(Loer, 2010; Sulston et al., 1975)</t>
  </si>
  <si>
    <t>- INX-4
 - INX-7
 - UNC-9
(Altun et al., 2009)</t>
  </si>
  <si>
    <t>- DOP-2; dopamine receptor 
- EXP-1; excitatory, cation-selective GABA receptor 
- TYRA-3; tyramine receptor 
- Possibly ACR-16; nicotinic acetylcholine receptor 
(Altun, 2011; Wragg et al., 2007; Feng et al., 2006; Beg and Jorgensen, 2003; Suo et al., 2003)</t>
  </si>
  <si>
    <t>- ADEL/R are dopaminergic nose touch mechanoceptors. They modulate locomotion behavior in response to the presence of food by textural mechanosensation, wherein upon encountering a lawn of bacteria (or Sephadex G-200 beads) worms slow their forward movement. The three classes of ciliated dopaminergic neurons (CEPs, ADEs, and PDEs) function redundantly in this behavior (i.e. sensing the mechanosensory stimuli during crawling through bacteria (or the beads) and communicating with the motor circuit to bring about the locomotory change) (Sawin et al., 2000). Another form of motor plasticity related to food presence is area restricted search (ARS). CEP and PDE neurons work synergistically to mediate this behavior while ADE modulates it (Hills et al., 2004). 
- Anterior harsh touch sensation: Laser ablation of FLP, AQR, ADE results in a significant reduction of anterior harsh touch sensation, while laser ablation of BDU, SDQR, FLP, ADE and AQR eliminates it (Li et al., 2011). 
- Possibly pheromone sensation: The complete pheromone insensitivity of the tax-2(p694) mutant suggests that this defect is due to a site of action in one or more of the AFD, ASE , ADE, or BAG neurons, since the tax-2(p694) mutation eliminates expression of the TAX-2 subunit from these, but has normal expression and function in the other seven neurons that express this channel (Aillion and Thomas, 2000).</t>
  </si>
  <si>
    <t>ADER</t>
  </si>
  <si>
    <t>ADFL</t>
  </si>
  <si>
    <t>Lateral ganglia in head</t>
  </si>
  <si>
    <t>Amphid neurons, with dual (AdF) ciliated sensory endings which are exposed to the external environment. Enter ring via commissure from ventral ganglion. Take up FITC.</t>
  </si>
  <si>
    <t>- Serotonin
 - FLP-6; FMRFamide-like peptide 
- INS-1; insulin-like peptide
 - NLP-3; neuropeptide-like peptide
(Loer, 2010; Li and Kim, 2008; Kodama et al., 2006; Nathoo et al., 2001; Sze et al., 2000; Duerr et al.,1999)</t>
  </si>
  <si>
    <t>- INX-4
 - INX-19
(Altun et al., 2009; Chuang et al., 2007)</t>
  </si>
  <si>
    <t>- MGL-3; metabotropic glutamate receptor family protein 
- NPR-5; receptor for flp-18 encoded peptides
 - OSM-9; TRPV (transient receptor potential channel, vanilloid subfamily; mammalian capsaicin receptor-like channel) 
- OCR-2; TRPV (transient receptor potential channel, vanilloid subfamily; mammalian capsaicin receptor-like channel) 
- SRB-6 (faint); G protein-coupled seven transmembrane receptor 
- SRD-1 (in male); G protein-coupled seven transmembrane receptor 
(Altun, 2011; Cohen et al., 2009; Greer et al., 2008; Tobin et al., 2002; Colbert et al., 1997; Troemel et al.,1995)</t>
  </si>
  <si>
    <t>ADFL/R are the only serotonergic sensory neurons in the worm and may couple environmental food signals with serotonin neurotransmission (Jafari et al., 2011). 
- They contribute to a residual chemotactic response to cAMP, biotin, Cl-, and Na+ after ASE is killed (Bargmann and Horvitz, 1991). C. elegans shows chemoattraction to low NaCl. This is mediated by four pairs (ADF, ASE, ASG and ASI) of amphid sensory neurons, of which the ASE cells are most important. It also shows avoidance of NaCl concentrations above 200 mM which is thought to be due to a general avoidance of high osmotic strength (mainly mediated by the ASH sensory neurons). However, this response to salt is plastic, involving a balance between attraction and avoidance, i.e., balances between ASE, ASI, ASH, ADF and perhaps ADL neuron (Hukema et al, 2006).
 - Control entry into dauer stage; ADF, ASI and ASG inhibit entry into dauer stage while ASJ and ASK promote dauer entry (Kim et al., 2009; Ouellett et al., 2008; Schackwitz et al., 1996; Bargmann and Horvitz, 1991).
 - Function as part of the oxygen-sensing network (which also includes URX, AQR, PQR, SDQ, ALN, PLN, ADL, and ASH) by promoting hyperoxia avoidance. ADF pair stimulates aerotaxis in the absence of food by producing serotonin (Chang et al., 2006).
 - Modulate NMJ neurotransmission; serotonin functions as a neuromodulator by inhibiting and enhancing synaptic transmission of other neurotransmitters; e. g. studies have revealed both stimulatory and inhibitory serotonin inputs to the NMJs. Aldicarb, an inhibitor of acetylcholinesterase, causes paralysis in C. elegans due to accumulation of acetylcholine (ACh) at the locomotory NMJs, but exogenous serotonin inhibits paralysis induced by aldicarb. By contrast, exogenous serotonin does not reduce the paralysis induced by levamisole, a specific agonist of the nicotinic ACh receptor UNC-29 in the bodywall muscles. This suggests that serotonin signaling inhibits ACh release by the motor neurons. Studies showed that the inhibitory and stimulatory serotonin signals to NMJ neurotransmission arise from distinct serotonergic neurons; endogenous serotonin released from the ADF neurons stimulates ACh synaptic transmission at the NMJs, whereas serotonin from the NSM/RIH/AIM neurons inhibits the stimulatory serotonin inputs (Govorunova et al., 2010).</t>
  </si>
  <si>
    <t>ADFR</t>
  </si>
  <si>
    <t>ADLL</t>
  </si>
  <si>
    <t>Amphid neurons, dual (AdL) ciliated sensory endings. Project directly to ring, take up FITC.</t>
  </si>
  <si>
    <t>- FLP-4; FMRFamide-like neuropeptide 
- FLP-21; FMRFamide-like neuropeptide 
- NLP-7; neuropeptide-like peptide
 - NLP-8; neuropeptide-like peptide
 - NLP-10; neuropeptide-like peptide
 (Li and Kim, 2008; Rogers et al., 2003; Nathoo et al., 2001)</t>
  </si>
  <si>
    <t>- INX-18
 - INX-19
 - UNC-9
 (Altun et al., 2009; Chuang et al., 2007; Liu et al., 2006)</t>
  </si>
  <si>
    <t>- GCY-21; transmembrane receptor guanylate cyclase
 - OSM-9; TRPV (transient receptor potential channel, vanilloid subfamily; mammalian capsaicin receptor-like channel)-cation selective
 - OCR-1; TRPV (transient receptor potential channel, vanilloid subfamily; mammalian capsaicin receptor-like channel) 
- OCR-2; TRPV (transient receptor potential channel, vanilloid subfamily; mammalian capsaicin receptor-like channel) 
- SRB-6; G protein-coupled seven transmembrane receptor
 - SRE-1; G protein-coupled seven transmembrane receptor
 - SRH-132; G protein-coupled seven transmembrane receptor
 - SRH-220; G protein-coupled seven transmembrane receptor
 - SRI-51; G protein-coupled seven transmembrane receptor
 - SRO-1; G protein-coupled seven transmembrane receptor
 (Wormbase; Tobin et al., 2002; de Bono et al., 2002; Colbert et al., 1997; Troemel et al., 1995)</t>
  </si>
  <si>
    <t>- ASH, ADL, ASK and ASE sensory neurons are responsible for the detection of certain chemical repellents. ASH plays a major role in this avoidance, whereas ADL, ASK and ASE play minor roles that are only evident when ASH is missing (de Bono and Maricq, 2005; Hiliard et al., 2002; Sambongi et al., 1999; Bargmann et al., 1990). ADL mediate avoidance behavior from heavy metals (Cd++ and Cu++) (Sambongi et al., 1999), odors (e.g. octanol) (Troemel et al., 1995), high osmotic strength and SDS. 
- ASH and ADL are proposed to mediate social feeding behavior in response to repulsive cues (e.g. high O2 levels); ablation of ASH and ADL abolishes social feeding behavior transforming social animals to solitary feeders; avoidance of high O2 levels that facilitate aggregation is promoted by OCR-2 and OSM-9, and the transmembrane protein ODR-4, acting in the nociceptive neurons ASH and ADL. ASH and ADL, in turn, transmit information about aversive stimuli in the environment to a circuit that is responsible for aggregation, rapid locomotion, and food bordering behavior (Rogers et al., 2006; de Bono et al., 2002).
 - Balances between at least four sensory cell types, ASE, ASI, ASH, ADF and perhaps ADL, modulate the response to NaCl (Hukema et al, 2006).</t>
  </si>
  <si>
    <t>ADLR</t>
  </si>
  <si>
    <t>AFDL</t>
  </si>
  <si>
    <t>Amphid neurons with finger-like (AfD) ciliated endings embedded in the amphid sheath cell.</t>
  </si>
  <si>
    <t>- Glutamate
 - FLP-6; FMRFamide-like neuropeptide 
- NLP-7; neuropeptide-like peptide 
- NLP-21; neuropeptide-like peptide 
(Ohnishi et al, 2011; Li and Kim, 2008; Rogers et al., 2003; Nathoo et al., 2001)</t>
  </si>
  <si>
    <t>- INX-19
(Chuang et al., 2007)</t>
  </si>
  <si>
    <t>- GCY-8; transmembrane receptor guanylate cyclase
 - GCY-18; transmembrane receptor guanylate cyclase
 - GCY-23; transmembrane receptor guanylate cyclase
 - GCY-29; transmembrane receptor guanylate cyclase
(Wormbase; Ortiz et al., 2006; Inada et al., 2006; Yu et al., 1997) </t>
  </si>
  <si>
    <t>- Functions in thermotaxis: AFD neurons are the main thermosensors in C. elegans and laser ablation of the AFD pair makes most animals athermotactic (Ma and Shen, 2012; Beverly et al, 2011; Kuhara et al, 2008; Satterlee et al., 2004; Mori and Ohshima, 1995). After cultivation at a uniform temperature (Tc) with sufficient food, animals preferentially migrate to their cultivation temperature (Tc) when placed on a thermal gradient, and move isothermally at this temperature (Hedgecock and Russell 1975). Animals sense and record their Tc by AFD (major thermosensory), AWC and ASI neurons (Beverly et al, 2011; Kuhara et al., 2008; Biron et al., 2008). This memory is plastic and can be reset upon cultivation at a different temperature (Hedgecock and Russell 1975). The AFD, AWC and ASI neurons may to act in concert to increase turning rate when animals encounter higher temperatures than Tc on a gradient to move down the gradient toward colder temperatures near Tc (negative thermotaxis) (Biron et al., 2008). To track isotherms, animals do not actively pursue isothermal alignment, but once serendipitously aligned along an isotherm (at T=Tc), they track by suppressing turns (Luo et al., 2006).This may be achieved by the animal increasing its reversal frequency when it detects a rise in temperature, which activates Ca++ influx in AFD via cGMP-dependent TAX-2/TAX-4 cation channel (cGMP production in AFD is redundantly carried out by GCY-8, GCY-18 and GCY-23 and gcy-23, gcy-8, and gcy-18 triple mutants show a cryophilic or athermotactic phenotype) (Inada et al., 2006). AFD neurons respond to thermal stimuli above Tc with continuous, graded calcium signals in a deterministic and highly reproducible way. The thermal information is transmitted by AFD and AWC to AIY interneurons for information processing, and AIY neurons, in turn, transmit it to AIZ and RIA interneurons for further processing. It is suggested that activation of AFD neurons by warming above Tc induces the animal to reverse by inhibiting AIY since loss of AFD (by ablation) suppresses spontaneous reversals in an AIY-dependent manner, while loss of AIY (by ablation) increases spontaneous reversals (de Bono and Maricq 2005; Tsalik and Hobert, 2003).
 - Functions in locomotion: Laser ablations of AFD cause hyporeversal phenotype (Tsalik and Hobert, 2003).
 - AFD, BAG and ASE are primary CO2 sensors: AFD and BAG neurons together stimulate turning when CO2 rises and inhibit turning when CO2 falls (Bretscher et al., 2011). 
- May be involved in social feeding since disruption of tax-2 expression in AFD, AQR, ASE and BAG neurons disrupts social feeding (Coates and de Bono, 2002).
</t>
  </si>
  <si>
    <t>AFDR</t>
  </si>
  <si>
    <t>AIAL</t>
  </si>
  <si>
    <t>Ventral ganglion in head</t>
  </si>
  <si>
    <t>Ring interneurons. AIAL and AIAR are located anteriorly to the excretory cell, at the ventral side of the terminal bulb of pharynx. They are seen very close to each other on the right and left sides of the A-P midline in lateral view.</t>
  </si>
  <si>
    <t>- Acetylcholine
 - FLP-1; FMRFamide-like neuropeptide 
- FLP-2; FMRFamide-like neuropeptide 
- INS-1; insulin-like peptide. Important in the neuropeptide feedback loop between AWC and AIA.
(Chalasani et al., 2010; Li and Kim, 2008; Altun-Gultekin et al., 2001; Nelson et al., 1998)</t>
  </si>
  <si>
    <t>None yet reported, although described to have gap junctions in adult animals (MoW)</t>
  </si>
  <si>
    <t>- GLR-2; AMPA-type ionotropic (Na+/K+) glutamate receptor subunit
- GLC-3; L-glutamate-gated chloride channel subunit (ionotropic glutamate rec subunit). AWC-AIA synapse is an inhibitory, glutamatergic synapse via GLC-3, whose function is acutely modulated by NLP-1/NPR-11 signaling
 - GCY-28; transmembrane receptor guanylate cyclase
 - MGL-1; group II metabotropic glutamate receptor
 - NPR-5; receptor for FLP-18 peptides
 - NPR-11; candidate receptor for NLP-1
 - SCD-2; ALK receptor tyrosine kinase
 - SRA-11; G protein-coupled seven transmembrane receptor
(Wormbase; Shinkai et al, 2011; Chalasani et al., 2010; Glauser and Goodman, 2010; Greer et al, 2008; Altun-Gultekin et al., 2001; Brockie et al., 2001)
</t>
  </si>
  <si>
    <t>Integration of information from amphid sensory neurons; AIAL/R is one of the four first layer amphid interneuron pairs (AIA, AIB, AIY, and AIZ) that receives and processes synaptic output from the amphid sensory neurons towards a behavioral response. AIA pair is suggested to sum inputs from various chemosensory neurons before passing the information on to AIB pair, which synapses onto motor neurons (AIA-AIB connections are likely to be inhibitory) (Wakayabashi et al., 2004). AIA is the main target of ASI outputs.
 - AIA interneurons integrate multiple sensory cues to adjust behavioral choices and play an important role in learning (e.g. salt chemotaxis learning) and behavioral plasticity (Shinkai et al, 2011; Tomioka et al., 2006).
 - Functions in locomotion: in isothermal tracking, AIB and AIZ interneurons promote turns while AIY and AIA interneurons inhibit turns (Garrity et al., 2010).
 - The AIA neurons are required for chemotaxis to indole ascarosides, downstream of the ASK sensory neuron (Macosko et al., 2009).</t>
  </si>
  <si>
    <t>AIAR</t>
  </si>
  <si>
    <t>AIBL</t>
  </si>
  <si>
    <t>Amphid interneuron</t>
  </si>
  <si>
    <t>- FLP-20; FMRFamide-like neuropeptide 
(Li and Kim, 2008)</t>
  </si>
  <si>
    <t>- INX-1
(Altun et al, 2009)</t>
  </si>
  <si>
    <t>- GLR-1; glutamate-activated cation channel
 - GLR-2; glutamate-activated cation channel 
- Possibly GLR-5; kainate (non-NMDA)-type ionotropic glutamate receptor 
- Possibly GGR-1; GABA-A/glycine receptor-like protein
 - Possibly MGL-2; metabotropic glutamate receptor
 (Fujiwara et al., 1996; Maricq et al., 1995; Brockie et al., 2001; Kang and Avery, 2009)</t>
  </si>
  <si>
    <t>Integration of information from amphid sensory neurons; AIBL/R is one of the four first layer amphid interneuron pairs (AIA, AIB, AIY, and AIZ) that receives and processes synaptic output from the amphid sensory neurons. AIA pair is suggested to sum inputs from various chemosensory neurons before passing the information on to AIB pair, which synapses onto motor neurons (AIA-AIB connections are likely to be inhibitory) (Wakayabashi et al., 2004).
 - Functions in locomotion: Among the interneurons, AIA and AIY inhibit turns, AIB and AIZ promote turns, and ablation of RIA does not affect turning rates (Garrity et al., 2010; Wakayabashi et al., 2004).
 - Functions in information processing within the AWC-AIB-AIY circuit that controls food- and odor-evoked behaviors (Chalasani et al., 2007). After animals are removed from bacterial food, they initiate a local search behavior consisting of reversals and deep omega-shaped turns. This is followed by dispersal ~30 min later, as reversals and turns are suppressed. Local search behavior is triggered by AWC olfactory neurons, ASK gustatory neurons, and AIB interneurons while dispersal is promoted by ASI gustatory neurons and AIY interneurons (Gray et al., 2005). AWC neurons are activated by odor removal and activate the AIB interneurons through AMPA-type glutamate receptors, while they inhibit AIY interneurons through glutamate-gated chloride channels; odor presentation relieves this inhibition and results in activation of AIY interneurons. The opposite regulation of AIY and AIB interneurons generates a coordinated behavioral response.
 - Regulates lifespan and starvation response (starvation induces heat-shock resistance, oxidative stress resistance and extension of life-span). Certain amino acids (such as leu, gln, ala, val, ile) might act as signaling molecules that modulate the starvation response by acting as anti-hunger signals. The amino acid signal activates AIY neurons and inhibits AIB neurons by modulating the activities of MGL-1 and MGL-2 metabotropic glutamate receptors, respectively. AIY then inhibits the starvation response, whereas AIB activates it (Shen et al, 2010; Kang and Avery, 2009). </t>
  </si>
  <si>
    <t>AIBR</t>
  </si>
  <si>
    <t>AIML</t>
  </si>
  <si>
    <t>Ring interneurons bridging between sensory inputs and command outputs. Excessive neurites that connect AIML and AIMR early in development are pruned during larval stages (along with RIF, they are the only other neuron pair that is subject to developmental neurite pruning in C. elegans) (Hayashi et al., 2009; Kage et al., 2005).</t>
  </si>
  <si>
    <t>- Serotonin
 - FLP-10; FMRFamide-like peptide 
- FLP-22; FMRFamide-like peptide 
- INS-1; insulin-like peptide
(Loer, 2010; Li and Kim, 2008; Sze et al., 2000; Duerr et al., 1999)</t>
  </si>
  <si>
    <t>- INX-19
(Chuang et al, 2007)</t>
  </si>
  <si>
    <t>- GCY-18; guanylate cyclase
(Wormbase; Ortiz et al., 2006)</t>
  </si>
  <si>
    <t>Serotonin secreted by both synaptic vesicles and dense core vesicles seem to diffuse readily to the extrasynaptic space adjacent to the AIM and RIH neurons. Among 5 classes (NSM, ADF, HSN, AIM, RIH) of serotonergic neurons, RIH and AIM mainly take up serotonin from outside -produced by the remaining serotonergic neurons- via the membrane serotonin transporter (MOD-5/SERT), rather than synthesizing it themselves (Jafari et al., 2011).
 - RIH and AIM possibly function as temporal–spatial regulators of extrasynaptic serotonin to modulate the activity of the behavioral circuits. In Caenorhabditis elegans, serotonin signaling is required for coupling feeding and the memory of prior food availability to the rate of locomotion. Following food deprivation, wild-type animals show markedly decreased locomotion on their return to a lawn of bacterial food. While serotonin-deficient mutants exhibit less slowing response (become insensitive), mutants of mod-5/SERT exaggerate the slowing response (become hypersensitive). Transgenic expression of mod-5/SERT in the serotonin-absorbing neurons fully corrects this exaggerated behavior, suggesting AIM and RIH regulate the availability of serotonin for neurotransmission (Jafari et al., 2011).
 - Functions in swim initiation; Behaviorally, ablation of VC-4, VC-5, AIM, or NSM neurons delays swim onset, implicating serotonin signaling in this behavior (Vidal-Gadea et al., 2011). </t>
  </si>
  <si>
    <t>AIMR</t>
  </si>
  <si>
    <t>AINL</t>
  </si>
  <si>
    <t>Ring interneuron</t>
  </si>
  <si>
    <t>- Possibly glutamate (the neuron may be AVJ instead)
 - FLP-19; FMRFamide-like peptide 
(Loer, 2010; Li and Kim, 2008; Lee et al., 1999)</t>
  </si>
  <si>
    <t>- INX-4
 - INX-8
 - INX-17
 - UNC-7
 - UNC-9
(Altun et al., 2009)</t>
  </si>
  <si>
    <t>AIN is presynaptic to AFD, however, the significance of this connection is not yet clear.</t>
  </si>
  <si>
    <t>AINR</t>
  </si>
  <si>
    <t>AIYL</t>
  </si>
  <si>
    <t>- Acetylcholine
 - FLP-1; FMRFamide-like peptide 
- FLP-18; FMRFamide-like peptide
(Li and Kim, 2008; Rogers et al., 2003; Altun-Gultekin et al., 2001)</t>
  </si>
  <si>
    <t>- INX-1
 - INX-7
 - INX-19
 - UNC-9
(Altun et al., 2009; Chuang et al., 2007)</t>
  </si>
  <si>
    <t>- ACR-14; nicotinic AChR alpha subunit
 - C50F7.1; tachykinin receptor-like
 - CKR-2; cholecystokinin receptor-like
 - GAR-2; muscarinic AChR
 - GCY-1; transmembrane receptor guanylate cyclase
 - GLC-3; L-glutamate-gated chloride channel subunit (ionotropic glutamate rec subunit) - LAT-1; predicted latrophilin
 - LGC-38; GABA-gated chloride channel
 - MGL-1; metabotropic glutamate receptor
 - MOD-1; serotonin receptor (serotonin-gated Cl- channel)
 - NPR-11; candidate receptor for NLP-1
 - NPR-14; tachykinin receptor-like 
- SER-2; tyramine receptor (expresses two separate splice variants)
 - SRA-11; G protein-coupled seven transmembrane receptor
(Chalasani et al., 2010; Ortiz et al., 2006; Wenick and Hobert, 2004; Tsalik et al., 2003; Altun-Gultekin et al., 2001; Troemel et al., 1995)
 </t>
  </si>
  <si>
    <t>AIY neurons are postsynaptic to several olfactory and gustatory sensory neurons, such as ASE, ASI, AWA, AWC and AFD, and are presumed to play an integrative role, processing multiple streams of sensory information. They have a key role in behavioral plasticity in paradigms in which starvation is paired with a thermal or chemical cue (de Bono and Maricq, 2005; Ishihara et al., 2002).
 - Functions in thermotaxis; laser ablation of the AIY pair makes the animals cryophilic and impaired in isothermal tracking (Mori and Ohshima, 1995). The thermal information sensed by AFD, AWC and ASI is processed in downstream interneurons AIY, AIZ, RIA, and also likely in AIA and AIB (the first three are considered as thermotaxis core interneurons) (Ma and Shen, 2012; Sasakura and Mori, 2012; Ardiel and Rankin, 2011; Beverly et al, 2011). The activation of AIY neuron-signaling drive warm-seeking (thermophilic) movement, the activation of AIZ neuron-signaling drive cold-seeking (cryophilic) movement, while the counterbalancing between the AIY and AIZ signals through the RIA interneuron leads to execution of motor output in response to thermal signals (Ohnishi et al, 2011; Kuhara et al, 2008). AIY is the major postsynaptic partner of AWC and AFD. AWC-derived glutamatergic signals stimulate AIY and induce migration to warmer temperature (Ohnishi et al, 2011). AFD transmits both inhibitory and stimulatory signals to AIY such that calcium concentration threshold in AFD acts as a switch for opposing neural signals to AIY that direct opposite (warm- or cold-seeking) behaviors (Kuhara et al., 2011). AFD-derived glutamatergic signals inhibit AIY through activation of GLC-3 glutamate-gated chloride channel and drive migration towards colder temperature. Recent studies suggest this AFD / AIY synapse may have evolved for reliable transmission of a scaled-down temperature signal from AFD, enabling AIY to monitor and integrate temperature with other sensory inputs (Narayan et al, 2011). The molecular mechanism of the stimulatory signaling between AFD and AIY is currently unknown.
 - Functions in locomotion: Suppresses turns and reversals enhancing smooth forward movements and dispersal, since laser ablation of AIY increases reversals and turns, disrupts dispersal behavior and shortens forward movements (Gray et al., 2005; Wakayabashi et al., 2004 ; Tsalik and Hobert, 2003). Similar to AIY, laser ablations of ASE or AIA increases the frequency of reversals while ablations of AWC, AIB or AIZ decreases the frequency of reversals (ablations of RIA does not affect turning rates). Since ablations of AIY and AIZ (the major postsynaptic partner of AIY) cause opposite behavioral phenotpes, the synapses made by AIY onto AIZ may be inhibitory. Alternatively, signals fom AIY to AIZ are processed in a downstream neuron such as RIA (de Bono and Maricq 2005).
 - Functions in information processing within the AWC-AIB-AIY circuit that controls food- and odor-evoked behaviors (Chalasani et al., 2007). AWC neurons are activated by food or odor removal and activate the AIB interneurons through AMPA-type glutamate receptors, while they inhibit AIY interneurons through glutamate-gated chloride channels; odor presentation relieves this inhibition and results in activation of AIY interneurons. The opposite regulation of AIY and AIB interneurons generates a coordinated behavioral response.
 - Regulates lifespan and starvation response (starvation induces heat-shock resistance, oxidative stress resistance and extension of life-span). Certain amino acids (such as leu, gln, ala, val, ile) might act as signaling molecules that modulate the starvation response by acting as anti-hunger signals. The amino acid signal activates AIY neurons and inhibits AIB neurons by modulating the activities of MGL-1 and MGL-2 metabotropic glutamate receptors in these neurons, respectively. AIY then inhibits the starvation response, whereas AIB activates it (Shen et al, 2010; Kang and Avery, 2009). </t>
  </si>
  <si>
    <t>AIYR</t>
  </si>
  <si>
    <t>- ACR-14; nicotinic AChR alpha subunit
 - C50F7.1; tachykinin receptor-like
 - CKR-2; cholecystokinin receptor-like
 - GAR-2; muscarinic AChR
 - GCY-1; transmembrane receptor guanylate cyclase
 - GLC-3; L-glutamate-gated chloride channel subunit (ionotropic glutamate rec subunit) - LAT-1; predicted latrophilin
 - LGC-38; GABA-gated chloride channel
 - MGL-1; metabotropic glutamate receptor
 - MOD-1; serotonin receptor (serotonin-gated Cl- channel)
 - NPR-11; candidate receptor for NLP-1
 - NPR-14; tachykinin receptor-like 
- SER-2; tyramine receptor (expresses two separate splice variants)
 - SRA-11; G protein-coupled seven transmembrane receptor
(Chalasani et al., 2010; Ortiz et al., 2006; Wenick and Hobert, 2004; Tsalik et al., 2003; Altun-Gultekin et al., 2001; Troemel et al., 1995)</t>
  </si>
  <si>
    <t>AIZL</t>
  </si>
  <si>
    <t>Ring Interneurons</t>
  </si>
  <si>
    <t>- SER-2; tyramine receptor (expresses two separate splice variants)
(Tsalik et al., 2003)</t>
  </si>
  <si>
    <t>Integration of information from amphid sensory neurons; AIZL/R is one of the four first layer amphid interneuron pairs (AIA, AIB, AIY, and AIZ) that receive and process synaptic output from the amphid sensory neurons towards a behavioral response. Along with the second layer RIA and RIB interneurons, AIZ also receives heavy input from the first layer AIA, AIB, AIY interneurons and itself sends inputs to RIA and RIB. Additionally, it synapses directly onto SMB head motor neurons .
 - Functions in thermotaxis; laser ablation of the AIZ pair makes the animals thermophilic (Mori and Ohshima, 1995). The thermal information sensed by AFD, AWC and ASI is processed in downstream interneurons AIY, AIZ, RIA, and also likely in AIA and AIB (the first three are considered as thermotaxis core interneurons) (Ma and Shen, 2012; Sasakura and Mori, 2012; Ardiel and Rankin, 2011; Beverly et al, 2011). In the original two-drive model of thermotaxis, activation of AIY neuron-signaling drive warm-seeking (thermophilic) movement, activation of AIZ neuron-signaling drive cold-seeking (cryophilic) movement, while the counterbalancing between the AIY and AIZ signals possibly through the RIA interneuron leads to execution of motor output in response to thermal signals (Ohnishi et al, 2011; Kuhara et al, 2008). However, there is evidence that a thermophilic drive at temperatures below cultivation temperature (Tc) does not exist and regulation of thermotaxis involves a more complex circuit (Ma and Shen, 2012; Ryu and Samuel, 2002). Around Tc animals track isothermally on a gradient and above Tc they display negative thermotaxis by regulating their turning frequency and run duration. It has been suggested that thermosensory signals from AFD, AWC and ASI converge on the AIB interneuron in negative thermotaxis, whereas the AIY/AIZ/RIA network may function mainly in isothermal tracking (Ma and Shen, 2012).
 During associative learning between temperature and feeding state, starvation, a conditioning factor, downregulates AIZ activity through calcineurin/TAX-6, a calcium-activated phosphatase, leading to avoidance from Tc (Kuhara and Mori, 2006).
- Functions in locomotion: Laser ablations of AIZ, like AIB and AWC, cause decrease in reversals and lead to large increases in the duration of forward movement (Tsalik and Hobert, 2003; Iino and Yoshida, 2009). Since ablations of AIY and AIZ cause opposite behavioral phenotpes, the synapses made by AIY onto AIZ may be inhibitory. Alternatively, signals fom AIY to AIZ could be processed in a downstream neuron such as RIA (de Bono and Maricq 2005).
- Functions in chemotaxis: Laser ablations of AIZ cause defects in the weathervane (slow turning of the animal by biased head swing) and pirouette (bout of sharp turns generated by frequent reversals followed by omega turns) responses (see Nervous System-General Description) leading to impaired chemotaxis (Iino and Yoshida, 2009).</t>
  </si>
  <si>
    <t>AIZR</t>
  </si>
  <si>
    <t>ALA</t>
  </si>
  <si>
    <t>Dorsal ganglion of head</t>
  </si>
  <si>
    <t>Has two processes that branch from the anterior portion of the cell body, project into the left or right side of the nerve ring and then migrate as far as the tail on the lateral cords, adjacent to excretory canals. Also sends a process along dorsal cord.</t>
  </si>
  <si>
    <t>- FLP-7; FMRFamide-like peptide
(Li and Kim, 2008)</t>
  </si>
  <si>
    <t>None yet reported, although described to have gap junctions in adult animals (MoW) </t>
  </si>
  <si>
    <t>- ACR-13 (LEV-8)
 - ACR-4 (DES-2)
 - SRA-10 
(Van Buskirk and Sternberg, 2010; Towers et al., 2005; Troemel et al., 1995)</t>
  </si>
  <si>
    <t>- Involved in inducing normal lethargus quiescence (i.e., cessation of pharyngeal pumping and locomotion during the lethargus periods (an EGF/LET-23-induced sleep-like state prior to molts). ALA neuron inhibits locomotion by inhibiting AVE, which normally functions to promote locomotion. Synapse between ALA and AVE is contacted by the CEPsh glia and CEPsh cells inhibit synaptic transmission from ALA to AVE, promoting locomotion.
 (Mulcahy and Ient 2010; Van Buskirk and Sternberg, 2007)</t>
  </si>
  <si>
    <t>ALML</t>
  </si>
  <si>
    <t>Lateral in mid-body</t>
  </si>
  <si>
    <t>Anterior lateral microtubule cells, touch receptor neurons</t>
  </si>
  <si>
    <t>Glutamate. Expresses VGluT, EAT-4 (Lee et al., 1999).</t>
  </si>
  <si>
    <t>Along with AVM and PLM, sense touch to the body and provide input to the command (inter) neurons (PVC, AVB, AVD, AVA) via both synaptic connections and gap junctions (Chalfie et al., 1985). The touch cells form gap junctions with agonist interneurons and chemical synapses with the antagonist interneurons. Hence, the anterior touch cells ALML/R and AVM form gap junctions with the backward movement interneuron AVD, but they provide synaptic input to the forward interneurons (AVB and PVC) (Kaplan and Driscoll, 1997; Goodman, 2006). See body touch circuit here.
Receptor Expression: Express MEC-2 (stomatin-like), MEC-4 (degenerin), MEC-10 (degenerin) which comprise part of a mechanosensory transduction channel (Huang et al., 1995; Lai et al., 1996; Huang and Chalfie, 1994). Express MEC-9 which is suggested to provide an extracellular attachment point for the mechanosensory channels in touch cells (Du et al., 1996) and MEC-6 which is part of the degenerin/epithelial Na+ channel complex (Chelur et al., 2002). Express glutamate receptor subunit, GLR-8 (Brockie et al., 2001). Express alpha subunits of a nicotinic acetylcholine receptor, DEG-3 and DES-2 (Treinin and Chalfie, 1995, Treinin. et al., 1998). Express the dopamine receptor DOP-1 (Tsalik et al., 2003, Sanyal et al., 2004). </t>
  </si>
  <si>
    <t>ALMR</t>
  </si>
  <si>
    <t>ALNL</t>
  </si>
  <si>
    <t>Tail</t>
  </si>
  <si>
    <t>Neurons associated with ALM, send processes into tailspike</t>
  </si>
  <si>
    <t>Acetylcholine. Rand and Nonet, 1997.</t>
  </si>
  <si>
    <t>Express a splice variant of the tyramine receptor SER-2 (Tsalik et al., 2003). Express the dopamine receptor DOP-1 (Tsalik et al., 2003).</t>
  </si>
  <si>
    <t>- Soluble guanylate cyclase (sGC, e.g. GCY-35 and GCY-36)-expressing oxygen-sensing neurons (URX, AQR, PQR, SDQ, BDU, ALN, and PLN) mediate the avoidance of high  O2 levels (Zimmer et al, 2009). URX appears to be the most important member of this group, since its activity is uniquely important for aggregation (Coates and de Bono, 2002), while for aerotactic behavior in an  O2 gradient, URX is redundant with other sGC-expressing neurons (Chang et al., 2006).</t>
  </si>
  <si>
    <t>ALNR</t>
  </si>
  <si>
    <t>AQR</t>
  </si>
  <si>
    <t>Head; right hand side near the posterior bulb of the pharynx</t>
  </si>
  <si>
    <t>Postembryonically born neuron with rudimentary cilium. AQR and its ciliated dendrite are directly exposed to the pseudocoelomic body fluid. AQR axonal process projects into ring.</t>
  </si>
  <si>
    <t>Expresses orphan receptor (chemosensory/odorant?) guanylyl cyclase, GCY-32 (Yu et al., 1997). Expresses neuropeptide Y receptor like protein, NPR-1 which mediates social feeding behavior (Coates and de Bono , 2002). Expresses specific soluble guanylate cyclase homologue, GCY-35 which binds molecular oxygen and mediates oxygen sensation (Gray et al., 2004).</t>
  </si>
  <si>
    <t>Along with PQR, URX and AUA, AQR regulate social feeding (or aggregation on a bacterial lawn) and bordering (the accumulation of animals on the thickest part of a bacterial lawn) behavior since suppressing the activity of AQR, PQR and URX neurons inhibits social feeding (Coates and de Bono , 2002). AQR, PQR and URXfunction as sensors of environmental oxygen which is a quantitative regulator of social feeding (Gray et al., 2004). Decreases in oxygen leads to a dose-dependent suppression of social feeding behavior and bordering. Oxygen acts in parallel to NPR-1 in regulating social feeding behavior.</t>
  </si>
  <si>
    <t>AS1</t>
  </si>
  <si>
    <t>Motor neuron</t>
  </si>
  <si>
    <t>Body (ventral nerve cord)</t>
  </si>
  <si>
    <t>Ventral cord motor neurons, born postembryonically. Innervate dorsal muscles, no ventral counterpart, similar to VAn but receive additional synaptic input from AVB. Note that unlike AS1-10, the commissure of AS11 originates from the posterior process. All AS commissures to DC run from the right side of the body. Hermaphrodites and males exhibit some differences in ASn connectivity.</t>
  </si>
  <si>
    <t>Acetylcholine. Rand and Nonet, 1997. NLP-21; neuropeptide-like peptide
 (Loer, 2010; von Stetina et al, 2007; Rand and Nonet, 1997).
</t>
  </si>
  <si>
    <t>- INX-3
- UNC-7
(Altun et al., 2009; Starich et al., 2009)</t>
  </si>
  <si>
    <t>- ACR-14; nonalpha subunit of a nicotinic acetylcholine receptor
- ACR-15; alpha subunit of a nicotinic acetylcholine receptor
- LGC-46; ligand-gated ion channel
- UNC-63; alpha subunit of a levamisole-sensitive nicotinic acetylcholine receptor
 (Wormbase; Altun, 2011; von Stetina et al, 2007; Fox et al, 2005).</t>
  </si>
  <si>
    <t>AS2</t>
  </si>
  <si>
    <t>Acetylcholine. Rand and Nonet, 1997. NLP-21; neuropeptide-like peptide
 (Loer, 2010; von Stetina et al, 2007; Rand and Nonet, 1997).</t>
  </si>
  <si>
    <t>AS3</t>
  </si>
  <si>
    <t>AS4</t>
  </si>
  <si>
    <t>AS5</t>
  </si>
  <si>
    <t>AS6</t>
  </si>
  <si>
    <t>AS7</t>
  </si>
  <si>
    <t>AS8</t>
  </si>
  <si>
    <t>AS9</t>
  </si>
  <si>
    <t>AS10</t>
  </si>
  <si>
    <t>AS11</t>
  </si>
  <si>
    <t>ASEL</t>
  </si>
  <si>
    <t>Lateral ganglia of head</t>
  </si>
  <si>
    <t>Amphid neurons, single ciliated endings, project into ring via commissure from
 ventral ganglion, make diverse synaptic connections in ring neuropil.</t>
  </si>
  <si>
    <t>Express neuropeptide-like proteins, NLP-3, NLP-7, NLP-14 (Nathoo et al., 2001). Express the FMRFamide-related neuropeptide (FaRP), FLP-21 (Rogers et al., 2003).</t>
  </si>
  <si>
    <t>ASEL expresses orphan receptor (chemosensory/odorant?) guanylyl cyclases GCY-6 and GCY-7 and ASER expresses GCY-5 (Yu et al., 1997). Express mammalian capsaicin receptor-like protein OSM-9 (Colbert et al., 1997). Express neuropeptide Y receptor like protein, NPR-1 (Coates and de Bono , 2002).</t>
  </si>
  <si>
    <t>- Involved in chemotaxis to cAMP, biotin, Cl-, Na+ and lysine; ASEL is primarily sensitive to Na+ , whereas ASER is primarily sensitive to Cl- and K+ (Pierce-Shimomura et al., 2001; Bargmann and Horvitz, 1991; ). Opposite intacellular Ca++ transients are suggested to be generated in ASEL and ASER in response to changes in NaCl concentrations (Suzuki et al., 2004). 
- ASH, ADL, ASK and ASE sensory neurons are responsible for the detection of certain chemical repellents. ASH plays a major role in this avoidance, whereas ADL, ASK and ASE play minor roles that are only evident when ASH is missing (Hiliard et al., 2002; Sambongi et al., 1999; Bargmann et al, 1990.) Mediate avoidance behavior from Cd2+ and Cu2+ (Sambongi et al., 1999)
 - Functions in adaptive food-leaving behavior (leaving a food patch as it is becoming depleted to start foraging); the ASE neurons promote food-leaving behavior via a cGMP pathway as food becomes limited; in well-fed animals ASE neurons mediate chemoattraction to water-soluble cues as noted above. However, food withdrawal or gradual depletion of food turns this attraction to salt into repulsion. This switch in preference involves signaling by the DAF-2 insulin receptor in ASER as well as INS-1-dependent feedback from AIA to ASER (Milward et al., 2011; Tomioka et al., 2006)</t>
  </si>
  <si>
    <t>ASER</t>
  </si>
  <si>
    <t>ASGL</t>
  </si>
  <si>
    <t>Amphid neurons, single ciliated endings, project into ring via commissure from ventral ganglion, make diverse synaptic connections in ring neuropil.</t>
  </si>
  <si>
    <t>Express mammalian capsaicin receptor-like protein OSM-9 (Colbert et al., 1997). Express neuropeptide Y receptor like protein, NPR-1 (Coates and de Bono , 2002).</t>
  </si>
  <si>
    <t>Involved in chemotaxis to lysine, contribute to a residual chemotactic response to cAMP, biotin, Cl-, and Na+ after ASE is killed (Bargmann and Horvitz, 1991). Controls entry into dauer stage (Bargmann and Horvitz, 1991).</t>
  </si>
  <si>
    <t>ASGR</t>
  </si>
  <si>
    <t>ASHL</t>
  </si>
  <si>
    <t>Amphid neurons, single ciliated endings, project into ring via commissure from ventral ganglion, make diverse synaptic connections in ring neuropil. Also take up FITC.</t>
  </si>
  <si>
    <t>Glutamate. (Lee et al., 1999). Express neuropeptide-like proteins, NLP-3 and NLP-15 (Nathoo et al., 2001). Express the FMRFamide-related neuropeptide (FaRP), FLP-21 (Rogers et al., 2003).</t>
  </si>
  <si>
    <t>- OSM-9; TRPV (transient receptor potential channel, vanilloid subfamily; mammalian capsaicin receptor-like channel)-cation selective channel. Express TRPV channel proteins OSM-9 (Colbert et al., 1997) and OCR-2 (Tobin et al., 2002; de Bono M. et al., 2002). Express G protein-coupled serpentine receptors, SRA-6, SRB-6 (Troemel et al., 1995). Express neuropeptide Y receptor like protein, NPR-1 which mediates social feeding behavior (Coates and de Bono , 2002). Express UNC-8, a DEG/ENaC family member homologous to subunits of a candidate mechanically gated ion channel (Tavernarakis et al., 1997).</t>
  </si>
  <si>
    <t>- ASH plays a major role in avoidance responses to nose touch, hyperosmolarity (note: a mutation in the glr-1 (glutamate receptor subunit) gene which acts in synaptic targets of the ASH neurons, eliminates the response to nose touch but not to osmotic repellents), volatile repellent chemicals (1-octanol), heavy metals (Cd++ and Cu++), detergents/SDS, protons, alkaloids such as quinine (ASH is the main sensory neuron responsible for quinine detection and ASK plays a minor role) (de Bono &amp; Villu Maricq, 2005; Bargmann, 2006; Hilliard et al, 2004; Hiliard et al., 2002; Hart et al., 1999; Sambongi et al., 2000; Sambongi et al., 1999; Troemel et al., 1995; Bargmann et al, 1990; Culotti &amp; Russell 1978.)
 - ASH and ADL are proposed to mediate social feeding behavior in response to repulsive cues (ablation of ASH and ADL abolishes social feeding behavior transforming social animals to solitary feeders) (de Bono M. et al., 2002.)</t>
  </si>
  <si>
    <t>ASHR</t>
  </si>
  <si>
    <t>ASIL</t>
  </si>
  <si>
    <t>Express neuropeptide-like proteins, NLP-1, NLP-5, NLP-6, NLP-7, NLP-9, NLP-14, NLP-18, NLP-24, NLP-27 (Nathoo et al., 2001).</t>
  </si>
  <si>
    <t>Express G protein-coupled serpentine receptors, SRD-1, STR-2, STR-3 (Peckol et al.. 2001). Express transmembrane guanylyl cyclase DAF-11 (Birnby et al., 2000). </t>
  </si>
  <si>
    <t>Gustatory sensory neurons. The main synpatic output of ASI is on to AIA interneuron.
 - Involved in chemotaxis to lysine, contribute to a residual chemotactic response to cAMP, biotin, Cl-, and Na+ after ASE is killed (Bargmann and Horvitz, 1991). 
- Controls entry into dauer stage (Bargmann and Horvitz, 1991).
 - Functions in locomotion: Suppresses omega turns and reversals enhancing dispersal (Gray et al., 2005). After animals are removed from bacterial food, they initiate a local search behavior consisting of reversals and deep omega-shaped turns. This is followed by dispersal ~30 min later as reversal and turns are suppressed. Local search behavior is triggered by AWC olfactory neurons, ASK gustatory neurons, and AIB interneurons while dispersal is promoted by ASI gustatory neurons and AIY interneurons (Gray et al., 2005).
 - Thermosensor: After cultivation at a uniform temperature (Tc) with sufficient food, animals preferentially migrate to their cultivation temperature (Tc) when placed on a thermal gradient, and move isothermally at this temperature (Hedgecock and Russell 1975). Animals sense and record their Tc by AFD (major thermosensory), AWC and ASI neurons (Beverly et al, 2011; Kuhara et al., 2008; Biron et al., 2008). This Tc memory is plastic and can be reset upon cultivation at a different temperature (Hedgecock and Russell 1975). Unlike AFD neurons, which respond to thermal stimuli above Tc with continuous, graded calcium signals in a deterministic and highly reproducible way, ASI neurons exhibit temperature-induced stochastic Ca++ transients in a defined operating range with decreased responses close to or far from Tc (Beverly et al, 2011).
 - Repression of pheromone (sexual) attraction in hermaphrodites. daf-7 mutation or ablation of the ASI neuron pair, which is the sole source of DAF-7/TGF-β inC. elegans, reveals sexual attraction (male-specific behavior) in hermaphrodites (White and Jorgensen, 2012).</t>
  </si>
  <si>
    <t>ASIR</t>
  </si>
  <si>
    <t>ASJL</t>
  </si>
  <si>
    <t>Express neuropeptide-like protein NLP-3 (Nathoo et al., 2001).</t>
  </si>
  <si>
    <t>Express mammalian capsaicin receptor-like protein OSM-9 (Colbert et al., 1997). Express G protein-coupled serpentine receptors, SRE-1 (Troemel et al., 1995). Express transmembrane guanylyl cyclase DAF-11 (Birnby et al., 2000).</t>
  </si>
  <si>
    <t>Controls exit from dauer stage (Bargmann and Horvitz, 1991).</t>
  </si>
  <si>
    <t>ASJR</t>
  </si>
  <si>
    <t>ASKL</t>
  </si>
  <si>
    <t>Glutamate. Expresses VGluT, EAT-4 (Lee et al., 1999). Express neuropeptide-like proteins, NLP-8, NLP-10, NLP-14 (Nathoo et al., 2001).</t>
  </si>
  <si>
    <t>- OSM-9; TRPV (transient receptor potential channel, vanilloid subfamily; mammalian capsaicin receptor-like channel)-cation selective channel
 (Colbert et al., 1997).
- Express G protein-coupled serpentine receptors, SRA-7, SRA-9, SRG-2, SRG-8 (Troemel et al., 1995).
 Express transmembrane guanylyl cyclase DAF-11 (Birnby et al., 2000).</t>
  </si>
  <si>
    <t>- Involved in chemotaxis to lysine (Bargmann and Horvitz, 1991). 
- ASH, ADL, ASK and ASE sensory neurons are responsible for the detection of certain chemical repellents. ASH plays a major role in this avoidance, whereas ADL, ASK and ASE play minor roles that are only evident when ASH is missing (Hiliard et al., 2002; Sambongi et al., 1999; Bargmann et al, 1990.) Mediate avoidance behavior from protons, detergents, alkaloids such as quinine -ASH is the main sensory neuron responsible for quinine detection while ASK plays a minor role (Hilliard et al, 2004).
 - After animals are removed from bacterial food, they initiate a local search behavior consisting of reversals and deep omega-shaped turns. This is followed by dispersal ~30 min later, as reversals and turns are suppressed. Local search behavior is triggered by AWC olfactory neurons, ASK gustatory neurons, and AIB interneurons while dispersal is promoted by ASI gustatory neurons and AIY interneurons (Gray et al., 2005).
 - One of the three core sensory neurons (AWA, AWC, ASK) that are required for sexual-attraction in males (White and Jorgensen, 2012). </t>
  </si>
  <si>
    <t>ASKR</t>
  </si>
  <si>
    <t>AUAL</t>
  </si>
  <si>
    <t>Neuron, process runs with amphid processes but lacks ciliated ending</t>
  </si>
  <si>
    <t>Express glutamate receptor subunit, GLR-4 (Brockie et al., 2001). Express neuropeptide Y receptor like protein, NPR-1 which mediates social feeding behavior (Coates and de Bono , 2002). Express a splice variant of the tyramine receptor SER-2 (Tsalik et al., 2003). Possibly express the dopamine receptor DOP-1 (Sanyal et al., 2004).</t>
  </si>
  <si>
    <t>Regulate social feeding behavior along with AQR, PQR and URX neurons (Coates and de Bono, 2002).</t>
  </si>
  <si>
    <t>AUAR</t>
  </si>
  <si>
    <t>AVAL</t>
  </si>
  <si>
    <t>Ventral cord interneuron</t>
  </si>
  <si>
    <t>FMRFamide (FLP-1). Express FMRFamide-like peptide, FLP-1 precursor (Nelson et al., 1998). Express the FMRFamide-related neuropeptide (FaRP), FLP-18 (Rogers et al., 2003).</t>
  </si>
  <si>
    <t>Express glutamate receptor subunits, GLR-1, GLR-2, GLR-4, GLR-5, NMR-1 and NMR-2 (Maricq et al., 1995; Brockie et al., 2001). Suggested to express GABA-A/glycine receptor-like protein GGR-3 (Fujiwara et al., 1996). Express UNC-8, a DEG/ENaC family member homologous to subunits of a candidate mechanically gated ion channel (Tavernarakis et al., 1997).</t>
  </si>
  <si>
    <t>Command interneuron. Functions as driver cell for backward locomotion. Drives backward movement of the animal along with touch modulator AVD neuron, AVE and A-type motor neurons.</t>
  </si>
  <si>
    <t>AVAR</t>
  </si>
  <si>
    <t>AVBL</t>
  </si>
  <si>
    <t>Express glutamate receptor subunits, GLR-1 and GLR-5 (Maricq et al., 1995; Brockie et al., 2001). Express G protein-coupled serpentine receptor, SRA-11 (Troemel et al., 1995). Suggested to express GABA-A/glycine receptor-like protein GGR-3 (Fujiwara et al., 1996). Express UNC-8, a DEG/ENaC family member homologous to subunits of a candidate mechanically gated ion channel (Tavernarakis et al., 1997).</t>
  </si>
  <si>
    <t>Command interneuron. Functions as driver cell for forward locomotion. Drives forward movement of the animal along with the touch modulator, PVC, and B-type motor neurons.</t>
  </si>
  <si>
    <t>AVBR</t>
  </si>
  <si>
    <t>AVDL</t>
  </si>
  <si>
    <t>Express glutamate receptor subunits, GLR-1, GLR-2, GLR-5, NMR-1 and NMR-2 (Maricq et al., 1995; Brockie et al., 2001). Express UNC-8, a DEG/ENaC family member homologous to subunits of a candidate mechanically gated ion channel (Tavernarakis et al., 1997).</t>
  </si>
  <si>
    <t>Command interneuron. Functions as touch modulator for backward locomotion induced by head-touch. Drives backward movement of the animal along with driver cell AVA neuron, AVE and A-type motor neurons</t>
  </si>
  <si>
    <t>AVDR</t>
  </si>
  <si>
    <t>AVEL</t>
  </si>
  <si>
    <t>Ventral cord interneuron, like AVD but outputs restricted to anterior cord</t>
  </si>
  <si>
    <t>FLP-1 precursor (Nelson et al., 1998).</t>
  </si>
  <si>
    <t>Express glutamate receptor subunits, GLR-1, GLR-2, GLR-5, NMR-1 and NMR-2 (Maricq et al., 1995; Brockie et al., 2001).</t>
  </si>
  <si>
    <t>Command interneuron. Drive backward movement of the animal along with AVA, AVD and A-type motor neurons.</t>
  </si>
  <si>
    <t>AVER</t>
  </si>
  <si>
    <t>AVFL</t>
  </si>
  <si>
    <t>Retrovesicular ganglion of head</t>
  </si>
  <si>
    <t>AVFR</t>
  </si>
  <si>
    <t>AVG</t>
  </si>
  <si>
    <t>Express glutamate receptor subunits, GLR-1, GLR-2, NMR-1 and NMR-2 (Maricq et al., 1995; Brockie et al., 2001). Expresses alpha subunit of a nicotinic acetylcholine receptor, DEG-3 (Treinin and Chalfie, 1995).</t>
  </si>
  <si>
    <t>Anterior guidepost neuron. AVG pioneers the right tract of the ventral nerve cord. It expresses UNC-6 at 3-fold embryo stage to provide a continuous UNC-6 (netrin)-labeled pathway restricted to the right tract of the nerve cord. The unilateral UNC-6 cue from AVG guides various paired axons growing from the nerve ring and lumbar ganglia to make rightward decussations as they enter the ventral nerve cord. UNC-6 also promotes bundling of axons within the cord itself. If the parent of AVG is ablated in wild-type embryos, interneurons and ventral cord motor neurons form several small fascicles rather than one tight bundle of right side tract and occasionally the right side axons shift to the left side (Wadsworth et al., 1996; Wadsworth and Hedgecock, 1986; Durbin 1987; Antebi et al., 1997).</t>
  </si>
  <si>
    <t>AVHL</t>
  </si>
  <si>
    <t>Neuron, mainly postsynaptic in ventral cord and presynaptic in the ring</t>
  </si>
  <si>
    <t>Express glutamate receptor subunit GLR-4 (Brockie et al., 2001). Express a splice variant of the tyramine receptor SER-2 (Tsalik et al., 2003). Suggested to express GABA-A/glycine receptor-like protein GGR-1 (Fujiwara et al., 1996). </t>
  </si>
  <si>
    <t>AVHR</t>
  </si>
  <si>
    <t>AVJL</t>
  </si>
  <si>
    <t>Neuron, synapses like AVHL/R</t>
  </si>
  <si>
    <t>Possibly glutamate (the neuron may be AIN instead). possibly expresses VGluT, EAT-4 (Lee et al., 1999).</t>
  </si>
  <si>
    <t>Express glutamate receptor subunit GLR-1 (Maricq et al., 1995).</t>
  </si>
  <si>
    <t>AVJR</t>
  </si>
  <si>
    <t>AVKL</t>
  </si>
  <si>
    <t>Ventral ganglion of head</t>
  </si>
  <si>
    <t>Ring and ventral cord interneuron</t>
  </si>
  <si>
    <t>Express FMRFamide-like peptide, FLP-1 precursor (Nelson et al., 1998).</t>
  </si>
  <si>
    <t>Express glutamate receptor subunit GLR-5 (Brockie et al., 2001).</t>
  </si>
  <si>
    <t>AVKR</t>
  </si>
  <si>
    <t>AVL</t>
  </si>
  <si>
    <t>Interneuron/motor neuron</t>
  </si>
  <si>
    <t>Ring and ventral cord interneuron and an excitatory GABAergic motor neuron for rectal muscles. Few synapses</t>
  </si>
  <si>
    <t>GABA (Eastman et al., 1999)</t>
  </si>
  <si>
    <t>Defecation. AVL and DVB are excitatory GABAergic motor neurons for the enteric muscles (Avery and Thomas, 1997; McIntire et al., 1993). Together with DVB, activates expulsion muscle contraction (E.p or EMC), also required for anterior body contraction (aBoc) step in defecation motor program (DMP).</t>
  </si>
  <si>
    <t>AVM</t>
  </si>
  <si>
    <t>Lateral. Right side of the anterior half of the body</t>
  </si>
  <si>
    <t>Anterior ventral microtubule cell, touch receptor</t>
  </si>
  <si>
    <t>AWAL</t>
  </si>
  <si>
    <t>Amphid wing cells, neurons having ciliated sheet-like sensory endings closely associated with amphid sheath</t>
  </si>
  <si>
    <t>Express 7-TM diacetyl receptor ODR-10 (Sengupta et al., 1996; Zhang et al., 1997). Express TRPV (mammalian capsaicin receptor-like channel) proteins OSM-9 (Colbert et al., 1997) and OCR-1 and OCR-2 (Tobin et al., 2002).</t>
  </si>
  <si>
    <t>Chemotaxis to diacetyl, pyrazine, trimethylthiazole (Bargmann et al., 1993). One of the three core sensory neurons (AWA, AWC, ASK) that are required for sexual-attraction in males (White and Jorgensen, 2012).</t>
  </si>
  <si>
    <t>AWAR</t>
  </si>
  <si>
    <t>AWBL</t>
  </si>
  <si>
    <t>Express neuropeptide-like proteins NLP-3 and NLP-9 (Nathoo et al., 2001).</t>
  </si>
  <si>
    <t>Express G protein-coupled serpentine receptor STR-1 (Troemel et al., 1997). Express transmembrane guanylyl cyclase DAF-11 (Birnby et al., 2000). Suggested to express AEX-2, a 7-transmembrane domain protein with homology to the G protein-coupled receptor family (Mahoney et al., 2008).</t>
  </si>
  <si>
    <t>Avoidance from 2-nonanone, 1-octanol (Troemel et al., 1997).</t>
  </si>
  <si>
    <t>AWBR</t>
  </si>
  <si>
    <t>AWCL</t>
  </si>
  <si>
    <t>- Glutamate (AWC-AIA synapse is an inhibitory, glutamatergic synapse whose function is acutely modulated by NLP-1/NPR-11 signaling)
 - NLP-1; neuropeptide-like protein
(Chalasani et al., 2010; Glauser and Goodman, 2010; Nathoo et al., 2001)</t>
  </si>
  <si>
    <t>Express mammalian capsaicin receptor-like channel protein OSM-9 (Colbert et al., 1997). Express transmembrane guanylyl cyclase DAF-11 (Birnby et al., 2000). Express G protein-coupled serpentine receptor, STR-2, asymmetrically (randomly on the right or left side) (Troemel et al., 1999). </t>
  </si>
  <si>
    <t>- AWC olfactory neurons are critical for chemotaxis to volatile odorants, (e.g. chemotaxis to benzaldehyde, butanone, isoamylalcohol, 2,3 pentanedione and 2,4,5 trimethylthiazole)
- They function in induction of local search behavior and promoting turns. After animals are removed from bacterial food, they initiate a local search behavior consisting of reversals and deep omega-shaped turns. This is followed by dispersal ~30 min later as reversal and turns are suppressed. Local search behavior is triggered by AWC olfactory neurons, ASK gustatory neurons, and AIB interneurons while dispersal is promoted by ASI gustatory neurons and AIY interneurons (Gray et al., 2005).The AWC neurons synapse onto several interneurons including AIB and AIY, which enhance and suppress turning, respectively. The AWC neurons activate the AIB interneurons through AMPA-type glutamate receptors and inhibit AIY interneurons through glutamate-gated chloride channels. AWC are odor-OFF neurons that are activated by odor removal and inhibited in the continued presence of odors. On prolonged exposure to odorant (over 30 min), adaptation to AWC-sensed odors occurs, abrogating the chemotactic response. NLP-1 is required for these AWC-dependent food-evoked behaviors and odor adaptation (Chalasani et al., 2010; Chalasani et al., 2007; Gray et al., 2005; L'Etoile and Bargmann, 2000; Bargmann et al., 1993).
 - Thermosensor: After cultivation at a uniform temperature (Tc) with sufficient food, animals preferentially migrate to their cultivation temperature (Tc) when placed on a thermal gradient, and move isothermally at this temperature (Hedgecock and Russell 1975). Animals sense and record their Tc by AFD (major thermosensory) and AWC and ASI neurons (Beverly et al, 2011; Kuhara et al., 2008; Biron et al., 2008). This Tc memory is plastic and can be reset upon cultivation at a different temperature (Hedgecock and Russell 1975). Activity of both the AFD and the AWC neurons is essential for the execution of thermotactic behaviors with high fidelity and precision. Upon sensation of a higher temperature than Tc, Ca++ concetration in AWC increases via production of cGMP by ODR-1 and activation of cGMP-dependent TAX-4 cation channel (Kuhara et al., 2008). Unlike AFD neurons, which respond to thermal stimuli above Tc with continuous, graded calcium signals in a deterministic and highly reproducible way, AWC neurons exhibit stochastic temperature-evoked Ca++ changes that are stimulus-correlated with different temporal kinetics at temperatures above and below Tc (Biron et al., 2008). AWC appears to get more active as temperatures rise or fall  further from Tc. The AFD, AWC and ASI neurons seem to act in concert to increase turning rate when animals encounter higher temperatures than Tc on a gradient to move down the gradient toward colder temperatures near Tc (negative thermotaxis) (Biron et al., 2008). To track isotherms, animals do not actively pursue isothermal alignment, but once serendipitously aligned along an isotherm (at T=Tc), they track by suppressing turns (Luo et al., 2006). AWC neurons are relatively quiet around temperatures close to the Tc.
- One of the three core sensory neurons (AWA, AWC, ASK) that are required for sexual-attraction in males (White and Jorgensen, 2012).</t>
  </si>
  <si>
    <t>AWCR</t>
  </si>
  <si>
    <t>BAGL</t>
  </si>
  <si>
    <t>Anterior to the nerve ring in head</t>
  </si>
  <si>
    <t>Neuron, ciliated ending in head, no supporting cells, associated with ILso</t>
  </si>
  <si>
    <t>Expresses orphan receptor (chemosensory/odorant?) guanylyl cyclase, GCY-33 (Yu et al., 1997).</t>
  </si>
  <si>
    <t>A neural circuit that includes BAG neurons mediate acute CO2 avoidance (Hallem and Sternberg, 2008; Bretscher et al., 2008)</t>
  </si>
  <si>
    <t>BAGR</t>
  </si>
  <si>
    <t>BDUL</t>
  </si>
  <si>
    <t>Lateral. Left and right sides of the anterior half of the body</t>
  </si>
  <si>
    <t>Neuron, process runs along excretory canal and into ring, unique darkly staining synaptic vesicles</t>
  </si>
  <si>
    <t>Express neuropeptide-like proteins, NLP-1 and NLP-15 (Nathoo et al., 2001).</t>
  </si>
  <si>
    <t>Express glutamate receptor subunit, GLR-8 (Brockie et al., 2001). Express a splice variant of the tyramine receptor SER-2 (Tsalik et al., 2003).</t>
  </si>
  <si>
    <t>Express neuropeptide-like proteins, NLP-1 and NLP-15 (Nathoo et al., 2001).
Function: Guidance for AVM process outgrowth during L1 stage (Walthall and Chalfie, 1988).</t>
  </si>
  <si>
    <t>BDUR</t>
  </si>
  <si>
    <t>CANL</t>
  </si>
  <si>
    <t>Midbody, lateral sides</t>
  </si>
  <si>
    <t>Process runs along excretory canal, no synapses, essential for survival</t>
  </si>
  <si>
    <t>Monoamine. Express VMaT, CAT-1 (Duerr et al., 1999). Express neuropeptide-like proteins, NLP-10 and NLP-15 (Nathoo et al., 2001).</t>
  </si>
  <si>
    <t>Express a splice variant of the tyramine receptor SER-2 (Tsalik et al., 2003). Suggested to express GABA-A/glycine receptor-like protein GGR-2 (Fujiwara et al., 1996).</t>
  </si>
  <si>
    <t>CANR</t>
  </si>
  <si>
    <t>CEPDL</t>
  </si>
  <si>
    <t>Head</t>
  </si>
  <si>
    <t>Cephalic neurons, contain dopamine</t>
  </si>
  <si>
    <t>Dopamine. Express TH, CAT-2 (Lints and Emmons, 1999).</t>
  </si>
  <si>
    <t>Express the dopamine receptor DOP-2 (Suo et al., 2003).</t>
  </si>
  <si>
    <t>Mechanosensory function in the head. When well-fed C. elegans hermaphrodites are washed clean of bacteria and then reintroduced to the bacterial lawn, they move more slowly than when transferred to an environment without bacteria. This behavior is described as "basal slowing response". The three classes of dopaminergic neurons (CEPs, ADEs, and PDEs) function redundantly to sense the mechanosensory stimulus from bacteria and mediate the motor circuit to control this behavioral change (Sawin et al., 2000).</t>
  </si>
  <si>
    <t>CEPDR</t>
  </si>
  <si>
    <t>CEPVL</t>
  </si>
  <si>
    <t>CEPVR</t>
  </si>
  <si>
    <t>DA1</t>
  </si>
  <si>
    <t>Ventral cord motor neurons, innervate dorsal muscles</t>
  </si>
  <si>
    <t>Acetylcholine</t>
  </si>
  <si>
    <t>Expresses UNC-8, a DEG/ENaC family member homologous to subunits of a candidate mechanically gated ion channel (Tavernarakis et al., 1997). DA9 expresses a splice variant of the tyramine receptor SER-2 (Tsalik et al., 2003; Goodman, 2006).</t>
  </si>
  <si>
    <t>Backward locomotion. DA's receive input from the driver interneuron AVA, and modulator interneurons AVD and AVE. They send output to VD neurons.</t>
  </si>
  <si>
    <t>DA2</t>
  </si>
  <si>
    <t>DA3</t>
  </si>
  <si>
    <t>DA4</t>
  </si>
  <si>
    <t>DA5</t>
  </si>
  <si>
    <t>DA6</t>
  </si>
  <si>
    <t>DA7</t>
  </si>
  <si>
    <t>DA8</t>
  </si>
  <si>
    <t>DA9</t>
  </si>
  <si>
    <t>DB1</t>
  </si>
  <si>
    <t>Body (ventral nerve cord)|</t>
  </si>
  <si>
    <t>Ventral cord motor neurons, innervate dorsal muscles, reciprocal inhibitor</t>
  </si>
  <si>
    <t>Forward locomotion. DB's receive input from the command interneurons, AVB and PVC. They send output to VD neurons.</t>
  </si>
  <si>
    <t>DB2</t>
  </si>
  <si>
    <t>DB3</t>
  </si>
  <si>
    <t>DB4</t>
  </si>
  <si>
    <t>DB5</t>
  </si>
  <si>
    <t>DB6</t>
  </si>
  <si>
    <t>DB7</t>
  </si>
  <si>
    <t>DD1</t>
  </si>
  <si>
    <t>Ventral cord motor neurons, reciprocal inhibitors, change synaptic pattern during L1</t>
  </si>
  <si>
    <t>Sinusoidal body movement. DD's receive input from VA and VB neurons, and hence, are likely to be active during ventral muscle contractions. They form neuromuscular junctions dorsally that coordinately relax the dorsal muscles during ventral muscle contraction (Driscoll and Kaplan, 1997). D-type neurons may also regulate the wave amplitude of the sinusoidal movement since unc-25 and unc-30 mutants that lack functional D neurons generate rhythmic sinusoidal movement with a reduced amplitude (McIntire et al., 1993).</t>
  </si>
  <si>
    <t>DD2</t>
  </si>
  <si>
    <t>DD3</t>
  </si>
  <si>
    <t>DD4</t>
  </si>
  <si>
    <t>DD5</t>
  </si>
  <si>
    <t>DD6</t>
  </si>
  <si>
    <t>DVA</t>
  </si>
  <si>
    <t>Dorsorectal ganglion</t>
  </si>
  <si>
    <t>Ring interneurons, cell bodies in dorsorectal ganglion</t>
  </si>
  <si>
    <t>Expresses glutamate receptor subunits, GLR-4, GLR-5 and NMR-1 (Brockie et al., 2001). Expresses a splice variant of the tyramine receptor SER-2 (Tsalik et al., 2003). Variably expresses the serotonin receptor SER-4 (can be instead DVC neuron) (Tsalik et al., 2003). Suggested to express GABA-A/glycine receptor-like protein GGR-3 (Fujiwara et al., 1996).</t>
  </si>
  <si>
    <t>Mechanosensory integration. The PVD and DVA neurons are presynaptic to both the forward and backing interneurons, and provide input to both the anterior and posterior touch circuits. Animals lacking these neurons respond to tap stimulus with diminished forward accelerations and reversals. These neurons, therefore, seem to maintain the overall activity of the touch circuit (Wicks et al., 1996; Driscoll and Kaplan, 1997; Goodman, 2007). DVA represents a stretch receptor neuron that regulates sensory-motor integration during C. elegans locomotion. trp-4, a homologue of the mechanosensitive TRPN channel, acts as a stretch-sensitive proprioceptor in DVA. DVA both positively and negatively modulates locomotion, providing a unique mechanism whereby a single neuron can fine-tune motor activity (Li et al., 2006).</t>
  </si>
  <si>
    <t>DVB</t>
  </si>
  <si>
    <t>Motor neuron/interneuron</t>
  </si>
  <si>
    <t>An excitatory GABAergic motor neuron/interneuron located in dorso-rectal ganglion. Innervates rectal muscles</t>
  </si>
  <si>
    <t>Defecation. AVL and DVB are excitatory GABAergic motor neurons for the enteric muscles (Avery and Thomas, 1997; McIntire et al., 1993). Together with AVL, activates expulsion muscle contraction (E.p or EMC).</t>
  </si>
  <si>
    <t>DVC</t>
  </si>
  <si>
    <t>Expresses glutamate. receptor subunits, GLR-1 (Hart et al., 1995). Variably expresses the serotonin receptor SER-4 (can be instead DVA) (Tsalik et al., 2003).</t>
  </si>
  <si>
    <t>FLPL</t>
  </si>
  <si>
    <t>Have ciliated endings in head, not part of a sensillum. The endings are not open to outside. Wrap around a branch of the lateral ILso cell just below the region where the socket cell surrounds the IL neurons.</t>
  </si>
  <si>
    <t>Express mammalian capsaicin receptor-like channel protein OSM-9 (Colbert et al., 1997). Express alpha subunits of a nicotinic acetylcholine receptor, DEG-3 and DES-2 (Treinin and Chalfie, 1995, Treinin. et al., 1998). Express glutamate receptor subunit, GLR-4 (Brockie et al., 2001). Express MEC-10 (degenerin) which comprise part of a mechanosensory transduction channel (Huang and Chalfie, 1994). Express DEL-1, a DEG/ENaC family member which may be a subunit of a mechanically gated ion channel that contributes to nematode proprioception (Tavernarakis et al., 1997). Express UNC-8, a DEG/ENaC family member homologous to subunits of a candidate mechanically gated ion channel (Tavernarakis et al., 1997).</t>
  </si>
  <si>
    <t>Nose touch avoidance. Nose-on collision with an object such as an eyelash initiates backward movement of C. elegans. Three classes of mechanosensory neurons (ASH, FLP, and OLQ) act in parallel to mediate this response. Each sensory neuron class accounts for a fraction of the normal response, as follows: ASH, 45%; FLP, 29%; and OLQ, 5%. The remaining responses (~10%) are mediated by the ALM and AVM neurons, which sense anterior body touch (Kaplan and Driscoll, 1997; Goodman, 2006).</t>
  </si>
  <si>
    <t>FLPR</t>
  </si>
  <si>
    <t>HSNL</t>
  </si>
  <si>
    <t>Mid-body, close to vulva</t>
  </si>
  <si>
    <t>Hermaphrodite specific motor neurons. These cells die in male embryo. The HSNs are generated in the tail of the embryo and then migrate anteriorly to positions near the middle of the animal in both sexes. Therefore, it appears that the decision for cell death in male is not made at the time that the cells are born (Sulston et al., 1983). HSNR axon travels in the right fascicle of VNC, whereas HSNL axon travels in the left side. Axon outgrowth begins during L2 and L3 and is guided by the epithelial cells of the developing vulva and processes of the ventral nerve cord (PVP and PVQ processes). Vulval precursor cells guide the emerging HSN processes ventrally. They also organize the two HSN processes to join the ventral nerve cord in two separate fascicles and induce them to defasciculate from the ventral nerve cord and branch at the vulva (Garriga et al.,1993). Synapse formation takes place in the L3 and L4 stages. For a more detailed anatomical description of HSN neurons also refer to Reproductive System-Egg-laying apparatus.</t>
  </si>
  <si>
    <t>Serotonin (Desai et al., 1988). Express VMaT, CAT-1 (Duerr et al., 1999). Express tryptophan hydroxylase, TPH-1 (Sze et al., 2000). Acetylcholine (weak and variable staining). Rand and Nonet, 1997. Express neuropeptide-like proteins NLP-3 and NLP-15 (Nathoo et al., 2001) and NLP-8 (M. Barr, pers. comm.; Nathoo et al., 2001). Express FMRFamide-like neuropeptide FLP-5 (M. Barr; K. Kim and C. Li, pers. comm.).</t>
  </si>
  <si>
    <t>Express MEC-6 which is part of the degenerin/epithelial Na+ channel complex (Chelur et al., 2002). Express G protein-linked acetylcholine receptor GAR-2 (Lee et al., 2000). Possibly express glutamate receptor subunit GLR-5 (Brockie et al., 2001). Suggested to express GABA-A/glycine receptor-like protein GGR-2 (Fujiwara et al., 1996).</t>
  </si>
  <si>
    <t>Innervate the vulval muscles and stimulate egg laying by hermaphrodites. Laser ablation of both HSN neurons results in animals that fail to lay eggs normally and become severely bloated with eggs retained in the uterus (egl phenotype). HSN neurons are the only neurons of the egg-laying circuitry, as defined by the synaptic connectivity, that have been shown to be required for normal egg-laying (Chalfie and White, 1988). Hermaphrodites that lack the HSN motor neurons do lay eggs in response to exogenous serotonin (Trent et al, 1983).</t>
  </si>
  <si>
    <t>HSNR</t>
  </si>
  <si>
    <t>I1L</t>
  </si>
  <si>
    <t>Pharyngeal interneuron</t>
  </si>
  <si>
    <t>Pharynx anterior bulb</t>
  </si>
  <si>
    <t>Pharyngeal interneurons. The anterior projections from these cells insert onto muscles pm1 and pm2s, and have a free subcuticular, proprioceptive-like (postulated sensory) ending at the anterior end. They also extend to the basement membrane here to receive input from the somatic RIP neurons. The posterior axonal projections of the I1s run within the subventral nerve cords and then run around the pharyngeal nerve ring to the dorsal side where they meet in gap junctions. The termination of the anterior projections in the dorsal pharyngeal nerve cord is variable (Albertson and Thomson, 1976).
Neurotransmitter: Express neuropeptide-like protein NLP-3 (Nathoo et al., 2001).</t>
  </si>
  <si>
    <t>Express glutamate receptor subunits, GLR-7 and GLR-8 (Brockie et al., 2001). </t>
  </si>
  <si>
    <t>The pharyngeal and somatic nervous systems are connected to each other via gap junctions between the extrapharyngeal RIP neurons and the pharyngeal I1 neurons. When this connection is disrupted by ablation of RIPs, pharyngeal pumping becomes unresponsive to light touch which is sensed by somatic touch neurons (Avery and Thomas, 1997). I1s also synapse on MC neurons and modulate the rate of pharyngeal pumping in the absence of bacteria (Avery and Thomas, 1997).</t>
  </si>
  <si>
    <t>I1R</t>
  </si>
  <si>
    <t>I2L</t>
  </si>
  <si>
    <t>Pharyngeal interneurons. At the most anterior end of the subventral nerve cords, I2s have proprioceptive-like free subcuticular endings slightly anterior to those of I1s. They are also coupled by gap junctions to M1 neurons and attach to pm1 muscle at the anterior end. Their posterior processes terminate anterior to the cell bodies of M3 neurons (Albertson and Thomson, 1976).</t>
  </si>
  <si>
    <t>Express neuropeptide-like proteins NLP-3 and NLP-8 (Nathoo et al., 2001).</t>
  </si>
  <si>
    <t>Unknown or redundant (Avery and Thomas, 1997).</t>
  </si>
  <si>
    <t>I2R</t>
  </si>
  <si>
    <t>I3</t>
  </si>
  <si>
    <t>Pharyngeal interneuron. Anteriorly, I3 is inserted onto muscles pm1 and pm2 and terminates anterior to the dorsal gland cell duct with a proprioceptive-like ending. Posterior process terminates on the dorsal side of the nerve ring (Albertson and Thomson, 1976).</t>
  </si>
  <si>
    <t>Express glutamate receptor subunits GLR-7 and GLR-8 (Brockie et al., 2001).</t>
  </si>
  <si>
    <t>I4</t>
  </si>
  <si>
    <t>Pharynx posterior bulb</t>
  </si>
  <si>
    <t>Pharyngeal interneuron. The soma of I4 is located on the dorsal side of the terminal bulb commissure. A branch from each side runs within the terminal bulb commissure and continues anteriorly to the nerve ring in the subventral nerve cords. On the ventral side of the nerve ring, these processes cross over to the other side. The right branch travels dorsally around the left half of the nerve ring and ends buried in pm1. The left branch travels dorsally around the right side of the ring and terminates at the level of the right subdorsal apex of the pharyngeal lumen (Albertson and Thomson, 1976).</t>
  </si>
  <si>
    <t>Express neuropeptide-like proteins NLP-3 and NLP-13 (Nathoo et al., 2001).</t>
  </si>
  <si>
    <t>I5</t>
  </si>
  <si>
    <t>Pharynx posterior bulb </t>
  </si>
  <si>
    <t>Pharyngeal interneuron. I5 has a very large cell body which is located on the ventral side of the terminal bulb. Two short branches come out of the cell body and split into anterior and posterior projections. At the level of the terminal bulb commissure, the anterior processes end on the cell bodies of M2 motor neurons and are linked to them by desmosomes. Posteriorly, the processes run between pm6 and pm7 and reach a subdorsal position adjacent to the subdorsal marginal cells. Each branch then travels anteriorly to the terminal bulb commissure where they fuse across the dorsal side. Ventrally, these also become attached to the cell bodies of M2 motor neurons by desmosomes. At the level of the subventral nerve cords each branch turns anteriorly and travels to the nerve ring. They make a single closed loop within the nerve ring. A short anterior projection is also seen in the dorsal side of the nerve cord (Albertson and Thomson, 1976).</t>
  </si>
  <si>
    <t>Serotonin, based on serotonin immunoreactivity (Sawin et al., 2000). Possibly glutamate (Lee et al., 1999).</t>
  </si>
  <si>
    <t>M3 and I5 are suggested to facilitate bacterial trapping by regulating the relative duration of muscle relaxation in different regions of the pharynx (Avery, 1993). Pharyngeal relaxation becomes quicker when I5 is ablated. When both I5 and M3 are ablated there is a delay in relaxation that is indistinguishable from that caused by ablation of M3 alone, suggesting I5 slows down relaxation by inhibiting M3 (Avery and Thomas, 1997)</t>
  </si>
  <si>
    <t>I6</t>
  </si>
  <si>
    <t>A bipolar pharyngeal interneuron. Its shorter process travels posteriorly, crosses from left to right subdorsally between pm6 and pm7, and then ends with a free subcuticular ending between pm5 and pm6. The longer process runs anteriorly from the cell body to enter the nerve ring from the dorsal nerve cord, where it terminates on the dorsal side (Albertson and Thomson, 1976).
Neurotransmitter: Possibly acetylcholine (Duerr et al., 2008). Express neuropeptide-like protein NLP-3 (Nathoo et al., 2001).
Function: Unknown or redundant (Avery and Thomas, 1997).</t>
  </si>
  <si>
    <t>Possibly acetylcholine (Duerr et al., 2008). Express neuropeptide-like protein NLP-3 (Nathoo et al., 2001).</t>
  </si>
  <si>
    <t>IL1DL</t>
  </si>
  <si>
    <t>Sensory/interneuron/motor</t>
  </si>
  <si>
    <t>Neurons of inner labial sensilla, ciliated endings with striated rootlets, synapse directly onto muscle cells. IL1 dendrite ending does not protrude through the hole in the socket cell to the outside. (See a 3-D reconstruction of IL1 cells by Newbury and Moerman lab. This movie was created from confocal images of a strain expressing the GFP marker linked to the promoter for Y111B2A.8 using Zeiss LSM 5 Pascal software v. 3.2.)</t>
  </si>
  <si>
    <t>Express alpha subunit of a nicotinic acetylcholine receptor, DEG-3 (Treinin and Chalfie, 1995). Express MEC-6 which is part of the degenerin/epithelial Na+ channel complex (Chelur et al., 2002).</t>
  </si>
  <si>
    <t>When worms are touched on either the dorsal or ventral sides of their nose with an eyelash, they interrupt the normal pattern of foraging and undergo an aversive head-withdrawal reflex. This simple reflex is mediated by two classes of mechanosensory neurons (OLQ and IL1) and their synaptic targets, the RMD motor neurons. Killing any of these cells, alone or in combination, diminishes the head withdrawal reflex. IL1, OLQ, and RMD also regulate spontaneous foraging movements. Laser operated animals lacking IL1 and OLQ forage abnormally slowly and make exaggerated dorsal and ventral nose turns (Hart et al., 1995; Kaplan and Driscoll, 1997; Goodman, 2006).</t>
  </si>
  <si>
    <t>IL1DR</t>
  </si>
  <si>
    <t>IL1L</t>
  </si>
  <si>
    <t>IL1R</t>
  </si>
  <si>
    <t>IL1VL</t>
  </si>
  <si>
    <t>IL1VR</t>
  </si>
  <si>
    <t>IL2DL</t>
  </si>
  <si>
    <t>Neurons of inner labial sensilla, ciliated endings without rootlets. IL2 dendrite ending protrudes through the hole in the socket cell to the outside, hence, it is suggested that IL2 neurons are chemosensory. Stains with DiI/Ca Acetate, DiO (Burket et al., 2006), Di4ANEPPS, and RH421 (Mille and Shakes, 1995).</t>
  </si>
  <si>
    <t>Express alpha subunit of a nicotinic acetylcholine receptor, DES-2 (Treinin. et al., 2001). IL2L/R express neuropeptide Y receptor like protein, NPR-1 (Coates and de Bono, 2002).</t>
  </si>
  <si>
    <t>IL2DR</t>
  </si>
  <si>
    <t>IL2L</t>
  </si>
  <si>
    <t>IL2R</t>
  </si>
  <si>
    <t>IL2VL</t>
  </si>
  <si>
    <t>IL2VR</t>
  </si>
  <si>
    <t>LUAL</t>
  </si>
  <si>
    <t>Left lumbar ganglia</t>
  </si>
  <si>
    <t>Interneuron, short process in post ventral cord</t>
  </si>
  <si>
    <t>Express neuropeptide-like protein NLP-13 (Nathoo et al., 2001).</t>
  </si>
  <si>
    <t>Express glutamate receptor subunit GLR-5 (Brockie et al., 2001). Express a splice variant of the tyramine receptor SER-2 (Tsalik et al., 2003).</t>
  </si>
  <si>
    <t>Suggested to be a "connector cell" between the PLM touch receptors, with which they make gap junctions along the lumbar commissures, and AVA/D interneurons, with which they make chemical synapses in the ventral cord (Chalfie et al., 1985). However, laser ablation does not lead to any abnormalities of movement or touch sensitivity (Chalfie et al., 1985) and no role in tap-withdrawal reflex has been found (Wicks and Rankin, 1995).</t>
  </si>
  <si>
    <t>LUAR</t>
  </si>
  <si>
    <t>Right lumbar ganglia</t>
  </si>
  <si>
    <t>M1</t>
  </si>
  <si>
    <t>The cell body of M1 is located subdorsally between the muscle and right marginal cell. A single process runs anteriorly in this position to the nerve ring where it then joins the dorsal nerve cord. Upon reaching the level of pm1, the process splits into two to send a vesicle-filled process to each of the subventral nerve cords, synapsing on pm1 and pm2 before reaching the cords. These then run posteriorly for a short length and form synapses on pm2 and pm3 (Albertson and Thomson, 1976).</t>
  </si>
  <si>
    <t>Expresses glutamate receptor subunits, GLR-2 (Brockie et al., 2001). Suggested to express a subunit of the glutamate-gated chloride channel, AVR-14 (Cook et al., 2006; Brockie and Maricq, 2006</t>
  </si>
  <si>
    <t>M2L</t>
  </si>
  <si>
    <t>M2L/R are a pair of unipolar neurons with processes which run anteriorly in the subventral nerve cords. After making synapses on pm5, these processes travel past the pharyngeal nerve ring without changing course. They then travel dorsally piercing through pm4 while making motor synapses on pm4 along this course. These are one of the two pharyngeal neuron pairs (the other, M3) that do not make their dorsal turn within the nerve ring but more anteriorly within the muscle cells. They terminate in gap junctions to each other when they meet on the dorsal side (Albertson and Thomson, 1976).</t>
  </si>
  <si>
    <t>Possibly acetylcholine (Duerr et al., 2008). Express the FMRFamide-related neuropeptides (FaRP), FLP-18 and FLP-21 (Rogers et al., 2003). Express neuropeptide-like proteins NLP-3 and NLP-13 (Nathoo et al., 2001).</t>
  </si>
  <si>
    <t>Unknown or redundant (Avery and Thomas, 1997; Chiang et al., 2002).</t>
  </si>
  <si>
    <t>M2R</t>
  </si>
  <si>
    <t>M3L</t>
  </si>
  <si>
    <t>M3s are a bilaterally symmetric pair of inhibitory glutamatergic neurons with output to the metacorpus and possibly the isthmus. They are bipolar neurons with a posterior dendrite and an anterodorsal axon. The posterior process is approximately 5 µm and makes an occasional single synapse to pm5. The anterior projection of these cells grows past the nerve ring, and sends one branch to the dorsal side through pm4 similar to the process of M2 neuron. An additional branch runs posteriorly between pm4 and pm5 at the outside of the pharynx to just behind the nerve ring and terminates with neuromuscular synapses on the posterior edge of pm4. The branches to the dorsal side make no neuromuscular synapses along their dorsal trajectory, but similar to the two subventral branches, they pass posteriorly between pm4 and pm5 at the dorsal edge of the pharynx and form synapses on pm4 behind the nerve ring (Albertson and Thomson, 1976)..</t>
  </si>
  <si>
    <t>Possibly glutamate (express the glutamate transporter, GLT-1) (Radice and Visser, 1996, Lee et al., 1999). Express the FMRFamide-related neuropeptide (FaRP), FLP-18 (Rogers et al., 2003). Express neuropeptide-like protein, NLP-3 (Nathoo et al., 2001).</t>
  </si>
  <si>
    <t>Express glutamate receptor subunit GLR-8 (Brockie et al., 2001). Express neuropeptide Y receptor like protein, NPR-1 (Coates and de Bono, 2002).</t>
  </si>
  <si>
    <t>M3s modulate the timing of pharyngeal relaxation in corpus and promote rapid relaxation of the pharyngeal muscle following contraction. When M3s are decoupled from the pharyngeal muscle by mutating the postsynaptic receptor (a glutamate-gated chloride channel partly encoded by avr-15) for M3 neurotransmission, the duration of pharyngeal contraction increases (Dent et al., 1997). Each M3 is suggested to be proprioceptive and fire in response to corpus muscle contraction, which, in turn, induces inhibitory postsynaptic potentials (repolarization) and relaxation of the muscle. This relaxation seems to be important for effective transport of bacteria within the lumen (Avery and Thomas, 1997). Exogenous serotonin mimics the presence of food and induces rapid contraction-relaxation cycles with shortened action potentials in pharynx. This effect is dependent on MC and M3 neurons (see model below) (Niacaris and Avery, 2003).</t>
  </si>
  <si>
    <t>M3R</t>
  </si>
  <si>
    <t>M4</t>
  </si>
  <si>
    <t>The cell body of M4 is located dorsally at the level of the nerve ring. M4 sends two ventral branches, which run around the nerve ring on each side. These processes then cross to the other side and continue to run posteriorly in the subventral nerve cords. In the isthmus, M4 makes neuromuscular synapses on pm5. The two processes turn dorsally in the terminal bulb commissure, meet each other in gap junctions and run anteriorly in the dorsal nerve cord for some variable distance through the isthmus before ending. These also make synapses on pm5 on the dorsal side. Unlike other pharyngeal motor neurons, M4 contains darkly-staining vesicles, similar to the 65 nm dense core vesicles associated with some amphidial neurones (Albertson and Thomson, 1976).</t>
  </si>
  <si>
    <t>Possibly acetylcholine (Duerr et al., 2008). Express the FMRFamide-related neuropeptide (FaRP), FLP-21 (Rogers et al., 2003).</t>
  </si>
  <si>
    <t>Expresses G-alpha(s) coupled 5-HT7-like receptor, SER7b (Hobson et al., 2003). Expresses glutamate receptor subunit GLR-8 (Brockie et al., 2001).</t>
  </si>
  <si>
    <t>M4 is essential for feeding in wild- type worms. M4 synapses on the isthmus and the terminal bulb, and is necessary for posterior isthmus peristalsis (Avery and Thomas, 1997). Worms lacking M4 continue pumping, however, bacteria become trapped in corpus and anterior isthmus and these worms fail to grow since they can not pass the food to their intestines.</t>
  </si>
  <si>
    <t>M5</t>
  </si>
  <si>
    <t>M5 is located subdorsally on the left, posterior to pm7. It sends one dorsal and one ventral process. Dorsal process makes a half circle running behind pm7. The two processes then cross on the ventral side and run anteriorly adjacent to the ventral marginal cell until they reach the terminal bulb commissure. The processes pass under the cell bodies of motor neurons M2 and continue to meet in gap junctions on the dorsal side of the terminal bulb commissure. Along the way they also send short, posterior branches which run on either side of the subdorsal marginal cells (Albertson and Thomson, 1976).</t>
  </si>
  <si>
    <t>Possibly acetylcholine (Duerr et al., 2008). Express FMRFamide-like peptide, FLP-1 precursor (Nelson et al., 1998).</t>
  </si>
  <si>
    <t>Expresses glutamate receptor subunit GLR-8 (Brockie et al., 2001).</t>
  </si>
  <si>
    <t>Unknown or redundant (Avery and Thomas, 1997). </t>
  </si>
  <si>
    <t>MCL</t>
  </si>
  <si>
    <t>MC's are a pair of cholinergic excitatory (motor) neurons. Anteriorly, they have free subcuticular (putative proprioceptive) endings between pm3 and pm4. Posteriorly, each cell sends a process which enters the nerve ring from the subventral nerve cord and makes a loop around the nerve ring. On the dorsal side these processes send a branch to the outside edge of the pharynx under the marginal cell 2 (mc2) of the opposite side. Once they reach the opposite ventral side, each process continues to run posteriorly under the ventral marginal cell, terminating at the very anterior of the isthmus. Their most prominent connections are gap junctions to M2 and they synapse strongly on the mc2 (Albertson and Thomson, 1976). MC's also synapse onto pm4 (L. Avery pers. comm.)</t>
  </si>
  <si>
    <t>Acetylcholine (Niacaris and Avery, 2003; Raizen et al, 1995). Express the FMRFamide-related neuropeptide (FaRP), FLP-21 (Rogers et al., 2003).</t>
  </si>
  <si>
    <t>MC's control the frequency of pharyngeal pumping (Avery and Thomas, 1997). They initiate pharyngeal muscle action potentials, and hence, function as pacemakers of pumping. Release of Ach from MC neurons stimulates the muscle via a postsynaptic nicotinic ACh receptor encoded by eat-2 (Niacaris and Avery, 2003; McKay et al., 2004). In eat-2 mutants MC is decoupled from pharyngeal muscle and the pharynx is unable to pump rapidly in the presence of food. Modulators of pharyngeal pumping such as exogenous serotonin mostly act through MC neurons.</t>
  </si>
  <si>
    <t>MCR</t>
  </si>
  <si>
    <t>MI</t>
  </si>
  <si>
    <t>MI is a unipolar neuron which is located in the dorsal nerve cord, anterior to the pharyngeal nerve ring. Its process makes a complete turn around the ring in a clockwise or counterclockwise fashion ending in dorsal cord. This neuron makes variable synapses that often have both nerve and muscle as the post synaptic cells (see connectivity diagram below) (Albertson and Thomson, 1976).</t>
  </si>
  <si>
    <t>Expresses glutamate receptor subunits, GLR-2 (Brockie et al., 2001).</t>
  </si>
  <si>
    <t>NSML</t>
  </si>
  <si>
    <t>NSM cell bodies are located in the pharyngeal subventral nerve cords just anterior to the nerve ring. These cells are bipolar with one major process from each cell bifurcating near the cell body to two thick processes. There is also a third, long, thin process that originates from the cell body and possibly functions as proprioceptive (Axang et al., 2008). One of the two main branches crosses to the opposite side, turns dorsally within the nerve ring and continues its trajectory posteriorly within the dorsal nerve cord of the isthmus. The other branch runs posteriorly within the subventral nerve cord of the isthmus. These processes run at the most outside edge of the nerve cords, very close to pseudocoelom, and make synapses to the pharyngeal basement membrane and muscle cells. Both processes terminate before reaching the terminal bulb. Within the isthmus these processes periodically swell to form varicosities filled with large, lightly- and darkly-staining membrane bound vesicles, as well as small clear vesicles. 
Along with these major processes NSM's also have small, synapse-free processes with free endings just under the cuticle of the pharyngeal lumen at the boundary between the corpus and isthmus (where bacteria accumulate). These endings are attached to the adjacent muscle cells by desmosomes and are thought to act as stretch (proprioceptive) receptors. These processes can not be seen at the light microscopic level (therefore not obvious in GFP images below). They have also been omitted from the drawn images below. The NSM's receive extensive synapses from I2 (see connectivity diagram below) (Albertson and Thomson, 1976). NSM's are serotonergic but they are also able to take up exogenous serotonin via a serotonin reuptake transporter, MOD-5 (Ranganathan et al., 2001).
</t>
  </si>
  <si>
    <t>Serotonin (Horvitz et al., 1982; Sze et al., 2000). Glutamate (Lee et al., 1999). Express neuropeptide-like proteins, NLP-13, NLP-18, NLP-19 (Nathoo et al., 2001).</t>
  </si>
  <si>
    <t>Express glutamate receptor subunits, GLR-7 and GLR-8 (Brockie et al., 2001). Express a splice variant of the tyramine receptor SER-2 (Tsalik et al., 2003). Suggested to express AEX-2, a 7-transmembrane domain protein with homology to the G protein-coupled receptor family (Round et al., 2002). </t>
  </si>
  <si>
    <t>Initially suggested to have neurohumoral function signaling the presence of food to the body since NSM's appear secretory by morphology and have processes that run in close apposition to the pseudocoelom over most of their lengths (Albertson and Thomson, 1976, Avery and Thomas, 1997). They were postulated to sense bacteria in their lumen by their proprioceptive endings and transmit this to the rest of the body by secretions to the pseudocoelomic fluid. The presence of food leads to increased pharyngeal pumping, decreased locomotion and increased egg-laying behavior. Exogenous application of serotonin also induces these responses supporting the hypothesis NSM's can function neurohumorally by serotonin secretion. However, ablation of NSM's have only subtle effects on pumping suggesting they may not play any important role in this behavior (Avery et al., 1993, Avery and Thomas, 1997). When placed on a bacterial lawn, previously food-deprived animals slow down their locomotion to a higher degree compared to well-fed animals. This phenomenon is described as "the enhanced slowing response". When NSM's are ablated there is a small but significant decrease in the enhanced slowing response suggesting NSM's contribute to this behavior (Sawin et al., 2000).</t>
  </si>
  <si>
    <t>NSMR</t>
  </si>
  <si>
    <t>OLLL</t>
  </si>
  <si>
    <t>Neurons of outer labial lateral sensilla, ciliated endings with striated rootlets.</t>
  </si>
  <si>
    <t>Express a splice variant of the tyramine receptor SER-2 (Tsalik et al., 2003).</t>
  </si>
  <si>
    <t>Putative mechanosensory.</t>
  </si>
  <si>
    <t>OLLR</t>
  </si>
  <si>
    <t>OLQDL</t>
  </si>
  <si>
    <t>Sensory neuron/interneuron</t>
  </si>
  <si>
    <t>Express mammalian capsaicin receptor-like channel protein OSM-9 (Colbert et al., 1997). Express osm-9/capsaicin receptor related TRPV protein, OCR-4 (Tobin et al., 2002). Express neuropeptide Y receptor like protein, NPR-1 (Coates and de Bono, 2002).</t>
  </si>
  <si>
    <t>OLQDR</t>
  </si>
  <si>
    <t>OLQVL</t>
  </si>
  <si>
    <t>OLQVR</t>
  </si>
  <si>
    <t>PDA</t>
  </si>
  <si>
    <t>Sensory - motor neuron</t>
  </si>
  <si>
    <t>Preanal ganglion</t>
  </si>
  <si>
    <t>During the second larval stage (L2), the rectal epithelial cell Y withdraws from the epithelium, migrates anterodorsally, and then becomes the PDA neuron through a transdifferentiation event while P12.pa, born at the end of the L1 stage just anterior to the position of Y, replaces Y in the rectum, completing the toroid with B epithelial cell. (Sulston and Horvitz 1977).
 In male, Y divides and the anterior daughter becomes PDA. The dorsal cord process of PDA ends in the posterior part of the body (O. Hobert, pers. comm.). Hermaphrodites and males exhibit some differences in PDA connectivity.</t>
  </si>
  <si>
    <t>Expresses an excitatory GABA receptor subunit, EXP-1 (Beg and Jorgensen, 2003, also pers. comm.). Expresses UNC-8, a DEG/ENaC family member homologous to subunits of a candidate mechanically gated ion channel (Tavernarakis et al., 1997).</t>
  </si>
  <si>
    <t>Innervates posterior dorsal body wall muscles.</t>
  </si>
  <si>
    <t>PDB</t>
  </si>
  <si>
    <t>Motor neuron. Born postembryonically. Sends process towards tail which turn around and join dorsal cord.</t>
  </si>
  <si>
    <t>Expresses UNC-8, a DEG/ENaC family member homologous to subunits of a candidate mechanically gated ion channel (Tavernarakis et al., 1997).</t>
  </si>
  <si>
    <t>PDEL</t>
  </si>
  <si>
    <t>Posterior half of the body</t>
  </si>
  <si>
    <t>Posterior deirids, postembryonically born. Sensory receptors located next to dorsal body wall muscle along the lateral side of the posterior body.</t>
  </si>
  <si>
    <t>Express the dopamine receptor DOP-2 (Suo et al., 2003 ).</t>
  </si>
  <si>
    <t>When well-fed C. elegans hermaphrodites are washed clean of bacteria and then reintroduced to the bacterial lawn, they move more slowly than when transferred to an environment without bacteria. This behavior is described as "basal slowing response". The three classes of dopaminergic neurons (CEPs, ADEs, and PDEs) function redundantly to sense the mechanosensory stimulus from bacteria and mediate the motor circuit to control this behavioral change (Sawin et al., 2000).</t>
  </si>
  <si>
    <t>PDER</t>
  </si>
  <si>
    <t>PHAL</t>
  </si>
  <si>
    <t>Phasmid neurons, chemosensory</t>
  </si>
  <si>
    <t>Express neuropeptide-like proteins, NLP-7 and NLP-14 (Nathoo et al., 2001).</t>
  </si>
  <si>
    <t>Expresses orphan receptor (chemosensory/odorant?) guanylyl cyclase, GCY-12 (Yu et al., 1997). Express TRPV channel proteins, OSM-9 (Colbert et al., 1997) and OCR-2 (Tobin et al., 2002). Express G protein-coupled serpentine receptors, SRG-13 and SRB-6 (Troemel et al., 1995). Express neuropeptide Y receptor like protein, NPR-1 (Coates and de Bono, 2002).</t>
  </si>
  <si>
    <t>Express neuropeptide-like proteins, NLP-7 and NLP-14 (Nathoo et al., 2001).
Function: Modulate chemorepulsion behavior in worms (Hilliard et al., 2002).</t>
  </si>
  <si>
    <t>PHAR</t>
  </si>
  <si>
    <t>PHBL</t>
  </si>
  <si>
    <t>Serotonin, based on serotonin immunoreactivity (Sawin et al., 2000). Express neuropeptide-like protein, NLP-1 (Nathoo et al., 2001).</t>
  </si>
  <si>
    <t>Express TRPV channel proteins, OSM-9 (Colbert et al., 1997) and OCR-2 (Tobin et al., 2002). Express G protein-coupled serpentine receptor, SRB-6 (Troemel et al., 1995). Express neuropeptide Y receptor like protein, NPR-1 (Coates and de Bono, 2002).</t>
  </si>
  <si>
    <t>Modulate chemorepulsion behavior in worms (Hilliard et al., 2002).</t>
  </si>
  <si>
    <t>PHBR</t>
  </si>
  <si>
    <t>PHCL</t>
  </si>
  <si>
    <t>Neuron, striated rootlet in male, possibly sensory in tail spike</t>
  </si>
  <si>
    <t>Express the dopamine receptor DOP-1 (Sanyal et al., 2004).</t>
  </si>
  <si>
    <t>Mechanosensory</t>
  </si>
  <si>
    <t>PHCR</t>
  </si>
  <si>
    <t>PLML</t>
  </si>
  <si>
    <t>Lumbar ganglia</t>
  </si>
  <si>
    <t>Posterior lateral microtubule cells, touch receptor neurons. Send ventrally directed processes to ventral cord.</t>
  </si>
  <si>
    <t>Express MEC-2 (stomatin-like), MEC-4 (degenerin), MEC-6 which comprise part of a mechanosensory transduction channel (Huang et al., 1995; Lai et al., 1996; Chelur et al., 2002). Express MEC-9 which is suggested to provide an extracellular attachment point for the mechanosensory channels in touch cells (Du et al., 1996) and MEC-6 which is part of the degenerin/epithelial Na+ channel complex (Chelur et al., 2002). Express glutamate receptor subunit, GLR-8 (Brockie et al., 2001). Express alpha subunits of a nicotinic acetylcholine receptor, DEG-3 and DES-2 (Treinin and Chalfie, 1995; Treinin et al., 1998). Express the dopamine receptor DOP-1 (Sanyal et al., 2004).</t>
  </si>
  <si>
    <t>Along with AVM and ALM, sense touch to the body and provide input to the command (inter)neurons (PVC, AVB, AVD, AVA) via both synaptic connections and gap junctions (Chalfie et al., 1985). The touch cells form gap junctions with agonist interneurons and chemical synapses with the antagonist interneurons. Hence, the anterior touch cells PLML/R form gap junctions with the forward movement interneuron PVC, but they provide synaptic input to the backward interneurons AVA and AVD (Kaplan and Driscoll, 1997; Goodman, 2006).</t>
  </si>
  <si>
    <t>PLMR</t>
  </si>
  <si>
    <t>PLNL</t>
  </si>
  <si>
    <t>The processes of PLN's run closely associated with those of PLM's in the posterior half of the animal. At midbody, they join the ventral sublateral cords via bilateral, short ventrally directed commissures. Anteriorly, they enter the ventral cord via amphidial commissures. These neurons are postembryonically born.</t>
  </si>
  <si>
    <t>Express the dopamine receptor DOP-1 (Tsalik et al., 2003).</t>
  </si>
  <si>
    <t>PLNR</t>
  </si>
  <si>
    <t>PQR</t>
  </si>
  <si>
    <t>Left Lumbar ganglia</t>
  </si>
  <si>
    <t>Single neuron with basal body. It is directly exposed to the pseudocoelomic body fluid. An anterior process projects into preanal gangion and usually ends just posterior to the vulva, although can be slightly shorter or longer. Posterior process is ensheathed by PHso2L cell. Postembryonically born from the left Q neuroblast (QL) and migrates posteriorly to a position near the phasmid neurons in the left lumbar ganglion
 See a 3-D reconstruction of PQR by R. Newbury &amp; Moerman lab. (Cell labels are shown below. 3-D movie was created from confocal images of a strain expressing the GFP marker linked to the promoter for ZC53.7 using Zeiss LSM 5 Pascal software v. 3.2).</t>
  </si>
  <si>
    <t>Expresses orphan receptor (chemosensory/odorant?) guanylyl cyclase, GCY-32 (Yu et al., 1997). Express neuropeptide Y receptor like protein, NPR-1 which mediates social feeding behavior (Coates and de Bono, 2002). Express specific soluble guanylate cyclase homologue, GCY-35 which binds molecular oxygen and mediates oxygen sensation (Gray et al., 2004).</t>
  </si>
  <si>
    <t>Along with AQR, URX and AUA, PQR regulate social feeding (or aggregation on a bacterial lawn) and bordering (the accumulation of animals on the thickest part of a bacterial lawn) behavior since suppressing the activity of AQR, PQR, and URX neurons inhibits social feeding (Coates and de Bono , 2002). AQR, PQR and URX function as sensors of environmental oxygen which is a quantitative regulator of social feeding (Gray et al., 2004). Decreases in oxygen leads to a dose-dependent suppression of social feeding behavior and bordering. Oxygen acts in parallel to NPR-1 in regulating social feeding behavior.</t>
  </si>
  <si>
    <t>PVCL</t>
  </si>
  <si>
    <t>Tail; lumbar ganglion</t>
  </si>
  <si>
    <t>Ventral cord interneuron, cell body in lumbar ganglion, synapses onto VB and DB motor neurons, formerly called delta</t>
  </si>
  <si>
    <t>PVCR</t>
  </si>
  <si>
    <t>PVDL</t>
  </si>
  <si>
    <t>Born postembryonically (see V lineage). PVDL/R have extensive branching pattern in adult animals (Hobert O. &amp; Treinin M., pers. comm). In larval stages 3 major processes are discerned; one anteriorly directed, one posteriorly directed and one ventrally directed. These processes show short extensions and branches along their length. As the animal ages, this branching pattern is elaborated extensively and covers most of the body.</t>
  </si>
  <si>
    <t>Glutamate. Expresses VGluT, EAT-4 (Lee et al., 1999). Express neuropeptide-like protein, NLP-11 (Nathoo et al., 2001). </t>
  </si>
  <si>
    <t>Express MEC-10 (degenerin) which comprise part of a mechanosensory transduction channel (Huang and Chalfie, 1994), MEC-9 which is suggested to provide an extracellular attachment point for the mechanosensory channels in touch cells (Du et al., 1996) and MEC-6 which is part of the degenerin/epithelial Na+ channel complex (Chelur et al., 2002). Express TRPV channel protein OSM-9 (Colbert et al., 1997). Express a splice variant of the tyramine receptor SER-2 (Tsalik et al., 2003, Rex and Komuniecki, 2002). Express alpha subunits of a nicotinic acetylcholine receptor, DEG-3 and DES-2 (Treinin and Chalfie, 1995; Treinin et al., 1998). Express glutamate receptor subunit, GLR-4 (Brockie et al., 2001).</t>
  </si>
  <si>
    <t>Putative stretch-sensing mechanosensor. PVD mediates a response to harsh mechanical stimuli (Way and Chalfie, 1989). Animals in which PVD neurons are laser-ablated fail to respond to harsh touch to the central region of the body but can can respond to harsh head and tail tap. PVD is possibly not involved in the circuit that mediates suppression of pumping in response to a touch stimulus in adults (Keane and Avery, 2003)</t>
  </si>
  <si>
    <t>PVDR</t>
  </si>
  <si>
    <t>PVM</t>
  </si>
  <si>
    <t>Lateral. Left side of the posterior half of the body.</t>
  </si>
  <si>
    <t>Posterior ventral microtubule cell, generated postembryonically (AVM and PVM are generated at about 9 hours after hatching at 20°C, about 19 hours after egg deposition.). In the L1 stage, PVM extends a process that first grows ventrally along a commissure on the left side of the posterior body and then turns anteriorly when it reaches the ventral nerve cord (VNC). Within VNC the PVM process runs anteriorly on the ventral side adjacent to the cuticle. PVM is an unbranched unipolar neuron.</t>
  </si>
  <si>
    <t>Expresses G protein-linked acetylcholine receptor, GAR-1 (Lee et al., 2000). Expresses MEC-2 (stomatin-like), MEC-4 (degenerin), MEC-10 (degenerin) which comprise part of a mechanosensory transduction channel (Huang and Chalfie, 1994; Lai et al., 1996). Expresses MEC-9 which is suggested to provide an extracellular attachment point for the mechanosensory channels in touch cells (Du et al., 1996) and MEC-6 which is part of the degenerin/epithelial Na+ channel complex (Chelur et al., 2002). Expresses UNC-8, a DEG/ENaC family member homologous to subunits of a candidate mechanically gated ion channel (Tavernarakis et al., 1997).</t>
  </si>
  <si>
    <t>PVM is ultrastructurally very similar to the other touch cells, and its differentiation is controlled by the same genetic pathway that controls differentiation of the other five touch receptor neurons. However, PVM does not mediate a locomotory response to gentle touch (Chalfie and Sulston, 1981) and does not appear to have a critical role in touch sensitivity (for discussion see Kaplan and Driscoll, 1997; Goodman, 2006). It is postulated to be a stretch receptor.</t>
  </si>
  <si>
    <t>PVNL</t>
  </si>
  <si>
    <t>Interneuron/motorneuron</t>
  </si>
  <si>
    <t>Interneuron/motor neuron, post. vent. cord, few synapses</t>
  </si>
  <si>
    <t>PVNR</t>
  </si>
  <si>
    <t>PVPL</t>
  </si>
  <si>
    <t>Pre-anal ganglion</t>
  </si>
  <si>
    <t>Interneuron. Differences in connectivity observed between hermaphrodites and males. In hermaphrodites PVP neurites were observed to make branches around the vulva suggesting they may form synapses with egg-laying muscles (WBG, 1999). The PVPL/PVPR processes cross over in the pre-anal ganglion and then grow forward on the opposite side of the cord to the nerve ring. The PVPL process invariably crosses in front of the PVPR process. PVPL and PVPR somas are nearly opposite one another in the embryo and early larval stages. However, in the adult, this symmetry and order is lost and cells are situated almost linearly within PAG (Durbin, 1987).</t>
  </si>
  <si>
    <t>Along with PVQL, PVPR pioneers the left side ventral cord and this function appears to be a joint action of these two processes. When PVPR precursor is ablated in the embryo, PVQL and AVKR growth cones migrate towards the right side. (Durbin, 1987; Antebi et al., 1997).</t>
  </si>
  <si>
    <t>PVPR</t>
  </si>
  <si>
    <t>PVQL</t>
  </si>
  <si>
    <t>Interneurons, project along ventral cord to ring</t>
  </si>
  <si>
    <t>Expresses glutamate receptor subunits, GLR-1 and GLR-5 (Brockie et al., 2001). Expresses G protein-coupled serpentine receptor, SRA-6 (Troemel et al., 1995). Expresses the dopamine receptor DOP-1 (Tsalik et al., 2003). Expresses the serotonin receptor, SER-1 (Dernovici et al, 2007; Carnell et al, 2005.). Suggested to express GABA-A/glycine receptor-like protein GGR-1 (Fujiwara et al., 1996).</t>
  </si>
  <si>
    <t>Along with PVPR, PVQL pioneers the left hand ventral cord. This function appears to be a joint action of these two processes (Durbin, 1987).</t>
  </si>
  <si>
    <t>PVQR</t>
  </si>
  <si>
    <t>Interneuron, projects along ventral cord to ring</t>
  </si>
  <si>
    <t>PVR</t>
  </si>
  <si>
    <t>PVT</t>
  </si>
  <si>
    <t>Interneuron, projects along ventral cord to ring. Hermaphrodites and males exhibit some differences in PVT connectivity.</t>
  </si>
  <si>
    <t>Expresses a splice variant of the tyramine receptor SER-2 (variable expression) (Tsalik et al., 2003). Expresses the serotonin receptors, SER-1 (Dernovici et al, 2007; Carnell et al, 2005) and SER-4 (variable expression) (Tsalik et al., 2003).</t>
  </si>
  <si>
    <t>Midline neuroblast, secretes UNC-6, serves as a guidepost neuron to guide growing axons from the lumbar ganglia in the posteriormost region of the ventral cord. When PVT is ablated embryonically, these axons follow multiple routes to enter the ventral cord instead of making tight bundles (Antebi et al., 1997; Ren et al., 1999). Postembryonically, PVT functions to keep the ventral cord fascicles intact. Early larval ablation of PVT induces axons of AVKL/R, PVQL/R, HSNL/R and RMEV to aberrantly cross the ventral midline (Aurelio et al., 2002).</t>
  </si>
  <si>
    <t>PVWL</t>
  </si>
  <si>
    <t>Left lumbar ganglion</t>
  </si>
  <si>
    <t>Interneuron, posterior ventral cord, few synapses</t>
  </si>
  <si>
    <t>PVWR</t>
  </si>
  <si>
    <t>Right lumbar ganglion</t>
  </si>
  <si>
    <t>RIAL</t>
  </si>
  <si>
    <t>These neurons receive synaptic inputs from AIY and AIZ interneurons and densely innervate head motor neurons SMD and RMD.</t>
  </si>
  <si>
    <t>Expresses the serotonin receptor, SER-1 (Dernovici et al, 2007; Carnell et al, 2005)</t>
  </si>
  <si>
    <t>- Functions in thermotaxis: A mutation that impairs the function RIA neurons or laser ablation of RIA cause athermotactic or cryophilic behavior. However, killing RIA neurons has no effect on chemotaxis (Iino and Yoshida, 2009; Tanizawa et al., 2006; Mori and Ohshima 1995). In the original two-drive (thermophilic vs cryophilic) model of thermotaxis, RIA is suggested to integrate signals processed in the thermotaxis neural circuit and emit outputs to downstream neurons (Mori and Ohshima, 1995; Tanizawa et al, 2006). Multiple transmissions including EAT-4-dependent glutamate from RIA are involved in communicating processed information to downstream neurons, thereby generating ultimate thermotactic outputs (Ohnishi et al, 2011). Although it is not clear as to which neurons downstream of RIA are main component neurons in the circuit, RIA is heavily connected presynaptically to SMD or RMD head motor neurons that regulate turning behavior, suggesting SMD and RMD control turn frequency and run duration depending on the thermal information transmitted by RIA (Ohnishi et al, 2011; Zariwala et al, 2003; White et al, 1986; Gray et al, 2005).
 - Functions in locomotion: Killing RIA slightly decreases reversals during local search and dispersal (Gray et al., 2005).</t>
  </si>
  <si>
    <t>RIAR</t>
  </si>
  <si>
    <t>RIBL</t>
  </si>
  <si>
    <t>RIBR</t>
  </si>
  <si>
    <t>RICL</t>
  </si>
  <si>
    <t>Octopamine (Alkema et al., 2005)
</t>
  </si>
  <si>
    <t>Expresses the serotonin receptor, SER-1 (Dernovici et al, 2007; Carnell et al, 2005.)</t>
  </si>
  <si>
    <t>RICR</t>
  </si>
  <si>
    <t>RID</t>
  </si>
  <si>
    <t>Ring interneuron, projects along dorsal cord</t>
  </si>
  <si>
    <t>RIFL</t>
  </si>
  <si>
    <t>RIFR</t>
  </si>
  <si>
    <t>RIGL</t>
  </si>
  <si>
    <t>RIGR</t>
  </si>
  <si>
    <t>RIH</t>
  </si>
  <si>
    <t>RIML</t>
  </si>
  <si>
    <t>Ring motor neuron</t>
  </si>
  <si>
    <t>RIMR</t>
  </si>
  <si>
    <t>RIPL</t>
  </si>
  <si>
    <t>Ring/Pharynx interneuron</t>
  </si>
  <si>
    <t>Ring/pharynx interneuron, only direct connection between pharynx and ring</t>
  </si>
  <si>
    <t>RIPR</t>
  </si>
  <si>
    <t>RIR</t>
  </si>
  <si>
    <t>RIS</t>
  </si>
  <si>
    <t>Ventral ganglion, right side</t>
  </si>
  <si>
    <t>GABA (Eastman et al., 1999).</t>
  </si>
  <si>
    <t>Expresses glutamate receptor subunit, GLR-1 (Hart et al., 1995). Expresses the serotonin receptor SER-4 (Tsalik et al., 2003). Expresses the dopamine receptor DOP-1 (Tsalik et al., 2003).</t>
  </si>
  <si>
    <t>RIVL</t>
  </si>
  <si>
    <t>Functions in locomotion: After animals are removed from bacterial food, they initiate a local search behavior consisting of reversals and deep omega-shaped turns. This is followed by dispersal ~30 min later as reversal and turns are suppressed. Local search behavior is triggered by AWC olfactory neurons, ASK gustatory neurons, and AIB interneurons while dispersal is promoted by ASI gustatory neurons and AIY interneurons (Gray et al., 2005). Downstream of AIB and AIY, motor neuron sdefine specific aspects of reversal and turn frequency, amplitude, and directionality. SMD motor neurons define the steep amplitude of omega turns, RIV motor neurons specify the ventral bias of turns that follow a reversal, and SMB motor neurons set the amplitude of sinusoidal movement.</t>
  </si>
  <si>
    <t>RIVR</t>
  </si>
  <si>
    <t>RMDDL</t>
  </si>
  <si>
    <t>Ring motor neuron/interneuron, many synapses</t>
  </si>
  <si>
    <t>RMDDR</t>
  </si>
  <si>
    <t>RMDL</t>
  </si>
  <si>
    <t>RMDR</t>
  </si>
  <si>
    <t>RMDVL</t>
  </si>
  <si>
    <t>RMDVR</t>
  </si>
  <si>
    <t>RMED</t>
  </si>
  <si>
    <t>RMED and RMV express glutamate-gated chloride channel subunit, AVR-15 (Dent et al., 1997). RMEL and RMER express glutamate receptor subunit, GLR-1 (Hart et al., 1995). Express a splice variant of the tyramine receptor SER-2 (Hobert O., pers. comm.).</t>
  </si>
  <si>
    <t>Suggested to be the pioneers of the nerve ring (Antebi et al., 1997).</t>
  </si>
  <si>
    <t>RMEL</t>
  </si>
  <si>
    <t>RMER</t>
  </si>
  <si>
    <t>RMEV</t>
  </si>
  <si>
    <t>RMFL</t>
  </si>
  <si>
    <t>Ring motor neuron/interneuron</t>
  </si>
  <si>
    <t>RMFR</t>
  </si>
  <si>
    <t>RMGL</t>
  </si>
  <si>
    <t>RMGR</t>
  </si>
  <si>
    <t>RMHL</t>
  </si>
  <si>
    <t>RMHR</t>
  </si>
  <si>
    <t>SAADL</t>
  </si>
  <si>
    <t>Ring interneuron, anteriorly projecting process that runs sublaterally</t>
  </si>
  <si>
    <t>SAADR</t>
  </si>
  <si>
    <t>SAAVL</t>
  </si>
  <si>
    <t>SAAVR</t>
  </si>
  <si>
    <t>SABD</t>
  </si>
  <si>
    <t>Ring interneuron, anteriorly projecting process that runs sublaterally, synapses to anterior body muscles in L1</t>
  </si>
  <si>
    <t>SABVL</t>
  </si>
  <si>
    <t>SABVR</t>
  </si>
  <si>
    <t>SDQL</t>
  </si>
  <si>
    <t>Post. lateral interneuron, process projects into ring</t>
  </si>
  <si>
    <t>SDQR</t>
  </si>
  <si>
    <t>Ant. lateral interneuron, process projects into ring</t>
  </si>
  <si>
    <t>SIADL</t>
  </si>
  <si>
    <t>Receive a few synapses in the ring, have posteriorly directed processes that run sublaterally</t>
  </si>
  <si>
    <t>SIADR</t>
  </si>
  <si>
    <t>SIAVL</t>
  </si>
  <si>
    <t>SIAVR</t>
  </si>
  <si>
    <t>SIBDL</t>
  </si>
  <si>
    <t>Similar to SIA</t>
  </si>
  <si>
    <t>SIBDR</t>
  </si>
  <si>
    <t>SIBVL</t>
  </si>
  <si>
    <t>SIBVR</t>
  </si>
  <si>
    <t>SMBDL</t>
  </si>
  <si>
    <t>Ring motor neuron/interneuron, has a posteriorly direct ed process that runs sublaterally</t>
  </si>
  <si>
    <t>Functions in locomotion: After animals are removed from bacterial food, they initiate a local search behavior consisting of reversals and deep omega-shaped turns. This is followed by dispersal ~30 min later as reversal and turns are suppressed. Local search behavior is triggered by AWC olfactory neurons, ASK gustatory neurons, and AIB interneurons while dispersal is promoted by ASI gustatory neurons and AIY interneurons (Gray et al., 2005). Downstream of AIB and AIY, motor neurons define specific aspects of reversal and turn frequency, amplitude, and directionality. SMD motor neurons define the steep amplitude of omega turns, RIV motor neurons specify the ventral bias of turns that follow a reversal, and SMB motor neurons set the amplitude of sinusoidal movement. </t>
  </si>
  <si>
    <t>SMBDR</t>
  </si>
  <si>
    <t>SMBVL</t>
  </si>
  <si>
    <t>SMBVR</t>
  </si>
  <si>
    <t>SMDDL</t>
  </si>
  <si>
    <t>SMDDR</t>
  </si>
  <si>
    <t>SMDVL</t>
  </si>
  <si>
    <t>SMDVR</t>
  </si>
  <si>
    <t>URADL</t>
  </si>
  <si>
    <t>URADR</t>
  </si>
  <si>
    <t>URAVL</t>
  </si>
  <si>
    <t>URAVR</t>
  </si>
  <si>
    <t>URBL</t>
  </si>
  <si>
    <t>Neuron, presynaptic in ring, ending in head</t>
  </si>
  <si>
    <t>URBR</t>
  </si>
  <si>
    <t>URXL</t>
  </si>
  <si>
    <t>Nonciliated endings in head, associated with CEPD in embryo. Like AQR and PQR, URX are directly exposed to the pseudocoelomic fluid and are proposed to monitor the contents of this fluid.</t>
  </si>
  <si>
    <t>- FLP-8; FMRFamide-like peptide
 - FLP-10; FMRFamide-like peptide
 - FLP-11; FMRFamide-like peptide
 - FLP-19; FMRFamide-like peptide
(Li and Kim, 2008)</t>
  </si>
  <si>
    <t>- GCY-1; transmembrane receptor guanylate cyclase
 - GCY-25; transmembrane receptor guanylate cyclase
 - GCY-32; soluble guanylate cyclase
 - GCY-34; soluble guanylate cyclase
 - GCY-35; soluble guanylate cyclase 
- GCY-36; soluble guanylate cyclase
- GCY-37; soluble guanylate cyclase
- NPR-1; receptor for flp-18- and flp-21-encoded peptides
- SRA-10; G protein-coupled seven transmembrane receptor
(Wormbase; Cheung et al., 2004; Troemel et al., 1995)</t>
  </si>
  <si>
    <t>Function in aerotaxis: When placed in an O2 gradient, C. elegans shows a strong behavioral preference for ~5–10% (intermediate) O2 levels and avoids both hypoxia (&lt;7%) and hyperoxia (21%). Animals navigate the O2 gradients by O2-induced changes in locomotion speed, reversal and turning behavior  (Cheung et al., 2005; Gray et al., 2004). This preference for intermediate O2 levels (Gray et al., 2004), may work to allow oxidative metabolism but avoid oxidative stress (Lee and Atkinson, 1977). The intermediate O2 preference also promotes aggregation behavior, possibly since aggregating C. elegans locally deplete O2 to preferred levels (Gray et al., 2004; Rogers et al., 2006). The rise in O2 levels detected by animals leaving a group induces reversal (backing) and turning. Conversely, the fall in O2 encountered when entering a group suppresses reversal, turning, and rapid locomotion, allowing the animal to stay with the group. Soluble guanylate cyclase (sGC, e.g. GCY-35 and GCY-36)-expressing oxygen-sensing neurons (URX, AQR, PQR, SDQ, BDU, ALN, and PLN) mediate the avoidance of high O2 levels (Zimmer et al, 2009). URX appears to be the most important member of this group, since its activity is uniquely important for aggregation (Coates and de Bono, 2002), while for aerotactic behavior in an O2 gradient, URX is redundant with other sGC-expressing neurons (Chang et al., 2006). The locations of URX in the head and PQR in the tail facilitate high O2 avoidance by the animal accelerating forward without changing direction of movement when its tail/PQR encounters high O2 and by reversal and turning when its head/URX encounters high O2 (Busch et al., 2012). Two post-synaptic targets of URX, AUA and RMG, seem to be involved in this O2-induced behavioral response.
 The strength of the O2 response is regulated by food, genotype, and an animal’s prior O2 exposure. The lab standard wild-type C. elegans strain (N2) with high activity (due to a gain-of-function mutation) of the neuropeptide receptor NPR-1 (215V) is indifferent to high O2 when food is present, whereas C. elegans isolates with low activity of NPR-1 (215F) avoid high O2 in the presence of food, and therefore, aggregate (Gray et al., 2004; Cheung et al., 2005; Rogers et al., 2006). Since all strains avoid high O2 when food is absent, NPR-1 may be an internal food sensor important for food-related regulation of aggregation (i.e., regulation of social behavior on food) (Chang et al., 2006). Cultivation conditions also regulate O2 preference: animals cultivated in hypoxia migrate to lower O2 levels, and avoid high O2 regardless of food or NPR-1 genotype (Cheung et al., 2005; Chang and Bargmann, 2008). The sensory neurons ASH, ADL, and ADF also promote avoidance of high O2 levels (through function of TRP-related channel subunits OCR-2 and OSM-9 and the transmembrane protein ODR-4 in nociceptive ASH and ADL, and serotonin production by ADF), but these cells are not needed after animals are cultivated in hypoxia (Chang et al., 2006; Chang and Bargmann; 2008; Rogers et al., 2006).</t>
  </si>
  <si>
    <t>URXR</t>
  </si>
  <si>
    <t>URYDL</t>
  </si>
  <si>
    <t>Expresses (inconsistently) the serotonin receptor, SER-1 (Dernovici et al, 2007; Carnell et al, 2005.)</t>
  </si>
  <si>
    <t>URYDR</t>
  </si>
  <si>
    <t>URYVL</t>
  </si>
  <si>
    <t>URYVR</t>
  </si>
  <si>
    <t>VA1</t>
  </si>
  <si>
    <t>Ventral cord motor neuron, innervates vent. body muscles</t>
  </si>
  <si>
    <t>VA2</t>
  </si>
  <si>
    <t>VA3</t>
  </si>
  <si>
    <t>VA4</t>
  </si>
  <si>
    <t>VA5</t>
  </si>
  <si>
    <t>VA6</t>
  </si>
  <si>
    <t>VA7</t>
  </si>
  <si>
    <t>VA8</t>
  </si>
  <si>
    <t>VA9</t>
  </si>
  <si>
    <t>VA10</t>
  </si>
  <si>
    <t>VA11</t>
  </si>
  <si>
    <t>VA12</t>
  </si>
  <si>
    <t>Ventral cord motor neuron, innervates vent. body muscles, but also interneuron in preanal ganglion</t>
  </si>
  <si>
    <t>VB1</t>
  </si>
  <si>
    <t>Ventral cord motor neuron, innervates vent. body muscles, also interneuron in ring</t>
  </si>
  <si>
    <t>VB2</t>
  </si>
  <si>
    <t>VB3</t>
  </si>
  <si>
    <t>VB4</t>
  </si>
  <si>
    <t>VB5</t>
  </si>
  <si>
    <t>VB6</t>
  </si>
  <si>
    <t>VB7</t>
  </si>
  <si>
    <t>VB8</t>
  </si>
  <si>
    <t>VB9</t>
  </si>
  <si>
    <t>VB10</t>
  </si>
  <si>
    <t>VB11</t>
  </si>
  <si>
    <t>VC1</t>
  </si>
  <si>
    <t>Hermaphrodite specific ventral cord motor neurons. The neurons are born in L1, and begin to send out processes in late L3. These processes branch in the region of the vulva during L4. VC4 and VC5 have short ventral cord processes, but send branched processes dorsally along the vulval hypodermis on each side of the vulval slit. VC1-3 and VC6 send less branched processes to vulval regions but have longer processes in the ventral cord (in R side fascicle). The dorsal branches of VC axons innervate vm2 vulval muscles. These neurons, except VC4 and VC5, also innervate ventral body muscles. 
The generation of VC neurons from the 6 Pn.a neuroblast lineages (P3.a-P8.a) is dependent on a HOM-C gene, lin-39. In the absence of lin-39, these neurons undergo programmed cell death (Ruvkun, 1997). The formation of the complex arborizations made by VC neuron branches at the level of the vulva depend on the presence of the vulval cells and the somatic gonad but not on the interactions of VC's with target muscles or HSN neurons (Li and Chalfie, 1990; Colavita and Tessier-Lavigne, 2003) For a more detailed anatomical description of VC neurons also refer to Reproductive System-Egg-laying apparatus.</t>
  </si>
  <si>
    <t>Serotonin (only VC4 and VC5) Rand and Nonet, 1997. Express VMaT, CAT-1 (Duerr et al., 1999). Acetylcholine. (Rand and Nonet, 1997). Express ChAT and VAChT (Duerr et al., 2001; Lickteig et al., 2001).</t>
  </si>
  <si>
    <t>Express glutamate receptor subunit, GLR-5 (Brockie et al., 2001). </t>
  </si>
  <si>
    <t>Acetylcholine released from the VC neurons inhibits egg-laying behavior. This may be caused by inhibition of presynaptic neurotransmitter release by HSN neurons following the activation of the G-protein- coupled acetylcholine receptor 2 (GAR-2) signaling (Bany et al., 2003). VC4 and VC5 can also induce the active phase of egg-laying by releasing serotonin (Waggoner et al., 1998).</t>
  </si>
  <si>
    <t>VC2</t>
  </si>
  <si>
    <t>VC3</t>
  </si>
  <si>
    <t>VC4</t>
  </si>
  <si>
    <t>VC5</t>
  </si>
  <si>
    <t>VC6</t>
  </si>
  <si>
    <t>VD1</t>
  </si>
  <si>
    <t>Ventral cord motor neuron, innervates vent body muscles, reciprocal inhibitor</t>
  </si>
  <si>
    <t>VD2</t>
  </si>
  <si>
    <t>VD3</t>
  </si>
  <si>
    <t>VD4</t>
  </si>
  <si>
    <t>VD5</t>
  </si>
  <si>
    <t>VD6</t>
  </si>
  <si>
    <t>VD7</t>
  </si>
  <si>
    <t>VD8</t>
  </si>
  <si>
    <t>Ventralcord motor neuron, innervates vent body muscles, reciprocal inhibitor</t>
  </si>
  <si>
    <t>VD9</t>
  </si>
  <si>
    <t>VD10</t>
  </si>
  <si>
    <t>VD11</t>
  </si>
  <si>
    <t>VD12</t>
  </si>
  <si>
    <t>VD13</t>
  </si>
  <si>
    <t>Homolog/ Ortholog</t>
  </si>
  <si>
    <t>C. elegans gene</t>
  </si>
  <si>
    <t>Sequence name</t>
  </si>
  <si>
    <t>Ligand</t>
  </si>
  <si>
    <t>Properties</t>
  </si>
  <si>
    <t>Other notes</t>
  </si>
  <si>
    <t>NEUROTRANSMITTER RECEPTORS</t>
  </si>
  <si>
    <t>SEROTONIN (5HT)</t>
  </si>
  <si>
    <t>Receptors</t>
  </si>
  <si>
    <t>5-HT2</t>
  </si>
  <si>
    <t>G protein-coupled receptor (GPCR) (Gαq); 7-transmembrane (7TM); coupled to Ca++ signaling</t>
  </si>
  <si>
    <t>Serotonin (a-methyl 5-HT for SER-1)</t>
  </si>
  <si>
    <t>RIA, RIC, URY (inconsistent), head, tail, ventral cord motor neurons, pharyngeal muscles (pm3, pm4, pm5, pm6, pm7, pm8), vulval muscle (variable expression depending on construct), PVT, PVQ, other tail neurons and some ray neurons, diagonal muscles of male, VNC motor neurons (not VCs), ray neurons, uterine cells, posterior intestine</t>
  </si>
  <si>
    <t>Metabotropic 5-HT receptor. SER-1 has low affinity for 5-HT, and a mixture of pharmacological similarities to mammalian 5-HT1 and 5-HT2 receptors</t>
  </si>
  <si>
    <t>SER-1 is stimulated by alpha-methyl-5-HT, and probably antagonized by methiotheptin. SER-1 is required in both vulval muscle and neurons for the stimulation of egg-laying by 5-HT, but is completely dispensable for stimulation by the uptake inhibitor fluoxetine, and mostly dispensable for stimulation by the tricyclic antidepressant imipramine; SER-1 and SER-7 are redundantly required for normal egg-laying. SER-1 is required for normal turning during male mating (ser-1 mutants show reduced male tail curling in exogenous 5-HT, but retain mating ability in the laboratory). SER-1 is weakly required for pharyngeal pumping. Stimulation of heterologously expressed SER-1 induces a rise in free intracellular calcium.</t>
  </si>
  <si>
    <t>Komuniecki et al, 2004; Carnell et al, 2005; Xiao et al 2006; Chase and Koelle 2007; Hapiak et al, 2009</t>
  </si>
  <si>
    <t>5-HT1</t>
  </si>
  <si>
    <t>7TM GPCR (Gαi/o); attenuates adenylyl cyclase activity</t>
  </si>
  <si>
    <t>Serotonin</t>
  </si>
  <si>
    <t>Metabotropic 5-HT receptor. Low affinity for 5-HT, overall has 5-HT1 properties</t>
  </si>
  <si>
    <t>Heterologously expressed SER-4 diminishes intracellular adenylate cyclase activity in response to 5-HT. SER-4 is required for normal inhibition of movement by 5-HT (ser-4 mutants are hyperactive). It is partly required for male tail curling (ser-4 mutants show reduced curling in exogenous 5-HT), but is dispensable for the stimulation of egg-laying by 5-HT and by the uptake inhibitor fluoxetine. SER-4 may actually inhibit egg-laying, since egg-laying ser-4 mutants are moderately hypersensitive to 5-HT, and mutant ser-4 hermaphrodites are partly depleted of eggs, suggesting that their egg-laying is weakly constitutive; however, SER-4 is required for stimulation of egg-laying by the tricyclic antidepressant imipramine.</t>
  </si>
  <si>
    <t>Olde and McCombie 1997;Tsalik et al, 2003; Dempsey et al, 2005; Carre-Pierrat et al, 2006</t>
  </si>
  <si>
    <t>5-HT6</t>
  </si>
  <si>
    <t>7TM GPCR; independent of adenylyl cyclase activity</t>
  </si>
  <si>
    <t>ASH, AWB, head and tail neurons, vulval muscle, body wall muscle, intestine</t>
  </si>
  <si>
    <t>Metabotropic 5-HT receptor.</t>
  </si>
  <si>
    <t>SER-5 functions in the ASH chemosensory neurons to coordinate sensory input and locomotory behavior and in muscles to regulate the effects of 5-HT on egg laying; heterologously expressed ser-5 has no effect on adenylate cyclase signaling</t>
  </si>
  <si>
    <t>Carre-Pierrat et al, 2006; Harris et al, 2009</t>
  </si>
  <si>
    <t>5-HT7</t>
  </si>
  <si>
    <t>7TM GPCR (Gαs); activates adenylyl cyclase activity</t>
  </si>
  <si>
    <t>Head and tail neurons, pharyngeal neurons (I2, I3, I4, I6, M2, M3, M4, M5, MC), vulval muscles, and intestine</t>
  </si>
  <si>
    <t>High affinity for 5-HT and tryptamine, but not for 5-CT (5-Carboxamidotryptamine).</t>
  </si>
  <si>
    <t>Heterologously expressed ser-7 stimulates intracellular adenylate cyclase activity in response to 5-HT. SER-7 is required for stimulation of egg-laying or pharyngeal pumping by 5-HT, for regular pumping in response to bacteria, and probably also for 5-HT to activate MC neurons; SER-7 and SER-1 are redundantly required for normal egg-laying.</t>
  </si>
  <si>
    <t>Hobson et al, 2003 and 2006</t>
  </si>
  <si>
    <t>?</t>
  </si>
  <si>
    <t>5-HT-gated chloride channel</t>
  </si>
  <si>
    <t>AIA, AIB, AIY, AIZ, RIC, RID, RIM and other head neurons, VNC neurons, tail neurons, not in muscle cells</t>
  </si>
  <si>
    <t>MOD-1 channel and the SER-6 GPCR play specific roles in 5-HT-induced fat reduction and they define distinct mechanisms mediating serotonergic fat regulation. mod-1 ; ser-6 double mutants have higher fat levels than the single mutants.</t>
  </si>
  <si>
    <t>Ranganathan et al, 2000; Wenick and Hobert, 2004; Srinavasan et al, 2008; Luedtke et al, 2010, Li et al, 2012</t>
  </si>
  <si>
    <t>Ligand-gated ion channel (mod-1 group)</t>
  </si>
  <si>
    <t>Jones and Sattelle, 2008</t>
  </si>
  <si>
    <t>Homolog/Ortholog</t>
  </si>
  <si>
    <t>Expression pattern</t>
  </si>
  <si>
    <t>References</t>
  </si>
  <si>
    <t>DOPAMINE (DA)</t>
  </si>
  <si>
    <t>McDonald et al, 2006</t>
  </si>
  <si>
    <t>D1-like</t>
  </si>
  <si>
    <t>7TM GPCR (Gαs)</t>
  </si>
  <si>
    <t>Dopamine</t>
  </si>
  <si>
    <t>ALM, ALN, AUA, AVM, PHC, PLM, PLN, PVQ, PVD, RIB, RIM, RIS, some unidentified neurons in the head, cholinergic VNC motor neurons, interneurons, excretory gland cells, head muscles, and sensory neuronal support cells</t>
  </si>
  <si>
    <t>When coexpressed with bovine or C. elegans Gas, DOP-1 stimulates potassium channel activity.</t>
  </si>
  <si>
    <t>DOP-1 is required cell autonomously in the touch neurons for modulation of mechanosensory behaviors such as tap habituation. It is required for regulation of locomotion via antagonism of the DOP-3 in cholinergic neurons. RNAi leads to slower anterior movement, poor reversals and poor touch response. DOP-3 and DOP-1 probably counter one another through the GOA-1/Galpha(o) and EGL-30/Galpha(q) signaling pathways</t>
  </si>
  <si>
    <t>Tsalik et al, 2003; Sanyal et al, 2004</t>
  </si>
  <si>
    <t>D2-like</t>
  </si>
  <si>
    <t>7TM GPCR (Gαi/o)</t>
  </si>
  <si>
    <t>Suo et al, 2003 and 2004; Tsalik et al, 2003</t>
  </si>
  <si>
    <t>7TM GPCR</t>
  </si>
  <si>
    <t>ASE, PVD, RIC, SIA, other head and tail neurons, cholinergic (weak) and GABAergic (strong) VNC motor neurons, bodywall muscles</t>
  </si>
  <si>
    <t>Required for the normal slowing of locomotion by well-fed animals moving onto a bacterial lawn ('basal slowing'), but not for the enhanced slowing of starved animals ('enhanced slowing response'); DOP-3 is also required for the paralysis of animals by excess dopamine, with dop-3 mutants showing significant resistance to such paralysis; DOP-3 is antagonized by DOP-1 (since a dop-1 mutation suppresses the dop-3 slowing and paralysis mutant phenotypes). DOP-3 and DOP-1 probably counter one another through the GOA-1/Ga(o) and EGL-30/Ga(q) signaling pathways. DOP-3 and DOP-1 are coexpressed in cholinergic motor neurons and PVD mechanosensory neurons, and exert their antagonistic effects in the former. dop-3 mutants share a dopamine-resistant phenotype with goa-1, dgk-1, eat-16 and gpb-2 mutants</t>
  </si>
  <si>
    <t>Chase et al, 2004; Chase and Koelle 2007; Suo et al, 2009</t>
  </si>
  <si>
    <t>Human TAR vs D1-like</t>
  </si>
  <si>
    <t>7TM GPCR (Gα?)</t>
  </si>
  <si>
    <t>ASG, AVL, CAN, I1, I2, PQR, male ray 8, vulval cells, intestine, rectal gland, rectal epithelium</t>
  </si>
  <si>
    <t>Komuniecki et al, 2004; Sugiura et al, 2005</t>
  </si>
  <si>
    <t>Homolog of human melatonin type 1b receptors, and more generally of mammalian dopamine and serotonin (5-HT) receptors</t>
  </si>
  <si>
    <t>Dopamine? Serotonin?</t>
  </si>
  <si>
    <t>Required for full sensitivity to 5-HT, normal brood sizes and pharyngeal pumping, partly required for male tail curling</t>
  </si>
  <si>
    <t>Komuniecki et al, 2004; Carre-Pierrat et al, 2006</t>
  </si>
  <si>
    <t>D2 or D3 dopamine receptors (mammalian homolog)</t>
  </si>
  <si>
    <t>Head neurons; unidentified cells in tail</t>
  </si>
  <si>
    <t>DOP-6 might act redundantly with DOP-2 to promote the basal slowing response to bacterial feeding, or it might account for the residual response to excess dopamine seen in triple dop-1/-2/-3 mutant. DOP-6 otherwise has no obvious function in RNAi assays of brood size, egg laying, pharyngeal pumping, locomotion, or male mating</t>
  </si>
  <si>
    <t>Keating et al, 2003; Komuniecki et al, 2004; Carre-Pierrat et al, 2006</t>
  </si>
  <si>
    <t>Ligand unspecified</t>
  </si>
  <si>
    <t>GPCR for small molecule neurotransmitters. 7TM rhodopsin family. Closest to C24A8.1 in phylogenetic tree</t>
  </si>
  <si>
    <t>Keating et al, 2003</t>
  </si>
  <si>
    <t>OCTOPAMINE (OA)</t>
  </si>
  <si>
    <t>7TM GPCR (Gαs?)</t>
  </si>
  <si>
    <t>Octopamine</t>
  </si>
  <si>
    <t>Octopaminergic inhibition of ASH-mediated aversive responses is mediated by three different octopamine receptors , OCTR-1 , SER-6 and SER-3.</t>
  </si>
  <si>
    <t>Komuniecki et al, 2004; Wragg et al, 2007; Chase and Koelle, 2007</t>
  </si>
  <si>
    <t>5HT4</t>
  </si>
  <si>
    <t>7TM GPCR (Gαq/Gαs?)</t>
  </si>
  <si>
    <t>Octopamine/serotonin?</t>
  </si>
  <si>
    <t>Pharynx, head (including SIA) and tail (PHA, PHB, PVQ) neurons, head muscles, phasmid sockets, nerve ring, and intestine, spermatheca, eggs, gonad, vulva.</t>
  </si>
  <si>
    <t>Mixed 5HT1 and 5HT2 properties, low affinity for 5HT, alpha-methyl 5HT as an agonist, mianserin as an agonist. SER-3 activity is required for normally high brood sizes and for embryonic development, and weakly required for pharyngeal pumping.</t>
  </si>
  <si>
    <t>SER-3 is required in the SIA neurons for response to the absence of food and to exogenous octopamine. Along with SER-4, SER-3 mediates the dietary restriction-based lifespan-extending effects of mianserin, in C. elegans; when expressed in HEK293 cells, ser-3 mediates a response to octopamine and to tyramine, but not serotonin. SER-3 is required for normal inhibition of movement by 5-HT, with ser-3 mutants being hyperactive and excessively curling their male tails. SER-3 activity is also required for normally high brood sizes and for embryonic development, and weakly required for pharyngeal pumping. Octopaminergic inhibition of ASH-mediated aversive responses is mediated by SER-3 as well as the two other octopamine receptors; OCTR-1 and SER-6.</t>
  </si>
  <si>
    <t>Carre-Pierrat et al, 2006; Suo et al, 2006</t>
  </si>
  <si>
    <t>7TM GPCR (Gαq)</t>
  </si>
  <si>
    <t>Couples to Gαq in Xenopus oocytes.</t>
  </si>
  <si>
    <t>SER-6 functions as part of a signaling pathway that mediates serotonin-induced fat reduction via transcriptional regulation of lipid oxidation genes. mod-1 and peripherally expressed metabolic genes define a pathway of serotonergic fat regulation that is mechanistically distinct from that defined by ser-6. Octopaminergic inhibition of ASH-mediated aversive responses is mediated by three different octopamine receptors , OCTR-1 , SER-6 and SER-3. SER-6 , stimulates the release of peptides from the peptidergic ADL and AWB sensory neurons through a Gs / q-dependent pathway</t>
  </si>
  <si>
    <t>Komuniecki R, pers. comm.; Srinavasan et al, 2008</t>
  </si>
  <si>
    <t>TYRAMINE (TA)</t>
  </si>
  <si>
    <t>Branicky and Schafer, 2009</t>
  </si>
  <si>
    <t>Tyramine</t>
  </si>
  <si>
    <t>Some pharyngeal cells, head mucles. ser-2A: AIY, ALN, AUA, AVH, CAN, DA9, LUA, NSM, PVC, RIA, RIC, RID, SABD, SABV, SDQ, head muscles, diagonal muscles, pm1/6 muscles. ser-2B: AIY, AIZ, BDU, DVA, PVT, RID, RME, SIAD, SIAV, excretory gland. ser-2d: OLL and PVD. ser-2: AIY, AVH, AIZ, ALN, BDU, PDA, RIA, RIC, RID, RME, ut1, ut2</t>
  </si>
  <si>
    <t>Encodes at least four tyramine 7 TM domain receptors (GPCRs), by alternative splicing from three different promoters, that have distinct but partially overlapping expression patterns</t>
  </si>
  <si>
    <t>The deletion ser-2(pk1397) mutant has no obvious phenotype</t>
  </si>
  <si>
    <t>Rex and Komuniecki 2002; Tsalik et al, 2003; Komuniecki et al, 2004</t>
  </si>
  <si>
    <t>5HT5</t>
  </si>
  <si>
    <t>7TM GPCR (Gαi/o vs Gα?)</t>
  </si>
  <si>
    <t>Komuniecki et al, 2004; Rex et al, 2005</t>
  </si>
  <si>
    <t>7TM GPCR (Gαq); independent of adenylyl cyclase activity</t>
  </si>
  <si>
    <t>Tyramine Octopamine</t>
  </si>
  <si>
    <t>CEP, ADE, tail neurons, and vulva</t>
  </si>
  <si>
    <t>TYRA-3 acts in sensory neurons that detect environmental cues, suggesting that the internal catecholamines detected by TYRA-3 regulate responses to external conditions. Natural variation in TYRA-3 affects food patch leaving, a behaviour representative of the exploration–exploitation decision (i.e., the time at which animals choose to abandon a depleting food supply to restart foraging). Tyramine and octopamine independently inhibit serotonin-stimulated aversive behaviors through TYRA-3 and OCTR-1, respectively. TYRA-3 is required for normal inhibition of movement by 5-HT, with tyra-3(RNAi) animals being hyperactive.</t>
  </si>
  <si>
    <t>Chase et al, 2004; Carre-Pierrat et al, 2006; Wragg et al, 2007, Bendesky et al., 2011</t>
  </si>
  <si>
    <t>Ligand-gated ion (chloride) channel</t>
  </si>
  <si>
    <t>Tyramine?</t>
  </si>
  <si>
    <t>ALN, AVB, HSN, IL1D, IL1V, RMD, SMDD, SMDV, SDQ, uv1, neck muscles, tail muscle</t>
  </si>
  <si>
    <t>Touch to the anterior of the animal activates the AVA backward locomotion command interneuron, which in turn activates the tyraminergic RIM mototr neuron. Tyramine release from the RIM neurons activates the tyramine-gated chloride channel LGC-55, which is expressed in the forward locomotion command interneuron AVB and cells of the head movement circuit; RMD. SMD, and neck muscles. Activation of LGC-55 causes hyperpolarization of neck muscles and the AVB neuron inducing the suppression of head movements and sustained backward locomotion in response to anterior touch.</t>
  </si>
  <si>
    <t>Pirri et al, 2009; Pirri and Alkema, 2011</t>
  </si>
  <si>
    <t>TRACE AMINES</t>
  </si>
  <si>
    <t>Candidate GPCRs predicted to bind either small-molecule neurotransmitters (trace amine-associated (TAA) receptors) or neuropeptides</t>
  </si>
  <si>
    <t>GPCR. 7TM rhodopsin family. GPCR for small molecule neurotransmitters. Closest to T02E9.3 in phylogenetic tree.</t>
  </si>
  <si>
    <t>Melatonin?</t>
  </si>
  <si>
    <t>Animals look slow and paralyzed with RNAi against F59D12.1. Exogenously applied melatonin decreases locomotion rates in 15 min treatments, suggesting that melatonin directly regulates neural activities for locomotion. This melatonin signaling functions through MT1-like melatonin receptors, because the MT1\/2 receptor antagonist luzindole effectively blocked the effect of melatonin on locomotion, while MT2-specific antagonist 4-phenyl-2-propionamidotetralin (4-P-PDOT) and MT3-selective antagonist prazosin had no effect. Alternatively, long-term treatment with prazosin specifically altered homeostatic states of the worm, suggesting another melatonin-signaling pathway through MT3-like receptors</t>
  </si>
  <si>
    <t>Keating et al, 2003; Tanaka et al, 2007</t>
  </si>
  <si>
    <t>GPCR. 7TM rhodopsin family. GPCR for small molecule neurotransmitters. Closest to F42D1.3 in phylogenetic tree. Serpentine receptor class sx (Srsx)</t>
  </si>
  <si>
    <t>GPCR. 7TM serpentine receptor class w (Srw). D. melanogaster sex peptide receptor-related.</t>
  </si>
  <si>
    <t>GPCR.7TM rhodopsin family. GPCR for small molecule neurotransmitters. Serpentine receptor class w (srw). D. melanogaster sex peptide receptor-related.</t>
  </si>
  <si>
    <t>GPCR. 7TM serpentine receptor class w (srw). D. melanogaster sex peptide receptor-related.</t>
  </si>
  <si>
    <t>ACETYLCHOLINE</t>
  </si>
  <si>
    <t>Muscarinic. GPCR</t>
  </si>
  <si>
    <t>Ach</t>
  </si>
  <si>
    <t>Although gar-1 is most closely related to muscarinic acetylcholine receptors (mAChR), it is pharmacologically distinct from them in its response to certain ligands; e.g. oxotremorine, atropine, scopolamine and pirenzepine do not work on GAR-1 and GAR-2 as effectively as they do on GAR-3. Electrophysiological studies indicate that gar-1 couples to the inhibitory subunit of G proteins (Gi) and not to Gs or to Go/Gq.</t>
  </si>
  <si>
    <t>RNAi leads to sluggish animals</t>
  </si>
  <si>
    <t>Lee et al, 2000; Park et al, 2000; Keating et al, 2003</t>
  </si>
  <si>
    <t>ACh</t>
  </si>
  <si>
    <t>When expressed in Xenopus oocytes treated with acetylcholine, gar-2 is able to activate a mammalian G protein-activated inwardly rectifying K+ (GIRK1) channel, but not other channels, suggesting that GAR-2 couples to G proteins of the Gi family. Pharmacological analyses indicate that GAR-2 exhibits properties distinct from mammalian muscarinic AChRs; GAR-2 is not inhibited by muscarinic antagonists (atropine , scopolamine, and pirenzepine), and muscarinic ligands (such as oxotremorine, atropine, scopolamine and pirenzepine) do not work on GAR-1 and GAR-2 as effectively as they do on GAR-3.</t>
  </si>
  <si>
    <t>Lee et al, 2000; Park et al, 2000; Wenick and Hobert, 2004</t>
  </si>
  <si>
    <t>Pharyngeal muscle, I3, in neurons of the extrapharyngeal nervous system, anal depressor muscle, VD and DD ventral cord neurons, some tail and nerve ring neurons, and body wall muscles. Male-specific SPC motor neurons, PCB and PCA postcloacal sensilla neurons and male spicule protractor muscles</t>
  </si>
  <si>
    <t>GAR-3 appears most similar to mammalian muscarinic ACh receptors (mAChRs), among the three G-protein-linked ACh receptors.</t>
  </si>
  <si>
    <t>Required for regulation of membrane potential and excitation-contraction coupling in pharyngeal muscle and thus, for normal feeding behavior. GAR-3 likely acts upstream of GPB-2, a G-protein beta-subunit in regulation of pharyngeal pumping</t>
  </si>
  <si>
    <t>Hwang et al, 1999; Park et al, 2003; Steger and Avery, 2004; Liu et al, 2007; Rand, 2007</t>
  </si>
  <si>
    <t>unc-29 group</t>
  </si>
  <si>
    <t>nAChR (nicotinic acetylcholine receptor). Ligand-gated cation (Ca++/Na+) channel. unc-29 group; non-alpha subunit.</t>
  </si>
  <si>
    <t>All body wall muscle cells and a subset of ventral cord motor neurons</t>
  </si>
  <si>
    <t>nAChRs are pentameric membrane proteins that are ligand-gated cation channels and mediate fast synaptic transmission at neuromuscular junctions and in the nervous system. Subunits of nAChRs fall into two main categories: alpha subunits are defined by adjacent cysteines which contribute to the ACh binding site, while non-alpha subunits lack this motif. LEV-1, a non-alpha subunit, forms a ligand (levamisole)-gated cation channel when coexpressed with UNC-29 (non-alpha subunit) and UNC-38 (alpha subunit) or UNC-63 (alpha subunit).</t>
  </si>
  <si>
    <t>LEV-1 is required for normal locomotion, regulation of egg-laying behavior. When mutated, lev-1 confers resistance to levamisole.</t>
  </si>
  <si>
    <t>Culetto et al, 2004;Gottschalk et al, 2005; Jones et al, 2007</t>
  </si>
  <si>
    <t>nAChR. unc-29 group; non-alpha subunit</t>
  </si>
  <si>
    <t>Body muscles, the ventral and dorsal cords and in the nerve ring where head muscles are innervated</t>
  </si>
  <si>
    <t>Forms a ligand-gated cation channel when coexpressed with LEV-1 (non-alpha subunit) and UNC-38 (alpha subunit) or UNC-63 (alpha subunit).</t>
  </si>
  <si>
    <t>UNC-29 is required for normal locomotion and egg-laying</t>
  </si>
  <si>
    <t>Fleming et al, 1997; Gottschalk et al, 2005</t>
  </si>
  <si>
    <t>Forms a ligand-gated cation channel when coexpressed with the unc-38 (alpha) subunit</t>
  </si>
  <si>
    <t>Squire et al, 1995; Rand, 2007</t>
  </si>
  <si>
    <t>Forms a ligand-gated cation channel when coexpressed with UNC-38 (alpha) subunit</t>
  </si>
  <si>
    <t>unc-38 group</t>
  </si>
  <si>
    <t>nAChR. unc-38 group; alpha subunit</t>
  </si>
  <si>
    <t>Ventral and dorsal nerve cords, many neurons, body wall muscles, vulval and (male) sex muscles, including the protractor muscles. UNC-38 is expressed postsynaptically in muscles and neurons where it colocalizes with TAX-6, and with ACR-8, ACR-12, and UNC-29, respectively</t>
  </si>
  <si>
    <t>Forms a ligand-gated cation channel when coexpressed with ACR-2, ACR-3, UNC-29, and LEV-1 (non-alpha nAChR subunits)</t>
  </si>
  <si>
    <t>Required for normal locomotion and egg-laying, and functions as a subunit of a ligand-gated cation channel that likely mediates fast actions of acetylcholine at neuromuscular junctions and in the nervous system. ACR-12 colocalizes with some, but not all, UNC-38-containing postsynaptic receptor clusters, suggesting that ACR-12 contributes to only a subset of these receptor clusters</t>
  </si>
  <si>
    <t>Baylis et al, 1997; Mongan et al, 2002; Schafer, 2002; Gottschalk et al, 2005</t>
  </si>
  <si>
    <t>Predicted to function in regulation of fast neurotransmission</t>
  </si>
  <si>
    <t>Body wall muscles, vulval muscles, and a large number of neurons including motor neurons in the ventral nerve cord (AS, DA, DB, VB, VD, VC) and neurons in the head, posterior lateral, preanal, and lumbar ganglia. No expression is observed either in the sphincter muscle or in the anal depressor muscle.</t>
  </si>
  <si>
    <t>Forms a ligand-gated cation channel when coexpressed with UNC-29 and LEV-1 (non-alpha nAChR subunits)</t>
  </si>
  <si>
    <t>Required for normal locomotion and regulation of egg-laying behavior</t>
  </si>
  <si>
    <t>Mongan et al, 2002; Culetto et al, 2004; Schafer, 2002</t>
  </si>
  <si>
    <t>acr-16 group</t>
  </si>
  <si>
    <t>nAChR. acr-16 group; alpha subunit</t>
  </si>
  <si>
    <t>Pharyngeal muscle and in tail neurons distal to the anus</t>
  </si>
  <si>
    <t>Encodes an alpha-7-like homomer-forming subunit of the nicotinic acetylcholine receptor (nAChR) superfamily</t>
  </si>
  <si>
    <t>nAChR. acr-16 group; non-alpha subunit</t>
  </si>
  <si>
    <t>AIY, other head neurons, AS, DA, DB, DD, HSN, VB, VC4, VC5, muscle, intestine</t>
  </si>
  <si>
    <t>Fox et al, 2005; von Stetina et al, 2007; Rand, 2007</t>
  </si>
  <si>
    <t>AVA, AVB, DVA, I5, RID, RIM, PVQ, SAA, SIA, SIB, SMB (?), SMD, all ventral cord motor neurons except DD, some unidentified neurons in the head. Also expressed in head muscles (weak), body wall muscles (weak).</t>
  </si>
  <si>
    <t>Feng et al, 2006; von Stetina et al, 2007</t>
  </si>
  <si>
    <t>Orthologous to human nicotinic cholinergic receptor alpha 7</t>
  </si>
  <si>
    <t>nAChR. acr-16 group;alpha subunit</t>
  </si>
  <si>
    <t>Subset of neurons; AVA, RIB, RID, SIB, SMD, CEP(?), ADE(?), DB motor neurons and some unidentified neurons in the head and tail. Also expressed in anal depressor, head muscles (strong), body wall muscles (strong; localizes to the tips of muscle arms, specific regions of the muscle cell membrane that form synapses with neuronal processes), but not vulval muscles</t>
  </si>
  <si>
    <t>ACR-16 functions as a ligand-gated ion channel that is required for the major fast cholinergic excitatory current at C. elegans neuromuscular junctions. When expressed in Xenopus ooctyes, ACR-16 is active as a homomeric receptor and responds robustly to acetylcholine</t>
  </si>
  <si>
    <t>Francis et al, 2005; Touroutine et al, 2005; Feng et al, 2006</t>
  </si>
  <si>
    <t>ACR-21 is a highly divergent member of the 'ACR-16' class of nAChR subunits</t>
  </si>
  <si>
    <t>Jones and Sattelle, 2004; Jones et al, 2007</t>
  </si>
  <si>
    <t>pm4 and pm5. EAT-2::GFP fusion protein is localized to small dots near the junction of pharyngeal muscles pm4 and pm5</t>
  </si>
  <si>
    <t>Ligand-gated ion channel subunit most closely related to the non-alpha-subunits of nicotinic acetylcholine receptors (nAChR)</t>
  </si>
  <si>
    <t>Functions postsynaptically in pharyngeal muscle to regulate the rate of pharyngeal pumping; EAT-2 is also required for normal life span and defecation; a functional EAT-2::GFP fusion protein localizes to two small dots near the junction of pharyngeal muscles pm4 and pm5, which is the site of the posteriormost MC motor neuron processes and the MC synapse; eat-2 genetically interacts with eat-18, which encodes a predicted transmembrane protein expressed in pharyngeal muscle and required for proper function of pharyngeal nicotonic receptors.</t>
  </si>
  <si>
    <t>McKay et al, 2004</t>
  </si>
  <si>
    <t>acr-8 group (nematode-specific)</t>
  </si>
  <si>
    <t>nAChR. acr-8 group; alpha subunit</t>
  </si>
  <si>
    <t>All bodywall muscles, anal and vulval muscles, ventral cord motor neurons (punctate sites along nerve cords), head neurons and nerve ring processes, and in tail neurons</t>
  </si>
  <si>
    <t>ACR-12 is predicted to mediate fast excitatory neurotransmission, however loss of acr-12 activity via mutation or RNAi results in no obvious defects. ACR-12 copurifies with UNC-29 and LEV-1, suggesting that ACR-12 can form receptors with these two non-alpha AChR subunits. ACR-12 colocalizes with some, but not all, UNC-38-containing postsynaptic receptor clusters, suggesting that ACR-12 contributes to only a subset of these receptor clusters</t>
  </si>
  <si>
    <t>Gottschalk et al, 2005</t>
  </si>
  <si>
    <t>Expression of a LEV-8::GFP reporter construct begins at the L1 larval stage. Expression is detected in body wall muscles, uv1 and uv2 uterine muscles, anal depressor muscle, and neurons, including PVT, ALA, many ventral cord neurons, including all DD cells, many head neurons, IL and OL socket cells</t>
  </si>
  <si>
    <t>Required for normal rates of pharyngeal pumping and for fully wild-type responses (increased egg laying and body wall muscle contraction) to the nAChR agonist and antihelmintic levamisole</t>
  </si>
  <si>
    <t>Towers et al, 2005; Gottschalk et al, 2005</t>
  </si>
  <si>
    <t>deg-3 group (nematode-specific)</t>
  </si>
  <si>
    <t>nAChR. deg-3 group; alpha subunit</t>
  </si>
  <si>
    <t>Consistent with their role in metabolite chemosensation, DEG-3 and DES-2 are expressed in nonsynaptic regions such as the sensory endings of the IL2 chemosensory neurons; DEG-3 and DES-2 are also detected in the touch cell neurons (ALM, AVM, PLM), anterior head muscles, AVG, PVD, PVC, FLP</t>
  </si>
  <si>
    <t>DEG-3 can form heteromeric channels with a second alpha subunit, DES-2, and in vivo these channels appear to be required for chemosensation of choline; deg-3 and des-2 reside in an operon, and consistent with their role in metabolite chemosensation, are expressed in nonsynaptic regions such as the sensory endings of the IL2 chemosensory neurons</t>
  </si>
  <si>
    <t>Originally defined by a gain-of-function mutation that results in neuronal degeneration and uncoordinated movement</t>
  </si>
  <si>
    <t>Treinin et al, 1998; Yassin et al, 2001</t>
  </si>
  <si>
    <t>Consistent with their role in metabolite chemosensation, DEG-3 and DES-2 are expressed in nonsynaptic regions such as the sensory endings of the IL2 chemosensory neurons; DEG-3 and DES-2 are also detected in the touch cell neurons (ALM, AVM, PLM), anterior head muscles, AVG, PVD, PVC, FLP. Also expressed in ALA</t>
  </si>
  <si>
    <t>Treinin et al, 1998; van Buskirk and Sternberg, 2010</t>
  </si>
  <si>
    <t>Winnier et al, 1999</t>
  </si>
  <si>
    <t>Mongan et al, 2002; Sattelle et al, 2002; Schafer, 2002</t>
  </si>
  <si>
    <t>Ungrouped</t>
  </si>
  <si>
    <t>Ligand-gated ion channel of the cys-loop superfamily with sequence similarity to nicotinic acetylcholine receptor subunits, including the vertebrate neuronal acetylcholine receptor alpha-9 subunits</t>
  </si>
  <si>
    <t>.</t>
  </si>
  <si>
    <t>Mongan et al, 2002; Jones et al, 2007; Jones and Sattelle, 2008</t>
  </si>
  <si>
    <t>Acetylcholine-gated chloride channel (not found in vertebrates)</t>
  </si>
  <si>
    <t>Putrenko et al, 2005</t>
  </si>
  <si>
    <t>Ligand-gated ion channel (acc-1 group)</t>
  </si>
  <si>
    <t>Non-alpha ligand-gated ion channel with similarity to the nicotinic acetylcholine receptors</t>
  </si>
  <si>
    <t>Ach ?</t>
  </si>
  <si>
    <t>Coelomocytes. Localizes primarily to vesicles scattered around the cytoplasm. While some of the CUP-4::GFP localized around the nucleus, presumably in the endoplasmic reticulum (ER) membrane, the general pattern of localization of CUP-4::GFP was quite distinct from that of cytochrome b5, a marker for smooth ER, and from TRAM, a marker for the rough ER.hese results are consistent with CUP-4::GFP localizing at steady state to the Golgi apparatus or to the plasma membrane/endosomes.</t>
  </si>
  <si>
    <t>Required cell autonomously for efficient fluid endocytosis in coelomocytes; cup-4 mutant animals display reduced levels of plasma membrane phosphatidylinositol 4,5-bisphosphate, suggesting that CUP-4 may regulate endocytosis via regulation of phospholipase C activity; in addition, cup-4 mutants display disorganized clathrin and RME-1 at the coelomocyte plasma membrane</t>
  </si>
  <si>
    <t>Fares and Greenwald, 2001; Jones and Sattelle, 2004; Patton et al, 2005</t>
  </si>
  <si>
    <t>nAChR? Ligand-gated ion channel</t>
  </si>
  <si>
    <t>Jones and Satelle, 2008</t>
  </si>
  <si>
    <t>GABA (gamma-aminobutyric acid )</t>
  </si>
  <si>
    <t>GABA-AR</t>
  </si>
  <si>
    <t>Ligand-gated anion (chloride) channel</t>
  </si>
  <si>
    <t>GABA</t>
  </si>
  <si>
    <t>Dorsal and ventral head and body wall muscles on both the dorsal and ventral sides (localized in postsynaptic terminals at the NMJs). Isoform-specific expression also seen in the anal sphincter muscle (unc-49B::gfp but not unc-49C::gfp animals). Variable, weak fluorescence in head ganglia</t>
  </si>
  <si>
    <t>Encodes multiple subunits of a heteromeric GABA receptor. There are 9 cDNA-confirmed or partially-confirmed isoforms (T21C12.1a-T21C12.1i). UNC-49 activity is required for postsynaptic GABA responsiveness, and thus, for normal regulation of locomotion</t>
  </si>
  <si>
    <t>Bamber et al, 1999; Jorgensen, 2005; Jones et al, 2008</t>
  </si>
  <si>
    <t>Ligand-gated ion channel (unc-49 group)</t>
  </si>
  <si>
    <t>Human gamma-aminobutyric acid A receptor gamma 2 (GABRG2)</t>
  </si>
  <si>
    <t>All of the touch receptor neurons (ALM, AVM, PLM), ventral cord motor neurons, and many neurons in the head and some in the tail.</t>
  </si>
  <si>
    <t>Jones and Satelle, 2008; Topalidou and Chalfie, 2011</t>
  </si>
  <si>
    <t>Ligand-gated chloride channel</t>
  </si>
  <si>
    <t>AIY</t>
  </si>
  <si>
    <t>Wenick &amp; Hobert, 2004; Jones and Satelle, 2008</t>
  </si>
  <si>
    <t>A GABA receptor beta-like subunit with both the neurotransmitter-gated ion-channel ligand binding and transmembrane domains</t>
  </si>
  <si>
    <t>All touch receptor neurons (ALM, AVM, PLM), ventral cord motor neurons, and many neurons in the head and some in the tail.</t>
  </si>
  <si>
    <t>GAB-1 can form a GABA-responsive channel when co-expressed with alpha/gamma type subunits in a heterologous expression system</t>
  </si>
  <si>
    <t>Involved in the mechanism of resistance to the widely used broad-spectrum anthelmintic drug Ivermectin</t>
  </si>
  <si>
    <t>Feng et al, 2002; Topalidou and Chalfie, 2011</t>
  </si>
  <si>
    <t>Ligand-gated chloride channel (a predicted member of the GABA/glycine receptor family of ligand-gated chloride channels)</t>
  </si>
  <si>
    <t>AIB, AVH, PVR, PVQ, and SMDV neurons and in some motor neurons in the ventral cord, and in the egg-laying muscles</t>
  </si>
  <si>
    <t>Affects thermotaxis.</t>
  </si>
  <si>
    <t>CAN, DD, HSN, SIAV, SMDV, SMDD. Egg-laying muscles (weak)</t>
  </si>
  <si>
    <t>Ligand-gated ion channel (ggr-1 group)</t>
  </si>
  <si>
    <t>Ligand-gated ion channel (ggr-3 group)</t>
  </si>
  <si>
    <t>Excitatory, cation-selective GABA receptor</t>
  </si>
  <si>
    <t>Intestinal and anal depressor muscles (it localizes to regions consistent with the positions of neuromuscular junctions), neurons, including ADE, PDA, RID and SABD</t>
  </si>
  <si>
    <t>When expressed in Xenopus oocytes, EXP-1 is capable of forming a cation-selective GABA receptor</t>
  </si>
  <si>
    <t>Essential for the enteric muscle contractions that are the third in a series of three independent muscle contractions controlling defecation</t>
  </si>
  <si>
    <t>Thomas, 1990; Beg and Jorgensen, 2003</t>
  </si>
  <si>
    <t>Ligand-gated ion channel (exp-1 group)</t>
  </si>
  <si>
    <t>GABA-BR</t>
  </si>
  <si>
    <t>human GABBR1</t>
  </si>
  <si>
    <t>GPCR. Metabotropic GABA receptor. Encodes, by alternative splicing, one isoform of a subunit of the GABAB receptor dimer (Y41G9A.4/ZK180.1, or 'GBB-1/2').</t>
  </si>
  <si>
    <t>Required for inhibition of cholinergic motor neurons by GABA, and thus for normally restrained movement and aldicarb resistance. Y41G9A.4/gbb-1(tm1406) mutants move abnormally fast, with abnormally few changes of direction</t>
  </si>
  <si>
    <t>Dittman and Kaplan, 2008; Vashlishan et al, 2008</t>
  </si>
  <si>
    <t>GPCR. Metabotropic GABA receptor. Encodes a subunit of the GABAB receptor dimer (Y41G9A.4/ZK180.1, or 'GBB-1/2'). orthologous to human GABBR2</t>
  </si>
  <si>
    <t>Required for inhibition of cholinergic motor neurons by GABA, and thus for normally restrained movement and aldicarb resistance. ZK180.1/gbb-2'(tm1165) mutants move abnormally fast, with abnormally few changes of direction</t>
  </si>
  <si>
    <t>GLYCINE</t>
  </si>
  <si>
    <t>Glycine</t>
  </si>
  <si>
    <t>Jones et al, 2007; Jones and Satelle, 2008</t>
  </si>
  <si>
    <t>GLUTAMATE</t>
  </si>
  <si>
    <t>Metabotropic glutamate receptors (mGluRs)</t>
  </si>
  <si>
    <t>The metabotropic glutamate receptors are a family of G protein-coupled receptors, that have been divided into 3 groups in higher organisms on the basis of sequence homology, putative signal transduction mechanisms, and pharmacologic properties. Group I includes GRM1 and GRM5 and these receptors have been shown to activate phospholipase C. Group II includes GRM2 and GRM3, while Group III includes GRM4, GRM6, GRM7 and GRM8. Group II and III receptors are linked to the inhibition of the cyclic AMP cascade but differ in their agonist selectivities. The metabotropic glutamate receptors mediate relatively slow glutamate responses.</t>
  </si>
  <si>
    <t>Tanabe, 1992</t>
  </si>
  <si>
    <t>mGluR. A Group II metabotropic glutamate receptor. GPCR superfamily.</t>
  </si>
  <si>
    <t>Glutamate</t>
  </si>
  <si>
    <t>MGL-1 is required for normal post-embryonic growth rates. MGL-1 is predicted to function as a pre-synaptic G protein-coupled receptor that, in response to glutamate binding, inhibits adenylyl cyclase activity</t>
  </si>
  <si>
    <t>Wenick and Hobert, 2004; Greer ER et al, 2008</t>
  </si>
  <si>
    <t>mGluR. A Group I metabotropic glutamate receptor. GPCR superfamily.</t>
  </si>
  <si>
    <t>MGL-2 is predicted by homology, to function as a post-synaptic G protein-coupled receptor that, in response to glutamate binding, stimulates phospholipase C activity and increases neuronal excitation (in mammalian tissue culture cells, glutamate stimulation of MGL-2 does result in increased phosphoinositide turnover). A mutation in mgl-2 indicates that it is required for normal head movements and tap reversal reflexes, while loss of mgl-2 activity via large-scale RNAi screens indicates that MGL-2 is also required for embryogenesis.</t>
  </si>
  <si>
    <t>mGluR. GPCR superfamily. Related to glutamate-gated metabotropic ion channel receptor subunit GRM2 and related subunits</t>
  </si>
  <si>
    <t>mGluR. GPCR superfamily. Related to glutamate-gated metabotropic ion channel receptor subunit GRM2 and related subunits. GPCR</t>
  </si>
  <si>
    <t>Glutamate?</t>
  </si>
  <si>
    <t>Ionotropic glutamate receptors (iGluRs)</t>
  </si>
  <si>
    <t>The anion (Cl-)-specific ionotropic glutamate receptors</t>
  </si>
  <si>
    <t>iGluR. Ligand-gated anion (chloride) channel; alpha subunit of a glutamate-gated chloride channel</t>
  </si>
  <si>
    <t>Encodes the alpha subunit of a glutamate-gated chloride channel and forms a functional channel in Xenopus oocytes</t>
  </si>
  <si>
    <t>Cully et al, 1994; Etter et al, 1999; Dent et al, 2000</t>
  </si>
  <si>
    <t>iGluR. Beta subunit of a glutamate-gated chloride channel</t>
  </si>
  <si>
    <t>pm4 pharyngeal muscles of larvae and adults</t>
  </si>
  <si>
    <t>GLC-2 is capable of forming homomeric glutamate-activated channels, as well as heteromeric channels with GLC-1 that can be activated by glutamate and avermectins, antihelmintics that inhibit pharyngeal pumping.</t>
  </si>
  <si>
    <t>Loss of glc-2 activity via large-scale RNAi screens does not result in any obvious abnormalities, hence, the precise role of GLC-2 in development and/or behavior is not yet known. However, GLC-2 may have a role in regulation of glutamatergic inhibition of pharyngeal pumping</t>
  </si>
  <si>
    <t>Cully et al, 1994; Laughton et al, 1997; Yates et al, 2003</t>
  </si>
  <si>
    <t>iGluR. Fipronil and BIDN-sensitive, but picrotoxinin-insensitive, L-glutamate-gated chloride channel subunit</t>
  </si>
  <si>
    <t>The inhibitory, glutamatergic synapses between AWC neuron and AIA and AIY neurons are via GLC-3. This glutamate signaling pathway between AWC-AIA promotes local search and odor chemotaxis. These responses are modulated (limited) by NLP-1/NPR-11 signaling between AWC and AIA.</t>
  </si>
  <si>
    <t>Horoszok et al, 2004; Wenick and Hobert, 2004; Chalasani et al., 2007; Chalasani et al., 2010</t>
  </si>
  <si>
    <t>iGluR. A predicted glutamate-gated chloride channel</t>
  </si>
  <si>
    <t>Affects ivermectin sensitivity and reversal behavior and genetically interacts with avr-14</t>
  </si>
  <si>
    <t>human GLRA-2</t>
  </si>
  <si>
    <t>iGluR. Alpha-type subunit of a glutamate-gated chloride channel</t>
  </si>
  <si>
    <t>Encodes a glutamate-gated chloride channel alpha-type subunit homolog</t>
  </si>
  <si>
    <t>Affects sensitivity to the antiparasitic drug, ivermectin, in parallel with AVR-15 and GLC-1 and in a genetic pathway with unc-9. Functions in the extrapharyngeal nervous system</t>
  </si>
  <si>
    <t>Culetto and Sattelle, 2000; Dent et al, 2000</t>
  </si>
  <si>
    <t>pm4, pm5 (precisely those muscles onto which M3 synapses; expression begins shortly before hatching and persists throughout adulthood), a few neurons of the head, including RMED, RMEV and RMGs, DA9 and possibly VA12. Some unidentified neurons contributing to the dorsal and ventral sublateral nerve cords.</t>
  </si>
  <si>
    <t>Encodes two glutamate-gated chloride channel alpha-type subunit homologs via alternative splicing. When expressed heterologously in Xenopus oocytes, AVR-15a forms a homomeric channel that is ivermectin-sensitive and glutamate-gated.</t>
  </si>
  <si>
    <t>The alternative splice products mediate fast inhibitory glutamatergic neuromuscular transmission, as well as ivermectin sensitivity, and are required for normal pharyngeal function (mutation of avr-15 alone renders animals slightly starved and induces an abnormal electropharyngeogram, implying that AVR-15a/b are nonredundant in pm4 and pm5, onto which M3 synapses. AVR-15a is necessary postsynaptically for a functional M3 synapse and for the hyperpolarizing effect of glutamate on pharyngeal muscle. Simultaneous mutation of avr-14, avr-15, and glc-1 confers high-level resistance to the antiparasitic drug ivermectin, while resistance remains low with mutations in avr-15 alone; this implies that these genes (which all encode glutamate-gated chloride channel alpha-type subunit homologs) have somewhat redundant products for ivermectin resistence</t>
  </si>
  <si>
    <t>Dent et al, 1997; Dent et al, 2000</t>
  </si>
  <si>
    <t>The cation-specific ionotropic glutamate receptors</t>
  </si>
  <si>
    <t>The cation-specific ionotropic glutamate receptors are subdivided into alpha-amino-3-hydroxy-5-methyl-4-isoxazole propionate (AMPA)/Kainate receptors and N-methyl--D-Aspartate (NMDA) receptors. Activation of NMDA receptors results in the opening of an ion channel that is nonselective to cations. A unique property of the NMDA receptor is its voltage-dependent activation, a result of ion channel block by extracellular Mg++ ions. This allows voltage-dependent flow of Na+ and small amounts of Ca++ ions into the cell and K+ out of the cell</t>
  </si>
  <si>
    <t>iGluR. AMPA (non-NMDA)-type ionotropic (Na+/K+) glutamate receptor subunit</t>
  </si>
  <si>
    <t>GLR-1 activity is required for mediating the behavioral response to light nose touch and the frequency with which animals change locomotory direction in response to sensory cues such as food; GLR-1 and GLR-2 can interact to form functional heteromeric channels. GLR-1 localizes to perinuclear structures in cell bodies and to punctate structures that appear to be glutamatergic postsynaptic specializations. Proper GLR-1 localization in the anterior ventral nerve cord of older larvae and adults requires activity of the class I PDZ protein LIN-10. GLR-1 is ubiquitinated in vivo and its abundance at postsynaptic elements, which may influence postsynaptic strength, is regulated by ubiquitination. GLR-1 trafficking in interneurons has been shown to be regulated by the UEV-1 ubiquitin-conjugating enzyme variant and the UBC-13 ubiquitin-conjugating enzyme.</t>
  </si>
  <si>
    <t>Maricq et al, 1995; Rongo et al, 1998; Brockie et al, 2001; Hills et al, 2004</t>
  </si>
  <si>
    <t>GLR-2 activity is required for mediating the behavioral response to light nose touch and for regulating the frequency with which animals change locomotory direction in response to sensory cues such as food. GLR-2 and GLR-1 can interact to form functional heteromeric channels.</t>
  </si>
  <si>
    <t>Brockie et al, 2001; Aronoff et al, 2004</t>
  </si>
  <si>
    <t>human GRIK2</t>
  </si>
  <si>
    <t>iGluR. Ligand-gated ion channel. similar to kainate-selective ionotropic glutamate receptor 2 (human GRIK2)</t>
  </si>
  <si>
    <t>Brockie et al, 2001</t>
  </si>
  <si>
    <t>iGluR. (non-NMDA)-type</t>
  </si>
  <si>
    <t>Encodes a putative non-NMDA ionotropic glutamate receptor subunit, most closely related to GLR-3 and less so to GLR-7, possibly of the kainate subfamily.</t>
  </si>
  <si>
    <t>glr-4 expression requires UNC-42, as well as CFI-1 in URA cells.</t>
  </si>
  <si>
    <t>Brockie et al, 2001; Sprengel at al, 2001; Shaham and Bargmann, 2002</t>
  </si>
  <si>
    <t>iGluR. Kainate (non-NMDA)-type</t>
  </si>
  <si>
    <t>GLR-5 activity is required for normal brood sizes, especially at high temperatures</t>
  </si>
  <si>
    <t>Encodes a putative non-NMDA ionotropic glutamate receptor subunit, most closely related to GLR-5, possibly of the kainate subfamily</t>
  </si>
  <si>
    <t>Brockie et al, 2001; Sprengel et al, 2001</t>
  </si>
  <si>
    <t>iGluR. Unclassifiable as NMDA or non-NMDA (though possibly of the delta subfamily) receptor subunit</t>
  </si>
  <si>
    <t>Encodes a highly divergent putative ionotropic glutamate receptor subunit, unclassifiable as NMDA or non-NMDA (though possibly of the Delta subfamily), and without any clear close homologs in metazoa or plants</t>
  </si>
  <si>
    <t>iGluR. NMDA-type ionotropic glutamate receptor subunit</t>
  </si>
  <si>
    <t>AVA, AVD, AVE, AVG, PVC, RIM and in oocytes and sheath cells</t>
  </si>
  <si>
    <t>Affects the duration of forward movement which is important during foraging behavior; the slow kinetics typical of NMDA-dependent currents are likely important for its effect on forward movement. Also affects osmotic avoidance.</t>
  </si>
  <si>
    <t>Brockie et al, 2001; Mellem et al, 2002</t>
  </si>
  <si>
    <t>iGluR. NMDA-type ionotropic glutamate receptor subunit. Most similar to members of the NR2A subfamily of the NMDA class of iGluRs</t>
  </si>
  <si>
    <t>Required for full memory retention of a learned avoidance behavior, namely avoidance of NaCl after starvation conditioning. Additionall, NMR-2 activity is required for NMDA-gated currents in the AVA interneuron. nmr-2 expression in AVA and AVE is positively regulated by the FAX-1 nuclear receptor</t>
  </si>
  <si>
    <t>Brockie et al, 2001; Wightman et al, 2005; Kano et al 2008</t>
  </si>
  <si>
    <t>GluR Regulatory proteins</t>
  </si>
  <si>
    <t>TARPs (TARPs are obligate auxiliary subunits for AMPARs with a primary, evolutionarily conserved functional role in the modification of current kinetics)</t>
  </si>
  <si>
    <t>One of two transmembrane AMPA receptor Regulatory Proteins (TARPs) in C. elegans.</t>
  </si>
  <si>
    <t>Most of the interneurons that express nmr-1 also appear to express both stg-1 and stg-2, with the notable exception of the AVA. stg-2, but not stg-1, is strongly expressed in AVA. There is considerable overlap in stg-1 and stg-2 expression patterns. stg-1 is expressed in the nervous system, with expression apparent in most of the neurons that normally express the GLR-1 subunit. GLR-1 and STG-1 colocalize at the tips of muscle arms.</t>
  </si>
  <si>
    <t>Encodes a claudin homolog that may regulate ion channels (claudins are integral membrane proteins with four transmembrane sequences that are found in mammalian tight junctions (TJs), induce TJs when transgenically expressed in cells normally lacking them, and can mediate the specific conductance of of specific ions (e.g., magnesium or calcium) through TJs while blocking the flow of water)</t>
  </si>
  <si>
    <t>STG-1 is similar to mammalian voltage-dependent calcium channel gamma subunits that are known or suspected to prevent epilepsy in vivo, however, C18D1.4 has no obvious function in mass RNAi assays</t>
  </si>
  <si>
    <t>Walker et al, 2006; Wang et al, 2008</t>
  </si>
  <si>
    <t>One of two transmembrane AMPA receptor Regulatory Proteins (TARPs) in C elegans</t>
  </si>
  <si>
    <t>Most of the interneurons that express nmr-1 also appear to express both stg-1 and stg-2, with the notable exception of the AVA. stg-2, but not stg-1, is strongly expressed in AVA. There is considerable overlap in stg-1 and stg-2 expression patterns.</t>
  </si>
  <si>
    <t>Function unknown</t>
  </si>
  <si>
    <t>Ligand-gated ion channel</t>
  </si>
  <si>
    <t>Encodes a highly divergent member of the cys-loop ligand-gated ion channel (LGIC) superfamily</t>
  </si>
  <si>
    <t>Ligand-gated ion channel (LGC-45 group)</t>
  </si>
  <si>
    <t>Neurotransmitter-gated ion-channel?</t>
  </si>
  <si>
    <t>Supplementary Information</t>
  </si>
  <si>
    <t>G proteins in C. elegans</t>
  </si>
  <si>
    <t>There are a total of 21 C. elegans Ga subunits; each of the four subfamilies of Ga proteins found in mammals is represented by one C. elegans ortholog: Gao/i:GOA-1; Gaq: EGL-30; Gas:GSA-1 and Ga12: GPA-12. The remaining 17 have no obvious mammalian orthologs. These are expressed exclusively in sensory neurons and function in chemosensation. There are two Gb subunits; Gb1-4:GPB-1 and Gb5: GPB-2. There are two Gg subunits: GPC-1 and GPC-2.</t>
  </si>
  <si>
    <t>Porter and Koelle, 2009</t>
  </si>
  <si>
    <t>NEUROPEPTIDE/NEUROHORMONE RECEPTORS</t>
  </si>
  <si>
    <t>Class A Rhodopsin Family of GPCRs</t>
  </si>
  <si>
    <t>Neuropeptide Y(npr)/RFamide receptors group</t>
  </si>
  <si>
    <t>Class A Rhodopsin family-Group IIIB</t>
  </si>
  <si>
    <t>Keating et al., 2003</t>
  </si>
  <si>
    <t>Mammalian neuropeptide Y (NPY) receptor</t>
  </si>
  <si>
    <t>Homologous to the mammalian neuropeptide Y (NPY) receptor</t>
  </si>
  <si>
    <t>flp-18 and flp-21-encoded peptides</t>
  </si>
  <si>
    <t>AQR, ASE, ASG, ASH (L4/adult stages only), URX, IL2L/R and OLQ (with its socket and sheath cells), the interneurons AUA and SAAD, the motor neurons RMG and SMBD, and the pharyngeal neuron M3</t>
  </si>
  <si>
    <t>Encodes a predicted G protein-coupled neuropeptide receptor that is homologous to the mammalian neuropeptide Y (NPY) receptor required for regulating anxiety, food consumption, and pain sensation</t>
  </si>
  <si>
    <t>NPR-1 is involved in ethological variations of social behavior such as social versus solitary feeding; in regulating social behavior, NPR-1 functions as a receptor for the FLP-18 and FLP-21 peptide ligands; NPR-1 also affects some aspect of UNC-6/netrin-mediated branching of motor neurons, as strong npr-1 mutations can suppress abnormal migration of ventral nerve cord neurons induced by overexpression of UNC-6 lacking domain C; NPR-1 is expressed predominantly in the nervous system, and particularly in the AQR, PQR, and URX neurons that are exposed to the body fluid</t>
  </si>
  <si>
    <t>Coates and de Bono 2002; Kubiak et al, 2003a; Rogers et al, 2003</t>
  </si>
  <si>
    <t>Deletions in four receptors (npr-2, npr-4, npr-5, and npr-7) were found to be associated with increased intestinal fat storage compared to wild-type animals. Likely involved in locomotion.</t>
  </si>
  <si>
    <t>C-X-C chemokine receptor type 3 (CXC-R3)</t>
  </si>
  <si>
    <t>aka FLP-15R. C10C6.2 is primarily coupled to Gi/Go proteins, since C10C6.2 signalling is blocked by pertussis toxin</t>
  </si>
  <si>
    <t>FLP-15-1 and FLP-15-2</t>
  </si>
  <si>
    <t>Ventral nerve cord; both excitatory and inhibitory motor neurons</t>
  </si>
  <si>
    <t>Likely involved in locomotion. Because of its link to Gi/Go proteins, C10C6.2 is expected to be inhibitory.</t>
  </si>
  <si>
    <t>Keating et al., 2003; Kubiak et al., 2003b; Cohen et al., 2009</t>
  </si>
  <si>
    <t>NLP-1</t>
  </si>
  <si>
    <t>The function of the inhibitory, glutamatergic synapse between AWC neuron and AIA neuron via GLC-3 is acutely modulated by NLP-1/NPR-11 signaling (this synapse is important in local search behavior and chemotaxis/odor adaptation). Also likely involved in reproduction.</t>
  </si>
  <si>
    <t>Keating et al., 2003; Chalasani et al., 2010</t>
  </si>
  <si>
    <t>Deletions in four receptors (npr-2, npr-4, npr-5, and npr-7) were found to be associated with increased intestinal fat storage compared to wild-type animals. Likely has a role in reproduction.</t>
  </si>
  <si>
    <t>Keating et al., 2003; Cohen et al., 2009</t>
  </si>
  <si>
    <t>Cohen et al., 2009</t>
  </si>
  <si>
    <t>Human Galanin receptor type 1</t>
  </si>
  <si>
    <t>Likely involved in reproduction.</t>
  </si>
  <si>
    <t>AVA, RIV, PQR, BDU, possibly BAG, coelomocytes, parts of the intestine, rectal gland cells</t>
  </si>
  <si>
    <t>flp-18-encoded peptides</t>
  </si>
  <si>
    <t>Involved in regulation of fat accumulation; deletions in four receptors (npr-2, npr-4, npr-5, and npr-7) were found to be associated with increased intestinal fat storage compared to wild-type animals. Involved in regulation of olfaction and foraging. Likely involved in reproduction.</t>
  </si>
  <si>
    <t>ADF, ASE, ASG, ASI, ASJ, ASK, AWA, AWB, IL2, AIA, LUA, PHA, PHB, head muscles, neck muscles, body muscles</t>
  </si>
  <si>
    <t>Involved in regulation of fat accumulation; deletions in four receptors (npr-2, npr-4, npr-5, and npr-7) were found to be associated with increased intestinal fat storage compared to wild-type animals. Involved in regulation of dauer formation.</t>
  </si>
  <si>
    <t>Kubiak et al., 2008; Cohen et al., 2009</t>
  </si>
  <si>
    <t>VRFamideR1</t>
  </si>
  <si>
    <t>FLP-7-2 and FLP-11-1</t>
  </si>
  <si>
    <t>Encodes a homolog of the functionally active Fmrf Receptor (FR; CG2114) of D. melanogaster</t>
  </si>
  <si>
    <t>Keating et al., 2003; Mertens et al., 2004</t>
  </si>
  <si>
    <t>aka FLP-2R. T19F4.1A/B are probably linked to the G(q) pathway</t>
  </si>
  <si>
    <t>FLP-2-1 and FLP-2-2</t>
  </si>
  <si>
    <t>Encodes, by alternative splicing, two G-protein coupled receptors for the flp-2-encoded peptides</t>
  </si>
  <si>
    <t>T19F4.1B protein has an extension of 30 residues more than T19F4.1A in the intracellular C-terminal region.</t>
  </si>
  <si>
    <t>Mertens et al., 2005</t>
  </si>
  <si>
    <t>Encodes a homolog of the functionally active Fmrf Receptor (FR; CG2114) of D. melanogaster; it is thus possible that K07E8.5 is a receptor for one of the FMRF-like neurotransmitters in C. elegans</t>
  </si>
  <si>
    <t>Encodes a homolog of the functionally active Fmrf Receptor (FR; CG2114) of D. melanogaster; it is thus possible that Y41D4A.8 is a receptor for one of the FMRF-like neurotransmitters in C. elegans</t>
  </si>
  <si>
    <t>Encodes a homolog of the functionally active Fmrf Receptor (FR; CG2114) of D. melanogaster; it is thus possible that K10C8.2 is a receptor for one of the FMRF-like neurotransmitters in C. elegans</t>
  </si>
  <si>
    <t>Encodes a homolog of the functionally active Fmrf Receptor (FR; CG2114) of D. melanogaster; it is thus possible that F53B7.2 is a receptor for one of the FMRF-like neurotransmitters in C. elegans</t>
  </si>
  <si>
    <t>Encodes a homolog of the functionally active Fmrf Receptor (FR; CG2114) of D. melanogaster; it is thus possible that C56A3.3 is a receptor for one of the FMRF-like neurotransmitters in C. elegans</t>
  </si>
  <si>
    <t>Encodes a homolog of the functionally active Fmrf Receptor (FR; CG2114) of D. melanogaster; it is thus possible that T14C1.1 is a receptor for one of the FMRF-like neurotransmitters in C. elegans</t>
  </si>
  <si>
    <t>Encodes a homolog of the functionally active Fmrf Receptor (FR; CG2114) of D. melanogaster; it is thus possible that C02B8.5 is a receptor for one of the FMRF-like neurotransmitters in C. elegans</t>
  </si>
  <si>
    <t>Somatostatin and galanin-like receptors group</t>
  </si>
  <si>
    <t>Class A Rhodopsin family-Group V</t>
  </si>
  <si>
    <t>GPCR that is most similar to the mammalian somatostatin receptors</t>
  </si>
  <si>
    <t>Head and tail neurons, ventral nerve cord, anal depressor muscle, vulval muscle vm1</t>
  </si>
  <si>
    <t>Kamath et al., 2003; Wang et al., 2006</t>
  </si>
  <si>
    <t>AIB</t>
  </si>
  <si>
    <t>Bendena et al., 2008</t>
  </si>
  <si>
    <t>Encodes a G protein-coupled receptor with acidic amino acids in the -3 position of its PDZ binding motif; ZC84.4 protein binds PDZ domain 10 of the multi-PDZ domain protein, MPZ-1, in GST pulldown experiments; by analogy with SER-1, the PDZ binding motif of ZC84.4 may enhance its signalling</t>
  </si>
  <si>
    <t>Xiao et al, 2006</t>
  </si>
  <si>
    <t>Likely involved in locomotion.</t>
  </si>
  <si>
    <t>Tachykinin (Neurokinin) receptor-like group</t>
  </si>
  <si>
    <t>C. elegans tachykinin-like neuropeptide receptor homolog</t>
  </si>
  <si>
    <t>Suggested to be expressed in the socket cells of the deirid (ADEso) and post-deirid sensilla (PDEso) from the L2 larval stage through adulthood.</t>
  </si>
  <si>
    <t>By homology, TKR-1 is predicted to function in modulation of excitatory neurotransmission. As loss of tkr-1 activity via RNAi results in moderate reduction of fat content, TKR-1 may play a specific role in regulating lipid metabolism</t>
  </si>
  <si>
    <t>Barrett et al., 1996</t>
  </si>
  <si>
    <t>Wenick and Hobert, 2004</t>
  </si>
  <si>
    <t>FLP-1-6, FLP-7-1, FLP-7-2, FLP-7-3, FLP-7-4, FLP-9 , FLP-11-1, FLP-11-2, FLP-11-3, FLP-13-2, FLP-13-4, FLP-13-5, FLP-13-6, FLP-13-7, FLP-22</t>
  </si>
  <si>
    <t>Rogers et al., 2001; Mertens et al., 2006</t>
  </si>
  <si>
    <t>Gastrin/Cholecystokinin (CCK)-like receptors group</t>
  </si>
  <si>
    <t>Encodes a seven transmembrane receptor that is most closely related to the mammalian cholecystokinin receptors</t>
  </si>
  <si>
    <t>Loss of T23B3.4 activity via RNAi, either singly or in combination with another cholecystokinin receptor-encoding gene, Y39A3B.5, has no effect on fat metabolism, however large-scale RNAi screens have reported that T23B3.4(RNAi) results in embryonic lethality and reduced brood sizes</t>
  </si>
  <si>
    <t>McKay et al., 2007; Wenick &amp; Hobert, 2004</t>
  </si>
  <si>
    <t>Gonadotropin releasing hormone, oxytocin, vasopressin-like receptors group</t>
  </si>
  <si>
    <t>human GnRHR</t>
  </si>
  <si>
    <t>(human GoNadotropin-Releasing hormone Receptor (GnRHR) related)</t>
  </si>
  <si>
    <t>Human Vasopressin receptor type 2 (AVPR2)</t>
  </si>
  <si>
    <t>Neurotensin, neuromedin U, growth hormone secretagogue, thyrotropin releasing hormone (TRH)-like receptors group</t>
  </si>
  <si>
    <t>Keating et al 2003</t>
  </si>
  <si>
    <t>Vertebrate NMU (neuromedin U) receptor</t>
  </si>
  <si>
    <t>AFFYTPRI-NH2 (a peptide product of Y23B4A.2 gene)</t>
  </si>
  <si>
    <t>Encodes a G protein-coupled receptor that is similar to the insect PK-1 (pyrokinin-1) receptor and the vertebrate NMU (neuromedin U) receptor</t>
  </si>
  <si>
    <t>When expressed in HEK293T cells, the product of K10B4.4 is able to bind a synthetic AFFYTPRI-NH2 neuropeptide whose sequence is derived from the protein product of Y23B4A.2 (Y23B4A.2 encodes a neuropeptide precursor that can produce a pyrokinin (PK)-like peptide and two periviscerokinin (PVK)-like peptides)</t>
  </si>
  <si>
    <t>Lindemans et al., 2009</t>
  </si>
  <si>
    <t>Hewes and Taghert, 2001</t>
  </si>
  <si>
    <t>HSN, head glia</t>
  </si>
  <si>
    <t>EGL-6 functions as a receptor for FMRFamide-related peptides that inhibit activity of the HSN motor neurons</t>
  </si>
  <si>
    <t>Hewes and Taghert, 2001, Ringstad and Horvitz, 2008</t>
  </si>
  <si>
    <t>Other Notes</t>
  </si>
  <si>
    <t>Class B/Secretin Family of GPCRs</t>
  </si>
  <si>
    <t>aka tag-12. Class B subfamily B2 (LNB-TM7 proteins)</t>
  </si>
  <si>
    <t>g1 gland cells and in the arcade cells in the head, and its expression has been reported to cycle with larval molts</t>
  </si>
  <si>
    <t>Encodes a predicted transmembrane protein that is homologous to vertebrate latrophilins, alpha-latrotoxin binding proteins that are members of the Class B/secretin family of G protein-coupled receptors</t>
  </si>
  <si>
    <t>Loss of lat-2 activity via large-scale RNAi screens does not result in any obvious abnormalities, the precise role of LAT-2 in C. elegans development and/or behavior is not yet known</t>
  </si>
  <si>
    <t>Kamath et al., 2003; Harmar 2001</t>
  </si>
  <si>
    <t>aka secr-1. Class B subfamily B1 (hormone receptors)</t>
  </si>
  <si>
    <t>Head muscles, the vm1 vulval muscles, and an unidentified cell(s) in the anal region</t>
  </si>
  <si>
    <t>Encodes a transmembrane protein with similarity to the secretin family of G-protein-coupled receptors; unlike other members of this family, however, the product of ZK643.3 contains six, rather than seven, predicted transmembrane domains</t>
  </si>
  <si>
    <t>Lynch et al, 1995; Harmar 2001; Cardoso et al., 2006</t>
  </si>
  <si>
    <t>Vasoactive intestinal protein; Adenylate cyclase-coupled calcitonin receptor</t>
  </si>
  <si>
    <t>Class B subfamily B1 (hormone receptors)</t>
  </si>
  <si>
    <t>Encodes a G-protein-coupled receptor (GPCR) that is a member of the secretin family (also known as family B or family 2) of GPCRs</t>
  </si>
  <si>
    <t>Harmar 2001; Cardoso et al., 2006</t>
  </si>
  <si>
    <t>Class B subfamily B2 (LNB-TM7 proteins)</t>
  </si>
  <si>
    <t>Harmar 2001; Wenick and Hobert, 2004</t>
  </si>
  <si>
    <t>Drosophila pigment dispersing factor (PDF) receptors and human CALCR</t>
  </si>
  <si>
    <t>Class B subfamily B1 (hormone receptors). Orthologous to Drosophila pigment dispersing factor (PDF) receptors and to human CALCR</t>
  </si>
  <si>
    <t>PDF-1a, PDF-1b, PDF-2</t>
  </si>
  <si>
    <t>All body wall muscles, two vulval cells, PHA, PHB, PLM, ALM, FLP, OLQD, OLQV, RMED, I1 pharyngeal interneuron pair, and a single sensory neuron R3 in the male tail.</t>
  </si>
  <si>
    <t>Encodes, by alternative splicing, three isoforms of a G-protein-coupled receptor (C13B9.4a,b,c) required for normal locomotion</t>
  </si>
  <si>
    <t>Excess PDF-2 induces a movement phenotype like that seen in a pdf-1 null mutant, indicating that PDF-1a/b and PDF-2 exert opposite effects on PDFR-1</t>
  </si>
  <si>
    <t>Harmar 2001; Cardoso et al., 2006; Janssen et al., 2008; Janssen et al., 2010</t>
  </si>
  <si>
    <t>Insulin/IGF receptor-like proteins</t>
  </si>
  <si>
    <t>Dlakic, 2002</t>
  </si>
  <si>
    <t>ins/IGF receptor</t>
  </si>
  <si>
    <t>daf-2</t>
  </si>
  <si>
    <t>Receptor tyrosine kinase</t>
  </si>
  <si>
    <t>DAF-28, INS-1, INS-7</t>
  </si>
  <si>
    <t>Head neurons, intestine</t>
  </si>
  <si>
    <t>Encodes a receptor tyrosine kinase that is the C. elegans insulin/IGF receptor ortholog</t>
  </si>
  <si>
    <t>DAF-2 activity is required for a number of processes in C. elegans, including embryonic and larval development, formation of the developmentally arrested dauer larval stage (diapause), larval developmental timing, adult longevity, reproduction, fat storage, salt chemotaxis learning, and stress resistance, including response to high temperature, oxidative stress, and bacterial infection; DAF-2 signals through a conserved PI 3-kinase pathway to negatively regulate the activity of DAF-16, a Forkhead-related transcription factor, by inducing its phosphorylation and nuclear exclusion; in addition, DAF-2 negatively regulates the nuclear localization, and hence transcriptional activity, of SKN-1 in intestinal nuclei;</t>
  </si>
  <si>
    <t>Tomioka et al., 2006</t>
  </si>
  <si>
    <t>Extracellular protein without tyrosine kinase domain, contains EGF receptor L domain</t>
  </si>
  <si>
    <t>hpa-1</t>
  </si>
  <si>
    <t>Neurons and the phasmid socket cells in larvae and young adults; posterior intestine, the amphid and phasmid socket cells, a few neurons in adults</t>
  </si>
  <si>
    <t>Encodes one of 54 C. elegans insulin receptor-related proteins, predicted secreted proteins that contain regions of similarity to the extracellular ligand-binding domains of the insulin and epidermal growth factor (EGF) receptors</t>
  </si>
  <si>
    <t>Functions in older adult animals to negatively regulate aging-associated changes, such as locomotory capacity, pigment accumulation, and pharyngeal pumping; in regulating these aspects of healthspan. Appears to function as a negative regulator of the PLC-3/ITR-1 branch of the LET-23/EGFR-mediated signaling pathway</t>
  </si>
  <si>
    <t>Iwasa et al., 2010</t>
  </si>
  <si>
    <t>Contains EGF receptor L domain as well as hidden Markov model-predicted transmembrane helices</t>
  </si>
  <si>
    <t>hpa-2</t>
  </si>
  <si>
    <t>Functions in older adult animals to negatively regulate aging-associated changes, such as locomotory capacity and pharyngeal pumping; in regulating these aspects of healthspan. Appears to function as a negative regulator of the PLC-3/ITR-1 branch of the LET-23/EGFR-mediated signaling pathway</t>
  </si>
  <si>
    <t>ACETYLCHOLINE (ACh)</t>
  </si>
  <si>
    <t>DESCRIPTION</t>
  </si>
  <si>
    <t>GENE NAME</t>
  </si>
  <si>
    <t>TECHNIQUE FOR DETECTION</t>
  </si>
  <si>
    <t>LOCALIZATION</t>
  </si>
  <si>
    <t>REFERENCES</t>
  </si>
  <si>
    <t>NA</t>
  </si>
  <si>
    <t>Radioenzymatic assay</t>
  </si>
  <si>
    <t>Whole animal</t>
  </si>
  <si>
    <t>Hosono et al., 1987; Hosono &amp; Kamiya, 1991; Nguyen et al., 1995</t>
  </si>
  <si>
    <t>Synthesis</t>
  </si>
  <si>
    <t>Choline Acetyltransferase (ChAT)</t>
  </si>
  <si>
    <t>Enzymatic assay</t>
  </si>
  <si>
    <t>Antibody</t>
  </si>
  <si>
    <t>IL2, URA, URB, SAA, SAB, SIA, SIB, SMB, SMD, RMD, RIM, M1, M2, M5, I1 (faint), I6 (faint), VAn, VBn, VCn, DAn, DBn, ASn, SDQ, HSN (faint, h), ALN, PLN, others.</t>
  </si>
  <si>
    <t>Transport</t>
  </si>
  <si>
    <t>Vesicular Acetylcholine Transporter (VAChT)</t>
  </si>
  <si>
    <t>Same as cha-1, also in AIY</t>
  </si>
  <si>
    <t>Duerr et al., 2008; Altun-Gultekin et al., 2001</t>
  </si>
  <si>
    <t>Choline Transporter (HAChT / ChT)</t>
  </si>
  <si>
    <t>Reporter transgenics</t>
  </si>
  <si>
    <t>Cholinergic neurons</t>
  </si>
  <si>
    <t>Postsynaptic Choline/Acetylcholine Transporter</t>
  </si>
  <si>
    <t>Body wall muscle, vulval and enteric muscles, a few unidentified neurons</t>
  </si>
  <si>
    <t>Catabolism</t>
  </si>
  <si>
    <t>Acetylcholinesterase (AChE)</t>
  </si>
  <si>
    <t>Histochemistry2</t>
  </si>
  <si>
    <t>Strong, reliable staining in nerve ring, ventral ganglion, pharyngeal-intestinal valve and anal depressor region; more variable staining in VNC, DNC and PAG</t>
  </si>
  <si>
    <t>Acetylcholinesterase (AChE) class A</t>
  </si>
  <si>
    <t>Johnson et al., 1981; Culotti et al., 1981</t>
  </si>
  <si>
    <t>Acetylcholinesterase (AChE) class B</t>
  </si>
  <si>
    <t>Acetylcholinesterase (AChE) class C</t>
  </si>
  <si>
    <t>-</t>
  </si>
  <si>
    <t>Combes et al., 2000; Combes et al., 2003</t>
  </si>
  <si>
    <t>Related mutant phenotypes</t>
  </si>
  <si>
    <t>ACh levels reduced or absent</t>
  </si>
  <si>
    <t>ACh levels elevated</t>
  </si>
  <si>
    <t>ChAT</t>
  </si>
  <si>
    <t>ChAT enzymatic activity is reduced or absent</t>
  </si>
  <si>
    <t>Rand &amp; Russell 1984; Hosono et al., 1987</t>
  </si>
  <si>
    <t>ace-1, ace-2</t>
  </si>
  <si>
    <t>Histochemical staining2 is reduced in ace-2 mutants, and completely eliminated in ace-2; ace-1 double mutants.</t>
  </si>
  <si>
    <t>Notes</t>
  </si>
  <si>
    <t>1 The genes unc-17 and cha-1 are coexpressed in an operon, controlled by a single promoter upstream of unc-17.</t>
  </si>
  <si>
    <t>SEROTONIN (5-hydroxytryptamine, 5HT)</t>
  </si>
  <si>
    <t>5HT</t>
  </si>
  <si>
    <t>HPLC + ED</t>
  </si>
  <si>
    <t>Formaldehyde induced fluorescence (FIF)</t>
  </si>
  <si>
    <t>NSM, ADF, AIM, RIH, HSN (h), CP1-6 (m), RPAG1 (m), RNs 1B, 3B, 9B (m)</t>
  </si>
  <si>
    <t>Desai et al., 1988; Loer &amp; Kenyon, 1993; Rand &amp; Nonet, 1997; Jia &amp; Emmons, 2006</t>
  </si>
  <si>
    <t>Tryptophan Hydroxylase (TPH)</t>
  </si>
  <si>
    <t>NSM, ADF, [AIM, RIH,]2 HSN (h), CP1-6 (m), RPAG1 (m), RNs 1B, 3B, 9B (m)</t>
  </si>
  <si>
    <t>GTP Cyclohydrolase I (GTP-CH1)3</t>
  </si>
  <si>
    <t>NSM, ADF, HSN (h), CP1-6 (m), RNs 1B, 3B, 9B (m) [also expressed in dopaminergic neurons]</t>
  </si>
  <si>
    <t>Sze et al., 2002 ; Flames &amp; Hobert, 2009 </t>
  </si>
  <si>
    <t>Aromatic L-Amino Acid Decarboxylase (AADC)4</t>
  </si>
  <si>
    <t>Hare &amp; Loer, 2004; Flames &amp; Hobert, 2009 </t>
  </si>
  <si>
    <t>[also expressed in dopaminergic neurons]</t>
  </si>
  <si>
    <t>Vesicular Monoamine Transporter (VMAT)</t>
  </si>
  <si>
    <t>Duerr et al., 1999; Nurrish et al., 1999; Flames &amp; Hobert, 2009 </t>
  </si>
  <si>
    <t>Serotonin Reuptake Transporter (SERT)</t>
  </si>
  <si>
    <t>Monoamine Oxidase (MAO)</t>
  </si>
  <si>
    <t>Nervous system</t>
  </si>
  <si>
    <t>MAO</t>
  </si>
  <si>
    <t>Serotonin N-Acetyltransferase (SNAT)</t>
  </si>
  <si>
    <t>TPH</t>
  </si>
  <si>
    <t>Mutant lacks serotonin immunoreactivity</t>
  </si>
  <si>
    <t>GTP-CH1</t>
  </si>
  <si>
    <t>Mutant lacks serotonin immunoreactivity [and dopamine by FIF]</t>
  </si>
  <si>
    <t>Desai et al., 1988; Sulston et al., 1975</t>
  </si>
  <si>
    <t>AADC</t>
  </si>
  <si>
    <t>Mutant lacks serotonin immunoreactivity (or is greatly reduced); serotonin immunoreactivity is rescued by exogenous 5HT but not 5HTP (5-hydroxytryptophan); see also dopamine-related phenotypes below</t>
  </si>
  <si>
    <t>Loer &amp; Kenyon, 1993; Weinshenker et al., 1995; Sawin et al., 2000</t>
  </si>
  <si>
    <t>VMAT</t>
  </si>
  <si>
    <t>Horvitz et al., 1982; Loer &amp; Kenyon, 1993</t>
  </si>
  <si>
    <t>SERT</t>
  </si>
  <si>
    <t>Mutant phenotype consistent with increased presynaptic serotonin, phenocopied by serotonin-specific reuptake inhibitors (SSRIs) such as fluoxetine, partially phenocopied by less-specific tricyclics such as imipramine (norepinephrine reuptake inhibitor, serotonin reuptake inhibitor, eag (K+ channel)-blocker)</t>
  </si>
  <si>
    <t>Horvitz et al., 1982; Ranganathan et al., 2001</t>
  </si>
  <si>
    <t>1 The male-specific, unpaired preanal ganglion neuron on the right side (RPAG) is not identified, but is likely PDC or PGA.</t>
  </si>
  <si>
    <t>2 Expression of tph-1 and bas-1 in these cells is rare.</t>
  </si>
  <si>
    <t>3 GTP-CH1 catalyzes the first step in synthesis of tetrahydrobiopterin (BH4), an essential cofactor of aromatic amino acid hydroxylases (including TPH and TH); it is therefore required for synthesis of serotonin and dopamine.</t>
  </si>
  <si>
    <t>4 AADC is also known as 5HTP Decarboxylase or Dopa Decarboxylase (DDC).</t>
  </si>
  <si>
    <t>DOPAMINE (3-hydroxytyramine, DA)</t>
  </si>
  <si>
    <t>DA</t>
  </si>
  <si>
    <t>CEPD, CEPV, ADE, PDE, RNs 5A, 7A, 9 (m)</t>
  </si>
  <si>
    <t>Tyrosine Hydroxylase (TH)</t>
  </si>
  <si>
    <t>CEPD, CEPV, ADE, PDE, RNs 5A, 7A, 9A (m)</t>
  </si>
  <si>
    <t>Lints &amp; Emmons, 1999; Flames &amp; Hobert, 2009 </t>
  </si>
  <si>
    <t>GTP Cyclohydrolase I (GTP-CH1)</t>
  </si>
  <si>
    <t>CEPD, CEPV, ADE, PDE, RNs 5A, 7A, 9A (m) [also expressed in serotonergic neurons]</t>
  </si>
  <si>
    <t>Aromatic L-Amino Acid Decarboxylase (AADC)</t>
  </si>
  <si>
    <t>Dopamine Reuptake Transporter (DAT)</t>
  </si>
  <si>
    <t>Jayanthi et al, 1998; Nass et al, 2001; Flames &amp; Hobert, 2009 </t>
  </si>
  <si>
    <t>Catabolism - likely uses MAO like serotonin above</t>
  </si>
  <si>
    <t>cat-1, cat-2, cat-4</t>
  </si>
  <si>
    <t>DA levels (by HPLC + ED) are reduced to about 40% of wildtype in each of these three mutants</t>
  </si>
  <si>
    <t>Mutant lacks dopamine by FIF [and serotonin immunoreactivity]</t>
  </si>
  <si>
    <t>Sulston et al., 1975; Desai et al., 1988</t>
  </si>
  <si>
    <t>TH</t>
  </si>
  <si>
    <t>Mutant lacks dopamine by FIF</t>
  </si>
  <si>
    <t>Mutant lacks dopamine by FIF; DA cells do not become serotonin-immunoreactive with 5HTP treatment; see other serotonin-related phenotypes above</t>
  </si>
  <si>
    <t>Sawin et al., 2000; Loer &amp; Kenyon, 1993</t>
  </si>
  <si>
    <t>Dopamine by FIF is reduced in processes and increased in somas; mutant is phenocopied by reserpine (VMAT blocker); see serotonin-related phenotypes above</t>
  </si>
  <si>
    <t>TA</t>
  </si>
  <si>
    <t>TLC</t>
  </si>
  <si>
    <t>Tyrosine Decarboxylase (TDC)</t>
  </si>
  <si>
    <t>Reporter transgenics, Antibody</t>
  </si>
  <si>
    <t>Transport - likely also uses VMAT like serotonin and dopamine above</t>
  </si>
  <si>
    <t>Catabolism - likely also uses MAO like serotonin and dopamine above</t>
  </si>
  <si>
    <t>TA (by TLC) is absent in this mutant</t>
  </si>
  <si>
    <t>OA</t>
  </si>
  <si>
    <t>Radioenzymatic assay1</t>
  </si>
  <si>
    <t>RIC, gonadal sheath cells </t>
  </si>
  <si>
    <t>Whole aminal</t>
  </si>
  <si>
    <t>Tyramine Beta-Hydroxylase (TBH)</t>
  </si>
  <si>
    <t>tdc-1, tbh-1</t>
  </si>
  <si>
    <t>OA (by HPLC+ ED) is absent in these mutants</t>
  </si>
  <si>
    <t>TDC</t>
  </si>
  <si>
    <t>TDC enzymatic activity is absent or strongly reduced</t>
  </si>
  <si>
    <t>TDC immunoreactivity absent in mutant</t>
  </si>
  <si>
    <t>TBH</t>
  </si>
  <si>
    <t>TBH immunoreactivity absent in mutant</t>
  </si>
  <si>
    <t>GLUTAMATE (Glu)</t>
  </si>
  <si>
    <t>Vesicular Glutamate Transporter (VGluT)1</t>
  </si>
  <si>
    <t>M3, NSM, I5(?), ADA, AFD, AIZ, ALM, ASH, ASK, AUA, AVJ or AIN, AVM, AWC, FLP, IL1, LUA, OLL, OLQ, PLM, PVD, PVR , RIA </t>
  </si>
  <si>
    <t>Lee et al., 1999 ; Ohnishi et al, 2011</t>
  </si>
  <si>
    <t>Plasma Membrane Glutamate Transporter (PmGluT)</t>
  </si>
  <si>
    <t>Muscle, hypodermis </t>
  </si>
  <si>
    <t>PmGluT</t>
  </si>
  <si>
    <t>Excretory canal cell, pharynx </t>
  </si>
  <si>
    <t>AUA, RIA, IL2</t>
  </si>
  <si>
    <t>GAMMA-AMINOBUTYRIC ACID (GABA)</t>
  </si>
  <si>
    <t>DDn, VDn, RME, AVL, RIS, DVB </t>
  </si>
  <si>
    <t>Glutamate Decarboxylase (GAD)</t>
  </si>
  <si>
    <t>Vesicular GABA Transporter (VGAT)</t>
  </si>
  <si>
    <t>GABA Transporter (GAT)</t>
  </si>
  <si>
    <t>Reporter transgenics, antibody</t>
  </si>
  <si>
    <t>RME, AVL, RIS, DVB , RID, 2 neurons in pharynx, 2 neurons in RVG, muscles </t>
  </si>
  <si>
    <t>Jiang et al., 2005 ; Mullen et al., 2006 </t>
  </si>
  <si>
    <t>GABA Transaminase (GABA-T)1</t>
  </si>
  <si>
    <t>Body wall muscle, head neurons, unidentified cells</t>
  </si>
  <si>
    <t>none</t>
  </si>
  <si>
    <t>Succinic Semialdehyde Dehydrogenase (SSADH)1</t>
  </si>
  <si>
    <t>Intestine, rectal gland cells, hypodermis, nervous system, head neurons</t>
  </si>
  <si>
    <t>GAD</t>
  </si>
  <si>
    <t>lacks GABA immunoreactivity</t>
  </si>
  <si>
    <t>1 Although both GABA-T and SSADH are important in GABA catabolism in the mammalian brain, there is currently no evidence they are important in C. elegans GABA metabolism (i.e., no revealing mutant phenotypes).</t>
  </si>
  <si>
    <t>Gene#</t>
  </si>
  <si>
    <t>Putative peptides</t>
  </si>
  <si>
    <t>Expression Pattern</t>
  </si>
  <si>
    <t>Function or Phenotype</t>
  </si>
  <si>
    <t>Receptor</t>
  </si>
  <si>
    <t>References##</t>
  </si>
  <si>
    <t>Cosmid</t>
  </si>
  <si>
    <t>LG</t>
  </si>
  <si>
    <t>VPGVAVRACGRRLVPYVWSVCGDACEPQ</t>
  </si>
  <si>
    <t>promotes repro-ductive growth</t>
  </si>
  <si>
    <t>EGIDIATQCCTYQCTAEYIQTACCPRLL</t>
  </si>
  <si>
    <t>V</t>
  </si>
  <si>
    <t>SIRLCGSRLTTTLLAVCRNQLCTGLTAF</t>
  </si>
  <si>
    <t>ASI, ASJ, ASH, ADF, AIA, AIM, ASE, ASG, AWA, BAG, NSM, intestine, vulval muscles</t>
  </si>
  <si>
    <t>DAF-2?</t>
  </si>
  <si>
    <t>2, 3, 4</t>
  </si>
  <si>
    <t>GGIATECCEKRCSFAYLKTFCCNQDDN</t>
  </si>
  <si>
    <t>IV</t>
  </si>
  <si>
    <t>VQKRLCGRRLILFMLATCGECDTD</t>
  </si>
  <si>
    <t>amphidial, labial, ventral cord, &amp; tail neurons, pharynx, vulva</t>
  </si>
  <si>
    <t>SSEDLSHICCIKQCDVQDIIRVCCPNSFRK</t>
  </si>
  <si>
    <t>II</t>
  </si>
  <si>
    <t>GDKVKICGTKVLKMVMVMCGGECSS</t>
  </si>
  <si>
    <t>amphidial, labial, lateral, ventral cord, &amp; dorsal projecting neurons</t>
  </si>
  <si>
    <t>TNENIATECCEKMCTMEDITTKCCPSR</t>
  </si>
  <si>
    <t>VPAGEVRACGRRLLLFVWSTCGEPCTPQ</t>
  </si>
  <si>
    <t>amphidial, labial, ventral cord, dorsal projecting, &amp; tail neurons, hypodermis</t>
  </si>
  <si>
    <t>2, 5</t>
  </si>
  <si>
    <t>EDMDIATVCCTTQCTPSYIKQACCPEK</t>
  </si>
  <si>
    <t>ADRHTNYRSCALRLIPHVWSVCGDACQPQ</t>
  </si>
  <si>
    <t>amphidial, labial, ventral cord, lateral projecting, &amp; tail neurons, vulva</t>
  </si>
  <si>
    <t>NGIDVAQKCCSTDCSSDYIKETCCPFD</t>
  </si>
  <si>
    <t>VPAPGETRACGRKLISLVMAVCGDLCNPQ</t>
  </si>
  <si>
    <t>amphidial, labial, ventral cord, &amp; tail neurons</t>
  </si>
  <si>
    <t>EGKDIATECCGNQCSDDYIRSACCP</t>
  </si>
  <si>
    <t>VPDEKKIYRCGRRIHSYVFAVCGKACESN</t>
  </si>
  <si>
    <t>TEVNIASKCCREECTDDFIRKQCCP</t>
  </si>
  <si>
    <t>VPEQKNKLCGKQVLSYVMALCEKACDSN</t>
  </si>
  <si>
    <t>amphidial, labial, ventral cord, &amp; tail neurons, vulva</t>
  </si>
  <si>
    <t>TKVDIATKCCRDACSDEFIRHQCCP</t>
  </si>
  <si>
    <t>TLETEKIYRCGRKLYTDVLSACNGPCEPG</t>
  </si>
  <si>
    <t>ASI, ASJ</t>
  </si>
  <si>
    <t>Overexpression causes embryonic and larval arrest</t>
  </si>
  <si>
    <t>TEQDLSKICCGNQCTFVIRKACCADKL</t>
  </si>
  <si>
    <t>X</t>
  </si>
  <si>
    <t>AFPFQICVKKMEKMCRIINPEQCAQVNKITEI</t>
  </si>
  <si>
    <t>GALTDCCTGLCSWEEIRISCCSVL</t>
  </si>
  <si>
    <t>APHHDKRHTACVLKIFKALNVMCNHEGDAD</t>
  </si>
  <si>
    <t>labial, ventral cord, &amp; tail neurons</t>
  </si>
  <si>
    <t>VLRRTASDCCRESCSLTEMLASCTLTSSEESTRDI</t>
  </si>
  <si>
    <t>APSHEKTHKKCSDKLYLAMKSLCSYRGYSE</t>
  </si>
  <si>
    <t>FLRNSATKCCQDNCEISEMMALCVVAPNFDDDLLH</t>
  </si>
  <si>
    <t>NKCOYSKKKYKICGVRALKHMKVYCTRGMTRD</t>
  </si>
  <si>
    <t>YGKLLVTCCSKGCNAIDIQRICL</t>
  </si>
  <si>
    <t>SEDIKCDAKFISRITKLCIHGITED</t>
  </si>
  <si>
    <t>KLVRLLTRCCTSHCSKAHLKMFCTLKPHEEEPHHEI</t>
  </si>
  <si>
    <t>GNDFQPRDNKHHSYRSCGESLSRRVAFLCNGGAIQT</t>
  </si>
  <si>
    <t>EILRALDCCSTGCTDKQIFSWCDFQI</t>
  </si>
  <si>
    <t>RELKRCSVKLFDILSVICGTESDAE</t>
  </si>
  <si>
    <t>ILQKVAVKCCQEQCGFEEMCQHANLKIDKI</t>
  </si>
  <si>
    <t>III</t>
  </si>
  <si>
    <t>GSLKLCPPGGASFLDAFNLICPMRRRRR</t>
  </si>
  <si>
    <t>SVSENYNDGGGSLLGRTMNMCCETGCEFTDIFAICNPFG</t>
  </si>
  <si>
    <t>ISLQQADGRMKMCPPGGSTFTMAWSMSCSMRR</t>
  </si>
  <si>
    <t>amphidial, ventral cord, tail, &amp; pharyngeal neurons</t>
  </si>
  <si>
    <t>KRALIAPSIRQLQTICCQVGCNVEDLLAYCAPI</t>
  </si>
  <si>
    <t>I</t>
  </si>
  <si>
    <t>YIIDSSESYEVLMLFGYKRTCGRRLMNRINRVCVKDID</t>
  </si>
  <si>
    <t>Overexpression causes larval arrest</t>
  </si>
  <si>
    <t>PADIDPKIKLSEHCCIKGCTDGWIKKHICSEEVLNFGFFEN</t>
  </si>
  <si>
    <t>KEPKHHHHHHRHKGYCGVKAVKKLKQICPDLCSNVDD</t>
  </si>
  <si>
    <t>NLLMEMCSKNLTDDDILQRCCPE</t>
  </si>
  <si>
    <t>SKSHSKKHVRFLCATKAVKHIRKVCPDMCLTGE</t>
  </si>
  <si>
    <t>amphidial, ventral cord, &amp; tail neurons</t>
  </si>
  <si>
    <t>EVEVNEFCRMGYSDSQIKYICCPE</t>
  </si>
  <si>
    <t>MDAHTDKYVRTLCGKTAIRNIANLCPPKPEMKGICSTGE</t>
  </si>
  <si>
    <t>amphidial, labial, ventral cord, lateral process projecting, &amp; tail neurons</t>
  </si>
  <si>
    <t>Modulates acetyl-choline signaling</t>
  </si>
  <si>
    <t>2, 6</t>
  </si>
  <si>
    <t>YPSITEYCSMGFSDSQIKFMCCDNQ</t>
  </si>
  <si>
    <t>QVTDAHSELHVRRVCGTAIIKNIMRLCPGVPACENGE</t>
  </si>
  <si>
    <t>amphidial, labial, &amp; ventral cord neurons</t>
  </si>
  <si>
    <t>VPSPTEYCSMGYSDSQVKYLCCPTSQ</t>
  </si>
  <si>
    <t>MGLIRANQGPQKACGRSMMMKVQKLCAGGCTIQNDD</t>
  </si>
  <si>
    <t>LTIKSCSTGYTDAGFISACCPSGFVF</t>
  </si>
  <si>
    <t>KPEAQRRCGRYLIRFLGELCNGPCSGVSSVD</t>
  </si>
  <si>
    <t>IATIACATAVPIEDLKNMCCPNL</t>
  </si>
  <si>
    <t>IGNHHHGTKAGLTCGMNIIERVDQLCNGQCTRNYDA</t>
  </si>
  <si>
    <t>LVIKSCHRGVSDMEFMVACCPTMKLFIH</t>
  </si>
  <si>
    <t>FLAPSTAAKRRCGRRLIPYVYSICGGPCENGD</t>
  </si>
  <si>
    <t>IIIEHCFSGTTPTIAEVQKACCPELSEDPTFSS</t>
  </si>
  <si>
    <t>ASPTCGRALLHRIQSVCGLCTIDAHHE</t>
  </si>
  <si>
    <t>LIAIACSRGLGDKEIIEMCCPI</t>
  </si>
  <si>
    <t>DFGAQRRCGRHLVNFLEGLCGGPCSEAPTVE</t>
  </si>
  <si>
    <t>LASWACSSAVSIQDLEKLCCPSNLA</t>
  </si>
  <si>
    <t>REPVVAAQGAKKTCGRSLLIKIQQLCHGICTVHADD</t>
  </si>
  <si>
    <t>LHETACMKGLTDSQLINSCCPPIPQTPFVF</t>
  </si>
  <si>
    <t>FVHHFDHSMFARPEKTCGGLLIRRVDRICPNLNY</t>
  </si>
  <si>
    <t>Overexpression causes larval arrest$; Modulates acetyl-choline signaling</t>
  </si>
  <si>
    <t>2$; 6</t>
  </si>
  <si>
    <t>TYKIEWELMDNCCEVVCEDQWIKETFCRAPRFNFFGPSF</t>
  </si>
  <si>
    <t>KALERSCGPKLFTRVKTVCGE</t>
  </si>
  <si>
    <t>2$</t>
  </si>
  <si>
    <t>DINVDNKVKISDHCCTPEGGCTDDWIKENVCKQTRFNFFRQFL</t>
  </si>
  <si>
    <t>DSPQRSCGPQLFKRVNTLCNE</t>
  </si>
  <si>
    <t>NINVENNVSVSKSCCESAAGCTDDWIKKNVCTQHKPFVFRPGFY</t>
  </si>
  <si>
    <t>RSRRELICGRRLSKTVTNLCVEMN</t>
  </si>
  <si>
    <t>2, OST</t>
  </si>
  <si>
    <t>PQKEEDIATKCCKNKGCSREYIKSIMCPDE</t>
  </si>
  <si>
    <t>HGQKHCGTKIVRKLQMLCPKMCTISDD</t>
  </si>
  <si>
    <t>TLLTEMCSHSLFDDEIQLRCCPKEDE</t>
  </si>
  <si>
    <t>KTTAAPLAQVNPQCLRRLTLLARGVCRQPCQPSDKPK</t>
  </si>
  <si>
    <t>TSAQQLLQLACSARRPTNEQIISYCCPEKSG</t>
  </si>
  <si>
    <t>KMDENAFGINNRHCQRALKVYSFAICGAICQNYEK</t>
  </si>
  <si>
    <t>ILMEGCGSTVMLTMQRTKLICCPEPVDSDELFN</t>
  </si>
  <si>
    <t>IRKRHPEGKLVIRDCKRYLIMYSRTICKEKCEKFD</t>
  </si>
  <si>
    <t>ERNDITFSINLQFIFTDLLVEGCHSNQTLSNERTRELCCPNAGSN</t>
  </si>
  <si>
    <t>NPIHPVPNAAFLPYRSCGSHLVHRAFEACSGKKD</t>
  </si>
  <si>
    <t>RSSDVDLWKMCCKDECTDLDIKESLCKYASQGYGV</t>
  </si>
  <si>
    <t>SQRSHVFSYKKHCGRRIVSLVQACD</t>
  </si>
  <si>
    <t>IDHDLSIDCCTQNCSSEFVSQRSHVFSY</t>
  </si>
  <si>
    <t>IFRMTISFCSQVECQNMEAMQKICNTTTPTI</t>
  </si>
  <si>
    <t>EST</t>
  </si>
  <si>
    <t>HVGELCCPEFFEQVKDDFVTLL</t>
  </si>
  <si>
    <t>#Genes for which ESTs, ORFeomes (OST), or cDNAs have been isolated are in bold; encoded peptides are based on sequence homologies to other insulin-like peptides. Cosmid and LG data only indicated for ins-31 a; ins-31 b and ins-31 c are the same. $ Unclear which ins-31 construct was used for overexpression and functional data. See References. ##References are as follows: 1, Li et al., 2003; 2, Pierce et al., 2001; 3, Kodama et al., 2006; 4, Tomioka et al., 2006; 5, Kao et al., 2007; 6, Sieburth et al., 2005. EST or OST in EST or ORFeome databases indicated only if not identified in canonical reference and sequence spans at least one intron. Modified from Li (2005).</t>
  </si>
  <si>
    <t>Putative peptides§</t>
  </si>
  <si>
    <t>Expression pattern†</t>
  </si>
  <si>
    <t>Receptor‡</t>
  </si>
  <si>
    <t>*SADPNFLRFG</t>
  </si>
  <si>
    <t>involved in locomotion, egg laying, and fat deposition; SADPNFLRF-NH2 inhibits frequency of pharyngeal action potentials; modulates acetylcholine signaling</t>
  </si>
  <si>
    <t>(C25G6.5, Y58G8A.4, C16D6.2, Y59H11AL.1)</t>
  </si>
  <si>
    <t>1-11, KA</t>
  </si>
  <si>
    <t>F23B2.5</t>
  </si>
  <si>
    <t>*SQPNFLRFG</t>
  </si>
  <si>
    <t>*ASGDPNFLRFG</t>
  </si>
  <si>
    <t>*SDPNFLRFG</t>
  </si>
  <si>
    <t>*AAADPNFLRFG</t>
  </si>
  <si>
    <t>**(K)PNFLRFG</t>
  </si>
  <si>
    <t>AGSDPNFLRFG</t>
  </si>
  <si>
    <t>(K)PNFMRYG</t>
  </si>
  <si>
    <t>*SPREPIRFG</t>
  </si>
  <si>
    <t>AIA, RID, PVW, I5, MC (ASI, M4, head muscles, an extra pair of cells in the head)</t>
  </si>
  <si>
    <t>2, 9, 10, 12</t>
  </si>
  <si>
    <t>W07E11.3</t>
  </si>
  <si>
    <t>LRGEPIRFG</t>
  </si>
  <si>
    <t>SPLGTMRFG</t>
  </si>
  <si>
    <t>IL1, PQR; SP, CP9</t>
  </si>
  <si>
    <t>SAEPFGTMRF-NH2 inhibits frequency of pharyngeal action potentials</t>
  </si>
  <si>
    <t>C53C7.1a (Y58G8A.4, C16D6.2)</t>
  </si>
  <si>
    <t>2,6-9, 12</t>
  </si>
  <si>
    <t>*TPLGTMRFG</t>
  </si>
  <si>
    <t>*EAEEPLGTMRFG</t>
  </si>
  <si>
    <t>NPLGTMRFG</t>
  </si>
  <si>
    <t>*ASEDALFGTMRFG</t>
  </si>
  <si>
    <t>EDGNAPFGTMRFG</t>
  </si>
  <si>
    <t>*SAEPFGTMRFG</t>
  </si>
  <si>
    <t>*SADDSAPFGTMRFG</t>
  </si>
  <si>
    <t>*NPENDTPFGTMRFG</t>
  </si>
  <si>
    <t>PTFIRFG</t>
  </si>
  <si>
    <t>ADL, ASEL, AVM, AWC, FLP, PHA, PHB, PVD, I5, I6, NSM</t>
  </si>
  <si>
    <t>2,7,12</t>
  </si>
  <si>
    <t>ASPSFIRFG</t>
  </si>
  <si>
    <t>*GAKFIRFG</t>
  </si>
  <si>
    <t>PVT, RMG, I4, M4, pharyngeal muscle, amphidial neuron, (PB, I2); rays 1, 5, 7, HOB</t>
  </si>
  <si>
    <t>GAKFIRF-NH2 increases frequency of pharyngeal action potentials</t>
  </si>
  <si>
    <t>2,6-8,12</t>
  </si>
  <si>
    <t>AGAKFIRFG</t>
  </si>
  <si>
    <t>APKPKFIRFG</t>
  </si>
  <si>
    <t>x6 *KSAYMRFG</t>
  </si>
  <si>
    <t>increases frequency of pharyngeal action potentials</t>
  </si>
  <si>
    <t>2,6,8, 12,13</t>
  </si>
  <si>
    <t>*pQQDSEVEREMM</t>
  </si>
  <si>
    <t>x3 *SPMQRSSMVRFG</t>
  </si>
  <si>
    <t>ALA, AVG, PHB, PDA, PVW, RIC, SAA (RMDV/ SMDV, PHA)</t>
  </si>
  <si>
    <t>Y59H11AL.1, C26F1.6</t>
  </si>
  <si>
    <t>2, 9, 10, 12, 15</t>
  </si>
  <si>
    <t>x2 *TPMQRSSMVRFG</t>
  </si>
  <si>
    <t>SPMERSAMVRFG</t>
  </si>
  <si>
    <t>SPMDRSKMVRFG</t>
  </si>
  <si>
    <t>x3 *KNEFIRFG</t>
  </si>
  <si>
    <t>AUA, PVM, URX (RMG/ADA, an extra pair of cells in the head); CP9</t>
  </si>
  <si>
    <t>increases frequency of pharyngeal action potentials; overexpression causes defecation defects</t>
  </si>
  <si>
    <t>2,6, 12, 16, AS, UP</t>
  </si>
  <si>
    <t>F31F6.4</t>
  </si>
  <si>
    <t>x2 *KPSFVRFG</t>
  </si>
  <si>
    <t>inhibits frequency of pharyngeal action potentials; knockout shows slight sluggishness</t>
  </si>
  <si>
    <t>6, 8, 9, 12, 16, 17, UP</t>
  </si>
  <si>
    <t>QPKARSGYIRFG</t>
  </si>
  <si>
    <t>AIM, ASI, AUA, BAG, BDU, DVB, PQR, PVR, URX, vulD</t>
  </si>
  <si>
    <t>2,12</t>
  </si>
  <si>
    <t>*AMRNALVRFG</t>
  </si>
  <si>
    <t>Y59H11AL.1, C26F1.6 (C16D6.2)</t>
  </si>
  <si>
    <t>2,6-9, 12, 15</t>
  </si>
  <si>
    <t>K02G10.4</t>
  </si>
  <si>
    <t>*ASGGMRNALVRFG</t>
  </si>
  <si>
    <t>*NGAPQPFVRFG</t>
  </si>
  <si>
    <t>*SPLDEEDFAPESPLQG</t>
  </si>
  <si>
    <t>*RNKFEFIRFG</t>
  </si>
  <si>
    <t>AVH/AVJ, BAG, PDA, PVR, SAA, SDQ, SMB (BDU); rays 1, 4, 5, 7, CP9</t>
  </si>
  <si>
    <t>2, 12, 16</t>
  </si>
  <si>
    <t>*AMDSPFIRFG</t>
  </si>
  <si>
    <t>ASE, ASG, ASK, BAG, DD, I5, M3, M5 (an extra pair of cells in the head); VSP</t>
  </si>
  <si>
    <t>APEASPFIRF-NH2 inhibits frequency of pharyngeal action potentials</t>
  </si>
  <si>
    <t>2, 6, 8, 9, 12, 16, 18, 19</t>
  </si>
  <si>
    <t>*AADGAPFIRFG</t>
  </si>
  <si>
    <t>*APEASPFIRFG</t>
  </si>
  <si>
    <t>*ASPSAPFIRFG</t>
  </si>
  <si>
    <t>*SPSAVPFIRFG</t>
  </si>
  <si>
    <t>ASSAPFIRFG</t>
  </si>
  <si>
    <t>*SAAAPLIRFG</t>
  </si>
  <si>
    <t>x4 *KHEYLRFG</t>
  </si>
  <si>
    <t>(C25G6.5, C16D6.2)</t>
  </si>
  <si>
    <t>6, 7, 9, 16, 20, 21</t>
  </si>
  <si>
    <t>*GGPQGPLRFG</t>
  </si>
  <si>
    <t>PHA, I2, socket/ sheath cells (pharyngeal muscle, several cells in the head)</t>
  </si>
  <si>
    <t>C10C6.2 C16D6.2</t>
  </si>
  <si>
    <t>2,7, 9, 20, 22</t>
  </si>
  <si>
    <t>*RGPSGPLRFG</t>
  </si>
  <si>
    <t>x2 *AQTFVRFG</t>
  </si>
  <si>
    <t>AQTFVRF-NH2 inhibits frequency of pharyngeal action potentials</t>
  </si>
  <si>
    <t>6, 8, 20</t>
  </si>
  <si>
    <t>*GQTFVRFG</t>
  </si>
  <si>
    <t>x2 KSAFVRFG</t>
  </si>
  <si>
    <t>2, 20</t>
  </si>
  <si>
    <t>KSQYIRFG</t>
  </si>
  <si>
    <t>**(DFD)GAMPGVLRFG</t>
  </si>
  <si>
    <t>C16D6.2 Y58G8A.4 C53C7.1a NPR-1 (C25G6.5, F41E7.3)</t>
  </si>
  <si>
    <t>2, 6, 7, 9, 15, 19, 20, 23-26, UP</t>
  </si>
  <si>
    <t>*EMPGVLRFG</t>
  </si>
  <si>
    <t>x3 **(SYFDEKK)SVPGVLRFG</t>
  </si>
  <si>
    <t>*EIPGVLRFG</t>
  </si>
  <si>
    <t>*SEVPGVLRFG</t>
  </si>
  <si>
    <t>*DVPGVLRFG</t>
  </si>
  <si>
    <t>*WANQVRFG</t>
  </si>
  <si>
    <t>AIN, AWA, BAG, HSN, URX (an extra pair of cells in the tail); rays 5, 7, 9, CEM</t>
  </si>
  <si>
    <t>2, 6, 8, 9, 20</t>
  </si>
  <si>
    <t>*ASWASSVRFG</t>
  </si>
  <si>
    <t>x2 AMMRFG</t>
  </si>
  <si>
    <t>ALM, ASEL, AVM, LUA, PLM, PVC, PVM, PVR, RIB/AIB (PVT)</t>
  </si>
  <si>
    <t>2, 20, OH</t>
  </si>
  <si>
    <t>GLGPRPLRFG</t>
  </si>
  <si>
    <t>ADL, ASI, ASH, ASJ, ASK, FLP, URA, MC, M4, M2; CP6–9, SP, DVF</t>
  </si>
  <si>
    <t>mutation causes mild aggregation behavior</t>
  </si>
  <si>
    <t>NPR-1 C25G6.5 Y58G8a.4</t>
  </si>
  <si>
    <t>2,7, 23-25</t>
  </si>
  <si>
    <t>x3 *SPSAKWMRFG</t>
  </si>
  <si>
    <t>AIM, ASG, AVA, AVG, AVL, CEP, PVD, PVW, RIC/AIZ, RIV, SMD, URA, uv1; 6 out of 9 CP</t>
  </si>
  <si>
    <t>VVGQQDFLRG</t>
  </si>
  <si>
    <t>2, AM</t>
  </si>
  <si>
    <t>(TKFQDFLRFG)</t>
  </si>
  <si>
    <t>*VPSAGDMMVRFG</t>
  </si>
  <si>
    <t>9, 27</t>
  </si>
  <si>
    <t>DYDFVRFG</t>
  </si>
  <si>
    <t>*ASYDYIRFG</t>
  </si>
  <si>
    <t>**(E)FNADDLTLRFG</t>
  </si>
  <si>
    <t>*GGAGEPLAFSPDMLSLRFG</t>
  </si>
  <si>
    <t>*FRLPFQFFGANEDFNSGLT</t>
  </si>
  <si>
    <t>*NYYESKPY</t>
  </si>
  <si>
    <t>(EASAFGDIIGELKGK)GLGGRMRFG</t>
  </si>
  <si>
    <t>*pQPIDEERPIFME</t>
  </si>
  <si>
    <t>*APNRVLMRFG</t>
  </si>
  <si>
    <t>9, UP</t>
  </si>
  <si>
    <t>AMRNSLVRFG</t>
  </si>
  <si>
    <t>AM</t>
  </si>
  <si>
    <t>*APLEGFEDMSGFLRTIDGIQKPRFG</t>
  </si>
  <si>
    <t>flp-34</t>
  </si>
  <si>
    <t>*ALNRDSLVASLNNAERLRFG</t>
  </si>
  <si>
    <t>SH, LS</t>
  </si>
  <si>
    <t># Genes for which ESTs, ORFeomes (OST), cDNAs, or encoded peptides have been isolated are in bold. § Common sequences among peptides encoded by the same gene are indicated in blue. No. of copies of peptide encoded by gene indicated. A C-terminal glycine donates an amide group during amidation. † Based on co-localization with new markers, some expression patterns have been revised from published data (Kim and Li, 2004). Using an ASE-expressed red fluorescent protein, O. Hobert (pers. comm.) found that ASE did not express flp-5 or flp-21 and that only ASEL expressed flp-20. C. Bargmann (pers. comm.) confirmed that ASE did not express flp-21, and found that flp-21 was also expressed in ASK and ADL. Cells in parentheses are variably expressed and/or tentative identifications. Cells after semi-colons are male-specific. ‡ Receptors with an EC50≤1.5 μM are indicated; receptors with an EC50&gt;1.5 μM are in parentheses. * Peptides have been biochemically isolated; *peptides including residues in parentheses have been isolated; non-FLP peptides are indicated in green. ## References are as follows: 1, Rosoff et al., 1992; 2, Kim and Li, 2004; 3, Rosoff et al., 1993; 4, Nelson et al., 1998b; 5, Waggoner et al., 2000; 6, Rogers et al., 2001; 7, Lowery et al., 2003; 8, Husson et al., 2005; 9, Husson et al., 2006; 10, Mertens et al., 2006; 11, Sieburth et al., 2005; 12, Nelson et al., 1998a; 13, Mertens et al., 2005; 14, Marks et al., 1998; 15, Mertens et al., 2004; 16, Davis and Stretton, 1996; 17, Marks et al., 1999a; 18, Marks et al., 1997; 19, Marks et al., 2001; 20, Li et al., 1999; 21, Marks et al., 1995; 22, Kubiak et al., 2003b; 23, Rogers et al., 2003; 24, Kubiak et al., 2003a; 25, de Bono and Bargmann, 1998; 26, Kubiak et al., 2008; 27, McVeigh et al., 2005; 28, Husson and Schoofs, 2007; pers. comm.: KA, K. Ashrafi; SH, Steven Husson; AM, A. Maule; LS, Lilianne Schoofs; UP, unpublished results; EST or OST in EST or ORFeome databases indicated only if not identified in canonical reference and sequence spans at least one intron. AF, Ascaris suum; PF, Panagrellus redivius. Modified from Li (2005).</t>
  </si>
  <si>
    <t>x3 *MDANAFRMSFG</t>
  </si>
  <si>
    <t>ASI, AWC, PHB, BDU, 4 head neurons, intestine</t>
  </si>
  <si>
    <t>1, 2, 2, 3 4</t>
  </si>
  <si>
    <t>*MDPNAFRMSFG</t>
  </si>
  <si>
    <t>*VNLDPNSFRMSFG</t>
  </si>
  <si>
    <t>SIALGRSGFRPG</t>
  </si>
  <si>
    <t>1 head neuron, secretory cells near vulva, intestine</t>
  </si>
  <si>
    <t>SMAMGRLGLRPG</t>
  </si>
  <si>
    <t>x3 SMAYGRQGFRPG</t>
  </si>
  <si>
    <t>AINPFLDSMG</t>
  </si>
  <si>
    <t>ADF, ASE, ASH, AWB, ASJ, BAG, HSN, I1, I2, I3, I4, MI, M3, NSMR, 3 head neurons, VNC, occ. I6, M2, pm1VL, intestine</t>
  </si>
  <si>
    <t>AVNPFLDSIG</t>
  </si>
  <si>
    <t>YFDSLAGQSLG</t>
  </si>
  <si>
    <t>SLILFVILLVAFAAARPVSEEVDRV</t>
  </si>
  <si>
    <t>DYDPRTEAPRRLPADDDEVDGEDRV</t>
  </si>
  <si>
    <t>DYDPRTDAPIRVPVDPEAEGEDRV</t>
  </si>
  <si>
    <t>SVSQLNQYAGFDTLGGMGLG</t>
  </si>
  <si>
    <t>ASI, 2 head neurons, spermatheca; 1 male tail neuron</t>
  </si>
  <si>
    <t>ALSTFDSLGGMGLG</t>
  </si>
  <si>
    <t>ALQHFSSLDTLGGMGFG</t>
  </si>
  <si>
    <t>*(MA)APKQMVFGFG</t>
  </si>
  <si>
    <t>ASI, IL1, 2 head neurons, 1 tail neuron, intestine</t>
  </si>
  <si>
    <t>1, 2, 3, 4</t>
  </si>
  <si>
    <t>*YKPRSFAMGFG</t>
  </si>
  <si>
    <t>*AAMRSFNMGFG</t>
  </si>
  <si>
    <t>LIMGLG</t>
  </si>
  <si>
    <t>*LYLKQADFDDPRMFTSSFG</t>
  </si>
  <si>
    <t>ADL, AFD, ASE, ASI, PHA, VNC, 4 head neurons, 2 RVG neurons</t>
  </si>
  <si>
    <t>*SMDDLDDPRLMTMSFG</t>
  </si>
  <si>
    <t>*MILPSLADLHRYTMYD</t>
  </si>
  <si>
    <t>*AFDRFDNSGVFSFGA</t>
  </si>
  <si>
    <t>*AFDRMDNSDFFGA </t>
  </si>
  <si>
    <t>*SFDRMGGTEFGLM </t>
  </si>
  <si>
    <t>*YPYLIFPASPSSGDSRRLV</t>
  </si>
  <si>
    <t>GGARAFYGFYNAGNS </t>
  </si>
  <si>
    <t>ASI, AWB, 4 head neurons, 1 tail neuron, VNC, spermatheca, vulval muscles, intestine</t>
  </si>
  <si>
    <t>E03D2.2</t>
  </si>
  <si>
    <t>GGGRAFNHNANLFRFD</t>
  </si>
  <si>
    <t>GGGRAFAGSWSPYLE </t>
  </si>
  <si>
    <t>*TPIAEAQGAPEDVDDRRELE</t>
  </si>
  <si>
    <t>AIPFNGGMYG</t>
  </si>
  <si>
    <t>ASK, ADL, CAN, 2 lateral neurons, 1 tail neuron, 2 ant. pharyngeal neurons; 1 male tail neuron</t>
  </si>
  <si>
    <t>STMPFSGGMYG</t>
  </si>
  <si>
    <t>AAIPFSGGMYG</t>
  </si>
  <si>
    <t>GAMPFSGGMYG</t>
  </si>
  <si>
    <t>*HISPSYDVEIDAGNMRNLLDIG</t>
  </si>
  <si>
    <t>1, 2, 3, 4, EST, OST</t>
  </si>
  <si>
    <t>*SAPMASDYGNQFQMYNRLIDAG</t>
  </si>
  <si>
    <t>*SPAISPAYQFENAFGLSEALERAG</t>
  </si>
  <si>
    <t>x2 *DYRPLQFG</t>
  </si>
  <si>
    <t>1 tail neuron</t>
  </si>
  <si>
    <t>Modulates acetylcholine signaling</t>
  </si>
  <si>
    <t>2, 4, 5</t>
  </si>
  <si>
    <t>*DGYRPLQFG</t>
  </si>
  <si>
    <t>*NDFSRDIMSFG</t>
  </si>
  <si>
    <t>*SGNTADLYDRRIMAFG</t>
  </si>
  <si>
    <t>QPSYDRDIMSFG</t>
  </si>
  <si>
    <t>*SAPSDFSRDIMSFG</t>
  </si>
  <si>
    <t>*SSSMYDRDIMSFG</t>
  </si>
  <si>
    <t>*SPVDYDRPIMAFG</t>
  </si>
  <si>
    <t>*AEDYERQIMAFG</t>
  </si>
  <si>
    <t>x2 ALDGLDGSGFGFD</t>
  </si>
  <si>
    <t>ASI, ASK, and another amphidial neuron, PHA, VNC, 2 RVG neurons, intestine</t>
  </si>
  <si>
    <t>1, 2, 3, EST</t>
  </si>
  <si>
    <t>x5 ALNSLDGAGFGFE</t>
  </si>
  <si>
    <t>x3 ALDGLDGAGFGFD</t>
  </si>
  <si>
    <t>*ALNSLDGQGFGFE</t>
  </si>
  <si>
    <t>x3 ALNSLDGNGFGFD</t>
  </si>
  <si>
    <t>*AFDSLAGSGFDNGFN</t>
  </si>
  <si>
    <t>ASH, CAN, HSN, BDU, 5 head neurons, VNC, 3 RVG neurons, 1 tail neuron, intestine</t>
  </si>
  <si>
    <t>1, 2, 3</t>
  </si>
  <si>
    <t>x2 AFDSLAGSGFGAFN </t>
  </si>
  <si>
    <t>AFDSLAGSGFSGFD </t>
  </si>
  <si>
    <t>AFDSLAGQGFTGFE </t>
  </si>
  <si>
    <t>AFDTVSTSGFDDFKL</t>
  </si>
  <si>
    <t>STEHHRV</t>
  </si>
  <si>
    <t>7 head neurons, 1 lateral neuron, intestine</t>
  </si>
  <si>
    <t>2, 4</t>
  </si>
  <si>
    <t>SEGHPHE</t>
  </si>
  <si>
    <t>ATHSPEGHIVAKDDHHGHE</t>
  </si>
  <si>
    <t>SSDSHHGHQ</t>
  </si>
  <si>
    <t>*SVDEHHGHQ</t>
  </si>
  <si>
    <t>*NAEDHHEHQ</t>
  </si>
  <si>
    <t>SEHVEHQAEMHEHQ</t>
  </si>
  <si>
    <t>STQEVSGHPEHHLV</t>
  </si>
  <si>
    <t>*GSLSNMMRIG</t>
  </si>
  <si>
    <t>QQEYVQFPNEGVVPCESCNLGTLMRIG</t>
  </si>
  <si>
    <t>*SPYRAFAFA</t>
  </si>
  <si>
    <t>ASI, 4 head neurons, 2 tail neurons, spermatheca, NSM, 2 ant. pharyngeal neurons, rectal gland, intestine</t>
  </si>
  <si>
    <t>ARYGFA</t>
  </si>
  <si>
    <t>*SPYRTFAFA</t>
  </si>
  <si>
    <t>ASPYGFAFA</t>
  </si>
  <si>
    <t>*SDEENLDFLE</t>
  </si>
  <si>
    <t>IAGLRLPNFL</t>
  </si>
  <si>
    <t>4 head neurons, VNC in males, NSM, 4 post. pharyngeal neurons, spermatheca</t>
  </si>
  <si>
    <t>2, EST, OST</t>
  </si>
  <si>
    <t>IGLRLPNML</t>
  </si>
  <si>
    <t>MGMRLPNIIFL</t>
  </si>
  <si>
    <t>FAFAFA</t>
  </si>
  <si>
    <t>4 head neurons, 4 tail neurons, spermatheca, intestine, 1 ant. pharyngeal neuron</t>
  </si>
  <si>
    <t>*SGPQAHEGAGMRFAFA</t>
  </si>
  <si>
    <t>APKEFARFARASFA</t>
  </si>
  <si>
    <t>GGARAFSADVGDDY</t>
  </si>
  <si>
    <t>AFD, 5 head neurons, VNC, 1 ant. pharyngeal neuron, 1 tail neuron, embryo, intestine</t>
  </si>
  <si>
    <t>Y47D3B.2</t>
  </si>
  <si>
    <t>*GGARAFYDE     </t>
  </si>
  <si>
    <t>*GGARAFLTEM    </t>
  </si>
  <si>
    <t>*GGARVFQGFEDE  </t>
  </si>
  <si>
    <t>GGARAFMMD     </t>
  </si>
  <si>
    <t>GGGRAFGDMM     </t>
  </si>
  <si>
    <t>GGARAFVENS    </t>
  </si>
  <si>
    <t>GGGRSFPVKPGRLDD)</t>
  </si>
  <si>
    <t>*pQYTSELEEDE</t>
  </si>
  <si>
    <t>SIAIGRAGFRPG</t>
  </si>
  <si>
    <t>LYISRQGFRPA</t>
  </si>
  <si>
    <t>tail, dorsal and ventral hypoderm</t>
  </si>
  <si>
    <t>SMAIGRAGMRPG</t>
  </si>
  <si>
    <t>AFAAGWNRG</t>
  </si>
  <si>
    <t>QWGGGPYGGYGPRGYGGGYGGG</t>
  </si>
  <si>
    <t>ASI, spermatheca, 1 pharyngeal neuron</t>
  </si>
  <si>
    <t>anti-microbial?</t>
  </si>
  <si>
    <t>YGGYGGRGPYGGYGGRGPYGYGG</t>
  </si>
  <si>
    <t>GPYGGGGLVGALLG</t>
  </si>
  <si>
    <t>*pQWGGGYGNPYGGYG</t>
  </si>
  <si>
    <t>2, 4, 6</t>
  </si>
  <si>
    <t>GGGYGGGYGGGFGAQQAYNVQNAA</t>
  </si>
  <si>
    <t>QFGFGGQQSFGGRGGQFGGMQRGGFNGN</t>
  </si>
  <si>
    <t>hypoderm</t>
  </si>
  <si>
    <t>*GGFGQQSQFGG    </t>
  </si>
  <si>
    <t>GGSQFNGRGGNQFGG    </t>
  </si>
  <si>
    <t>QWGYGGMPYGGYGGMGGYGMGGYGMGY</t>
  </si>
  <si>
    <t>ASI, 3 head neurons, spermatheca, hypoderm, intestine</t>
  </si>
  <si>
    <t>MWGSPYGGYGGYGGYGGWG     </t>
  </si>
  <si>
    <t>QWGYGGYGRGYGGYGGYGRGMYGGYG</t>
  </si>
  <si>
    <t>2, 6, OST</t>
  </si>
  <si>
    <t>GMYGGYGRGMYGGWG</t>
  </si>
  <si>
    <t>hypoderm, intestine</t>
  </si>
  <si>
    <t>GMYGGYGRGMYGGYGRGMYGGWG</t>
  </si>
  <si>
    <t>QWGYGGYGRGYGGYGGYGRGYGGYG</t>
  </si>
  <si>
    <t>GYGGYGRGMWGRPYGGYGWG</t>
  </si>
  <si>
    <t>QWGYGGYGRGYGGYGGYGRGYGGYGGYG</t>
  </si>
  <si>
    <t>hypoderm, embryos</t>
  </si>
  <si>
    <t>anti-microbial</t>
  </si>
  <si>
    <t>GYGGYGRGMYGGYGRPYGGYGWG   </t>
  </si>
  <si>
    <t>YGGWGGRGGWGRGGGRGYGG  </t>
  </si>
  <si>
    <t>GGGWGGRGGGWGRGGGGRGFYGGG</t>
  </si>
  <si>
    <t>QWGYGGPYGGYGGGYGGGPWGYGGGW</t>
  </si>
  <si>
    <t>6, EST, OST</t>
  </si>
  <si>
    <t>RHWGGYGGGPWGGYGGGPWGGYY  </t>
  </si>
  <si>
    <t>PYGYGGYGGW</t>
  </si>
  <si>
    <t>EST,AH</t>
  </si>
  <si>
    <t>PYGYGWG   </t>
  </si>
  <si>
    <t>*AVVSGYDNIYQVLAPRF</t>
  </si>
  <si>
    <t>1, 3, 4</t>
  </si>
  <si>
    <t>*SMVARQIPQTVVADH</t>
  </si>
  <si>
    <t>1, 3</t>
  </si>
  <si>
    <t>*NNAEVVNHILKNFGALDRLGDVG</t>
  </si>
  <si>
    <t>**(ASDDR)VLGWNKAHGLWG</t>
  </si>
  <si>
    <t>1, 3, 4, AH, EST</t>
  </si>
  <si>
    <t>*TPQNWNKLNSLWG</t>
  </si>
  <si>
    <t>*SPAQWQRANGLWG</t>
  </si>
  <si>
    <t>*EVPNFQADNVPEAGGRV</t>
  </si>
  <si>
    <t>**APSAPAGLEEKL(R)</t>
  </si>
  <si>
    <t>*pQPAADTFLGFVPQ</t>
  </si>
  <si>
    <t>*APGLFELPSRSV</t>
  </si>
  <si>
    <t>SALLQPENNPEWNQLGWAWG</t>
  </si>
  <si>
    <t>AH, EST</t>
  </si>
  <si>
    <t>NPDWQDLGFAWG</t>
  </si>
  <si>
    <t># Genes for which ESTs, ORFeomes (OST), cDNAs, or encoded peptides have been isolated are in bold. § Common sequences among peptides encoded by the same gene are indicated in blue. No. of copies of peptide encoded by gene indicated. A C-terminal glycine donates an amide group during amidation. Some nlp peptide predictions have been revised. † Based on co-localization with new markers, some expression patterns have been revised from published data. Cells in parentheses are variably expressed and/or tentative identifications. * Peptides have been biochemically isolated; *peptides including residues in parentheses have been isolated; non-FLP peptides are indicated in green. ## References are as follows: 1, Li et al., 1999; 2, Nathoo et al., 2001; 3, Husson et al., 2005; 4, Husson et al., 2006; 5, Sieburth et al., 2005; 6, Couillault et al., 2004; pers. comm.: AH, Anne Hart; EST or OST in EST or ORFeome databases indicated only if not identified in canonical reference and sequence spans at least one intron. Modified from Li (2005).</t>
  </si>
  <si>
    <t>Peptide name</t>
  </si>
  <si>
    <t>Name in other species</t>
  </si>
  <si>
    <t>FLP-1-1</t>
  </si>
  <si>
    <t>PF2</t>
  </si>
  <si>
    <t>FLP-1-2</t>
  </si>
  <si>
    <t>FLP-1-3</t>
  </si>
  <si>
    <t>FLP-1-4</t>
  </si>
  <si>
    <t>PF1</t>
  </si>
  <si>
    <t>FLP-1-5</t>
  </si>
  <si>
    <t>FLP-1-6</t>
  </si>
  <si>
    <t>AF26</t>
  </si>
  <si>
    <t>FLP-1-7</t>
  </si>
  <si>
    <t>FLP-1-8</t>
  </si>
  <si>
    <t>FLP-2-1</t>
  </si>
  <si>
    <t>4, 7, 8</t>
  </si>
  <si>
    <t>FLP-2-2</t>
  </si>
  <si>
    <t>FLP-3-1</t>
  </si>
  <si>
    <t>3, 4, 7, 8</t>
  </si>
  <si>
    <t>FLP-3-2</t>
  </si>
  <si>
    <t>FLP-3-3</t>
  </si>
  <si>
    <t>FLP-3-4</t>
  </si>
  <si>
    <t>FLP-3-5</t>
  </si>
  <si>
    <t>FLP-3-6</t>
  </si>
  <si>
    <t>FLP-3-7</t>
  </si>
  <si>
    <t>FLP-3-8</t>
  </si>
  <si>
    <t>FLP-3-9</t>
  </si>
  <si>
    <t>FLP-4-1</t>
  </si>
  <si>
    <t>7, 8</t>
  </si>
  <si>
    <t>FLP-4-2</t>
  </si>
  <si>
    <t>FLP-5-1</t>
  </si>
  <si>
    <t>2, 7, 8</t>
  </si>
  <si>
    <t>FLP-5-2</t>
  </si>
  <si>
    <t>FLP-5-3</t>
  </si>
  <si>
    <t>FLP-6-1</t>
  </si>
  <si>
    <t>AF8/PF3</t>
  </si>
  <si>
    <t>3, 7-11</t>
  </si>
  <si>
    <t>FLP-6-2</t>
  </si>
  <si>
    <t>FLP-7-1</t>
  </si>
  <si>
    <t>FLP-7-2</t>
  </si>
  <si>
    <t>FLP-7-3</t>
  </si>
  <si>
    <t>FLP-7-4</t>
  </si>
  <si>
    <t>AF1</t>
  </si>
  <si>
    <t>7, 8, 12, 13</t>
  </si>
  <si>
    <t>3, 4, 8, 12, 14</t>
  </si>
  <si>
    <t>FLP-11-1</t>
  </si>
  <si>
    <t>AF21</t>
  </si>
  <si>
    <t>3, 4, 7, 8, 10</t>
  </si>
  <si>
    <t>FLP-11-2</t>
  </si>
  <si>
    <t>FLP-11-3</t>
  </si>
  <si>
    <t>FLP-11-4</t>
  </si>
  <si>
    <t>AF24</t>
  </si>
  <si>
    <t>7, 8, 10, 12</t>
  </si>
  <si>
    <t>FLP-13-1</t>
  </si>
  <si>
    <t>3, 4, 7, 8, 12, 15, 16</t>
  </si>
  <si>
    <t>FLP-13-2</t>
  </si>
  <si>
    <t>FLP-13-3</t>
  </si>
  <si>
    <t>FLP-13-4</t>
  </si>
  <si>
    <t>FLP-13-5</t>
  </si>
  <si>
    <t>FLP-13-6</t>
  </si>
  <si>
    <t>FLP-13-7</t>
  </si>
  <si>
    <t>AF2/PF51</t>
  </si>
  <si>
    <t>4, 12, 17-20</t>
  </si>
  <si>
    <t>FLP-15-1</t>
  </si>
  <si>
    <t>4, 7, 17</t>
  </si>
  <si>
    <t>FLP-15-2</t>
  </si>
  <si>
    <t>FLP-16-1</t>
  </si>
  <si>
    <t>AF15</t>
  </si>
  <si>
    <t>3, 10, 17</t>
  </si>
  <si>
    <t>FLP-16-2</t>
  </si>
  <si>
    <t>FLP-17-1</t>
  </si>
  <si>
    <t>7, 17</t>
  </si>
  <si>
    <t>FLP-17-2</t>
  </si>
  <si>
    <t>FLP-18-1</t>
  </si>
  <si>
    <t>(afp-1)</t>
  </si>
  <si>
    <t>4, 7, 16, 17, 21</t>
  </si>
  <si>
    <t>FLP-18-2</t>
  </si>
  <si>
    <t>FLP-18-3</t>
  </si>
  <si>
    <t>FLP-18-4</t>
  </si>
  <si>
    <t>FLP-18-5</t>
  </si>
  <si>
    <t>FLP-18-6</t>
  </si>
  <si>
    <t>FLP-19-1</t>
  </si>
  <si>
    <t>3, 4, 7, 17</t>
  </si>
  <si>
    <t>GLP-19-2</t>
  </si>
  <si>
    <t>AF9</t>
  </si>
  <si>
    <t>7, 9, 17</t>
  </si>
  <si>
    <t>VVGQQDFLRG  </t>
  </si>
  <si>
    <t>7, AM</t>
  </si>
  <si>
    <t>4, 22, UP</t>
  </si>
  <si>
    <t>FLP-25-1</t>
  </si>
  <si>
    <t>FLP-25-2</t>
  </si>
  <si>
    <t>FLP-26-1</t>
  </si>
  <si>
    <t>4, 22</t>
  </si>
  <si>
    <t>FLP-26-2</t>
  </si>
  <si>
    <t>FLP-26-3</t>
  </si>
  <si>
    <t>FLP-26-4</t>
  </si>
  <si>
    <t>FLP-27-1</t>
  </si>
  <si>
    <t>FLP-27-2</t>
  </si>
  <si>
    <t>4, UP</t>
  </si>
  <si>
    <t>FLP-33</t>
  </si>
  <si>
    <t>ALNRDSLVASLNNAERLRFG</t>
  </si>
  <si>
    <t>FLP-34</t>
  </si>
  <si>
    <t># Genes for which ESTs, ORFeomes (OST), cDNAs, or encoded peptides have been isolated are in bold. § Common sequences among peptides encoded by the same gene are indicated in blue. No. of copies of peptide encoded by gene indicated. A C-terminal glycine donates an amide group during amidation. * Peptides have been biochemically isolated; *peptides including residues in parentheses have been isolated; non-FLP peptides are indicated in green. 1FLP-14/AF2 has also been found in Haemonchus contortus and Panagrellus redivius. ## References are as follows: 1, Rosoff et al., 1992; 2, Rosoff et al., 1993; 3, Husson et al., 2005; 4, Husson et al., 2006; 5, Geary et al., 1992; 6, Yew et al., 2005; 7, Kim and Li, 2004; 8, Nelson et al., 1998a; 9, Cowden and Stretton, 1995; 10, Yew et al., 2005; 11, Maule et al., 1994a; 12, Davis and Stretton, 1996; 13, Cowden et al., 1989; 14, Marks et al., 1999a; 15, Marks et al., 1997; 16, Marks et al., 2001; 17, Li et al., 1999; 18, Marks et al., 1995; 19, Cowden and Stretton, 1993; 20, Maule et al., 1994b; 21, Edison et al., 1997; 22, McVeigh et al., 2005; 23, Husson et al., 2007; pers. Comm.: SH, Steven Husson; AM, A. Maule; LS, Lilianne Schoofs; UP unpublished results. Modified from Li (2005).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</si>
</sst>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
    <numFmt numFmtId="165" formatCode="d-mmm;@"/>
    <numFmt numFmtId="166" formatCode="d-mmm;@"/>
  </numFmts>
  <fonts count="186">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Verdana"/>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Verdana"/>
    </font>
    <font>
      <b val="0"/>
      <i val="0"/>
      <strike val="0"/>
      <u val="none"/>
      <sz val="9.0"/>
      <color rgb="FF000000"/>
      <name val="Verdana"/>
    </font>
    <font>
      <b val="0"/>
      <i val="0"/>
      <strike val="0"/>
      <u/>
      <sz val="10.0"/>
      <color rgb="FF0000FF"/>
      <name val="Verdana"/>
    </font>
    <font>
      <b/>
      <i val="0"/>
      <strike val="0"/>
      <u val="none"/>
      <sz val="9.0"/>
      <color rgb="FF000000"/>
      <name val="Verdana"/>
    </font>
    <font>
      <b val="0"/>
      <i val="0"/>
      <strike val="0"/>
      <u val="none"/>
      <sz val="9.0"/>
      <color rgb="FF000000"/>
      <name val="Verdana"/>
    </font>
    <font>
      <b/>
      <i val="0"/>
      <strike val="0"/>
      <u/>
      <sz val="11.0"/>
      <color rgb="FF000000"/>
      <name val="Calibri"/>
    </font>
    <font>
      <b val="0"/>
      <i val="0"/>
      <strike val="0"/>
      <u val="none"/>
      <sz val="10.0"/>
      <color rgb="FF000000"/>
      <name val="Arial"/>
    </font>
    <font>
      <b val="0"/>
      <i val="0"/>
      <strike val="0"/>
      <u/>
      <sz val="10.0"/>
      <color rgb="FF0000FF"/>
      <name val="Verdana"/>
    </font>
    <font>
      <b/>
      <i val="0"/>
      <strike val="0"/>
      <u val="none"/>
      <sz val="11.0"/>
      <color rgb="FF000000"/>
      <name val="Verdana"/>
    </font>
    <font>
      <b/>
      <i val="0"/>
      <strike val="0"/>
      <u val="none"/>
      <sz val="10.0"/>
      <color rgb="FF000000"/>
      <name val="Arial"/>
    </font>
    <font>
      <b val="0"/>
      <i val="0"/>
      <strike val="0"/>
      <u val="none"/>
      <sz val="10.0"/>
      <color rgb="FF0000FF"/>
      <name val="Courier"/>
    </font>
    <font>
      <b val="0"/>
      <i val="0"/>
      <strike val="0"/>
      <u val="none"/>
      <sz val="10.0"/>
      <color rgb="FF000000"/>
      <name val="Verdana"/>
    </font>
    <font>
      <b val="0"/>
      <i val="0"/>
      <strike val="0"/>
      <u val="none"/>
      <sz val="10.0"/>
      <color rgb="FF000000"/>
      <name val="Verdana"/>
    </font>
    <font>
      <b/>
      <i val="0"/>
      <strike val="0"/>
      <u val="none"/>
      <sz val="10.0"/>
      <color rgb="FF000000"/>
      <name val="Arial"/>
    </font>
    <font>
      <b val="0"/>
      <i val="0"/>
      <strike val="0"/>
      <u val="none"/>
      <sz val="10.0"/>
      <color rgb="FF000000"/>
      <name val="Courier"/>
    </font>
    <font>
      <b val="0"/>
      <i val="0"/>
      <strike val="0"/>
      <u val="none"/>
      <sz val="10.0"/>
      <color rgb="FF008000"/>
      <name val="Courier"/>
    </font>
    <font>
      <b/>
      <i val="0"/>
      <strike val="0"/>
      <u val="none"/>
      <sz val="10.0"/>
      <color rgb="FF000085"/>
      <name val="Arial"/>
    </font>
    <font>
      <b/>
      <i val="0"/>
      <strike val="0"/>
      <u val="none"/>
      <sz val="10.0"/>
      <color rgb="FF000000"/>
      <name val="Verdana"/>
    </font>
    <font>
      <b val="0"/>
      <i val="0"/>
      <strike val="0"/>
      <u val="none"/>
      <sz val="10.0"/>
      <color rgb="FF000000"/>
      <name val="Arial"/>
    </font>
    <font>
      <b/>
      <i val="0"/>
      <strike val="0"/>
      <u val="none"/>
      <sz val="10.0"/>
      <color rgb="FF000000"/>
      <name val="Arial"/>
    </font>
    <font>
      <b/>
      <i val="0"/>
      <strike val="0"/>
      <u val="none"/>
      <sz val="10.0"/>
      <color rgb="FF000000"/>
      <name val="Verdana"/>
    </font>
    <font>
      <b val="0"/>
      <i val="0"/>
      <strike val="0"/>
      <u val="none"/>
      <sz val="10.0"/>
      <color rgb="FF000000"/>
      <name val="Courier"/>
    </font>
    <font>
      <b/>
      <i val="0"/>
      <strike val="0"/>
      <u val="none"/>
      <sz val="11.0"/>
      <color rgb="FF000000"/>
      <name val="Verdana"/>
    </font>
    <font>
      <b/>
      <i val="0"/>
      <strike val="0"/>
      <u val="none"/>
      <sz val="11.0"/>
      <color rgb="FF000000"/>
      <name val="Verdana"/>
    </font>
    <font>
      <b/>
      <i val="0"/>
      <strike val="0"/>
      <u val="none"/>
      <sz val="11.0"/>
      <color rgb="FF000000"/>
      <name val="Verdana"/>
    </font>
    <font>
      <b val="0"/>
      <i val="0"/>
      <strike val="0"/>
      <u val="none"/>
      <sz val="10.0"/>
      <color rgb="FF000000"/>
      <name val="Verdana"/>
    </font>
    <font>
      <b val="0"/>
      <i val="0"/>
      <strike val="0"/>
      <u val="none"/>
      <sz val="9.0"/>
      <color rgb="FF000000"/>
      <name val="Verdana"/>
    </font>
    <font>
      <b val="0"/>
      <i val="0"/>
      <strike val="0"/>
      <u val="none"/>
      <sz val="9.0"/>
      <color rgb="FF000000"/>
      <name val="Verdana"/>
    </font>
    <font>
      <b val="0"/>
      <i val="0"/>
      <strike val="0"/>
      <u val="none"/>
      <sz val="10.0"/>
      <color rgb="FF0000D4"/>
      <name val="Arial"/>
    </font>
    <font>
      <b val="0"/>
      <i val="0"/>
      <strike val="0"/>
      <u val="none"/>
      <sz val="9.0"/>
      <color rgb="FF000000"/>
      <name val="Verdana"/>
    </font>
    <font>
      <b val="0"/>
      <i val="0"/>
      <strike val="0"/>
      <u val="none"/>
      <sz val="11.0"/>
      <color rgb="FF000000"/>
      <name val="Arial"/>
    </font>
    <font>
      <b val="0"/>
      <i val="0"/>
      <strike val="0"/>
      <u val="none"/>
      <sz val="9.0"/>
      <color rgb="FF000000"/>
      <name val="Verdana"/>
    </font>
    <font>
      <b val="0"/>
      <i val="0"/>
      <strike val="0"/>
      <u val="none"/>
      <sz val="11.0"/>
      <color rgb="FF000000"/>
      <name val="Arial"/>
    </font>
    <font>
      <b val="0"/>
      <i val="0"/>
      <strike val="0"/>
      <u val="none"/>
      <sz val="10.0"/>
      <color rgb="FF000000"/>
      <name val="Arial"/>
    </font>
    <font>
      <b/>
      <i/>
      <strike val="0"/>
      <u val="none"/>
      <sz val="10.0"/>
      <color rgb="FF000085"/>
      <name val="Arial"/>
    </font>
    <font>
      <b/>
      <i val="0"/>
      <strike val="0"/>
      <u val="none"/>
      <sz val="10.0"/>
      <color rgb="FF000000"/>
      <name val="Arial"/>
    </font>
    <font>
      <b val="0"/>
      <i val="0"/>
      <strike val="0"/>
      <u/>
      <sz val="10.0"/>
      <color rgb="FF0000FF"/>
      <name val="Verdana"/>
    </font>
    <font>
      <b val="0"/>
      <i val="0"/>
      <strike val="0"/>
      <u val="none"/>
      <sz val="10.0"/>
      <color rgb="FF000000"/>
      <name val="Arial"/>
    </font>
    <font>
      <b val="0"/>
      <i val="0"/>
      <strike val="0"/>
      <u val="none"/>
      <sz val="11.0"/>
      <color rgb="FF000000"/>
      <name val="Arial"/>
    </font>
    <font>
      <b val="0"/>
      <i val="0"/>
      <strike val="0"/>
      <u val="none"/>
      <sz val="10.0"/>
      <color rgb="FF000000"/>
      <name val="Arial"/>
    </font>
    <font>
      <b/>
      <i val="0"/>
      <strike val="0"/>
      <u val="none"/>
      <sz val="11.0"/>
      <color rgb="FF000085"/>
      <name val="Arial"/>
    </font>
    <font>
      <b/>
      <i val="0"/>
      <strike val="0"/>
      <u val="none"/>
      <sz val="11.0"/>
      <color rgb="FF000000"/>
      <name val="Verdana"/>
    </font>
    <font>
      <b/>
      <i val="0"/>
      <strike val="0"/>
      <u/>
      <sz val="11.0"/>
      <color rgb="FF000000"/>
      <name val="Calibri"/>
    </font>
    <font>
      <b/>
      <i val="0"/>
      <strike val="0"/>
      <u val="none"/>
      <sz val="10.0"/>
      <color rgb="FF000000"/>
      <name val="Arial"/>
    </font>
    <font>
      <b/>
      <i val="0"/>
      <strike val="0"/>
      <u val="none"/>
      <sz val="10.0"/>
      <color rgb="FF000000"/>
      <name val="Arial"/>
    </font>
    <font>
      <b val="0"/>
      <i val="0"/>
      <strike val="0"/>
      <u val="none"/>
      <sz val="10.0"/>
      <color rgb="FF000000"/>
      <name val="Verdana"/>
    </font>
    <font>
      <b/>
      <i val="0"/>
      <strike val="0"/>
      <u val="none"/>
      <sz val="10.0"/>
      <color rgb="FF000000"/>
      <name val="Arial"/>
    </font>
    <font>
      <b val="0"/>
      <i val="0"/>
      <strike val="0"/>
      <u val="none"/>
      <sz val="10.0"/>
      <color rgb="FF000000"/>
      <name val="Verdana"/>
    </font>
    <font>
      <b/>
      <i val="0"/>
      <strike val="0"/>
      <u val="none"/>
      <sz val="10.0"/>
      <color rgb="FF000000"/>
      <name val="Arial"/>
    </font>
    <font>
      <b val="0"/>
      <i/>
      <strike val="0"/>
      <u val="none"/>
      <sz val="9.0"/>
      <color rgb="FF000000"/>
      <name val="Verdana"/>
    </font>
    <font>
      <b/>
      <i val="0"/>
      <strike val="0"/>
      <u val="none"/>
      <sz val="10.0"/>
      <color rgb="FF000085"/>
      <name val="Arial"/>
    </font>
    <font>
      <b/>
      <i val="0"/>
      <strike val="0"/>
      <u val="none"/>
      <sz val="11.0"/>
      <color rgb="FF000000"/>
      <name val="Verdana"/>
    </font>
    <font>
      <b val="0"/>
      <i val="0"/>
      <strike val="0"/>
      <u val="none"/>
      <sz val="10.0"/>
      <color rgb="FF000000"/>
      <name val="Verdana"/>
    </font>
    <font>
      <b val="0"/>
      <i val="0"/>
      <strike val="0"/>
      <u val="none"/>
      <sz val="9.0"/>
      <color rgb="FF000000"/>
      <name val="Verdana"/>
    </font>
    <font>
      <b val="0"/>
      <i val="0"/>
      <strike val="0"/>
      <u/>
      <sz val="10.0"/>
      <color rgb="FF0000FF"/>
      <name val="Verdana"/>
    </font>
    <font>
      <b/>
      <i val="0"/>
      <strike val="0"/>
      <u/>
      <sz val="11.0"/>
      <color rgb="FF000000"/>
      <name val="Calibri"/>
    </font>
    <font>
      <b val="0"/>
      <i val="0"/>
      <strike val="0"/>
      <u val="none"/>
      <sz val="10.0"/>
      <color rgb="FF000000"/>
      <name val="Verdana"/>
    </font>
    <font>
      <b val="0"/>
      <i val="0"/>
      <strike val="0"/>
      <u val="none"/>
      <sz val="10.0"/>
      <color rgb="FF000000"/>
      <name val="Verdana"/>
    </font>
    <font>
      <b/>
      <i val="0"/>
      <strike val="0"/>
      <u val="none"/>
      <sz val="10.0"/>
      <color rgb="FF000000"/>
      <name val="Arial"/>
    </font>
    <font>
      <b val="0"/>
      <i val="0"/>
      <strike val="0"/>
      <u/>
      <sz val="10.0"/>
      <color rgb="FF0000FF"/>
      <name val="Verdana"/>
    </font>
    <font>
      <b val="0"/>
      <i val="0"/>
      <strike val="0"/>
      <u val="none"/>
      <sz val="9.0"/>
      <color rgb="FF000000"/>
      <name val="Verdana"/>
    </font>
    <font>
      <b/>
      <i val="0"/>
      <strike val="0"/>
      <u val="none"/>
      <sz val="10.0"/>
      <color rgb="FF000000"/>
      <name val="Arial"/>
    </font>
    <font>
      <b val="0"/>
      <i val="0"/>
      <strike val="0"/>
      <u/>
      <sz val="10.0"/>
      <color rgb="FF0000FF"/>
      <name val="Verdana"/>
    </font>
    <font>
      <b val="0"/>
      <i val="0"/>
      <strike val="0"/>
      <u val="none"/>
      <sz val="9.0"/>
      <color rgb="FF000000"/>
      <name val="Verdana"/>
    </font>
    <font>
      <b val="0"/>
      <i/>
      <strike val="0"/>
      <u val="none"/>
      <sz val="10.0"/>
      <color rgb="FF000000"/>
      <name val="Arial"/>
    </font>
    <font>
      <b/>
      <i val="0"/>
      <strike val="0"/>
      <u/>
      <sz val="11.0"/>
      <color rgb="FF000000"/>
      <name val="Calibri"/>
    </font>
    <font>
      <b val="0"/>
      <i/>
      <strike val="0"/>
      <u val="none"/>
      <sz val="10.0"/>
      <color rgb="FF000000"/>
      <name val="Arial"/>
    </font>
    <font>
      <b val="0"/>
      <i val="0"/>
      <strike val="0"/>
      <u val="none"/>
      <sz val="10.0"/>
      <color rgb="FF000000"/>
      <name val="Verdana"/>
    </font>
    <font>
      <b val="0"/>
      <i val="0"/>
      <strike val="0"/>
      <u/>
      <sz val="10.0"/>
      <color rgb="FF0000FF"/>
      <name val="Verdana"/>
    </font>
    <font>
      <b val="0"/>
      <i val="0"/>
      <strike val="0"/>
      <u val="none"/>
      <sz val="10.0"/>
      <color rgb="FF000000"/>
      <name val="Verdana"/>
    </font>
    <font>
      <b val="0"/>
      <i val="0"/>
      <strike val="0"/>
      <u val="none"/>
      <sz val="10.0"/>
      <color rgb="FF000000"/>
      <name val="Courier"/>
    </font>
    <font>
      <b val="0"/>
      <i val="0"/>
      <strike val="0"/>
      <u/>
      <sz val="10.0"/>
      <color rgb="FF0000FF"/>
      <name val="Verdana"/>
    </font>
    <font>
      <b/>
      <i val="0"/>
      <strike val="0"/>
      <u val="none"/>
      <sz val="10.0"/>
      <color rgb="FF000000"/>
      <name val="Arial"/>
    </font>
    <font>
      <b val="0"/>
      <i val="0"/>
      <strike val="0"/>
      <u val="none"/>
      <sz val="10.0"/>
      <color rgb="FF000000"/>
      <name val="Verdana"/>
    </font>
    <font>
      <b val="0"/>
      <i val="0"/>
      <strike val="0"/>
      <u val="none"/>
      <sz val="10.0"/>
      <color rgb="FF000000"/>
      <name val="Verdana"/>
    </font>
    <font>
      <b val="0"/>
      <i val="0"/>
      <strike val="0"/>
      <u val="none"/>
      <sz val="10.0"/>
      <color rgb="FF000000"/>
      <name val="Arial"/>
    </font>
    <font>
      <b val="0"/>
      <i val="0"/>
      <strike val="0"/>
      <u val="none"/>
      <sz val="10.0"/>
      <color rgb="FF000000"/>
      <name val="Verdana"/>
    </font>
    <font>
      <b val="0"/>
      <i val="0"/>
      <strike val="0"/>
      <u val="none"/>
      <sz val="10.0"/>
      <color rgb="FF000000"/>
      <name val="Verdana"/>
    </font>
    <font>
      <b/>
      <i val="0"/>
      <strike val="0"/>
      <u val="none"/>
      <sz val="10.0"/>
      <color rgb="FF000000"/>
      <name val="Arial"/>
    </font>
    <font>
      <b val="0"/>
      <i val="0"/>
      <strike val="0"/>
      <u val="none"/>
      <sz val="10.0"/>
      <color rgb="FF000000"/>
      <name val="Verdana"/>
    </font>
    <font>
      <b val="0"/>
      <i val="0"/>
      <strike val="0"/>
      <u val="none"/>
      <sz val="10.0"/>
      <color rgb="FF000000"/>
      <name val="Courier"/>
    </font>
    <font>
      <b val="0"/>
      <i val="0"/>
      <strike val="0"/>
      <u val="none"/>
      <sz val="9.0"/>
      <color rgb="FF000000"/>
      <name val="Verdana"/>
    </font>
    <font>
      <b val="0"/>
      <i val="0"/>
      <strike val="0"/>
      <u val="none"/>
      <sz val="10.0"/>
      <color rgb="FF000000"/>
      <name val="Verdana"/>
    </font>
    <font>
      <b val="0"/>
      <i val="0"/>
      <strike val="0"/>
      <u val="none"/>
      <sz val="10.0"/>
      <color rgb="FF000000"/>
      <name val="Arial"/>
    </font>
    <font>
      <b val="0"/>
      <i val="0"/>
      <strike val="0"/>
      <u val="none"/>
      <sz val="10.0"/>
      <color rgb="FF000000"/>
      <name val="Verdana"/>
    </font>
    <font>
      <b val="0"/>
      <i val="0"/>
      <strike val="0"/>
      <u val="none"/>
      <sz val="10.0"/>
      <color rgb="FF000000"/>
      <name val="Arial"/>
    </font>
    <font>
      <b val="0"/>
      <i val="0"/>
      <strike val="0"/>
      <u val="none"/>
      <sz val="9.0"/>
      <color rgb="FF000000"/>
      <name val="Verdana"/>
    </font>
    <font>
      <b/>
      <i val="0"/>
      <strike val="0"/>
      <u val="none"/>
      <sz val="11.0"/>
      <color rgb="FF000000"/>
      <name val="Verdana"/>
    </font>
    <font>
      <b val="0"/>
      <i val="0"/>
      <strike val="0"/>
      <u val="none"/>
      <sz val="10.0"/>
      <color rgb="FF000000"/>
      <name val="Arial"/>
    </font>
    <font>
      <b/>
      <i val="0"/>
      <strike val="0"/>
      <u val="none"/>
      <sz val="10.0"/>
      <color rgb="FF000000"/>
      <name val="Arial"/>
    </font>
    <font>
      <b val="0"/>
      <i val="0"/>
      <strike val="0"/>
      <u val="none"/>
      <sz val="9.0"/>
      <color rgb="FF000000"/>
      <name val="Verdana"/>
    </font>
    <font>
      <b val="0"/>
      <i val="0"/>
      <strike val="0"/>
      <u val="none"/>
      <sz val="10.0"/>
      <color rgb="FF000000"/>
      <name val="Arial"/>
    </font>
    <font>
      <b/>
      <i val="0"/>
      <strike val="0"/>
      <u val="none"/>
      <sz val="9.0"/>
      <color rgb="FF000000"/>
      <name val="Verdana"/>
    </font>
    <font>
      <b val="0"/>
      <i val="0"/>
      <strike val="0"/>
      <u val="none"/>
      <sz val="10.0"/>
      <color rgb="FF000000"/>
      <name val="Verdana"/>
    </font>
    <font>
      <b/>
      <i/>
      <strike val="0"/>
      <u val="none"/>
      <sz val="10.0"/>
      <color rgb="FF000085"/>
      <name val="Arial"/>
    </font>
    <font>
      <b/>
      <i val="0"/>
      <strike val="0"/>
      <u val="none"/>
      <sz val="10.0"/>
      <color rgb="FF000000"/>
      <name val="Arial"/>
    </font>
    <font>
      <b val="0"/>
      <i val="0"/>
      <strike val="0"/>
      <u val="none"/>
      <sz val="10.0"/>
      <color rgb="FF0000FF"/>
      <name val="Courier"/>
    </font>
    <font>
      <b val="0"/>
      <i val="0"/>
      <strike val="0"/>
      <u val="none"/>
      <sz val="10.0"/>
      <color rgb="FF000000"/>
      <name val="Verdana"/>
    </font>
    <font>
      <b val="0"/>
      <i val="0"/>
      <strike val="0"/>
      <u/>
      <sz val="10.0"/>
      <color rgb="FF0000FF"/>
      <name val="Verdana"/>
    </font>
    <font>
      <b val="0"/>
      <i val="0"/>
      <strike val="0"/>
      <u val="none"/>
      <sz val="10.0"/>
      <color rgb="FF000000"/>
      <name val="Verdana"/>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sz val="11.0"/>
      <color rgb="FF000000"/>
      <name val="Calibri"/>
    </font>
    <font>
      <b val="0"/>
      <i val="0"/>
      <strike val="0"/>
      <u val="none"/>
      <sz val="10.0"/>
      <color rgb="FF000000"/>
      <name val="Arial"/>
    </font>
    <font>
      <b val="0"/>
      <i val="0"/>
      <strike val="0"/>
      <u val="none"/>
      <sz val="10.0"/>
      <color rgb="FF000000"/>
      <name val="Verdana"/>
    </font>
    <font>
      <b/>
      <i val="0"/>
      <strike val="0"/>
      <u val="none"/>
      <sz val="10.0"/>
      <color rgb="FF000000"/>
      <name val="Verdana"/>
    </font>
    <font>
      <b val="0"/>
      <i val="0"/>
      <strike val="0"/>
      <u val="none"/>
      <sz val="10.0"/>
      <color rgb="FF000000"/>
      <name val="Verdana"/>
    </font>
    <font>
      <b/>
      <i val="0"/>
      <strike val="0"/>
      <u val="none"/>
      <sz val="10.0"/>
      <color rgb="FF000085"/>
      <name val="Arial"/>
    </font>
    <font>
      <b val="0"/>
      <i val="0"/>
      <strike val="0"/>
      <u/>
      <sz val="10.0"/>
      <color rgb="FF0000FF"/>
      <name val="Verdana"/>
    </font>
    <font>
      <b val="0"/>
      <i val="0"/>
      <strike val="0"/>
      <u val="none"/>
      <sz val="10.0"/>
      <color rgb="FF000000"/>
      <name val="Courier"/>
    </font>
    <font>
      <b val="0"/>
      <i val="0"/>
      <strike val="0"/>
      <u val="none"/>
      <sz val="11.0"/>
      <color rgb="FF000000"/>
      <name val="Calibri"/>
    </font>
    <font>
      <b val="0"/>
      <i val="0"/>
      <strike val="0"/>
      <u val="none"/>
      <sz val="10.0"/>
      <color rgb="FF000000"/>
      <name val="Verdana"/>
    </font>
    <font>
      <b val="0"/>
      <i val="0"/>
      <strike val="0"/>
      <u val="none"/>
      <sz val="10.0"/>
      <color rgb="FF000000"/>
      <name val="Arial"/>
    </font>
    <font>
      <b val="0"/>
      <i val="0"/>
      <strike val="0"/>
      <u val="none"/>
      <sz val="10.0"/>
      <color rgb="FF000000"/>
      <name val="Arial"/>
    </font>
    <font>
      <b val="0"/>
      <i val="0"/>
      <strike val="0"/>
      <u/>
      <sz val="10.0"/>
      <color rgb="FF0000FF"/>
      <name val="Verdana"/>
    </font>
    <font>
      <b val="0"/>
      <i val="0"/>
      <strike val="0"/>
      <u val="none"/>
      <sz val="10.0"/>
      <color rgb="FF000000"/>
      <name val="Verdana"/>
    </font>
    <font>
      <b val="0"/>
      <i val="0"/>
      <strike val="0"/>
      <u val="none"/>
      <sz val="10.0"/>
      <color rgb="FF0000D4"/>
      <name val="Verdana"/>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sz val="10.0"/>
      <color rgb="FF0000FF"/>
      <name val="Verdana"/>
    </font>
    <font>
      <b val="0"/>
      <i val="0"/>
      <strike val="0"/>
      <u/>
      <sz val="10.0"/>
      <color rgb="FF0000FF"/>
      <name val="Verdana"/>
    </font>
    <font>
      <b val="0"/>
      <i val="0"/>
      <strike val="0"/>
      <u val="none"/>
      <sz val="9.0"/>
      <color rgb="FF000000"/>
      <name val="Verdana"/>
    </font>
    <font>
      <b val="0"/>
      <i val="0"/>
      <strike val="0"/>
      <u val="none"/>
      <sz val="10.0"/>
      <color rgb="FF000000"/>
      <name val="Verdana"/>
    </font>
    <font>
      <b/>
      <i val="0"/>
      <strike val="0"/>
      <u val="none"/>
      <sz val="12.0"/>
      <color rgb="FF000000"/>
      <name val="Arial"/>
    </font>
    <font>
      <b val="0"/>
      <i val="0"/>
      <strike val="0"/>
      <u val="none"/>
      <sz val="10.0"/>
      <color rgb="FF000000"/>
      <name val="Verdana"/>
    </font>
    <font>
      <b val="0"/>
      <i val="0"/>
      <strike val="0"/>
      <u val="none"/>
      <sz val="9.0"/>
      <color rgb="FF000000"/>
      <name val="Verdana"/>
    </font>
    <font>
      <b/>
      <i val="0"/>
      <strike val="0"/>
      <u val="none"/>
      <sz val="10.0"/>
      <color rgb="FF000000"/>
      <name val="Arial"/>
    </font>
    <font>
      <b/>
      <i val="0"/>
      <strike val="0"/>
      <u val="none"/>
      <sz val="10.0"/>
      <color rgb="FF000000"/>
      <name val="Arial"/>
    </font>
    <font>
      <b val="0"/>
      <i val="0"/>
      <strike val="0"/>
      <u val="none"/>
      <sz val="11.0"/>
      <color rgb="FF000000"/>
      <name val="Calibri"/>
    </font>
    <font>
      <b val="0"/>
      <i val="0"/>
      <strike val="0"/>
      <u val="none"/>
      <sz val="10.0"/>
      <color rgb="FF000000"/>
      <name val="Arial"/>
    </font>
    <font>
      <b val="0"/>
      <i val="0"/>
      <strike val="0"/>
      <u val="none"/>
      <sz val="11.0"/>
      <color rgb="FF000000"/>
      <name val="Calibri"/>
    </font>
    <font>
      <b val="0"/>
      <i val="0"/>
      <strike val="0"/>
      <u val="none"/>
      <sz val="9.0"/>
      <color rgb="FF000000"/>
      <name val="Verdana"/>
    </font>
    <font>
      <b val="0"/>
      <i val="0"/>
      <strike val="0"/>
      <u/>
      <sz val="10.0"/>
      <color rgb="FF0000FF"/>
      <name val="Verdana"/>
    </font>
    <font>
      <b val="0"/>
      <i val="0"/>
      <strike val="0"/>
      <u/>
      <sz val="10.0"/>
      <color rgb="FF000000"/>
      <name val="Verdana"/>
    </font>
    <font>
      <b val="0"/>
      <i val="0"/>
      <strike val="0"/>
      <u val="none"/>
      <sz val="10.0"/>
      <color rgb="FF000000"/>
      <name val="Arial"/>
    </font>
    <font>
      <b val="0"/>
      <i val="0"/>
      <strike val="0"/>
      <u/>
      <sz val="10.0"/>
      <color rgb="FF0000FF"/>
      <name val="Verdana"/>
    </font>
    <font>
      <b val="0"/>
      <i val="0"/>
      <strike val="0"/>
      <u val="none"/>
      <sz val="10.0"/>
      <color rgb="FF000000"/>
      <name val="Verdana"/>
    </font>
    <font>
      <b/>
      <i val="0"/>
      <strike val="0"/>
      <u val="none"/>
      <sz val="10.0"/>
      <color rgb="FF000085"/>
      <name val="Arial"/>
    </font>
    <font>
      <b val="0"/>
      <i val="0"/>
      <strike val="0"/>
      <u/>
      <sz val="10.0"/>
      <color rgb="FF0000FF"/>
      <name val="Verdana"/>
    </font>
    <font>
      <b val="0"/>
      <i val="0"/>
      <strike val="0"/>
      <u val="none"/>
      <sz val="10.0"/>
      <color rgb="FF000000"/>
      <name val="Verdana"/>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D4"/>
      <name val="Arial"/>
    </font>
    <font>
      <b val="0"/>
      <i val="0"/>
      <strike val="0"/>
      <u val="none"/>
      <sz val="10.0"/>
      <color rgb="FF000000"/>
      <name val="Arial"/>
    </font>
    <font>
      <b val="0"/>
      <i val="0"/>
      <strike val="0"/>
      <u val="none"/>
      <sz val="10.0"/>
      <color rgb="FF0000FF"/>
      <name val="Courier"/>
    </font>
    <font>
      <b/>
      <i val="0"/>
      <strike val="0"/>
      <u val="none"/>
      <sz val="10.0"/>
      <color rgb="FF000000"/>
      <name val="Arial"/>
    </font>
    <font>
      <b/>
      <i val="0"/>
      <strike val="0"/>
      <u val="none"/>
      <sz val="10.0"/>
      <color rgb="FF000085"/>
      <name val="Arial"/>
    </font>
    <font>
      <b/>
      <i val="0"/>
      <strike val="0"/>
      <u val="none"/>
      <sz val="10.0"/>
      <color rgb="FF000000"/>
      <name val="Arial"/>
    </font>
    <font>
      <b val="0"/>
      <i val="0"/>
      <strike val="0"/>
      <u val="none"/>
      <sz val="10.0"/>
      <color rgb="FF000000"/>
      <name val="Arial"/>
    </font>
    <font>
      <b val="0"/>
      <i val="0"/>
      <strike val="0"/>
      <u/>
      <sz val="10.0"/>
      <color rgb="FF0000FF"/>
      <name val="Verdana"/>
    </font>
    <font>
      <b val="0"/>
      <i val="0"/>
      <strike val="0"/>
      <u val="none"/>
      <sz val="9.0"/>
      <color rgb="FF000000"/>
      <name val="Verdana"/>
    </font>
    <font>
      <b val="0"/>
      <i val="0"/>
      <strike val="0"/>
      <u val="none"/>
      <sz val="9.0"/>
      <color rgb="FF000000"/>
      <name val="Verdana"/>
    </font>
    <font>
      <b val="0"/>
      <i val="0"/>
      <strike val="0"/>
      <u/>
      <sz val="10.0"/>
      <color rgb="FF0000FF"/>
      <name val="Verdana"/>
    </font>
    <font>
      <b/>
      <i/>
      <strike val="0"/>
      <u val="none"/>
      <sz val="10.0"/>
      <color rgb="FF000000"/>
      <name val="Verdana"/>
    </font>
    <font>
      <b val="0"/>
      <i val="0"/>
      <strike val="0"/>
      <u val="none"/>
      <sz val="10.0"/>
      <color rgb="FF000000"/>
      <name val="Arial"/>
    </font>
    <font>
      <b val="0"/>
      <i val="0"/>
      <strike val="0"/>
      <u/>
      <sz val="10.0"/>
      <color rgb="FF0000FF"/>
      <name val="Verdana"/>
    </font>
    <font>
      <b val="0"/>
      <i val="0"/>
      <strike val="0"/>
      <u/>
      <sz val="10.0"/>
      <color rgb="FF0000FF"/>
      <name val="Verdana"/>
    </font>
    <font>
      <b val="0"/>
      <i val="0"/>
      <strike val="0"/>
      <u val="none"/>
      <sz val="10.0"/>
      <color rgb="FF000000"/>
      <name val="Verdana"/>
    </font>
    <font>
      <b val="0"/>
      <i val="0"/>
      <strike val="0"/>
      <u val="none"/>
      <sz val="10.0"/>
      <color rgb="FF0000D4"/>
      <name val="Arial"/>
    </font>
    <font>
      <b val="0"/>
      <i val="0"/>
      <strike val="0"/>
      <u val="none"/>
      <sz val="11.0"/>
      <color rgb="FF000000"/>
      <name val="Arial"/>
    </font>
    <font>
      <b val="0"/>
      <i val="0"/>
      <strike val="0"/>
      <u/>
      <sz val="10.0"/>
      <color rgb="FF0000FF"/>
      <name val="Verdana"/>
    </font>
    <font>
      <b val="0"/>
      <i val="0"/>
      <strike val="0"/>
      <u/>
      <sz val="10.0"/>
      <color rgb="FF0000FF"/>
      <name val="Verdana"/>
    </font>
    <font>
      <b val="0"/>
      <i val="0"/>
      <strike val="0"/>
      <u/>
      <sz val="10.0"/>
      <color rgb="FF0000FF"/>
      <name val="Verdana"/>
    </font>
    <font>
      <b/>
      <i val="0"/>
      <strike val="0"/>
      <u val="none"/>
      <sz val="11.0"/>
      <color rgb="FF000000"/>
      <name val="Verdana"/>
    </font>
    <font>
      <b val="0"/>
      <i val="0"/>
      <strike val="0"/>
      <u val="none"/>
      <sz val="10.0"/>
      <color rgb="FF0000D4"/>
      <name val="Arial"/>
    </font>
    <font>
      <b/>
      <i val="0"/>
      <strike val="0"/>
      <u val="none"/>
      <sz val="10.0"/>
      <color rgb="FF000000"/>
      <name val="Arial"/>
    </font>
    <font>
      <b/>
      <i val="0"/>
      <strike val="0"/>
      <u val="none"/>
      <sz val="9.0"/>
      <color rgb="FF000000"/>
      <name val="Verdana"/>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1.0"/>
      <color rgb="FF000000"/>
      <name val="Verdana"/>
    </font>
    <font>
      <b val="0"/>
      <i val="0"/>
      <strike val="0"/>
      <u/>
      <sz val="10.0"/>
      <color rgb="FF0000FF"/>
      <name val="Verdana"/>
    </font>
    <font>
      <b val="0"/>
      <i val="0"/>
      <strike val="0"/>
      <u val="none"/>
      <sz val="10.0"/>
      <color rgb="FF000000"/>
      <name val="Courier"/>
    </font>
  </fonts>
  <fills count="75">
    <fill>
      <patternFill patternType="none"/>
    </fill>
    <fill>
      <patternFill patternType="gray125">
        <bgColor rgb="FFFFFFFF"/>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DE9D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DE9D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DE9D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DE9D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DE9D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s>
  <borders count="176">
    <border>
      <left/>
      <right/>
      <top/>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CCCCCC"/>
      </left>
      <right style="medium">
        <color rgb="FFCCCCCC"/>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CCCCCC"/>
      </left>
      <right/>
      <top/>
      <bottom style="medium">
        <color rgb="FFCCCCCC"/>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rgb="FFCCCCCC"/>
      </right>
      <top style="medium">
        <color indexed="64"/>
      </top>
      <bottom style="medium">
        <color rgb="FFCCCCCC"/>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rgb="FFCCCCCC"/>
      </left>
      <right style="medium">
        <color rgb="FFCCCCCC"/>
      </right>
      <top style="medium">
        <color indexed="64"/>
      </top>
      <bottom style="medium">
        <color rgb="FFCCCCCC"/>
      </bottom>
      <diagonal/>
    </border>
    <border>
      <left/>
      <right/>
      <top style="medium">
        <color rgb="FFCCCCCC"/>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rgb="FFCCCCCC"/>
      </bottom>
      <diagonal/>
    </border>
    <border>
      <left style="thin">
        <color indexed="64"/>
      </left>
      <right style="thin">
        <color indexed="64"/>
      </right>
      <top style="thin">
        <color indexed="64"/>
      </top>
      <bottom/>
      <diagonal/>
    </border>
    <border>
      <left style="medium">
        <color rgb="FFCCCCCC"/>
      </left>
      <right style="medium">
        <color rgb="FFCCCCCC"/>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
      <left/>
      <right/>
      <top style="thin">
        <color indexed="64"/>
      </top>
      <bottom/>
      <diagonal/>
    </border>
    <border>
      <left style="thin">
        <color indexed="64"/>
      </left>
      <right/>
      <top/>
      <bottom style="thin">
        <color indexed="64"/>
      </bottom>
      <diagonal/>
    </border>
    <border>
      <left style="medium">
        <color rgb="FFCCCCCC"/>
      </left>
      <right style="medium">
        <color rgb="FFCCCCCC"/>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rgb="FFCCCCCC"/>
      </left>
      <right style="medium">
        <color rgb="FFCCCCCC"/>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thin">
        <color indexed="64"/>
      </left>
      <right style="thin">
        <color indexed="64"/>
      </right>
      <top/>
      <bottom style="thin">
        <color indexed="64"/>
      </bottom>
      <diagonal/>
    </border>
    <border>
      <left style="medium">
        <color indexed="64"/>
      </left>
      <right/>
      <top style="medium">
        <color rgb="FFCCCCCC"/>
      </top>
      <bottom style="medium">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medium">
        <color indexed="64"/>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right/>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medium">
        <color rgb="FFCCCCCC"/>
      </left>
      <right style="medium">
        <color rgb="FFCCCCCC"/>
      </right>
      <top style="medium">
        <color rgb="FFCCCCCC"/>
      </top>
      <bottom style="medium">
        <color indexed="64"/>
      </bottom>
      <diagonal/>
    </border>
    <border>
      <left/>
      <right/>
      <top style="thin">
        <color indexed="64"/>
      </top>
      <bottom/>
      <diagonal/>
    </border>
    <border>
      <left style="medium">
        <color rgb="FFCCCCCC"/>
      </left>
      <right style="medium">
        <color rgb="FFCCCCCC"/>
      </right>
      <top style="medium">
        <color indexed="64"/>
      </top>
      <bottom style="medium">
        <color indexed="64"/>
      </bottom>
      <diagonal/>
    </border>
    <border>
      <left style="medium">
        <color rgb="FFCCCCCC"/>
      </left>
      <right/>
      <top style="medium">
        <color rgb="FFCCCCCC"/>
      </top>
      <bottom style="medium">
        <color rgb="FFCCCCCC"/>
      </bottom>
      <diagonal/>
    </border>
    <border>
      <left style="thin">
        <color indexed="64"/>
      </left>
      <right style="thin">
        <color indexed="64"/>
      </right>
      <top/>
      <bottom style="thin">
        <color indexed="64"/>
      </bottom>
      <diagonal/>
    </border>
    <border>
      <left style="medium">
        <color rgb="FFCCCCCC"/>
      </left>
      <right/>
      <top/>
      <bottom style="medium">
        <color rgb="FFCCCCCC"/>
      </bottom>
      <diagonal/>
    </border>
    <border>
      <left/>
      <right style="thin">
        <color indexed="64"/>
      </right>
      <top style="thin">
        <color indexed="64"/>
      </top>
      <bottom style="thin">
        <color indexed="64"/>
      </bottom>
      <diagonal/>
    </border>
    <border>
      <left/>
      <right/>
      <top style="medium">
        <color rgb="FFCCCCCC"/>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rgb="FFCCCCCC"/>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indexed="64"/>
      </top>
      <bottom style="medium">
        <color rgb="FFCCCCCC"/>
      </bottom>
      <diagonal/>
    </border>
    <border>
      <left style="thin">
        <color indexed="64"/>
      </left>
      <right style="thin">
        <color indexed="64"/>
      </right>
      <top style="thin">
        <color indexed="64"/>
      </top>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rgb="FFCCCCCC"/>
      </left>
      <right style="medium">
        <color rgb="FFCCCCCC"/>
      </right>
      <top/>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rgb="FFCCCCCC"/>
      </right>
      <top style="medium">
        <color rgb="FFCCCCCC"/>
      </top>
      <bottom/>
      <diagonal/>
    </border>
    <border>
      <left style="thin">
        <color indexed="64"/>
      </left>
      <right style="thin">
        <color indexed="64"/>
      </right>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rgb="FFCCCCCC"/>
      </right>
      <top style="medium">
        <color rgb="FFCCCCCC"/>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indexed="64"/>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CCCCCC"/>
      </left>
      <right style="medium">
        <color rgb="FFCCCCCC"/>
      </right>
      <top/>
      <bottom style="medium">
        <color rgb="FFCCCCCC"/>
      </bottom>
      <diagonal/>
    </border>
    <border>
      <left/>
      <right style="thin">
        <color indexed="64"/>
      </right>
      <top style="thin">
        <color indexed="64"/>
      </top>
      <bottom/>
      <diagonal/>
    </border>
    <border>
      <left style="medium">
        <color rgb="FFCCCCCC"/>
      </left>
      <right style="medium">
        <color rgb="FFCCCCCC"/>
      </right>
      <top style="medium">
        <color indexed="64"/>
      </top>
      <bottom style="medium">
        <color rgb="FFCCCCCC"/>
      </bottom>
      <diagonal/>
    </border>
    <border>
      <left/>
      <right/>
      <top style="medium">
        <color rgb="FFCCCCCC"/>
      </top>
      <bottom style="medium">
        <color rgb="FFCCCCCC"/>
      </bottom>
      <diagonal/>
    </border>
    <border>
      <left/>
      <right style="thin">
        <color indexed="64"/>
      </right>
      <top style="thin">
        <color indexed="64"/>
      </top>
      <bottom/>
      <diagonal/>
    </border>
    <border>
      <left style="medium">
        <color rgb="FFCCCCCC"/>
      </left>
      <right style="medium">
        <color rgb="FFCCCCCC"/>
      </right>
      <top style="medium">
        <color indexed="64"/>
      </top>
      <bottom style="medium">
        <color indexed="64"/>
      </bottom>
      <diagonal/>
    </border>
    <border>
      <left style="medium">
        <color rgb="FFCCCCCC"/>
      </left>
      <right style="medium">
        <color rgb="FFCCCCCC"/>
      </right>
      <top style="medium">
        <color rgb="FFCCCCCC"/>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1">
    <xf fillId="0" numFmtId="0" borderId="0" fontId="0"/>
  </cellStyleXfs>
  <cellXfs count="186">
    <xf applyAlignment="1" fillId="0" xfId="0" numFmtId="0" borderId="0" fontId="0">
      <alignment vertical="bottom" horizontal="general" wrapText="1"/>
    </xf>
    <xf applyBorder="1" applyAlignment="1" fillId="0" xfId="0" numFmtId="0" borderId="1" applyFont="1" fontId="1">
      <alignment vertical="center" horizontal="left" wrapText="1"/>
    </xf>
    <xf applyBorder="1" applyAlignment="1" fillId="0" xfId="0" numFmtId="0" borderId="2" applyFont="1" fontId="2">
      <alignment vertical="center" horizontal="right" wrapText="1"/>
    </xf>
    <xf applyBorder="1" applyAlignment="1" fillId="0" xfId="0" numFmtId="0" borderId="3" applyFont="1" fontId="3">
      <alignment vertical="center" horizontal="left" wrapText="1"/>
    </xf>
    <xf fillId="2" xfId="0" numFmtId="0" borderId="0" applyFont="1" fontId="4" applyFill="1"/>
    <xf applyBorder="1" applyAlignment="1" fillId="3" xfId="0" numFmtId="0" borderId="4" applyFont="1" fontId="5" applyFill="1">
      <alignment vertical="top" horizontal="left" wrapText="1"/>
    </xf>
    <xf applyBorder="1" applyAlignment="1" fillId="4" xfId="0" numFmtId="0" borderId="5" applyFont="1" fontId="6" applyFill="1">
      <alignment vertical="top" horizontal="general" wrapText="1"/>
    </xf>
    <xf applyBorder="1" applyAlignment="1" fillId="5" xfId="0" numFmtId="0" borderId="6" applyFont="1" fontId="7" applyFill="1">
      <alignment vertical="top" horizontal="left" wrapText="1" readingOrder="1"/>
    </xf>
    <xf applyBorder="1" applyAlignment="1" fillId="6" xfId="0" numFmtId="0" borderId="7" applyFont="1" fontId="8" applyFill="1">
      <alignment vertical="top" horizontal="left" wrapText="1" readingOrder="1"/>
    </xf>
    <xf applyBorder="1" applyAlignment="1" fillId="7" xfId="0" numFmtId="0" borderId="8" applyFont="1" fontId="9" applyFill="1">
      <alignment vertical="top" horizontal="left" wrapText="1"/>
    </xf>
    <xf applyBorder="1" applyAlignment="1" fillId="0" xfId="0" numFmtId="0" borderId="9" applyFont="1" fontId="10">
      <alignment vertical="top" horizontal="general"/>
    </xf>
    <xf applyBorder="1" applyAlignment="1" fillId="0" xfId="0" numFmtId="0" borderId="10" applyFont="1" fontId="11">
      <alignment vertical="center" horizontal="general" wrapText="1"/>
    </xf>
    <xf applyBorder="1" applyAlignment="1" fillId="8" xfId="0" numFmtId="0" borderId="11" applyFont="1" fontId="12" applyFill="1">
      <alignment vertical="top" horizontal="left" wrapText="1" readingOrder="1"/>
    </xf>
    <xf applyBorder="1" applyAlignment="1" fillId="0" xfId="0" numFmtId="0" borderId="12" applyFont="1" fontId="13">
      <alignment vertical="center" horizontal="general" wrapText="1"/>
    </xf>
    <xf applyBorder="1" applyAlignment="1" fillId="0" xfId="0" numFmtId="0" borderId="13" applyFont="1" fontId="14">
      <alignment vertical="center" horizontal="center" wrapText="1"/>
    </xf>
    <xf applyBorder="1" applyAlignment="1" fillId="9" xfId="0" numFmtId="0" borderId="14" applyFont="1" fontId="15" applyFill="1">
      <alignment vertical="top" horizontal="general" wrapText="1"/>
    </xf>
    <xf applyBorder="1" applyAlignment="1" fillId="10" xfId="0" numFmtId="0" borderId="15" applyFont="1" fontId="16" applyFill="1">
      <alignment vertical="bottom" horizontal="general" wrapText="1"/>
    </xf>
    <xf applyBorder="1" applyAlignment="1" fillId="0" xfId="0" numFmtId="0" borderId="16" applyFont="1" fontId="17">
      <alignment vertical="center" horizontal="left" wrapText="1"/>
    </xf>
    <xf applyBorder="1" applyAlignment="1" fillId="0" xfId="0" numFmtId="0" borderId="17" applyFont="1" fontId="18">
      <alignment vertical="center" horizontal="general" wrapText="1"/>
    </xf>
    <xf applyBorder="1" applyAlignment="1" fillId="0" xfId="0" numFmtId="0" borderId="18" applyFont="1" fontId="19">
      <alignment vertical="center" horizontal="center" wrapText="1"/>
    </xf>
    <xf applyBorder="1" applyAlignment="1" fillId="0" xfId="0" numFmtId="0" borderId="19" applyFont="1" fontId="20">
      <alignment vertical="center" horizontal="right" wrapText="1"/>
    </xf>
    <xf applyBorder="1" applyAlignment="1" fillId="0" xfId="0" numFmtId="0" borderId="20" applyFont="1" fontId="21">
      <alignment vertical="center" horizontal="general" wrapText="1"/>
    </xf>
    <xf applyBorder="1" applyAlignment="1" fillId="0" xfId="0" numFmtId="0" borderId="21" applyFont="1" fontId="22">
      <alignment vertical="center" horizontal="general" wrapText="1"/>
    </xf>
    <xf applyBorder="1" applyAlignment="1" fillId="0" xfId="0" numFmtId="0" borderId="22" applyFont="1" fontId="23">
      <alignment vertical="center" horizontal="center" wrapText="1"/>
    </xf>
    <xf applyBorder="1" applyAlignment="1" fillId="0" xfId="0" numFmtId="0" borderId="23" applyFont="1" fontId="24">
      <alignment vertical="center" horizontal="right" wrapText="1"/>
    </xf>
    <xf applyBorder="1" applyAlignment="1" fillId="0" xfId="0" numFmtId="0" borderId="24" applyFont="1" fontId="25">
      <alignment vertical="center" horizontal="right" wrapText="1"/>
    </xf>
    <xf applyBorder="1" applyAlignment="1" fillId="11" xfId="0" numFmtId="0" borderId="25" applyFont="1" fontId="26" applyFill="1">
      <alignment vertical="top" horizontal="left" wrapText="1" readingOrder="1"/>
    </xf>
    <xf applyBorder="1" applyAlignment="1" fillId="0" xfId="0" numFmtId="0" borderId="26" applyFont="1" fontId="27">
      <alignment vertical="center" horizontal="general" wrapText="1"/>
    </xf>
    <xf applyBorder="1" applyAlignment="1" fillId="12" xfId="0" numFmtId="0" borderId="27" applyFont="1" fontId="28" applyFill="1">
      <alignment vertical="top" horizontal="left" wrapText="1" readingOrder="1"/>
    </xf>
    <xf applyBorder="1" applyAlignment="1" fillId="0" xfId="0" numFmtId="0" borderId="28" applyFont="1" fontId="29">
      <alignment vertical="center" horizontal="left" wrapText="1"/>
    </xf>
    <xf applyBorder="1" applyAlignment="1" fillId="0" xfId="0" numFmtId="0" borderId="29" applyFont="1" fontId="30">
      <alignment vertical="center" horizontal="general" wrapText="1"/>
    </xf>
    <xf applyBorder="1" applyAlignment="1" fillId="0" xfId="0" numFmtId="0" borderId="30" applyFont="1" fontId="31">
      <alignment vertical="center" horizontal="general" wrapText="1"/>
    </xf>
    <xf applyBorder="1" applyAlignment="1" fillId="0" xfId="0" numFmtId="0" borderId="31" applyFont="1" fontId="32">
      <alignment vertical="center" horizontal="general" wrapText="1"/>
    </xf>
    <xf applyBorder="1" applyAlignment="1" fillId="0" xfId="0" numFmtId="0" borderId="32" applyFont="1" fontId="33">
      <alignment vertical="center" horizontal="general" wrapText="1"/>
    </xf>
    <xf applyBorder="1" applyAlignment="1" fillId="0" xfId="0" numFmtId="0" borderId="33" applyFont="1" fontId="34">
      <alignment vertical="center" horizontal="general" wrapText="1"/>
    </xf>
    <xf applyBorder="1" fillId="0" xfId="0" numFmtId="0" borderId="34" applyFont="1" fontId="35"/>
    <xf applyBorder="1" applyAlignment="1" fillId="0" xfId="0" numFmtId="0" borderId="35" applyFont="1" fontId="36">
      <alignment vertical="center" horizontal="general" wrapText="1"/>
    </xf>
    <xf applyBorder="1" applyAlignment="1" fillId="0" xfId="0" numFmtId="0" borderId="36" applyFont="1" fontId="37">
      <alignment vertical="center" horizontal="general" wrapText="1"/>
    </xf>
    <xf applyBorder="1" applyAlignment="1" fillId="13" xfId="0" numFmtId="0" borderId="37" applyFont="1" fontId="38" applyFill="1">
      <alignment vertical="top" horizontal="left" wrapText="1" readingOrder="1"/>
    </xf>
    <xf applyBorder="1" applyAlignment="1" fillId="0" xfId="0" numFmtId="0" borderId="38" applyFont="1" fontId="39">
      <alignment vertical="center" horizontal="center" wrapText="1"/>
    </xf>
    <xf applyBorder="1" applyAlignment="1" fillId="0" xfId="0" numFmtId="0" borderId="39" applyFont="1" fontId="40">
      <alignment vertical="top" horizontal="general"/>
    </xf>
    <xf applyBorder="1" applyAlignment="1" fillId="0" xfId="0" numFmtId="0" borderId="40" applyFont="1" fontId="41">
      <alignment vertical="center" horizontal="left" wrapText="1"/>
    </xf>
    <xf applyBorder="1" applyAlignment="1" fillId="0" xfId="0" numFmtId="0" borderId="41" applyFont="1" fontId="42">
      <alignment vertical="top" horizontal="general"/>
    </xf>
    <xf applyBorder="1" applyAlignment="1" fillId="0" xfId="0" numFmtId="0" borderId="42" applyFont="1" fontId="43">
      <alignment vertical="center" horizontal="left" wrapText="1"/>
    </xf>
    <xf applyBorder="1" applyAlignment="1" fillId="14" xfId="0" numFmtId="0" borderId="43" applyFont="1" fontId="44" applyFill="1">
      <alignment vertical="top" horizontal="left" wrapText="1" readingOrder="1"/>
    </xf>
    <xf applyBorder="1" applyAlignment="1" fillId="15" xfId="0" numFmtId="0" borderId="44" applyFont="1" fontId="45" applyFill="1">
      <alignment vertical="top" horizontal="left" wrapText="1" readingOrder="1"/>
    </xf>
    <xf applyBorder="1" applyAlignment="1" fillId="16" xfId="0" numFmtId="0" borderId="45" applyFont="1" fontId="46" applyFill="1">
      <alignment vertical="top" horizontal="left" wrapText="1" readingOrder="1"/>
    </xf>
    <xf applyBorder="1" applyAlignment="1" fillId="17" xfId="0" numFmtId="0" borderId="46" applyFont="1" fontId="47" applyFill="1">
      <alignment vertical="top" horizontal="general" wrapText="1"/>
    </xf>
    <xf applyBorder="1" applyAlignment="1" fillId="0" xfId="0" numFmtId="0" borderId="47" applyFont="1" fontId="48">
      <alignment vertical="top" horizontal="general"/>
    </xf>
    <xf applyBorder="1" applyAlignment="1" fillId="18" xfId="0" numFmtId="0" borderId="48" applyFont="1" fontId="49" applyFill="1">
      <alignment vertical="top" horizontal="left" wrapText="1" readingOrder="1"/>
    </xf>
    <xf applyBorder="1" applyAlignment="1" fillId="19" xfId="0" numFmtId="0" borderId="49" applyFont="1" fontId="50" applyFill="1">
      <alignment vertical="top" horizontal="left" wrapText="1" readingOrder="1"/>
    </xf>
    <xf applyBorder="1" fillId="0" xfId="0" numFmtId="0" borderId="50" applyFont="1" fontId="51"/>
    <xf applyBorder="1" applyAlignment="1" fillId="20" xfId="0" numFmtId="0" borderId="51" applyFont="1" fontId="52" applyFill="1">
      <alignment vertical="top" horizontal="general"/>
    </xf>
    <xf applyBorder="1" applyAlignment="1" fillId="21" xfId="0" numFmtId="0" borderId="52" applyFont="1" fontId="53" applyFill="1">
      <alignment vertical="top" horizontal="left" wrapText="1" readingOrder="1"/>
    </xf>
    <xf applyBorder="1" applyAlignment="1" fillId="0" xfId="0" numFmtId="0" borderId="53" applyFont="1" fontId="54">
      <alignment vertical="center" horizontal="right" wrapText="1"/>
    </xf>
    <xf applyBorder="1" applyAlignment="1" fillId="0" xfId="0" numFmtId="0" borderId="54" applyFont="1" fontId="55">
      <alignment vertical="center" horizontal="general" wrapText="1"/>
    </xf>
    <xf applyBorder="1" applyAlignment="1" fillId="22" xfId="0" numFmtId="0" borderId="55" applyFont="1" fontId="56" applyFill="1">
      <alignment vertical="top" horizontal="left" wrapText="1" readingOrder="1"/>
    </xf>
    <xf applyBorder="1" applyAlignment="1" fillId="0" xfId="0" numFmtId="0" borderId="56" applyFont="1" fontId="57">
      <alignment vertical="center" horizontal="general" wrapText="1"/>
    </xf>
    <xf applyBorder="1" applyAlignment="1" fillId="23" xfId="0" numFmtId="0" borderId="57" applyFont="1" fontId="58" applyFill="1">
      <alignment vertical="top" horizontal="left" wrapText="1" readingOrder="1"/>
    </xf>
    <xf applyBorder="1" applyAlignment="1" fillId="0" xfId="0" numFmtId="0" borderId="58" applyFont="1" fontId="59">
      <alignment vertical="center" horizontal="center" wrapText="1"/>
    </xf>
    <xf applyBorder="1" applyAlignment="1" fillId="24" xfId="0" numFmtId="0" borderId="59" applyFont="1" fontId="60" applyFill="1">
      <alignment vertical="top" horizontal="left" wrapText="1" readingOrder="1"/>
    </xf>
    <xf applyBorder="1" applyAlignment="1" fillId="0" xfId="0" numFmtId="0" borderId="60" applyFont="1" fontId="61">
      <alignment vertical="center" horizontal="general" wrapText="1"/>
    </xf>
    <xf applyBorder="1" fillId="0" xfId="0" numFmtId="0" borderId="61" applyFont="1" fontId="62"/>
    <xf applyBorder="1" applyAlignment="1" fillId="0" xfId="0" numFmtId="0" borderId="62" applyFont="1" fontId="63">
      <alignment vertical="center" horizontal="general" wrapText="1"/>
    </xf>
    <xf applyBorder="1" applyAlignment="1" fillId="0" xfId="0" numFmtId="0" borderId="63" applyFont="1" fontId="64">
      <alignment vertical="center" horizontal="general" wrapText="1"/>
    </xf>
    <xf applyBorder="1" applyAlignment="1" fillId="25" xfId="0" numFmtId="0" borderId="64" applyFont="1" fontId="65" applyFill="1">
      <alignment vertical="top" horizontal="general"/>
    </xf>
    <xf applyBorder="1" applyAlignment="1" fillId="26" xfId="0" numFmtId="0" borderId="65" applyFont="1" fontId="66" applyFill="1">
      <alignment vertical="top" horizontal="left" wrapText="1" readingOrder="1"/>
    </xf>
    <xf applyBorder="1" applyAlignment="1" fillId="0" xfId="0" numFmtId="0" borderId="66" applyFont="1" fontId="67">
      <alignment vertical="center" horizontal="general" wrapText="1"/>
    </xf>
    <xf applyBorder="1" applyAlignment="1" fillId="0" xfId="0" numFmtId="0" borderId="67" applyFont="1" fontId="68">
      <alignment vertical="center" horizontal="center" wrapText="1"/>
    </xf>
    <xf applyBorder="1" applyAlignment="1" fillId="0" xfId="0" numFmtId="0" borderId="68" applyFont="1" fontId="69">
      <alignment vertical="center" horizontal="center" wrapText="1"/>
    </xf>
    <xf applyBorder="1" applyAlignment="1" fillId="0" xfId="0" numFmtId="0" borderId="69" applyFont="1" fontId="70">
      <alignment vertical="center" horizontal="general" wrapText="1"/>
    </xf>
    <xf applyBorder="1" applyAlignment="1" fillId="27" xfId="0" numFmtId="0" borderId="70" applyFont="1" fontId="71" applyFill="1">
      <alignment vertical="top" horizontal="general" wrapText="1"/>
    </xf>
    <xf applyBorder="1" applyAlignment="1" fillId="0" xfId="0" numFmtId="0" borderId="71" applyFont="1" fontId="72">
      <alignment vertical="center" horizontal="left" wrapText="1"/>
    </xf>
    <xf applyBorder="1" applyAlignment="1" fillId="0" xfId="0" numFmtId="0" borderId="72" applyFont="1" fontId="73">
      <alignment vertical="center" horizontal="general" wrapText="1"/>
    </xf>
    <xf applyBorder="1" applyAlignment="1" fillId="28" xfId="0" numFmtId="0" borderId="73" applyFont="1" fontId="74" applyFill="1">
      <alignment vertical="top" horizontal="general" wrapText="1"/>
    </xf>
    <xf applyAlignment="1" fillId="29" xfId="0" numFmtId="0" borderId="0" applyFont="1" fontId="75" applyFill="1">
      <alignment vertical="top" horizontal="general"/>
    </xf>
    <xf applyBorder="1" applyAlignment="1" fillId="30" xfId="0" numFmtId="0" borderId="74" applyFont="1" fontId="76" applyFill="1">
      <alignment vertical="top" horizontal="left" wrapText="1" readingOrder="1"/>
    </xf>
    <xf applyBorder="1" fillId="0" xfId="0" numFmtId="0" borderId="75" applyFont="1" fontId="77"/>
    <xf applyBorder="1" applyAlignment="1" fillId="31" xfId="0" numFmtId="0" borderId="76" applyFont="1" fontId="78" applyFill="1">
      <alignment vertical="top" horizontal="left" wrapText="1" readingOrder="1"/>
    </xf>
    <xf applyBorder="1" fillId="32" xfId="0" numFmtId="0" borderId="77" applyFont="1" fontId="79" applyFill="1"/>
    <xf applyBorder="1" applyAlignment="1" fillId="0" xfId="0" numFmtId="0" borderId="78" applyFont="1" fontId="80">
      <alignment vertical="center" horizontal="right" wrapText="1"/>
    </xf>
    <xf applyAlignment="1" fillId="0" xfId="0" numFmtId="0" borderId="0" applyFont="1" fontId="81">
      <alignment vertical="center" horizontal="left" wrapText="1"/>
    </xf>
    <xf applyBorder="1" applyAlignment="1" fillId="33" xfId="0" numFmtId="0" borderId="79" applyFont="1" fontId="82" applyFill="1">
      <alignment vertical="top" horizontal="left" wrapText="1" readingOrder="1"/>
    </xf>
    <xf applyBorder="1" applyAlignment="1" fillId="0" xfId="0" numFmtId="0" borderId="80" applyFont="1" fontId="83">
      <alignment vertical="center" horizontal="general" wrapText="1"/>
    </xf>
    <xf applyBorder="1" fillId="0" xfId="0" numFmtId="0" borderId="81" applyFont="1" fontId="84"/>
    <xf applyBorder="1" applyAlignment="1" fillId="0" xfId="0" numFmtId="164" borderId="82" applyFont="1" fontId="85" applyNumberFormat="1">
      <alignment vertical="center" horizontal="left" wrapText="1"/>
    </xf>
    <xf applyBorder="1" fillId="34" xfId="0" numFmtId="0" borderId="83" applyFont="1" fontId="86" applyFill="1"/>
    <xf fillId="0" xfId="0" numFmtId="0" borderId="0" applyFont="1" fontId="87"/>
    <xf applyBorder="1" applyAlignment="1" fillId="35" xfId="0" numFmtId="0" borderId="84" applyFont="1" fontId="88" applyFill="1">
      <alignment vertical="top" horizontal="general" wrapText="1"/>
    </xf>
    <xf applyBorder="1" applyAlignment="1" fillId="0" xfId="0" numFmtId="0" borderId="85" applyFont="1" fontId="89">
      <alignment vertical="top" horizontal="general"/>
    </xf>
    <xf applyBorder="1" applyAlignment="1" fillId="0" xfId="0" numFmtId="0" borderId="86" applyFont="1" fontId="90">
      <alignment vertical="center" horizontal="general" wrapText="1"/>
    </xf>
    <xf applyAlignment="1" fillId="0" xfId="0" numFmtId="0" borderId="0" applyFont="1" fontId="91">
      <alignment vertical="center" horizontal="left"/>
    </xf>
    <xf applyBorder="1" fillId="36" xfId="0" numFmtId="0" borderId="87" applyFont="1" fontId="92" applyFill="1"/>
    <xf applyBorder="1" applyAlignment="1" fillId="37" xfId="0" numFmtId="0" borderId="88" applyFont="1" fontId="93" applyFill="1">
      <alignment vertical="bottom" horizontal="general" wrapText="1"/>
    </xf>
    <xf applyBorder="1" applyAlignment="1" fillId="38" xfId="0" numFmtId="0" borderId="89" applyFont="1" fontId="94" applyFill="1">
      <alignment vertical="top" horizontal="general" wrapText="1"/>
    </xf>
    <xf applyBorder="1" applyAlignment="1" fillId="39" xfId="0" numFmtId="0" borderId="90" applyFont="1" fontId="95" applyFill="1">
      <alignment vertical="top" horizontal="left" wrapText="1"/>
    </xf>
    <xf applyBorder="1" applyAlignment="1" fillId="0" xfId="0" numFmtId="0" borderId="91" applyFont="1" fontId="96">
      <alignment vertical="center" horizontal="center" wrapText="1"/>
    </xf>
    <xf applyBorder="1" applyAlignment="1" fillId="0" xfId="0" numFmtId="0" borderId="92" applyFont="1" fontId="97">
      <alignment vertical="center" horizontal="center" wrapText="1"/>
    </xf>
    <xf applyBorder="1" applyAlignment="1" fillId="0" xfId="0" numFmtId="165" borderId="93" applyFont="1" fontId="98" applyNumberFormat="1">
      <alignment vertical="center" horizontal="left" wrapText="1"/>
    </xf>
    <xf applyBorder="1" applyAlignment="1" fillId="0" xfId="0" numFmtId="0" borderId="94" applyFont="1" fontId="99">
      <alignment vertical="center" horizontal="right" wrapText="1"/>
    </xf>
    <xf applyBorder="1" applyAlignment="1" fillId="0" xfId="0" numFmtId="0" borderId="95" applyFont="1" fontId="100">
      <alignment vertical="center" horizontal="left" wrapText="1"/>
    </xf>
    <xf applyBorder="1" applyAlignment="1" fillId="40" xfId="0" numFmtId="0" borderId="96" applyFont="1" fontId="101" applyFill="1">
      <alignment vertical="top" horizontal="general" wrapText="1"/>
    </xf>
    <xf applyBorder="1" applyAlignment="1" fillId="0" xfId="0" numFmtId="0" borderId="97" applyFont="1" fontId="102">
      <alignment vertical="center" horizontal="general" wrapText="1"/>
    </xf>
    <xf applyAlignment="1" fillId="0" xfId="0" numFmtId="0" borderId="0" applyFont="1" fontId="103">
      <alignment vertical="center" horizontal="general" wrapText="1"/>
    </xf>
    <xf applyBorder="1" applyAlignment="1" fillId="41" xfId="0" numFmtId="0" borderId="98" applyFont="1" fontId="104" applyFill="1">
      <alignment vertical="top" horizontal="left" wrapText="1" readingOrder="1"/>
    </xf>
    <xf applyBorder="1" applyAlignment="1" fillId="42" xfId="0" numFmtId="0" borderId="99" applyFont="1" fontId="105" applyFill="1">
      <alignment vertical="top" horizontal="left" wrapText="1" readingOrder="1"/>
    </xf>
    <xf applyBorder="1" applyAlignment="1" fillId="0" xfId="0" numFmtId="0" borderId="100" applyFont="1" fontId="106">
      <alignment vertical="center" horizontal="right" wrapText="1"/>
    </xf>
    <xf applyBorder="1" fillId="43" xfId="0" numFmtId="0" borderId="101" applyFont="1" fontId="107" applyFill="1"/>
    <xf applyBorder="1" applyAlignment="1" fillId="0" xfId="0" numFmtId="0" borderId="102" applyFont="1" fontId="108">
      <alignment vertical="center" horizontal="left" wrapText="1"/>
    </xf>
    <xf applyBorder="1" fillId="44" xfId="0" numFmtId="0" borderId="103" applyFont="1" fontId="109" applyFill="1"/>
    <xf applyBorder="1" applyAlignment="1" fillId="0" xfId="0" numFmtId="0" borderId="104" applyFont="1" fontId="110">
      <alignment vertical="center" horizontal="left" wrapText="1"/>
    </xf>
    <xf applyBorder="1" applyAlignment="1" fillId="0" xfId="0" numFmtId="0" borderId="105" applyFont="1" fontId="111">
      <alignment vertical="center" horizontal="center" wrapText="1"/>
    </xf>
    <xf applyBorder="1" applyAlignment="1" fillId="0" xfId="0" numFmtId="0" borderId="106" applyFont="1" fontId="112">
      <alignment vertical="center" horizontal="center" wrapText="1"/>
    </xf>
    <xf applyBorder="1" applyAlignment="1" fillId="45" xfId="0" numFmtId="0" borderId="107" applyFont="1" fontId="113" applyFill="1">
      <alignment vertical="top" horizontal="general" wrapText="1"/>
    </xf>
    <xf applyBorder="1" applyAlignment="1" fillId="46" xfId="0" numFmtId="0" borderId="108" applyFont="1" fontId="114" applyFill="1">
      <alignment vertical="top" horizontal="general" wrapText="1"/>
    </xf>
    <xf applyBorder="1" fillId="47" xfId="0" numFmtId="0" borderId="109" applyFont="1" fontId="115" applyFill="1"/>
    <xf applyBorder="1" applyAlignment="1" fillId="0" xfId="0" numFmtId="0" borderId="110" applyFont="1" fontId="116">
      <alignment vertical="center" horizontal="general" wrapText="1"/>
    </xf>
    <xf applyBorder="1" applyAlignment="1" fillId="0" xfId="0" numFmtId="0" borderId="111" applyFont="1" fontId="117">
      <alignment vertical="top" horizontal="general"/>
    </xf>
    <xf applyBorder="1" applyAlignment="1" fillId="48" xfId="0" numFmtId="0" borderId="112" applyFont="1" fontId="118" applyFill="1">
      <alignment vertical="top" horizontal="left" wrapText="1" readingOrder="1"/>
    </xf>
    <xf applyBorder="1" applyAlignment="1" fillId="0" xfId="0" numFmtId="0" borderId="113" applyFont="1" fontId="119">
      <alignment vertical="center" horizontal="general" wrapText="1"/>
    </xf>
    <xf applyBorder="1" applyAlignment="1" fillId="0" xfId="0" numFmtId="0" borderId="114" applyFont="1" fontId="120">
      <alignment vertical="center" horizontal="right" wrapText="1"/>
    </xf>
    <xf applyBorder="1" applyAlignment="1" fillId="0" xfId="0" numFmtId="0" borderId="115" applyFont="1" fontId="121">
      <alignment vertical="top" horizontal="general"/>
    </xf>
    <xf applyBorder="1" applyAlignment="1" fillId="0" xfId="0" numFmtId="0" borderId="116" applyFont="1" fontId="122">
      <alignment vertical="center" horizontal="left" wrapText="1"/>
    </xf>
    <xf applyBorder="1" applyAlignment="1" fillId="0" xfId="0" numFmtId="166" borderId="117" applyFont="1" fontId="123" applyNumberFormat="1">
      <alignment vertical="center" horizontal="left" wrapText="1"/>
    </xf>
    <xf applyBorder="1" applyAlignment="1" fillId="49" xfId="0" numFmtId="0" borderId="118" applyFont="1" fontId="124" applyFill="1">
      <alignment vertical="top" horizontal="left" wrapText="1" readingOrder="1"/>
    </xf>
    <xf applyBorder="1" applyAlignment="1" fillId="0" xfId="0" numFmtId="0" borderId="119" applyFont="1" fontId="125">
      <alignment vertical="center" horizontal="general" wrapText="1"/>
    </xf>
    <xf applyBorder="1" applyAlignment="1" fillId="0" xfId="0" numFmtId="0" borderId="120" applyFont="1" fontId="126">
      <alignment vertical="center" horizontal="right" wrapText="1"/>
    </xf>
    <xf applyBorder="1" applyAlignment="1" fillId="50" xfId="0" numFmtId="0" borderId="121" applyFont="1" fontId="127" applyFill="1">
      <alignment vertical="top" horizontal="general" wrapText="1"/>
    </xf>
    <xf applyBorder="1" applyAlignment="1" fillId="51" xfId="0" numFmtId="0" borderId="122" applyFont="1" fontId="128" applyFill="1">
      <alignment vertical="top" horizontal="left" wrapText="1" readingOrder="1"/>
    </xf>
    <xf applyBorder="1" applyAlignment="1" fillId="52" xfId="0" numFmtId="0" borderId="123" applyFont="1" fontId="129" applyFill="1">
      <alignment vertical="top" horizontal="left" wrapText="1" readingOrder="1"/>
    </xf>
    <xf applyBorder="1" applyAlignment="1" fillId="53" xfId="0" numFmtId="0" borderId="124" applyFont="1" fontId="130" applyFill="1">
      <alignment vertical="top" horizontal="left" wrapText="1" readingOrder="1"/>
    </xf>
    <xf applyBorder="1" applyAlignment="1" fillId="54" xfId="0" numFmtId="0" borderId="125" applyFont="1" fontId="131" applyFill="1">
      <alignment vertical="top" horizontal="left" wrapText="1" readingOrder="1"/>
    </xf>
    <xf applyBorder="1" applyAlignment="1" fillId="0" xfId="0" numFmtId="0" borderId="126" applyFont="1" fontId="132">
      <alignment vertical="center" horizontal="left" wrapText="1"/>
    </xf>
    <xf applyAlignment="1" fillId="0" xfId="0" numFmtId="0" borderId="0" applyFont="1" fontId="133">
      <alignment vertical="center" horizontal="left" wrapText="1"/>
    </xf>
    <xf applyBorder="1" applyAlignment="1" fillId="0" xfId="0" numFmtId="0" borderId="127" applyFont="1" fontId="134">
      <alignment vertical="center" horizontal="general" wrapText="1"/>
    </xf>
    <xf applyBorder="1" applyAlignment="1" fillId="55" xfId="0" numFmtId="0" borderId="128" applyFont="1" fontId="135" applyFill="1">
      <alignment vertical="top" horizontal="general" wrapText="1"/>
    </xf>
    <xf applyBorder="1" applyAlignment="1" fillId="0" xfId="0" numFmtId="0" borderId="129" applyFont="1" fontId="136">
      <alignment vertical="top" horizontal="general"/>
    </xf>
    <xf applyBorder="1" applyAlignment="1" fillId="0" xfId="0" numFmtId="0" borderId="130" applyFont="1" fontId="137">
      <alignment vertical="center" horizontal="left" wrapText="1"/>
    </xf>
    <xf applyBorder="1" applyAlignment="1" fillId="56" xfId="0" numFmtId="0" borderId="131" applyFont="1" fontId="138" applyFill="1">
      <alignment vertical="top" horizontal="left" wrapText="1" readingOrder="1"/>
    </xf>
    <xf applyBorder="1" applyAlignment="1" fillId="57" xfId="0" numFmtId="0" borderId="132" applyFont="1" fontId="139" applyFill="1">
      <alignment vertical="top" horizontal="left" wrapText="1" readingOrder="1"/>
    </xf>
    <xf fillId="0" xfId="0" numFmtId="0" borderId="0" applyFont="1" fontId="140"/>
    <xf applyBorder="1" applyAlignment="1" fillId="58" xfId="0" numFmtId="0" borderId="133" applyFont="1" fontId="141" applyFill="1">
      <alignment vertical="bottom" horizontal="general" wrapText="1"/>
    </xf>
    <xf applyBorder="1" applyAlignment="1" fillId="0" xfId="0" numFmtId="0" borderId="134" applyFont="1" fontId="142">
      <alignment vertical="top" horizontal="general" wrapText="1"/>
    </xf>
    <xf applyBorder="1" applyAlignment="1" fillId="0" xfId="0" numFmtId="0" borderId="135" applyFont="1" fontId="143">
      <alignment vertical="center" horizontal="center" wrapText="1"/>
    </xf>
    <xf applyBorder="1" applyAlignment="1" fillId="0" xfId="0" numFmtId="0" borderId="136" applyFont="1" fontId="144">
      <alignment vertical="center" horizontal="center" wrapText="1"/>
    </xf>
    <xf fillId="0" xfId="0" numFmtId="0" borderId="0" applyFont="1" fontId="145"/>
    <xf applyBorder="1" applyAlignment="1" fillId="59" xfId="0" numFmtId="0" borderId="137" applyFont="1" fontId="146" applyFill="1">
      <alignment vertical="top" horizontal="left" wrapText="1" readingOrder="1"/>
    </xf>
    <xf applyBorder="1" applyAlignment="1" fillId="60" xfId="0" numFmtId="0" borderId="138" applyFont="1" fontId="147" applyFill="1">
      <alignment vertical="top" horizontal="left" wrapText="1" readingOrder="1"/>
    </xf>
    <xf applyBorder="1" applyAlignment="1" fillId="0" xfId="0" numFmtId="0" borderId="139" applyFont="1" fontId="148">
      <alignment vertical="center" horizontal="general" wrapText="1"/>
    </xf>
    <xf applyBorder="1" applyAlignment="1" fillId="61" xfId="0" numFmtId="0" borderId="140" applyFont="1" fontId="149" applyFill="1">
      <alignment vertical="top" horizontal="left" wrapText="1" readingOrder="1"/>
    </xf>
    <xf applyBorder="1" applyAlignment="1" fillId="62" xfId="0" numFmtId="0" borderId="141" applyFont="1" fontId="150" applyFill="1">
      <alignment vertical="top" horizontal="left" wrapText="1" readingOrder="1"/>
    </xf>
    <xf applyBorder="1" applyAlignment="1" fillId="0" xfId="0" numFmtId="0" borderId="142" applyFont="1" fontId="151">
      <alignment vertical="center" horizontal="left" wrapText="1"/>
    </xf>
    <xf applyBorder="1" applyAlignment="1" fillId="0" xfId="0" numFmtId="0" borderId="143" applyFont="1" fontId="152">
      <alignment vertical="center" horizontal="center" wrapText="1"/>
    </xf>
    <xf applyBorder="1" applyAlignment="1" fillId="63" xfId="0" numFmtId="0" borderId="144" applyFont="1" fontId="153" applyFill="1">
      <alignment vertical="top" horizontal="left" wrapText="1" readingOrder="1"/>
    </xf>
    <xf applyBorder="1" applyAlignment="1" fillId="64" xfId="0" numFmtId="0" borderId="145" applyFont="1" fontId="154" applyFill="1">
      <alignment vertical="top" horizontal="general" wrapText="1"/>
    </xf>
    <xf applyBorder="1" applyAlignment="1" fillId="65" xfId="0" numFmtId="0" borderId="146" applyFont="1" fontId="155" applyFill="1">
      <alignment vertical="top" horizontal="general" wrapText="1"/>
    </xf>
    <xf applyBorder="1" applyAlignment="1" fillId="0" xfId="0" numFmtId="0" borderId="147" applyFont="1" fontId="156">
      <alignment vertical="center" horizontal="left" wrapText="1"/>
    </xf>
    <xf applyBorder="1" applyAlignment="1" fillId="0" xfId="0" numFmtId="0" borderId="148" applyFont="1" fontId="157">
      <alignment vertical="center" horizontal="right" wrapText="1"/>
    </xf>
    <xf applyBorder="1" applyAlignment="1" fillId="0" xfId="0" numFmtId="0" borderId="149" applyFont="1" fontId="158">
      <alignment vertical="center" horizontal="left" wrapText="1"/>
    </xf>
    <xf applyBorder="1" applyAlignment="1" fillId="66" xfId="0" numFmtId="0" borderId="150" applyFont="1" fontId="159" applyFill="1">
      <alignment vertical="top" horizontal="left" wrapText="1" readingOrder="1"/>
    </xf>
    <xf applyBorder="1" applyAlignment="1" fillId="67" xfId="0" numFmtId="0" borderId="151" applyFont="1" fontId="160" applyFill="1">
      <alignment vertical="top" horizontal="general" wrapText="1"/>
    </xf>
    <xf applyBorder="1" applyAlignment="1" fillId="0" xfId="0" numFmtId="0" borderId="152" applyFont="1" fontId="161">
      <alignment vertical="center" horizontal="left" wrapText="1"/>
    </xf>
    <xf applyBorder="1" applyAlignment="1" fillId="0" xfId="0" numFmtId="0" borderId="153" applyFont="1" fontId="162">
      <alignment vertical="center" horizontal="left" wrapText="1"/>
    </xf>
    <xf applyBorder="1" applyAlignment="1" fillId="0" xfId="0" numFmtId="0" borderId="154" applyFont="1" fontId="163">
      <alignment vertical="center" horizontal="general" wrapText="1"/>
    </xf>
    <xf applyBorder="1" applyAlignment="1" fillId="0" xfId="0" numFmtId="0" borderId="155" applyFont="1" fontId="164">
      <alignment vertical="center" horizontal="left" wrapText="1"/>
    </xf>
    <xf applyBorder="1" applyAlignment="1" fillId="0" xfId="0" numFmtId="0" borderId="156" applyFont="1" fontId="165">
      <alignment vertical="center" horizontal="left" wrapText="1"/>
    </xf>
    <xf applyBorder="1" applyAlignment="1" fillId="0" xfId="0" numFmtId="0" borderId="157" applyFont="1" fontId="166">
      <alignment vertical="center" horizontal="general" wrapText="1"/>
    </xf>
    <xf applyBorder="1" applyAlignment="1" fillId="68" xfId="0" numFmtId="0" borderId="158" applyFont="1" fontId="167" applyFill="1">
      <alignment vertical="top" horizontal="general" wrapText="1"/>
    </xf>
    <xf applyBorder="1" applyAlignment="1" fillId="0" xfId="0" numFmtId="0" borderId="159" applyFont="1" fontId="168">
      <alignment vertical="center" horizontal="center" wrapText="1"/>
    </xf>
    <xf applyBorder="1" applyAlignment="1" fillId="0" xfId="0" numFmtId="0" borderId="160" applyFont="1" fontId="169">
      <alignment vertical="center" horizontal="general" wrapText="1"/>
    </xf>
    <xf applyBorder="1" applyAlignment="1" fillId="0" xfId="0" numFmtId="0" borderId="161" applyFont="1" fontId="170">
      <alignment vertical="top" horizontal="general" wrapText="1"/>
    </xf>
    <xf applyBorder="1" applyAlignment="1" fillId="69" xfId="0" numFmtId="0" borderId="162" applyFont="1" fontId="171" applyFill="1">
      <alignment vertical="top" horizontal="left" wrapText="1" readingOrder="1"/>
    </xf>
    <xf applyBorder="1" applyAlignment="1" fillId="0" xfId="0" numFmtId="0" borderId="163" applyFont="1" fontId="172">
      <alignment vertical="top" horizontal="general"/>
    </xf>
    <xf applyBorder="1" applyAlignment="1" fillId="0" xfId="0" numFmtId="0" borderId="164" applyFont="1" fontId="173">
      <alignment vertical="center" horizontal="left" wrapText="1"/>
    </xf>
    <xf applyAlignment="1" fillId="0" xfId="0" numFmtId="0" borderId="0" applyFont="1" fontId="174">
      <alignment vertical="center" horizontal="left"/>
    </xf>
    <xf applyBorder="1" applyAlignment="1" fillId="70" xfId="0" numFmtId="0" borderId="165" applyFont="1" fontId="175" applyFill="1">
      <alignment vertical="top" horizontal="left" wrapText="1" readingOrder="1"/>
    </xf>
    <xf applyBorder="1" applyAlignment="1" fillId="0" xfId="0" numFmtId="0" borderId="166" applyFont="1" fontId="176">
      <alignment vertical="center" horizontal="general" wrapText="1"/>
    </xf>
    <xf applyBorder="1" applyAlignment="1" fillId="71" xfId="0" numFmtId="0" borderId="167" applyFont="1" fontId="177" applyFill="1">
      <alignment vertical="top" horizontal="left" wrapText="1" readingOrder="1"/>
    </xf>
    <xf applyBorder="1" applyAlignment="1" fillId="72" xfId="0" numFmtId="0" borderId="168" applyFont="1" fontId="178" applyFill="1">
      <alignment vertical="top" horizontal="left" wrapText="1" readingOrder="1"/>
    </xf>
    <xf applyBorder="1" applyAlignment="1" fillId="0" xfId="0" numFmtId="0" borderId="169" applyFont="1" fontId="179">
      <alignment vertical="center" horizontal="general" wrapText="1"/>
    </xf>
    <xf applyBorder="1" applyAlignment="1" fillId="73" xfId="0" numFmtId="0" borderId="170" applyFont="1" fontId="180" applyFill="1">
      <alignment vertical="top" horizontal="left" wrapText="1"/>
    </xf>
    <xf applyBorder="1" applyAlignment="1" fillId="74" xfId="0" numFmtId="0" borderId="171" applyFont="1" fontId="181" applyFill="1">
      <alignment vertical="top" horizontal="left" wrapText="1" readingOrder="1"/>
    </xf>
    <xf applyBorder="1" applyAlignment="1" fillId="0" xfId="0" numFmtId="0" borderId="172" applyFont="1" fontId="182">
      <alignment vertical="center" horizontal="left" wrapText="1"/>
    </xf>
    <xf applyBorder="1" applyAlignment="1" fillId="0" xfId="0" numFmtId="0" borderId="173" applyFont="1" fontId="183">
      <alignment vertical="center" horizontal="general" wrapText="1"/>
    </xf>
    <xf applyBorder="1" applyAlignment="1" fillId="0" xfId="0" numFmtId="0" borderId="174" applyFont="1" fontId="184">
      <alignment vertical="center" horizontal="center" wrapText="1"/>
    </xf>
    <xf applyBorder="1" applyAlignment="1" fillId="0" xfId="0" numFmtId="0" borderId="175" applyFont="1" fontId="185">
      <alignment vertical="center"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_rels/drawing1.xml.rels><?xml version="1.0" encoding="UTF-8" standalone="yes"?><Relationships xmlns="http://schemas.openxmlformats.org/package/2006/relationships"><Relationship Target="../media/image04.jpg" Type="http://schemas.openxmlformats.org/officeDocument/2006/relationships/image" Id="rId1"/></Relationships>
</file>

<file path=xl/drawings/_rels/drawing2.xml.rels><?xml version="1.0" encoding="UTF-8" standalone="yes"?><Relationships xmlns="http://schemas.openxmlformats.org/package/2006/relationships"><Relationship Target="../media/image02.jpg" Type="http://schemas.openxmlformats.org/officeDocument/2006/relationships/image" Id="rId1"/></Relationships>
</file>

<file path=xl/drawings/_rels/drawing3.xml.rels><?xml version="1.0" encoding="UTF-8" standalone="yes"?><Relationships xmlns="http://schemas.openxmlformats.org/package/2006/relationships"><Relationship Target="../media/image00.jpg" Type="http://schemas.openxmlformats.org/officeDocument/2006/relationships/image" Id="rId1"/></Relationships>
</file>

<file path=xl/drawings/_rels/drawing4.xml.rels><?xml version="1.0" encoding="UTF-8" standalone="yes"?><Relationships xmlns="http://schemas.openxmlformats.org/package/2006/relationships"><Relationship Target="../media/image05.jpg" Type="http://schemas.openxmlformats.org/officeDocument/2006/relationships/image" Id="rId1"/></Relationships>
</file>

<file path=xl/drawings/_rels/drawing5.xml.rels><?xml version="1.0" encoding="UTF-8" standalone="yes"?><Relationships xmlns="http://schemas.openxmlformats.org/package/2006/relationships"><Relationship Target="../media/image01.jpg" Type="http://schemas.openxmlformats.org/officeDocument/2006/relationships/image" Id="rId1"/></Relationships>
</file>

<file path=xl/drawings/_rels/drawing6.xml.rels><?xml version="1.0" encoding="UTF-8" standalone="yes"?><Relationships xmlns="http://schemas.openxmlformats.org/package/2006/relationships"><Relationship Target="../media/image03.jpg" Type="http://schemas.openxmlformats.org/officeDocument/2006/relationships/image"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0</xdr:colOff>
      <xdr:row>3</xdr:row>
      <xdr:rowOff>0</xdr:rowOff>
    </xdr:from>
    <xdr:ext cy="1438275" cx="7543800"/>
    <xdr:pic>
      <xdr:nvPicPr>
        <xdr:cNvPr id="0" name="image04.jpg"/>
        <xdr:cNvPicPr preferRelativeResize="0"/>
      </xdr:nvPicPr>
      <xdr:blipFill>
        <a:blip cstate="print" r:embed="rId1"/>
        <a:stretch>
          <a:fillRect/>
        </a:stretch>
      </xdr:blipFill>
      <xdr:spPr>
        <a:xfrm>
          <a:ext cy="1438275" cx="75438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0</xdr:colOff>
      <xdr:row>5</xdr:row>
      <xdr:rowOff>0</xdr:rowOff>
    </xdr:from>
    <xdr:ext cy="1333500" cx="9315450"/>
    <xdr:pic>
      <xdr:nvPicPr>
        <xdr:cNvPr id="0" name="image02.jpg"/>
        <xdr:cNvPicPr preferRelativeResize="0"/>
      </xdr:nvPicPr>
      <xdr:blipFill>
        <a:blip cstate="print" r:embed="rId1"/>
        <a:stretch>
          <a:fillRect/>
        </a:stretch>
      </xdr:blipFill>
      <xdr:spPr>
        <a:xfrm>
          <a:ext cy="1333500" cx="93154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0</xdr:colOff>
      <xdr:row>4</xdr:row>
      <xdr:rowOff>0</xdr:rowOff>
    </xdr:from>
    <xdr:ext cy="1257300" cx="9239250"/>
    <xdr:pic>
      <xdr:nvPicPr>
        <xdr:cNvPr id="0" name="image00.jpg"/>
        <xdr:cNvPicPr preferRelativeResize="0"/>
      </xdr:nvPicPr>
      <xdr:blipFill>
        <a:blip cstate="print" r:embed="rId1"/>
        <a:stretch>
          <a:fillRect/>
        </a:stretch>
      </xdr:blipFill>
      <xdr:spPr>
        <a:xfrm>
          <a:ext cy="1257300" cx="92392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0</xdr:colOff>
      <xdr:row>3</xdr:row>
      <xdr:rowOff>0</xdr:rowOff>
    </xdr:from>
    <xdr:ext cy="1333500" cx="5772150"/>
    <xdr:pic>
      <xdr:nvPicPr>
        <xdr:cNvPr id="0" name="image05.jpg"/>
        <xdr:cNvPicPr preferRelativeResize="0"/>
      </xdr:nvPicPr>
      <xdr:blipFill>
        <a:blip cstate="print" r:embed="rId1"/>
        <a:stretch>
          <a:fillRect/>
        </a:stretch>
      </xdr:blipFill>
      <xdr:spPr>
        <a:xfrm>
          <a:ext cy="1333500" cx="577215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0</xdr:colOff>
      <xdr:row>4</xdr:row>
      <xdr:rowOff>0</xdr:rowOff>
    </xdr:from>
    <xdr:ext cy="2857500" cx="9239250"/>
    <xdr:pic>
      <xdr:nvPicPr>
        <xdr:cNvPr id="0" name="image01.jpg"/>
        <xdr:cNvPicPr preferRelativeResize="0"/>
      </xdr:nvPicPr>
      <xdr:blipFill>
        <a:blip cstate="print" r:embed="rId1"/>
        <a:stretch>
          <a:fillRect/>
        </a:stretch>
      </xdr:blipFill>
      <xdr:spPr>
        <a:xfrm>
          <a:ext cy="2857500" cx="9239250"/>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0</xdr:col>
      <xdr:colOff>0</xdr:colOff>
      <xdr:row>3</xdr:row>
      <xdr:rowOff>0</xdr:rowOff>
    </xdr:from>
    <xdr:ext cy="1123950" cx="5791200"/>
    <xdr:pic>
      <xdr:nvPicPr>
        <xdr:cNvPr id="0" name="image03.jpg"/>
        <xdr:cNvPicPr preferRelativeResize="0"/>
      </xdr:nvPicPr>
      <xdr:blipFill>
        <a:blip cstate="print" r:embed="rId1"/>
        <a:stretch>
          <a:fillRect/>
        </a:stretch>
      </xdr:blipFill>
      <xdr:spPr>
        <a:xfrm>
          <a:ext cy="1123950" cx="5791200"/>
        </a:xfrm>
        <a:prstGeom prst="rect">
          <a:avLst/>
        </a:prstGeom>
        <a:noFill/>
      </xdr:spPr>
    </xdr:pic>
    <xdr:clientData fLocksWithSheet="0"/>
  </xdr:oneCellAnchor>
</xdr:wsDr>
</file>

<file path=xl/worksheets/_rels/sheet3.xml.rels><?xml version="1.0" encoding="UTF-8" standalone="yes"?><Relationships xmlns="http://schemas.openxmlformats.org/package/2006/relationships"><Relationship Target="../drawings/drawing1.xml" Type="http://schemas.openxmlformats.org/officeDocument/2006/relationships/drawing" Id="rId1"/></Relationships>
</file>

<file path=xl/worksheets/_rels/sheet4.xml.rels><?xml version="1.0" encoding="UTF-8" standalone="yes"?><Relationships xmlns="http://schemas.openxmlformats.org/package/2006/relationships"><Relationship Target="../drawings/drawing2.xml" Type="http://schemas.openxmlformats.org/officeDocument/2006/relationships/drawing" Id="rId1"/></Relationships>
</file>

<file path=xl/worksheets/_rels/sheet5.xml.rels><?xml version="1.0" encoding="UTF-8" standalone="yes"?><Relationships xmlns="http://schemas.openxmlformats.org/package/2006/relationships"><Relationship Target="../drawings/drawing3.xml" Type="http://schemas.openxmlformats.org/officeDocument/2006/relationships/drawing" Id="rId1"/></Relationships>
</file>

<file path=xl/worksheets/_rels/sheet6.xml.rels><?xml version="1.0" encoding="UTF-8" standalone="yes"?><Relationships xmlns="http://schemas.openxmlformats.org/package/2006/relationships"><Relationship Target="../drawings/drawing4.xml" Type="http://schemas.openxmlformats.org/officeDocument/2006/relationships/drawing" Id="rId1"/></Relationships>
</file>

<file path=xl/worksheets/_rels/sheet7.xml.rels><?xml version="1.0" encoding="UTF-8" standalone="yes"?><Relationships xmlns="http://schemas.openxmlformats.org/package/2006/relationships"><Relationship Target="../drawings/drawing5.xml" Type="http://schemas.openxmlformats.org/officeDocument/2006/relationships/drawing" Id="rId1"/></Relationships>
</file>

<file path=xl/worksheets/_rels/sheet9.xml.rels><?xml version="1.0" encoding="UTF-8" standalone="yes"?><Relationships xmlns="http://schemas.openxmlformats.org/package/2006/relationships"><Relationship Target="../drawings/drawing6.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8.71" defaultRowHeight="12.75"/>
  <cols>
    <col min="2" customWidth="1" max="2" width="8.86"/>
    <col min="3" customWidth="1" max="3" width="56.43"/>
    <col min="4" customWidth="1" max="4" width="74.29"/>
    <col min="5" customWidth="1" max="5" width="34.43"/>
    <col min="6" customWidth="1" max="6" width="29.29"/>
    <col min="7" customWidth="1" max="7" width="52.29"/>
    <col min="8" customWidth="1" max="8" width="116.86"/>
  </cols>
  <sheetData>
    <row customHeight="1" s="145" customFormat="1" r="1" ht="15.0">
      <c t="s" s="15" r="A1">
        <v>0</v>
      </c>
      <c t="s" s="15" r="B1">
        <v>1</v>
      </c>
      <c t="s" s="15" r="C1">
        <v>2</v>
      </c>
      <c t="s" s="15" r="D1">
        <v>3</v>
      </c>
      <c t="s" s="52" r="E1">
        <v>4</v>
      </c>
      <c t="s" s="65" r="F1">
        <v>5</v>
      </c>
      <c t="s" s="75" r="G1">
        <v>6</v>
      </c>
      <c t="s" s="113" r="H1">
        <v>7</v>
      </c>
    </row>
    <row customHeight="1" r="2" ht="89.25">
      <c t="s" s="117" r="A2">
        <v>8</v>
      </c>
      <c t="s" s="121" r="B2">
        <v>9</v>
      </c>
      <c t="s" s="121" r="C2">
        <v>10</v>
      </c>
      <c t="s" s="142" r="D2">
        <v>11</v>
      </c>
      <c t="s" s="170" r="E2">
        <v>12</v>
      </c>
      <c t="s" s="170" r="F2">
        <v>13</v>
      </c>
      <c t="s" s="42" r="G2">
        <v>14</v>
      </c>
      <c t="s" s="170" r="H2">
        <v>15</v>
      </c>
    </row>
    <row customHeight="1" r="3" ht="76.5">
      <c t="s" s="10" r="A3">
        <v>16</v>
      </c>
      <c t="s" s="121" r="B3">
        <v>9</v>
      </c>
      <c t="s" s="121" r="C3">
        <v>10</v>
      </c>
      <c t="s" s="142" r="D3">
        <v>11</v>
      </c>
      <c t="s" s="170" r="E3">
        <v>17</v>
      </c>
      <c t="s" s="170" r="F3">
        <v>18</v>
      </c>
      <c t="s" s="172" r="G3">
        <v>14</v>
      </c>
      <c t="s" s="170" r="H3">
        <v>15</v>
      </c>
    </row>
    <row customHeight="1" r="4" ht="153.0">
      <c t="s" s="10" r="A4">
        <v>19</v>
      </c>
      <c t="s" s="121" r="B4">
        <v>20</v>
      </c>
      <c t="s" s="121" r="C4">
        <v>21</v>
      </c>
      <c t="s" s="142" r="D4">
        <v>22</v>
      </c>
      <c t="s" s="170" r="E4">
        <v>23</v>
      </c>
      <c t="s" s="170" r="F4">
        <v>24</v>
      </c>
      <c t="s" s="170" r="G4">
        <v>25</v>
      </c>
      <c t="s" s="170" r="H4">
        <v>26</v>
      </c>
    </row>
    <row customHeight="1" r="5" ht="153.0">
      <c t="s" s="10" r="A5">
        <v>27</v>
      </c>
      <c t="s" s="121" r="B5">
        <v>20</v>
      </c>
      <c t="s" s="121" r="C5">
        <v>21</v>
      </c>
      <c t="s" s="142" r="D5">
        <v>22</v>
      </c>
      <c t="s" s="170" r="E5">
        <v>23</v>
      </c>
      <c t="s" s="170" r="F5">
        <v>24</v>
      </c>
      <c t="s" s="170" r="G5">
        <v>25</v>
      </c>
      <c t="s" s="170" r="H5">
        <v>26</v>
      </c>
    </row>
    <row customHeight="1" r="6" ht="267.75">
      <c t="s" s="10" r="A6">
        <v>28</v>
      </c>
      <c t="s" s="121" r="B6">
        <v>20</v>
      </c>
      <c t="s" s="172" r="C6">
        <v>29</v>
      </c>
      <c t="s" s="142" r="D6">
        <v>30</v>
      </c>
      <c t="s" s="170" r="E6">
        <v>31</v>
      </c>
      <c t="s" s="170" r="F6">
        <v>32</v>
      </c>
      <c t="s" s="170" r="G6">
        <v>33</v>
      </c>
      <c t="s" s="170" r="H6">
        <v>34</v>
      </c>
    </row>
    <row customHeight="1" r="7" ht="267.75">
      <c t="s" s="10" r="A7">
        <v>35</v>
      </c>
      <c t="s" s="121" r="B7">
        <v>20</v>
      </c>
      <c t="s" s="172" r="C7">
        <v>29</v>
      </c>
      <c t="s" s="142" r="D7">
        <v>30</v>
      </c>
      <c t="s" s="170" r="E7">
        <v>31</v>
      </c>
      <c t="s" s="170" r="F7">
        <v>32</v>
      </c>
      <c t="s" s="170" r="G7">
        <v>33</v>
      </c>
      <c t="s" s="170" r="H7">
        <v>34</v>
      </c>
    </row>
    <row customHeight="1" r="8" ht="382.5">
      <c t="s" s="10" r="A8">
        <v>36</v>
      </c>
      <c t="s" s="121" r="B8">
        <v>20</v>
      </c>
      <c t="s" s="172" r="C8">
        <v>29</v>
      </c>
      <c t="s" s="142" r="D8">
        <v>37</v>
      </c>
      <c t="s" s="170" r="E8">
        <v>38</v>
      </c>
      <c t="s" s="170" r="F8">
        <v>39</v>
      </c>
      <c t="s" s="170" r="G8">
        <v>40</v>
      </c>
      <c t="s" s="170" r="H8">
        <v>41</v>
      </c>
    </row>
    <row customHeight="1" r="9" ht="382.5">
      <c t="s" s="10" r="A9">
        <v>42</v>
      </c>
      <c t="s" s="121" r="B9">
        <v>20</v>
      </c>
      <c t="s" s="172" r="C9">
        <v>29</v>
      </c>
      <c t="s" s="142" r="D9">
        <v>37</v>
      </c>
      <c t="s" s="170" r="E9">
        <v>38</v>
      </c>
      <c t="s" s="170" r="F9">
        <v>39</v>
      </c>
      <c t="s" s="170" r="G9">
        <v>40</v>
      </c>
      <c t="s" s="170" r="H9">
        <v>41</v>
      </c>
    </row>
    <row customHeight="1" r="10" ht="306.0">
      <c t="s" s="10" r="A10">
        <v>43</v>
      </c>
      <c t="s" s="121" r="B10">
        <v>20</v>
      </c>
      <c t="s" s="172" r="C10">
        <v>29</v>
      </c>
      <c t="s" s="142" r="D10">
        <v>44</v>
      </c>
      <c t="s" s="170" r="E10">
        <v>45</v>
      </c>
      <c t="s" s="170" r="F10">
        <v>46</v>
      </c>
      <c t="s" s="170" r="G10">
        <v>47</v>
      </c>
      <c t="s" s="170" r="H10">
        <v>48</v>
      </c>
    </row>
    <row customHeight="1" r="11" ht="306.0">
      <c t="s" s="10" r="A11">
        <v>49</v>
      </c>
      <c t="s" s="121" r="B11">
        <v>20</v>
      </c>
      <c t="s" s="172" r="C11">
        <v>29</v>
      </c>
      <c t="s" s="142" r="D11">
        <v>44</v>
      </c>
      <c t="s" s="170" r="E11">
        <v>45</v>
      </c>
      <c t="s" s="170" r="F11">
        <v>46</v>
      </c>
      <c t="s" s="170" r="G11">
        <v>47</v>
      </c>
      <c t="s" s="170" r="H11">
        <v>48</v>
      </c>
    </row>
    <row customHeight="1" r="12" ht="369.75">
      <c t="s" s="10" r="A12">
        <v>50</v>
      </c>
      <c t="s" s="121" r="B12">
        <v>9</v>
      </c>
      <c t="s" s="172" r="C12">
        <v>51</v>
      </c>
      <c t="s" s="142" r="D12">
        <v>52</v>
      </c>
      <c t="s" s="170" r="E12">
        <v>53</v>
      </c>
      <c t="s" s="170" r="F12">
        <v>54</v>
      </c>
      <c t="s" s="170" r="G12">
        <v>55</v>
      </c>
      <c t="s" s="170" r="H12">
        <v>56</v>
      </c>
    </row>
    <row customHeight="1" r="13" ht="369.75">
      <c t="s" s="10" r="A13">
        <v>57</v>
      </c>
      <c t="s" s="121" r="B13">
        <v>9</v>
      </c>
      <c t="s" s="172" r="C13">
        <v>51</v>
      </c>
      <c t="s" s="142" r="D13">
        <v>52</v>
      </c>
      <c t="s" s="170" r="E13">
        <v>53</v>
      </c>
      <c t="s" s="170" r="F13">
        <v>54</v>
      </c>
      <c t="s" s="170" r="G13">
        <v>55</v>
      </c>
      <c t="s" s="170" r="H13">
        <v>56</v>
      </c>
    </row>
    <row customHeight="1" r="14" ht="242.25">
      <c t="s" s="10" r="A14">
        <v>58</v>
      </c>
      <c t="s" s="121" r="B14">
        <v>9</v>
      </c>
      <c t="s" s="172" r="C14">
        <v>29</v>
      </c>
      <c t="s" s="142" r="D14">
        <v>59</v>
      </c>
      <c t="s" s="170" r="E14">
        <v>60</v>
      </c>
      <c t="s" s="170" r="F14">
        <v>61</v>
      </c>
      <c t="s" s="170" r="G14">
        <v>62</v>
      </c>
      <c t="s" s="170" r="H14">
        <v>63</v>
      </c>
    </row>
    <row customHeight="1" r="15" ht="242.25">
      <c t="s" s="10" r="A15">
        <v>64</v>
      </c>
      <c t="s" s="121" r="B15">
        <v>9</v>
      </c>
      <c t="s" s="172" r="C15">
        <v>29</v>
      </c>
      <c t="s" s="142" r="D15">
        <v>59</v>
      </c>
      <c t="s" s="170" r="E15">
        <v>60</v>
      </c>
      <c t="s" s="170" r="F15">
        <v>61</v>
      </c>
      <c t="s" s="170" r="G15">
        <v>62</v>
      </c>
      <c t="s" s="170" r="H15">
        <v>63</v>
      </c>
    </row>
    <row customHeight="1" r="16" ht="165.75">
      <c t="s" s="10" r="A16">
        <v>65</v>
      </c>
      <c t="s" s="121" r="B16">
        <v>9</v>
      </c>
      <c t="s" s="172" r="C16">
        <v>51</v>
      </c>
      <c t="s" s="142" r="D16">
        <v>66</v>
      </c>
      <c t="s" s="170" r="E16">
        <v>67</v>
      </c>
      <c t="s" s="170" r="F16">
        <v>68</v>
      </c>
      <c t="s" s="170" r="G16">
        <v>69</v>
      </c>
      <c t="s" s="170" r="H16">
        <v>70</v>
      </c>
    </row>
    <row customHeight="1" r="17" ht="165.75">
      <c t="s" s="10" r="A17">
        <v>71</v>
      </c>
      <c t="s" s="121" r="B17">
        <v>9</v>
      </c>
      <c t="s" s="172" r="C17">
        <v>51</v>
      </c>
      <c t="s" s="142" r="D17">
        <v>66</v>
      </c>
      <c t="s" s="170" r="E17">
        <v>67</v>
      </c>
      <c t="s" s="170" r="F17">
        <v>68</v>
      </c>
      <c t="s" s="170" r="G17">
        <v>69</v>
      </c>
      <c t="s" s="170" r="H17">
        <v>70</v>
      </c>
    </row>
    <row customHeight="1" r="18" ht="89.25">
      <c t="s" s="10" r="A18">
        <v>72</v>
      </c>
      <c t="s" s="121" r="B18">
        <v>9</v>
      </c>
      <c t="s" s="172" r="C18">
        <v>29</v>
      </c>
      <c t="s" s="142" r="D18">
        <v>73</v>
      </c>
      <c t="s" s="170" r="E18">
        <v>74</v>
      </c>
      <c t="s" s="170" r="F18">
        <v>75</v>
      </c>
      <c t="s" s="10" r="G18">
        <v>14</v>
      </c>
      <c t="s" s="170" r="H18">
        <v>76</v>
      </c>
    </row>
    <row customHeight="1" r="19" ht="89.25">
      <c t="s" s="10" r="A19">
        <v>77</v>
      </c>
      <c t="s" s="121" r="B19">
        <v>9</v>
      </c>
      <c t="s" s="172" r="C19">
        <v>29</v>
      </c>
      <c t="s" s="142" r="D19">
        <v>73</v>
      </c>
      <c t="s" s="170" r="E19">
        <v>74</v>
      </c>
      <c t="s" s="170" r="F19">
        <v>75</v>
      </c>
      <c t="s" s="10" r="G19">
        <v>14</v>
      </c>
      <c t="s" s="170" r="H19">
        <v>76</v>
      </c>
    </row>
    <row customHeight="1" r="20" ht="408.0">
      <c t="s" s="10" r="A20">
        <v>78</v>
      </c>
      <c t="s" s="121" r="B20">
        <v>9</v>
      </c>
      <c t="s" s="172" r="C20">
        <v>51</v>
      </c>
      <c t="s" s="142" r="D20">
        <v>59</v>
      </c>
      <c t="s" s="170" r="E20">
        <v>79</v>
      </c>
      <c t="s" s="170" r="F20">
        <v>80</v>
      </c>
      <c t="s" s="170" r="G20">
        <v>81</v>
      </c>
      <c t="s" s="170" r="H20">
        <v>82</v>
      </c>
    </row>
    <row customHeight="1" r="21" ht="408.0">
      <c t="s" s="10" r="A21">
        <v>83</v>
      </c>
      <c t="s" s="121" r="B21">
        <v>9</v>
      </c>
      <c t="s" s="172" r="C21">
        <v>51</v>
      </c>
      <c t="s" s="142" r="D21">
        <v>59</v>
      </c>
      <c t="s" s="170" r="E21">
        <v>79</v>
      </c>
      <c t="s" s="170" r="F21">
        <v>80</v>
      </c>
      <c t="s" s="170" r="G21">
        <v>84</v>
      </c>
      <c t="s" s="170" r="H21">
        <v>82</v>
      </c>
    </row>
    <row customHeight="1" r="22" ht="318.75">
      <c t="s" s="10" r="A22">
        <v>85</v>
      </c>
      <c t="s" s="121" r="B22">
        <v>9</v>
      </c>
      <c t="s" s="48" r="C22">
        <v>51</v>
      </c>
      <c t="s" s="142" r="D22">
        <v>86</v>
      </c>
      <c s="10" r="E22"/>
      <c s="10" r="F22"/>
      <c t="s" s="170" r="G22">
        <v>87</v>
      </c>
      <c t="s" s="170" r="H22">
        <v>88</v>
      </c>
    </row>
    <row customHeight="1" r="23" ht="318.75">
      <c t="s" s="10" r="A23">
        <v>89</v>
      </c>
      <c t="s" s="121" r="B23">
        <v>9</v>
      </c>
      <c t="s" s="40" r="C23">
        <v>51</v>
      </c>
      <c t="s" s="142" r="D23">
        <v>86</v>
      </c>
      <c s="10" r="E23"/>
      <c s="10" r="F23"/>
      <c t="s" s="170" r="G23">
        <v>87</v>
      </c>
      <c t="s" s="170" r="H23">
        <v>88</v>
      </c>
    </row>
    <row customHeight="1" r="24" ht="89.25">
      <c t="s" s="10" r="A24">
        <v>90</v>
      </c>
      <c t="s" s="121" r="B24">
        <v>9</v>
      </c>
      <c t="s" s="40" r="C24">
        <v>91</v>
      </c>
      <c t="s" s="142" r="D24">
        <v>92</v>
      </c>
      <c t="s" s="170" r="E24">
        <v>93</v>
      </c>
      <c t="s" s="170" r="F24">
        <v>94</v>
      </c>
      <c t="s" s="170" r="G24">
        <v>95</v>
      </c>
      <c t="s" s="170" r="H24">
        <v>96</v>
      </c>
    </row>
    <row customHeight="1" r="25" ht="140.25">
      <c t="s" s="10" r="A25">
        <v>97</v>
      </c>
      <c t="s" s="121" r="B25">
        <v>20</v>
      </c>
      <c t="s" s="40" r="C25">
        <v>98</v>
      </c>
      <c t="s" s="142" r="D25">
        <v>99</v>
      </c>
      <c t="s" s="170" r="E25">
        <v>100</v>
      </c>
      <c s="10" r="F25"/>
      <c s="10" r="G25"/>
      <c t="s" s="170" r="H25">
        <v>101</v>
      </c>
    </row>
    <row customHeight="1" r="26" ht="140.25">
      <c t="s" s="10" r="A26">
        <v>102</v>
      </c>
      <c t="s" s="121" r="B26">
        <v>20</v>
      </c>
      <c t="s" s="42" r="C26">
        <v>98</v>
      </c>
      <c t="s" s="142" r="D26">
        <v>99</v>
      </c>
      <c t="s" s="170" r="E26">
        <v>100</v>
      </c>
      <c s="10" r="F26"/>
      <c s="10" r="G26"/>
      <c t="s" s="170" r="H26">
        <v>101</v>
      </c>
    </row>
    <row customHeight="1" r="27" ht="63.75">
      <c t="s" s="10" r="A27">
        <v>103</v>
      </c>
      <c t="s" s="121" r="B27">
        <v>20</v>
      </c>
      <c t="s" s="121" r="C27">
        <v>104</v>
      </c>
      <c t="s" s="142" r="D27">
        <v>105</v>
      </c>
      <c t="s" s="170" r="E27">
        <v>106</v>
      </c>
      <c s="10" r="F27"/>
      <c t="s" s="170" r="G27">
        <v>107</v>
      </c>
      <c t="s" s="170" r="H27">
        <v>108</v>
      </c>
    </row>
    <row customHeight="1" r="28" ht="63.75">
      <c t="s" s="10" r="A28">
        <v>109</v>
      </c>
      <c t="s" s="121" r="B28">
        <v>20</v>
      </c>
      <c t="s" s="121" r="C28">
        <v>104</v>
      </c>
      <c t="s" s="142" r="D28">
        <v>105</v>
      </c>
      <c t="s" s="170" r="E28">
        <v>106</v>
      </c>
      <c s="10" r="F28"/>
      <c t="s" s="170" r="G28">
        <v>107</v>
      </c>
      <c t="s" s="170" r="H28">
        <v>108</v>
      </c>
    </row>
    <row customHeight="1" r="29" ht="153.0">
      <c t="s" s="10" r="A29">
        <v>110</v>
      </c>
      <c t="s" s="121" r="B29">
        <v>20</v>
      </c>
      <c t="s" s="121" r="C29">
        <v>111</v>
      </c>
      <c t="s" s="142" r="D29">
        <v>112</v>
      </c>
      <c s="170" r="E29"/>
      <c s="10" r="F29"/>
      <c t="s" s="170" r="G29">
        <v>113</v>
      </c>
      <c t="s" s="170" r="H29">
        <v>114</v>
      </c>
    </row>
    <row customHeight="1" r="30" ht="90.0">
      <c t="s" s="10" r="A30">
        <v>115</v>
      </c>
      <c t="s" s="121" r="B30">
        <v>116</v>
      </c>
      <c t="s" s="172" r="C30">
        <v>117</v>
      </c>
      <c t="s" s="142" r="D30">
        <v>118</v>
      </c>
      <c t="s" s="170" r="E30">
        <v>119</v>
      </c>
      <c t="s" s="10" r="F30">
        <v>120</v>
      </c>
      <c t="s" s="170" r="G30">
        <v>121</v>
      </c>
      <c s="170" r="H30"/>
    </row>
    <row customHeight="1" r="31" ht="90.0">
      <c t="s" s="10" r="A31">
        <v>122</v>
      </c>
      <c t="s" s="121" r="B31">
        <v>116</v>
      </c>
      <c t="s" s="172" r="C31">
        <v>117</v>
      </c>
      <c t="s" s="142" r="D31">
        <v>118</v>
      </c>
      <c t="s" s="170" r="E31">
        <v>123</v>
      </c>
      <c t="s" s="10" r="F31">
        <v>120</v>
      </c>
      <c t="s" s="170" r="G31">
        <v>121</v>
      </c>
      <c s="170" r="H31"/>
    </row>
    <row customHeight="1" r="32" ht="90.0">
      <c t="s" s="10" r="A32">
        <v>124</v>
      </c>
      <c t="s" s="121" r="B32">
        <v>116</v>
      </c>
      <c t="s" s="172" r="C32">
        <v>117</v>
      </c>
      <c t="s" s="142" r="D32">
        <v>118</v>
      </c>
      <c t="s" s="170" r="E32">
        <v>123</v>
      </c>
      <c t="s" s="10" r="F32">
        <v>120</v>
      </c>
      <c t="s" s="170" r="G32">
        <v>121</v>
      </c>
      <c s="170" r="H32"/>
    </row>
    <row customHeight="1" r="33" ht="90.0">
      <c t="s" s="10" r="A33">
        <v>125</v>
      </c>
      <c t="s" s="121" r="B33">
        <v>116</v>
      </c>
      <c t="s" s="172" r="C33">
        <v>117</v>
      </c>
      <c t="s" s="142" r="D33">
        <v>118</v>
      </c>
      <c t="s" s="170" r="E33">
        <v>123</v>
      </c>
      <c t="s" s="10" r="F33">
        <v>120</v>
      </c>
      <c t="s" s="170" r="G33">
        <v>121</v>
      </c>
      <c s="170" r="H33"/>
    </row>
    <row customHeight="1" r="34" ht="90.0">
      <c t="s" s="10" r="A34">
        <v>126</v>
      </c>
      <c t="s" s="121" r="B34">
        <v>116</v>
      </c>
      <c t="s" s="172" r="C34">
        <v>117</v>
      </c>
      <c t="s" s="142" r="D34">
        <v>118</v>
      </c>
      <c t="s" s="170" r="E34">
        <v>123</v>
      </c>
      <c t="s" s="10" r="F34">
        <v>120</v>
      </c>
      <c t="s" s="170" r="G34">
        <v>121</v>
      </c>
      <c s="170" r="H34"/>
    </row>
    <row customHeight="1" r="35" ht="90.0">
      <c t="s" s="10" r="A35">
        <v>127</v>
      </c>
      <c t="s" s="121" r="B35">
        <v>116</v>
      </c>
      <c t="s" s="172" r="C35">
        <v>117</v>
      </c>
      <c t="s" s="142" r="D35">
        <v>118</v>
      </c>
      <c t="s" s="170" r="E35">
        <v>123</v>
      </c>
      <c t="s" s="10" r="F35">
        <v>120</v>
      </c>
      <c t="s" s="170" r="G35">
        <v>121</v>
      </c>
      <c s="170" r="H35"/>
    </row>
    <row customHeight="1" r="36" ht="90.0">
      <c t="s" s="10" r="A36">
        <v>128</v>
      </c>
      <c t="s" s="121" r="B36">
        <v>116</v>
      </c>
      <c t="s" s="172" r="C36">
        <v>117</v>
      </c>
      <c t="s" s="142" r="D36">
        <v>118</v>
      </c>
      <c t="s" s="170" r="E36">
        <v>123</v>
      </c>
      <c t="s" s="10" r="F36">
        <v>120</v>
      </c>
      <c t="s" s="170" r="G36">
        <v>121</v>
      </c>
      <c s="170" r="H36"/>
    </row>
    <row customHeight="1" r="37" ht="90.0">
      <c t="s" s="10" r="A37">
        <v>129</v>
      </c>
      <c t="s" s="121" r="B37">
        <v>116</v>
      </c>
      <c t="s" s="172" r="C37">
        <v>117</v>
      </c>
      <c t="s" s="142" r="D37">
        <v>118</v>
      </c>
      <c t="s" s="170" r="E37">
        <v>123</v>
      </c>
      <c t="s" s="10" r="F37">
        <v>120</v>
      </c>
      <c t="s" s="170" r="G37">
        <v>121</v>
      </c>
      <c s="170" r="H37"/>
    </row>
    <row customHeight="1" r="38" ht="90.0">
      <c t="s" s="10" r="A38">
        <v>130</v>
      </c>
      <c t="s" s="121" r="B38">
        <v>116</v>
      </c>
      <c t="s" s="172" r="C38">
        <v>117</v>
      </c>
      <c t="s" s="142" r="D38">
        <v>118</v>
      </c>
      <c t="s" s="170" r="E38">
        <v>123</v>
      </c>
      <c t="s" s="10" r="F38">
        <v>120</v>
      </c>
      <c t="s" s="170" r="G38">
        <v>121</v>
      </c>
      <c s="170" r="H38"/>
    </row>
    <row customHeight="1" r="39" ht="90.0">
      <c t="s" s="10" r="A39">
        <v>131</v>
      </c>
      <c t="s" s="121" r="B39">
        <v>116</v>
      </c>
      <c t="s" s="172" r="C39">
        <v>117</v>
      </c>
      <c t="s" s="142" r="D39">
        <v>118</v>
      </c>
      <c t="s" s="170" r="E39">
        <v>123</v>
      </c>
      <c t="s" s="10" r="F39">
        <v>120</v>
      </c>
      <c t="s" s="170" r="G39">
        <v>121</v>
      </c>
      <c s="170" r="H39"/>
    </row>
    <row customHeight="1" r="40" ht="90.0">
      <c t="s" s="10" r="A40">
        <v>132</v>
      </c>
      <c t="s" s="121" r="B40">
        <v>116</v>
      </c>
      <c t="s" s="172" r="C40">
        <v>117</v>
      </c>
      <c t="s" s="142" r="D40">
        <v>118</v>
      </c>
      <c t="s" s="170" r="E40">
        <v>123</v>
      </c>
      <c t="s" s="10" r="F40">
        <v>120</v>
      </c>
      <c t="s" s="170" r="G40">
        <v>121</v>
      </c>
      <c s="170" r="H40"/>
    </row>
    <row customHeight="1" r="41" ht="140.25">
      <c t="s" s="10" r="A41">
        <v>133</v>
      </c>
      <c t="s" s="121" r="B41">
        <v>20</v>
      </c>
      <c t="s" s="172" r="C41">
        <v>134</v>
      </c>
      <c t="s" s="142" r="D41">
        <v>135</v>
      </c>
      <c t="s" s="170" r="E41">
        <v>136</v>
      </c>
      <c s="10" r="F41"/>
      <c t="s" s="170" r="G41">
        <v>137</v>
      </c>
      <c t="s" s="170" r="H41">
        <v>138</v>
      </c>
    </row>
    <row customHeight="1" r="42" ht="140.25">
      <c t="s" s="10" r="A42">
        <v>139</v>
      </c>
      <c t="s" s="121" r="B42">
        <v>20</v>
      </c>
      <c t="s" s="172" r="C42">
        <v>134</v>
      </c>
      <c t="s" s="142" r="D42">
        <v>135</v>
      </c>
      <c t="s" s="170" r="E42">
        <v>136</v>
      </c>
      <c s="10" r="F42"/>
      <c t="s" s="170" r="G42">
        <v>137</v>
      </c>
      <c t="s" s="170" r="H42">
        <v>138</v>
      </c>
    </row>
    <row customHeight="1" r="43" ht="76.5">
      <c t="s" s="10" r="A43">
        <v>140</v>
      </c>
      <c t="s" s="121" r="B43">
        <v>20</v>
      </c>
      <c t="s" s="172" r="C43">
        <v>134</v>
      </c>
      <c t="s" s="142" r="D43">
        <v>141</v>
      </c>
      <c s="170" r="E43"/>
      <c s="10" r="F43"/>
      <c t="s" s="170" r="G43">
        <v>142</v>
      </c>
      <c t="s" s="170" r="H43">
        <v>143</v>
      </c>
    </row>
    <row customHeight="1" r="44" ht="76.5">
      <c t="s" s="10" r="A44">
        <v>144</v>
      </c>
      <c t="s" s="121" r="B44">
        <v>20</v>
      </c>
      <c t="s" s="172" r="C44">
        <v>134</v>
      </c>
      <c t="s" s="142" r="D44">
        <v>141</v>
      </c>
      <c s="170" r="E44"/>
      <c s="10" r="F44"/>
      <c t="s" s="170" r="G44">
        <v>142</v>
      </c>
      <c t="s" s="170" r="H44">
        <v>143</v>
      </c>
    </row>
    <row customHeight="1" r="45" ht="255.0">
      <c t="s" s="10" r="A45">
        <v>145</v>
      </c>
      <c t="s" s="121" r="B45">
        <v>20</v>
      </c>
      <c t="s" s="172" r="C45">
        <v>134</v>
      </c>
      <c t="s" s="142" r="D45">
        <v>146</v>
      </c>
      <c t="s" s="170" r="E45">
        <v>147</v>
      </c>
      <c s="10" r="F45"/>
      <c t="s" s="170" r="G45">
        <v>148</v>
      </c>
      <c t="s" s="170" r="H45">
        <v>149</v>
      </c>
    </row>
    <row customHeight="1" r="46" ht="255.0">
      <c t="s" s="10" r="A46">
        <v>150</v>
      </c>
      <c t="s" s="121" r="B46">
        <v>20</v>
      </c>
      <c t="s" s="172" r="C46">
        <v>134</v>
      </c>
      <c t="s" s="142" r="D46">
        <v>146</v>
      </c>
      <c t="s" s="170" r="E46">
        <v>147</v>
      </c>
      <c s="10" r="F46"/>
      <c t="s" s="170" r="G46">
        <v>148</v>
      </c>
      <c t="s" s="170" r="H46">
        <v>149</v>
      </c>
    </row>
    <row customHeight="1" r="47" ht="242.25">
      <c t="s" s="10" r="A47">
        <v>151</v>
      </c>
      <c t="s" s="121" r="B47">
        <v>20</v>
      </c>
      <c t="s" s="172" r="C47">
        <v>134</v>
      </c>
      <c t="s" s="142" r="D47">
        <v>146</v>
      </c>
      <c t="s" s="170" r="E47">
        <v>152</v>
      </c>
      <c s="10" r="F47"/>
      <c t="s" s="170" r="G47">
        <v>153</v>
      </c>
      <c t="s" s="170" r="H47">
        <v>154</v>
      </c>
    </row>
    <row customHeight="1" r="48" ht="242.25">
      <c t="s" s="10" r="A48">
        <v>155</v>
      </c>
      <c t="s" s="121" r="B48">
        <v>20</v>
      </c>
      <c t="s" s="48" r="C48">
        <v>134</v>
      </c>
      <c t="s" s="142" r="D48">
        <v>146</v>
      </c>
      <c t="s" s="170" r="E48">
        <v>152</v>
      </c>
      <c s="10" r="F48"/>
      <c t="s" s="170" r="G48">
        <v>153</v>
      </c>
      <c t="s" s="170" r="H48">
        <v>154</v>
      </c>
    </row>
    <row customHeight="1" r="49" ht="102.0">
      <c t="s" s="10" r="A49">
        <v>156</v>
      </c>
      <c t="s" s="121" r="B49">
        <v>20</v>
      </c>
      <c t="s" s="40" r="C49">
        <v>134</v>
      </c>
      <c t="s" s="142" r="D49">
        <v>146</v>
      </c>
      <c t="s" s="170" r="E49">
        <v>157</v>
      </c>
      <c s="10" r="F49"/>
      <c t="s" s="170" r="G49">
        <v>158</v>
      </c>
      <c t="s" s="170" r="H49">
        <v>159</v>
      </c>
    </row>
    <row customHeight="1" r="50" ht="102.0">
      <c t="s" s="10" r="A50">
        <v>160</v>
      </c>
      <c t="s" s="121" r="B50">
        <v>20</v>
      </c>
      <c t="s" s="42" r="C50">
        <v>134</v>
      </c>
      <c t="s" s="142" r="D50">
        <v>146</v>
      </c>
      <c t="s" s="170" r="E50">
        <v>157</v>
      </c>
      <c s="10" r="F50"/>
      <c t="s" s="170" r="G50">
        <v>158</v>
      </c>
      <c t="s" s="170" r="H50">
        <v>159</v>
      </c>
    </row>
    <row customHeight="1" r="51" ht="165.75">
      <c t="s" s="10" r="A51">
        <v>161</v>
      </c>
      <c t="s" s="121" r="B51">
        <v>20</v>
      </c>
      <c t="s" s="121" r="C51">
        <v>134</v>
      </c>
      <c t="s" s="142" r="D51">
        <v>146</v>
      </c>
      <c t="s" s="170" r="E51">
        <v>162</v>
      </c>
      <c s="10" r="F51"/>
      <c t="s" s="170" r="G51">
        <v>163</v>
      </c>
      <c t="s" s="170" r="H51">
        <v>164</v>
      </c>
    </row>
    <row customHeight="1" r="52" ht="165.75">
      <c t="s" s="10" r="A52">
        <v>165</v>
      </c>
      <c t="s" s="121" r="B52">
        <v>20</v>
      </c>
      <c t="s" s="121" r="C52">
        <v>134</v>
      </c>
      <c t="s" s="142" r="D52">
        <v>146</v>
      </c>
      <c t="s" s="170" r="E52">
        <v>162</v>
      </c>
      <c s="10" r="F52"/>
      <c t="s" s="170" r="G52">
        <v>163</v>
      </c>
      <c t="s" s="170" r="H52">
        <v>164</v>
      </c>
    </row>
    <row customHeight="1" r="53" ht="140.25">
      <c t="s" s="10" r="A53">
        <v>166</v>
      </c>
      <c t="s" s="121" r="B53">
        <v>9</v>
      </c>
      <c t="s" s="172" r="C53">
        <v>134</v>
      </c>
      <c t="s" s="142" r="D53">
        <v>167</v>
      </c>
      <c t="s" s="170" r="E53">
        <v>100</v>
      </c>
      <c s="10" r="F53"/>
      <c t="s" s="170" r="G53">
        <v>168</v>
      </c>
      <c t="s" s="170" r="H53">
        <v>169</v>
      </c>
    </row>
    <row customHeight="1" r="54" ht="140.25">
      <c t="s" s="10" r="A54">
        <v>170</v>
      </c>
      <c t="s" s="121" r="B54">
        <v>9</v>
      </c>
      <c t="s" s="172" r="C54">
        <v>134</v>
      </c>
      <c t="s" s="142" r="D54">
        <v>167</v>
      </c>
      <c t="s" s="170" r="E54">
        <v>100</v>
      </c>
      <c s="10" r="F54"/>
      <c t="s" s="170" r="G54">
        <v>168</v>
      </c>
      <c t="s" s="170" r="H54">
        <v>169</v>
      </c>
    </row>
    <row customHeight="1" r="55" ht="153.0">
      <c t="s" s="10" r="A55">
        <v>171</v>
      </c>
      <c t="s" s="121" r="B55">
        <v>9</v>
      </c>
      <c t="s" s="121" r="C55">
        <v>134</v>
      </c>
      <c t="s" s="142" r="D55">
        <v>172</v>
      </c>
      <c t="s" s="170" r="E55">
        <v>173</v>
      </c>
      <c s="10" r="F55"/>
      <c t="s" s="170" r="G55">
        <v>174</v>
      </c>
      <c t="s" s="170" r="H55">
        <v>175</v>
      </c>
    </row>
    <row customHeight="1" r="56" ht="153.0">
      <c t="s" s="10" r="A56">
        <v>176</v>
      </c>
      <c t="s" s="121" r="B56">
        <v>9</v>
      </c>
      <c t="s" s="121" r="C56">
        <v>134</v>
      </c>
      <c t="s" s="142" r="D56">
        <v>172</v>
      </c>
      <c t="s" s="170" r="E56">
        <v>173</v>
      </c>
      <c s="10" r="F56"/>
      <c t="s" s="170" r="G56">
        <v>174</v>
      </c>
      <c t="s" s="170" r="H56">
        <v>175</v>
      </c>
    </row>
    <row customHeight="1" r="57" ht="178.5">
      <c t="s" s="10" r="A57">
        <v>177</v>
      </c>
      <c t="s" s="121" r="B57">
        <v>9</v>
      </c>
      <c t="s" s="121" r="C57">
        <v>134</v>
      </c>
      <c t="s" s="142" r="D57">
        <v>172</v>
      </c>
      <c s="170" r="E57"/>
      <c s="10" r="F57"/>
      <c t="s" s="170" r="G57">
        <v>178</v>
      </c>
      <c t="s" s="170" r="H57">
        <v>179</v>
      </c>
    </row>
    <row customHeight="1" r="58" ht="178.5">
      <c t="s" s="10" r="A58">
        <v>180</v>
      </c>
      <c t="s" s="121" r="B58">
        <v>9</v>
      </c>
      <c t="s" s="121" r="C58">
        <v>134</v>
      </c>
      <c t="s" s="142" r="D58">
        <v>172</v>
      </c>
      <c s="170" r="E58"/>
      <c s="10" r="F58"/>
      <c t="s" s="170" r="G58">
        <v>178</v>
      </c>
      <c t="s" s="170" r="H58">
        <v>179</v>
      </c>
    </row>
    <row customHeight="1" r="59" ht="114.75">
      <c t="s" s="10" r="A59">
        <v>181</v>
      </c>
      <c t="s" s="121" r="B59">
        <v>9</v>
      </c>
      <c t="s" s="121" r="C59">
        <v>134</v>
      </c>
      <c t="s" s="142" r="D59">
        <v>172</v>
      </c>
      <c s="170" r="E59"/>
      <c s="10" r="F59"/>
      <c t="s" s="170" r="G59">
        <v>182</v>
      </c>
      <c t="s" s="170" r="H59">
        <v>183</v>
      </c>
    </row>
    <row customHeight="1" r="60" ht="114.75">
      <c t="s" s="10" r="A60">
        <v>184</v>
      </c>
      <c t="s" s="121" r="B60">
        <v>9</v>
      </c>
      <c t="s" s="121" r="C60">
        <v>134</v>
      </c>
      <c t="s" s="142" r="D60">
        <v>172</v>
      </c>
      <c s="170" r="E60"/>
      <c s="10" r="F60"/>
      <c t="s" s="170" r="G60">
        <v>182</v>
      </c>
      <c t="s" s="170" r="H60">
        <v>183</v>
      </c>
    </row>
    <row customHeight="1" r="61" ht="51.0">
      <c t="s" s="10" r="A61">
        <v>185</v>
      </c>
      <c t="s" s="121" r="B61">
        <v>9</v>
      </c>
      <c t="s" s="121" r="C61">
        <v>134</v>
      </c>
      <c t="s" s="142" r="D61">
        <v>186</v>
      </c>
      <c t="s" s="170" r="E61">
        <v>187</v>
      </c>
      <c s="10" r="F61"/>
      <c t="s" s="170" r="G61">
        <v>188</v>
      </c>
      <c t="s" s="170" r="H61">
        <v>189</v>
      </c>
    </row>
    <row customHeight="1" r="62" ht="51.0">
      <c t="s" s="10" r="A62">
        <v>190</v>
      </c>
      <c t="s" s="121" r="B62">
        <v>9</v>
      </c>
      <c t="s" s="121" r="C62">
        <v>134</v>
      </c>
      <c t="s" s="142" r="D62">
        <v>186</v>
      </c>
      <c t="s" s="170" r="E62">
        <v>187</v>
      </c>
      <c s="10" r="F62"/>
      <c t="s" s="170" r="G62">
        <v>188</v>
      </c>
      <c t="s" s="170" r="H62">
        <v>189</v>
      </c>
    </row>
    <row customHeight="1" r="63" ht="15.0">
      <c t="s" s="10" r="A63">
        <v>191</v>
      </c>
      <c t="s" s="121" r="B63">
        <v>9</v>
      </c>
      <c t="s" s="121" r="C63">
        <v>192</v>
      </c>
      <c t="s" s="142" r="D63">
        <v>9</v>
      </c>
      <c s="170" r="E63"/>
      <c s="10" r="F63"/>
      <c s="170" r="G63"/>
      <c s="170" r="H63"/>
    </row>
    <row customHeight="1" r="64" ht="15.0">
      <c t="s" s="10" r="A64">
        <v>193</v>
      </c>
      <c t="s" s="121" r="B64">
        <v>9</v>
      </c>
      <c t="s" s="121" r="C64">
        <v>192</v>
      </c>
      <c t="s" s="142" r="D64">
        <v>9</v>
      </c>
      <c s="170" r="E64"/>
      <c s="10" r="F64"/>
      <c s="170" r="G64"/>
      <c s="170" r="H64"/>
    </row>
    <row customHeight="1" r="65" ht="89.25">
      <c t="s" s="10" r="A65">
        <v>194</v>
      </c>
      <c t="s" s="121" r="B65">
        <v>9</v>
      </c>
      <c t="s" s="121" r="C65">
        <v>192</v>
      </c>
      <c t="s" s="142" r="D65">
        <v>172</v>
      </c>
      <c s="170" r="E65"/>
      <c s="10" r="F65"/>
      <c t="s" s="170" r="G65">
        <v>195</v>
      </c>
      <c t="s" s="170" r="H65">
        <v>196</v>
      </c>
    </row>
    <row customHeight="1" r="66" ht="102.0">
      <c t="s" s="10" r="A66">
        <v>197</v>
      </c>
      <c t="s" s="121" r="B66">
        <v>9</v>
      </c>
      <c t="s" s="121" r="C66">
        <v>134</v>
      </c>
      <c t="s" s="142" r="D66">
        <v>198</v>
      </c>
      <c s="170" r="E66"/>
      <c s="10" r="F66"/>
      <c t="s" s="170" r="G66">
        <v>199</v>
      </c>
      <c s="170" r="H66"/>
    </row>
    <row customHeight="1" r="67" ht="102.0">
      <c t="s" s="10" r="A67">
        <v>200</v>
      </c>
      <c t="s" s="121" r="B67">
        <v>9</v>
      </c>
      <c t="s" s="121" r="C67">
        <v>134</v>
      </c>
      <c t="s" s="142" r="D67">
        <v>198</v>
      </c>
      <c s="170" r="E67"/>
      <c s="10" r="F67"/>
      <c t="s" s="170" r="G67">
        <v>199</v>
      </c>
      <c s="170" r="H67"/>
    </row>
    <row customHeight="1" r="68" ht="51.0">
      <c t="s" s="10" r="A68">
        <v>201</v>
      </c>
      <c t="s" s="121" r="B68">
        <v>9</v>
      </c>
      <c t="s" s="121" r="C68">
        <v>134</v>
      </c>
      <c t="s" s="142" r="D68">
        <v>202</v>
      </c>
      <c t="s" s="170" r="E68">
        <v>203</v>
      </c>
      <c s="10" r="F68"/>
      <c t="s" s="170" r="G68">
        <v>204</v>
      </c>
      <c s="170" r="H68"/>
    </row>
    <row customHeight="1" r="69" ht="51.0">
      <c t="s" s="10" r="A69">
        <v>205</v>
      </c>
      <c t="s" s="121" r="B69">
        <v>9</v>
      </c>
      <c t="s" s="121" r="C69">
        <v>134</v>
      </c>
      <c t="s" s="142" r="D69">
        <v>202</v>
      </c>
      <c t="s" s="170" r="E69">
        <v>203</v>
      </c>
      <c s="10" r="F69"/>
      <c t="s" s="170" r="G69">
        <v>204</v>
      </c>
      <c s="170" r="H69"/>
    </row>
    <row customHeight="1" r="70" ht="38.25">
      <c t="s" s="10" r="A70">
        <v>206</v>
      </c>
      <c t="s" s="121" r="B70">
        <v>9</v>
      </c>
      <c t="s" s="121" r="C70">
        <v>207</v>
      </c>
      <c t="s" s="142" r="D70">
        <v>208</v>
      </c>
      <c t="s" s="170" r="E70">
        <v>209</v>
      </c>
      <c s="10" r="F70"/>
      <c t="s" s="170" r="G70">
        <v>210</v>
      </c>
      <c s="170" r="H70"/>
    </row>
    <row customHeight="1" r="71" ht="38.25">
      <c t="s" s="10" r="A71">
        <v>211</v>
      </c>
      <c t="s" s="121" r="B71">
        <v>9</v>
      </c>
      <c t="s" s="121" r="C71">
        <v>207</v>
      </c>
      <c t="s" s="142" r="D71">
        <v>208</v>
      </c>
      <c t="s" s="170" r="E71">
        <v>209</v>
      </c>
      <c s="10" r="F71"/>
      <c t="s" s="170" r="G71">
        <v>210</v>
      </c>
      <c s="170" r="H71"/>
    </row>
    <row customHeight="1" r="72" ht="38.25">
      <c t="s" s="10" r="A72">
        <v>212</v>
      </c>
      <c t="s" s="121" r="B72">
        <v>213</v>
      </c>
      <c t="s" s="121" r="C72">
        <v>51</v>
      </c>
      <c t="s" s="142" r="D72">
        <v>214</v>
      </c>
      <c t="s" s="170" r="E72">
        <v>215</v>
      </c>
      <c s="10" r="F72"/>
      <c s="170" r="G72"/>
      <c t="s" s="170" r="H72">
        <v>216</v>
      </c>
    </row>
    <row customHeight="1" r="73" ht="25.5">
      <c t="s" s="10" r="A73">
        <v>217</v>
      </c>
      <c t="s" s="121" r="B73">
        <v>20</v>
      </c>
      <c t="s" s="121" r="C73">
        <v>218</v>
      </c>
      <c t="s" s="142" r="D73">
        <v>219</v>
      </c>
      <c t="s" s="170" r="E73">
        <v>100</v>
      </c>
      <c s="10" r="F73"/>
      <c s="170" r="G73"/>
      <c s="170" r="H73"/>
    </row>
    <row customHeight="1" r="74" ht="89.25">
      <c t="s" s="10" r="A74">
        <v>220</v>
      </c>
      <c t="s" s="121" r="B74">
        <v>20</v>
      </c>
      <c t="s" s="121" r="C74">
        <v>134</v>
      </c>
      <c t="s" s="142" r="D74">
        <v>221</v>
      </c>
      <c s="170" r="E74"/>
      <c s="10" r="F74"/>
      <c t="s" s="170" r="G74">
        <v>222</v>
      </c>
      <c t="s" s="170" r="H74">
        <v>223</v>
      </c>
    </row>
    <row customHeight="1" r="75" ht="89.25">
      <c t="s" s="10" r="A75">
        <v>224</v>
      </c>
      <c t="s" s="121" r="B75">
        <v>20</v>
      </c>
      <c t="s" s="121" r="C75">
        <v>134</v>
      </c>
      <c t="s" s="142" r="D75">
        <v>221</v>
      </c>
      <c s="10" r="E75"/>
      <c s="10" r="F75"/>
      <c t="s" s="170" r="G75">
        <v>222</v>
      </c>
      <c t="s" s="170" r="H75">
        <v>223</v>
      </c>
    </row>
    <row customHeight="1" r="76" ht="127.5">
      <c t="s" s="10" r="A76">
        <v>225</v>
      </c>
      <c t="s" s="121" r="B76">
        <v>20</v>
      </c>
      <c t="s" s="121" r="C76">
        <v>134</v>
      </c>
      <c t="s" s="142" r="D76">
        <v>221</v>
      </c>
      <c t="s" s="170" r="E76">
        <v>226</v>
      </c>
      <c s="10" r="F76"/>
      <c t="s" s="170" r="G76">
        <v>227</v>
      </c>
      <c t="s" s="170" r="H76">
        <v>228</v>
      </c>
    </row>
    <row customHeight="1" r="77" ht="127.5">
      <c t="s" s="10" r="A77">
        <v>229</v>
      </c>
      <c t="s" s="121" r="B77">
        <v>20</v>
      </c>
      <c t="s" s="121" r="C77">
        <v>134</v>
      </c>
      <c t="s" s="142" r="D77">
        <v>221</v>
      </c>
      <c t="s" s="170" r="E77">
        <v>226</v>
      </c>
      <c s="10" r="F77"/>
      <c t="s" s="170" r="G77">
        <v>227</v>
      </c>
      <c t="s" s="170" r="H77">
        <v>228</v>
      </c>
    </row>
    <row customHeight="1" r="78" ht="357.0">
      <c t="s" s="10" r="A78">
        <v>230</v>
      </c>
      <c t="s" s="121" r="B78">
        <v>20</v>
      </c>
      <c t="s" s="121" r="C78">
        <v>134</v>
      </c>
      <c t="s" s="142" r="D78">
        <v>221</v>
      </c>
      <c t="s" s="170" r="E78">
        <v>231</v>
      </c>
      <c s="10" r="F78"/>
      <c t="s" s="170" r="G78">
        <v>232</v>
      </c>
      <c t="s" s="170" r="H78">
        <v>233</v>
      </c>
    </row>
    <row customHeight="1" r="79" ht="357.0">
      <c t="s" s="10" r="A79">
        <v>234</v>
      </c>
      <c t="s" s="121" r="B79">
        <v>20</v>
      </c>
      <c t="s" s="121" r="C79">
        <v>134</v>
      </c>
      <c t="s" s="142" r="D79">
        <v>221</v>
      </c>
      <c t="s" s="170" r="E79">
        <v>231</v>
      </c>
      <c s="10" r="F79"/>
      <c t="s" s="170" r="G79">
        <v>232</v>
      </c>
      <c t="s" s="170" r="H79">
        <v>233</v>
      </c>
    </row>
    <row customHeight="1" r="80" ht="38.25">
      <c t="s" s="89" r="A80">
        <v>235</v>
      </c>
      <c t="s" s="121" r="B80">
        <v>20</v>
      </c>
      <c t="s" s="121" r="C80">
        <v>236</v>
      </c>
      <c t="s" s="142" r="D80">
        <v>237</v>
      </c>
      <c t="s" s="170" r="E80">
        <v>157</v>
      </c>
      <c s="10" r="F80"/>
      <c t="s" s="170" r="G80">
        <v>238</v>
      </c>
      <c t="s" s="170" r="H80">
        <v>239</v>
      </c>
    </row>
    <row customHeight="1" r="81" ht="38.25">
      <c t="s" s="136" r="A81">
        <v>240</v>
      </c>
      <c t="s" s="121" r="B81">
        <v>20</v>
      </c>
      <c t="s" s="121" r="C81">
        <v>236</v>
      </c>
      <c t="s" s="142" r="D81">
        <v>237</v>
      </c>
      <c t="s" s="170" r="E81">
        <v>157</v>
      </c>
      <c s="10" r="F81"/>
      <c t="s" s="170" r="G81">
        <v>238</v>
      </c>
      <c t="s" s="170" r="H81">
        <v>239</v>
      </c>
    </row>
    <row customHeight="1" r="82" ht="63.75">
      <c t="s" s="10" r="A82">
        <v>241</v>
      </c>
      <c t="s" s="121" r="B82">
        <v>9</v>
      </c>
      <c t="s" s="142" r="C82">
        <v>242</v>
      </c>
      <c t="s" s="142" r="D82">
        <v>243</v>
      </c>
      <c t="s" s="170" r="E82">
        <v>244</v>
      </c>
      <c s="10" r="F82"/>
      <c t="s" s="170" r="G82">
        <v>245</v>
      </c>
      <c t="s" s="170" r="H82">
        <v>246</v>
      </c>
    </row>
    <row customHeight="1" r="83" ht="63.75">
      <c t="s" s="10" r="A83">
        <v>247</v>
      </c>
      <c t="s" s="121" r="B83">
        <v>9</v>
      </c>
      <c t="s" s="142" r="C83">
        <v>242</v>
      </c>
      <c t="s" s="142" r="D83">
        <v>243</v>
      </c>
      <c t="s" s="170" r="E83">
        <v>244</v>
      </c>
      <c s="10" r="F83"/>
      <c t="s" s="170" r="G83">
        <v>245</v>
      </c>
      <c t="s" s="170" r="H83">
        <v>246</v>
      </c>
    </row>
    <row customHeight="1" r="84" ht="76.5">
      <c t="s" s="10" r="A84">
        <v>248</v>
      </c>
      <c t="s" s="121" r="B84">
        <v>9</v>
      </c>
      <c t="s" s="121" r="C84">
        <v>249</v>
      </c>
      <c t="s" s="142" r="D84">
        <v>250</v>
      </c>
      <c t="s" s="170" r="E84">
        <v>251</v>
      </c>
      <c s="10" r="F84"/>
      <c t="s" s="170" r="G84">
        <v>252</v>
      </c>
      <c s="170" r="H84"/>
    </row>
    <row customHeight="1" r="85" ht="76.5">
      <c t="s" s="10" r="A85">
        <v>253</v>
      </c>
      <c t="s" s="121" r="B85">
        <v>9</v>
      </c>
      <c t="s" s="121" r="C85">
        <v>249</v>
      </c>
      <c t="s" s="142" r="D85">
        <v>250</v>
      </c>
      <c t="s" s="170" r="E85">
        <v>251</v>
      </c>
      <c s="10" r="F85"/>
      <c t="s" s="170" r="G85">
        <v>252</v>
      </c>
      <c s="170" r="H85"/>
    </row>
    <row customHeight="1" r="86" ht="51.0">
      <c t="s" s="10" r="A86">
        <v>254</v>
      </c>
      <c t="s" s="121" r="B86">
        <v>20</v>
      </c>
      <c t="s" s="121" r="C86">
        <v>255</v>
      </c>
      <c t="s" s="142" r="D86">
        <v>256</v>
      </c>
      <c t="s" s="170" r="E86">
        <v>257</v>
      </c>
      <c s="10" r="F86"/>
      <c t="s" s="170" r="G86">
        <v>258</v>
      </c>
      <c t="s" s="170" r="H86">
        <v>259</v>
      </c>
    </row>
    <row customHeight="1" r="87" ht="51.0">
      <c t="s" s="10" r="A87">
        <v>260</v>
      </c>
      <c t="s" s="121" r="B87">
        <v>20</v>
      </c>
      <c t="s" s="121" r="C87">
        <v>255</v>
      </c>
      <c t="s" s="142" r="D87">
        <v>256</v>
      </c>
      <c t="s" s="170" r="E87">
        <v>257</v>
      </c>
      <c s="10" r="F87"/>
      <c t="s" s="170" r="G87">
        <v>258</v>
      </c>
      <c t="s" s="170" r="H87">
        <v>259</v>
      </c>
    </row>
    <row customHeight="1" r="88" ht="51.0">
      <c t="s" s="10" r="A88">
        <v>261</v>
      </c>
      <c t="s" s="121" r="B88">
        <v>20</v>
      </c>
      <c t="s" s="121" r="C88">
        <v>255</v>
      </c>
      <c t="s" s="142" r="D88">
        <v>256</v>
      </c>
      <c t="s" s="170" r="E88">
        <v>257</v>
      </c>
      <c s="10" r="F88"/>
      <c t="s" s="170" r="G88">
        <v>258</v>
      </c>
      <c t="s" s="170" r="H88">
        <v>259</v>
      </c>
    </row>
    <row customHeight="1" r="89" ht="51.0">
      <c t="s" s="10" r="A89">
        <v>262</v>
      </c>
      <c t="s" s="121" r="B89">
        <v>20</v>
      </c>
      <c t="s" s="121" r="C89">
        <v>255</v>
      </c>
      <c t="s" s="142" r="D89">
        <v>256</v>
      </c>
      <c t="s" s="170" r="E89">
        <v>257</v>
      </c>
      <c s="10" r="F89"/>
      <c t="s" s="170" r="G89">
        <v>258</v>
      </c>
      <c t="s" s="170" r="H89">
        <v>259</v>
      </c>
    </row>
    <row customHeight="1" r="90" ht="102.0">
      <c t="s" s="10" r="A90">
        <v>263</v>
      </c>
      <c t="s" s="121" r="B90">
        <v>116</v>
      </c>
      <c t="s" s="121" r="C90">
        <v>117</v>
      </c>
      <c t="s" s="142" r="D90">
        <v>264</v>
      </c>
      <c t="s" s="170" r="E90">
        <v>265</v>
      </c>
      <c s="10" r="F90"/>
      <c t="s" s="170" r="G90">
        <v>266</v>
      </c>
      <c t="s" s="170" r="H90">
        <v>267</v>
      </c>
    </row>
    <row customHeight="1" r="91" ht="102.0">
      <c t="s" s="10" r="A91">
        <v>268</v>
      </c>
      <c t="s" s="121" r="B91">
        <v>116</v>
      </c>
      <c t="s" s="121" r="C91">
        <v>117</v>
      </c>
      <c t="s" s="142" r="D91">
        <v>264</v>
      </c>
      <c t="s" s="170" r="E91">
        <v>265</v>
      </c>
      <c s="10" r="F91"/>
      <c t="s" s="170" r="G91">
        <v>266</v>
      </c>
      <c t="s" s="170" r="H91">
        <v>267</v>
      </c>
    </row>
    <row customHeight="1" r="92" ht="102.0">
      <c t="s" s="10" r="A92">
        <v>269</v>
      </c>
      <c t="s" s="121" r="B92">
        <v>116</v>
      </c>
      <c t="s" s="121" r="C92">
        <v>117</v>
      </c>
      <c t="s" s="142" r="D92">
        <v>264</v>
      </c>
      <c t="s" s="170" r="E92">
        <v>265</v>
      </c>
      <c s="10" r="F92"/>
      <c t="s" s="170" r="G92">
        <v>266</v>
      </c>
      <c t="s" s="170" r="H92">
        <v>267</v>
      </c>
    </row>
    <row customHeight="1" r="93" ht="102.0">
      <c t="s" s="10" r="A93">
        <v>270</v>
      </c>
      <c t="s" s="121" r="B93">
        <v>116</v>
      </c>
      <c t="s" s="121" r="C93">
        <v>117</v>
      </c>
      <c t="s" s="142" r="D93">
        <v>264</v>
      </c>
      <c t="s" s="170" r="E93">
        <v>265</v>
      </c>
      <c s="10" r="F93"/>
      <c t="s" s="170" r="G93">
        <v>266</v>
      </c>
      <c t="s" s="170" r="H93">
        <v>267</v>
      </c>
    </row>
    <row customHeight="1" r="94" ht="102.0">
      <c t="s" s="10" r="A94">
        <v>271</v>
      </c>
      <c t="s" s="121" r="B94">
        <v>116</v>
      </c>
      <c t="s" s="121" r="C94">
        <v>117</v>
      </c>
      <c t="s" s="142" r="D94">
        <v>264</v>
      </c>
      <c t="s" s="170" r="E94">
        <v>265</v>
      </c>
      <c s="10" r="F94"/>
      <c t="s" s="170" r="G94">
        <v>266</v>
      </c>
      <c t="s" s="170" r="H94">
        <v>267</v>
      </c>
    </row>
    <row customHeight="1" r="95" ht="102.0">
      <c t="s" s="10" r="A95">
        <v>272</v>
      </c>
      <c t="s" s="121" r="B95">
        <v>116</v>
      </c>
      <c t="s" s="121" r="C95">
        <v>117</v>
      </c>
      <c t="s" s="142" r="D95">
        <v>264</v>
      </c>
      <c t="s" s="170" r="E95">
        <v>265</v>
      </c>
      <c s="10" r="F95"/>
      <c t="s" s="170" r="G95">
        <v>266</v>
      </c>
      <c t="s" s="170" r="H95">
        <v>267</v>
      </c>
    </row>
    <row customHeight="1" r="96" ht="102.0">
      <c t="s" s="10" r="A96">
        <v>273</v>
      </c>
      <c t="s" s="121" r="B96">
        <v>116</v>
      </c>
      <c t="s" s="121" r="C96">
        <v>117</v>
      </c>
      <c t="s" s="142" r="D96">
        <v>264</v>
      </c>
      <c t="s" s="170" r="E96">
        <v>265</v>
      </c>
      <c s="10" r="F96"/>
      <c t="s" s="170" r="G96">
        <v>266</v>
      </c>
      <c t="s" s="170" r="H96">
        <v>267</v>
      </c>
    </row>
    <row customHeight="1" r="97" ht="102.0">
      <c t="s" s="10" r="A97">
        <v>274</v>
      </c>
      <c t="s" s="121" r="B97">
        <v>116</v>
      </c>
      <c t="s" s="121" r="C97">
        <v>117</v>
      </c>
      <c t="s" s="142" r="D97">
        <v>264</v>
      </c>
      <c t="s" s="170" r="E97">
        <v>265</v>
      </c>
      <c s="10" r="F97"/>
      <c t="s" s="170" r="G97">
        <v>266</v>
      </c>
      <c t="s" s="170" r="H97">
        <v>267</v>
      </c>
    </row>
    <row customHeight="1" r="98" ht="102.0">
      <c t="s" s="10" r="A98">
        <v>275</v>
      </c>
      <c t="s" s="121" r="B98">
        <v>116</v>
      </c>
      <c t="s" s="121" r="C98">
        <v>117</v>
      </c>
      <c t="s" s="142" r="D98">
        <v>264</v>
      </c>
      <c t="s" s="170" r="E98">
        <v>265</v>
      </c>
      <c s="10" r="F98"/>
      <c t="s" s="170" r="G98">
        <v>266</v>
      </c>
      <c t="s" s="170" r="H98">
        <v>267</v>
      </c>
    </row>
    <row customHeight="1" r="99" ht="30.0">
      <c t="s" s="10" r="A99">
        <v>276</v>
      </c>
      <c t="s" s="121" r="B99">
        <v>116</v>
      </c>
      <c t="s" s="121" r="C99">
        <v>277</v>
      </c>
      <c t="s" s="142" r="D99">
        <v>278</v>
      </c>
      <c t="s" s="170" r="E99">
        <v>265</v>
      </c>
      <c s="10" r="F99"/>
      <c s="10" r="G99"/>
      <c t="s" s="170" r="H99">
        <v>279</v>
      </c>
    </row>
    <row customHeight="1" r="100" ht="30.0">
      <c t="s" s="10" r="A100">
        <v>280</v>
      </c>
      <c t="s" s="121" r="B100">
        <v>116</v>
      </c>
      <c t="s" s="121" r="C100">
        <v>277</v>
      </c>
      <c t="s" s="142" r="D100">
        <v>278</v>
      </c>
      <c t="s" s="170" r="E100">
        <v>265</v>
      </c>
      <c s="10" r="F100"/>
      <c s="10" r="G100"/>
      <c t="s" s="170" r="H100">
        <v>279</v>
      </c>
    </row>
    <row customHeight="1" r="101" ht="30.0">
      <c t="s" s="10" r="A101">
        <v>281</v>
      </c>
      <c t="s" s="121" r="B101">
        <v>116</v>
      </c>
      <c t="s" s="121" r="C101">
        <v>277</v>
      </c>
      <c t="s" s="142" r="D101">
        <v>278</v>
      </c>
      <c t="s" s="170" r="E101">
        <v>265</v>
      </c>
      <c s="10" r="F101"/>
      <c s="10" r="G101"/>
      <c t="s" s="170" r="H101">
        <v>279</v>
      </c>
    </row>
    <row customHeight="1" r="102" ht="30.0">
      <c t="s" s="10" r="A102">
        <v>282</v>
      </c>
      <c t="s" s="121" r="B102">
        <v>116</v>
      </c>
      <c t="s" s="121" r="C102">
        <v>277</v>
      </c>
      <c t="s" s="142" r="D102">
        <v>278</v>
      </c>
      <c t="s" s="170" r="E102">
        <v>265</v>
      </c>
      <c s="10" r="F102"/>
      <c s="10" r="G102"/>
      <c t="s" s="170" r="H102">
        <v>279</v>
      </c>
    </row>
    <row customHeight="1" r="103" ht="30.0">
      <c t="s" s="10" r="A103">
        <v>283</v>
      </c>
      <c t="s" s="121" r="B103">
        <v>116</v>
      </c>
      <c t="s" s="121" r="C103">
        <v>277</v>
      </c>
      <c t="s" s="142" r="D103">
        <v>278</v>
      </c>
      <c t="s" s="170" r="E103">
        <v>265</v>
      </c>
      <c s="10" r="F103"/>
      <c s="10" r="G103"/>
      <c t="s" s="170" r="H103">
        <v>279</v>
      </c>
    </row>
    <row customHeight="1" r="104" ht="30.0">
      <c t="s" s="10" r="A104">
        <v>284</v>
      </c>
      <c t="s" s="121" r="B104">
        <v>116</v>
      </c>
      <c t="s" s="121" r="C104">
        <v>277</v>
      </c>
      <c t="s" s="142" r="D104">
        <v>278</v>
      </c>
      <c t="s" s="170" r="E104">
        <v>265</v>
      </c>
      <c s="10" r="F104"/>
      <c s="10" r="G104"/>
      <c t="s" s="170" r="H104">
        <v>279</v>
      </c>
    </row>
    <row customHeight="1" r="105" ht="30.0">
      <c t="s" s="10" r="A105">
        <v>285</v>
      </c>
      <c t="s" s="121" r="B105">
        <v>116</v>
      </c>
      <c t="s" s="121" r="C105">
        <v>277</v>
      </c>
      <c t="s" s="142" r="D105">
        <v>278</v>
      </c>
      <c t="s" s="170" r="E105">
        <v>265</v>
      </c>
      <c s="10" r="F105"/>
      <c s="10" r="G105"/>
      <c t="s" s="170" r="H105">
        <v>279</v>
      </c>
    </row>
    <row customHeight="1" r="106" ht="51.0">
      <c t="s" s="10" r="A106">
        <v>286</v>
      </c>
      <c t="s" s="121" r="B106">
        <v>116</v>
      </c>
      <c t="s" s="121" r="C106">
        <v>117</v>
      </c>
      <c t="s" s="142" r="D106">
        <v>287</v>
      </c>
      <c s="10" r="E106"/>
      <c s="10" r="F106"/>
      <c s="10" r="G106"/>
      <c t="s" s="170" r="H106">
        <v>288</v>
      </c>
    </row>
    <row customHeight="1" r="107" ht="51.0">
      <c t="s" s="10" r="A107">
        <v>289</v>
      </c>
      <c t="s" s="121" r="B107">
        <v>116</v>
      </c>
      <c t="s" s="121" r="C107">
        <v>117</v>
      </c>
      <c t="s" s="142" r="D107">
        <v>287</v>
      </c>
      <c s="10" r="E107"/>
      <c s="10" r="F107"/>
      <c s="10" r="G107"/>
      <c t="s" s="170" r="H107">
        <v>288</v>
      </c>
    </row>
    <row customHeight="1" r="108" ht="51.0">
      <c t="s" s="10" r="A108">
        <v>290</v>
      </c>
      <c t="s" s="121" r="B108">
        <v>116</v>
      </c>
      <c t="s" s="121" r="C108">
        <v>117</v>
      </c>
      <c t="s" s="142" r="D108">
        <v>287</v>
      </c>
      <c s="10" r="E108"/>
      <c s="10" r="F108"/>
      <c s="10" r="G108"/>
      <c t="s" s="170" r="H108">
        <v>288</v>
      </c>
    </row>
    <row customHeight="1" r="109" ht="51.0">
      <c t="s" s="10" r="A109">
        <v>291</v>
      </c>
      <c t="s" s="121" r="B109">
        <v>116</v>
      </c>
      <c t="s" s="121" r="C109">
        <v>117</v>
      </c>
      <c t="s" s="142" r="D109">
        <v>287</v>
      </c>
      <c s="10" r="E109"/>
      <c s="10" r="F109"/>
      <c s="10" r="G109"/>
      <c t="s" s="170" r="H109">
        <v>288</v>
      </c>
    </row>
    <row customHeight="1" r="110" ht="51.0">
      <c t="s" s="10" r="A110">
        <v>292</v>
      </c>
      <c t="s" s="121" r="B110">
        <v>116</v>
      </c>
      <c t="s" s="121" r="C110">
        <v>117</v>
      </c>
      <c t="s" s="142" r="D110">
        <v>287</v>
      </c>
      <c s="10" r="E110"/>
      <c s="10" r="F110"/>
      <c s="10" r="G110"/>
      <c t="s" s="170" r="H110">
        <v>288</v>
      </c>
    </row>
    <row customHeight="1" r="111" ht="51.0">
      <c t="s" s="10" r="A111">
        <v>293</v>
      </c>
      <c t="s" s="121" r="B111">
        <v>116</v>
      </c>
      <c t="s" s="121" r="C111">
        <v>117</v>
      </c>
      <c t="s" s="142" r="D111">
        <v>287</v>
      </c>
      <c s="10" r="E111"/>
      <c s="10" r="F111"/>
      <c s="10" r="G111"/>
      <c t="s" s="170" r="H111">
        <v>288</v>
      </c>
    </row>
    <row customHeight="1" r="112" ht="140.25">
      <c t="s" s="10" r="A112">
        <v>294</v>
      </c>
      <c t="s" s="121" r="B112">
        <v>9</v>
      </c>
      <c t="s" s="121" r="C112">
        <v>295</v>
      </c>
      <c t="s" s="142" r="D112">
        <v>296</v>
      </c>
      <c s="10" r="E112"/>
      <c s="10" r="F112"/>
      <c t="s" s="170" r="G112">
        <v>297</v>
      </c>
      <c t="s" s="170" r="H112">
        <v>298</v>
      </c>
    </row>
    <row customHeight="1" r="113" ht="30.0">
      <c t="s" s="10" r="A113">
        <v>299</v>
      </c>
      <c t="s" s="121" r="B113">
        <v>300</v>
      </c>
      <c t="s" s="121" r="C113">
        <v>295</v>
      </c>
      <c t="s" s="142" r="D113">
        <v>301</v>
      </c>
      <c t="s" s="10" r="E113">
        <v>215</v>
      </c>
      <c s="10" r="F113"/>
      <c s="170" r="G113"/>
      <c t="s" s="170" r="H113">
        <v>302</v>
      </c>
    </row>
    <row customHeight="1" r="114" ht="63.75">
      <c t="s" s="10" r="A114">
        <v>303</v>
      </c>
      <c t="s" s="121" r="B114">
        <v>9</v>
      </c>
      <c t="s" s="121" r="C114">
        <v>295</v>
      </c>
      <c t="s" s="142" r="D114">
        <v>296</v>
      </c>
      <c s="170" r="E114"/>
      <c s="10" r="F114"/>
      <c t="s" s="170" r="G114">
        <v>304</v>
      </c>
      <c s="170" r="H114"/>
    </row>
    <row customHeight="1" r="115" ht="280.5">
      <c t="s" s="10" r="A115">
        <v>305</v>
      </c>
      <c t="s" s="121" r="B115">
        <v>20</v>
      </c>
      <c t="s" s="121" r="C115">
        <v>255</v>
      </c>
      <c t="s" s="142" r="D115">
        <v>306</v>
      </c>
      <c t="s" s="170" r="E115">
        <v>100</v>
      </c>
      <c s="10" r="F115"/>
      <c t="s" s="170" r="G115">
        <v>307</v>
      </c>
      <c t="s" s="170" r="H115">
        <v>308</v>
      </c>
    </row>
    <row customHeight="1" r="116" ht="280.5">
      <c t="s" s="10" r="A116">
        <v>309</v>
      </c>
      <c t="s" s="121" r="B116">
        <v>20</v>
      </c>
      <c t="s" s="121" r="C116">
        <v>255</v>
      </c>
      <c t="s" s="142" r="D116">
        <v>306</v>
      </c>
      <c t="s" s="170" r="E116">
        <v>100</v>
      </c>
      <c s="10" r="F116"/>
      <c t="s" s="170" r="G116">
        <v>307</v>
      </c>
      <c t="s" s="170" r="H116">
        <v>308</v>
      </c>
    </row>
    <row customHeight="1" r="117" ht="225.0">
      <c t="s" s="10" r="A117">
        <v>310</v>
      </c>
      <c t="s" s="121" r="B117">
        <v>116</v>
      </c>
      <c t="s" s="121" r="C117">
        <v>311</v>
      </c>
      <c t="s" s="142" r="D117">
        <v>312</v>
      </c>
      <c t="s" s="170" r="E117">
        <v>313</v>
      </c>
      <c s="10" r="F117"/>
      <c t="s" s="170" r="G117">
        <v>314</v>
      </c>
      <c t="s" s="170" r="H117">
        <v>315</v>
      </c>
    </row>
    <row customHeight="1" r="118" ht="225.0">
      <c t="s" s="10" r="A118">
        <v>316</v>
      </c>
      <c t="s" s="121" r="B118">
        <v>116</v>
      </c>
      <c t="s" s="121" r="C118">
        <v>311</v>
      </c>
      <c t="s" s="142" r="D118">
        <v>312</v>
      </c>
      <c t="s" s="170" r="E118">
        <v>313</v>
      </c>
      <c s="10" r="F118"/>
      <c t="s" s="170" r="G118">
        <v>314</v>
      </c>
      <c t="s" s="170" r="H118">
        <v>315</v>
      </c>
    </row>
    <row customHeight="1" r="119" ht="165.0">
      <c t="s" s="10" r="A119">
        <v>317</v>
      </c>
      <c t="s" s="121" r="B119">
        <v>318</v>
      </c>
      <c t="s" s="121" r="C119">
        <v>319</v>
      </c>
      <c t="s" s="142" r="D119">
        <v>320</v>
      </c>
      <c t="s" s="170" r="E119">
        <v>157</v>
      </c>
      <c s="10" r="F119"/>
      <c t="s" s="170" r="G119">
        <v>321</v>
      </c>
      <c t="s" s="170" r="H119">
        <v>322</v>
      </c>
    </row>
    <row customHeight="1" r="120" ht="165.0">
      <c t="s" s="10" r="A120">
        <v>323</v>
      </c>
      <c t="s" s="121" r="B120">
        <v>318</v>
      </c>
      <c t="s" s="121" r="C120">
        <v>319</v>
      </c>
      <c t="s" s="142" r="D120">
        <v>320</v>
      </c>
      <c t="s" s="170" r="E120">
        <v>157</v>
      </c>
      <c s="10" r="F120"/>
      <c t="s" s="170" r="G120">
        <v>321</v>
      </c>
      <c t="s" s="170" r="H120">
        <v>322</v>
      </c>
    </row>
    <row customHeight="1" r="121" ht="90.0">
      <c t="s" s="10" r="A121">
        <v>324</v>
      </c>
      <c t="s" s="121" r="B121">
        <v>318</v>
      </c>
      <c t="s" s="121" r="C121">
        <v>319</v>
      </c>
      <c t="s" s="142" r="D121">
        <v>325</v>
      </c>
      <c t="s" s="170" r="E121">
        <v>326</v>
      </c>
      <c s="10" r="F121"/>
      <c t="s" s="170" r="G121">
        <v>321</v>
      </c>
      <c t="s" s="170" r="H121">
        <v>327</v>
      </c>
    </row>
    <row customHeight="1" r="122" ht="90.0">
      <c t="s" s="10" r="A122">
        <v>328</v>
      </c>
      <c t="s" s="121" r="B122">
        <v>318</v>
      </c>
      <c t="s" s="121" r="C122">
        <v>319</v>
      </c>
      <c t="s" s="142" r="D122">
        <v>325</v>
      </c>
      <c t="s" s="170" r="E122">
        <v>326</v>
      </c>
      <c s="10" r="F122"/>
      <c t="s" s="170" r="G122">
        <v>321</v>
      </c>
      <c t="s" s="170" r="H122">
        <v>327</v>
      </c>
    </row>
    <row customHeight="1" r="123" ht="60.0">
      <c t="s" s="10" r="A123">
        <v>329</v>
      </c>
      <c t="s" s="121" r="B123">
        <v>318</v>
      </c>
      <c t="s" s="121" r="C123">
        <v>319</v>
      </c>
      <c t="s" s="142" r="D123">
        <v>330</v>
      </c>
      <c t="s" s="170" r="E123">
        <v>157</v>
      </c>
      <c s="10" r="F123"/>
      <c t="s" s="170" r="G123">
        <v>331</v>
      </c>
      <c t="s" s="170" r="H123">
        <v>327</v>
      </c>
    </row>
    <row customHeight="1" r="124" ht="135.0">
      <c t="s" s="10" r="A124">
        <v>332</v>
      </c>
      <c t="s" s="121" r="B124">
        <v>318</v>
      </c>
      <c t="s" s="121" r="C124">
        <v>333</v>
      </c>
      <c t="s" s="142" r="D124">
        <v>334</v>
      </c>
      <c t="s" s="170" r="E124">
        <v>335</v>
      </c>
      <c s="10" r="F124"/>
      <c s="170" r="G124"/>
      <c t="s" s="170" r="H124">
        <v>327</v>
      </c>
    </row>
    <row customHeight="1" r="125" ht="210.0">
      <c t="s" s="10" r="A125">
        <v>336</v>
      </c>
      <c t="s" s="121" r="B125">
        <v>318</v>
      </c>
      <c t="s" s="121" r="C125">
        <v>337</v>
      </c>
      <c t="s" s="142" r="D125">
        <v>338</v>
      </c>
      <c t="s" s="170" r="E125">
        <v>339</v>
      </c>
      <c s="10" r="F125"/>
      <c s="170" r="G125"/>
      <c t="s" s="170" r="H125">
        <v>340</v>
      </c>
    </row>
    <row customHeight="1" r="126" ht="135.0">
      <c t="s" s="10" r="A126">
        <v>341</v>
      </c>
      <c t="s" s="121" r="B126">
        <v>318</v>
      </c>
      <c t="s" s="121" r="C126">
        <v>333</v>
      </c>
      <c t="s" s="142" r="D126">
        <v>342</v>
      </c>
      <c t="s" s="170" r="E126">
        <v>343</v>
      </c>
      <c s="10" r="F126"/>
      <c t="s" s="170" r="G126">
        <v>331</v>
      </c>
      <c t="s" s="170" r="H126">
        <v>327</v>
      </c>
    </row>
    <row customHeight="1" r="127" ht="105.0">
      <c t="s" s="10" r="A127">
        <v>344</v>
      </c>
      <c t="s" s="121" r="B127">
        <v>345</v>
      </c>
      <c t="s" s="121" r="C127">
        <v>255</v>
      </c>
      <c t="s" s="142" r="D127">
        <v>346</v>
      </c>
      <c s="170" r="E127"/>
      <c s="10" r="F127"/>
      <c t="s" s="170" r="G127">
        <v>347</v>
      </c>
      <c t="s" s="170" r="H127">
        <v>348</v>
      </c>
    </row>
    <row customHeight="1" r="128" ht="105.0">
      <c t="s" s="10" r="A128">
        <v>349</v>
      </c>
      <c t="s" s="121" r="B128">
        <v>345</v>
      </c>
      <c t="s" s="121" r="C128">
        <v>255</v>
      </c>
      <c t="s" s="142" r="D128">
        <v>346</v>
      </c>
      <c s="170" r="E128"/>
      <c s="10" r="F128"/>
      <c t="s" s="170" r="G128">
        <v>347</v>
      </c>
      <c t="s" s="170" r="H128">
        <v>348</v>
      </c>
    </row>
    <row customHeight="1" r="129" ht="105.0">
      <c t="s" s="10" r="A129">
        <v>350</v>
      </c>
      <c t="s" s="121" r="B129">
        <v>345</v>
      </c>
      <c t="s" s="121" r="C129">
        <v>255</v>
      </c>
      <c t="s" s="142" r="D129">
        <v>346</v>
      </c>
      <c s="170" r="E129"/>
      <c s="10" r="F129"/>
      <c t="s" s="170" r="G129">
        <v>347</v>
      </c>
      <c t="s" s="170" r="H129">
        <v>348</v>
      </c>
    </row>
    <row customHeight="1" r="130" ht="105.0">
      <c t="s" s="10" r="A130">
        <v>351</v>
      </c>
      <c t="s" s="121" r="B130">
        <v>345</v>
      </c>
      <c t="s" s="121" r="C130">
        <v>255</v>
      </c>
      <c t="s" s="142" r="D130">
        <v>346</v>
      </c>
      <c s="170" r="E130"/>
      <c s="10" r="F130"/>
      <c t="s" s="170" r="G130">
        <v>347</v>
      </c>
      <c t="s" s="170" r="H130">
        <v>348</v>
      </c>
    </row>
    <row customHeight="1" r="131" ht="105.0">
      <c t="s" s="10" r="A131">
        <v>352</v>
      </c>
      <c t="s" s="121" r="B131">
        <v>345</v>
      </c>
      <c t="s" s="121" r="C131">
        <v>255</v>
      </c>
      <c t="s" s="142" r="D131">
        <v>346</v>
      </c>
      <c s="170" r="E131"/>
      <c s="10" r="F131"/>
      <c t="s" s="170" r="G131">
        <v>347</v>
      </c>
      <c t="s" s="170" r="H131">
        <v>348</v>
      </c>
    </row>
    <row customHeight="1" r="132" ht="105.0">
      <c t="s" s="10" r="A132">
        <v>353</v>
      </c>
      <c t="s" s="121" r="B132">
        <v>345</v>
      </c>
      <c t="s" s="121" r="C132">
        <v>255</v>
      </c>
      <c t="s" s="142" r="D132">
        <v>346</v>
      </c>
      <c s="170" r="E132"/>
      <c s="10" r="F132"/>
      <c t="s" s="170" r="G132">
        <v>347</v>
      </c>
      <c t="s" s="170" r="H132">
        <v>348</v>
      </c>
    </row>
    <row customHeight="1" r="133" ht="76.5">
      <c t="s" s="10" r="A133">
        <v>354</v>
      </c>
      <c t="s" s="121" r="B133">
        <v>20</v>
      </c>
      <c t="s" s="121" r="C133">
        <v>255</v>
      </c>
      <c t="s" s="142" r="D133">
        <v>355</v>
      </c>
      <c s="10" r="E133"/>
      <c s="10" r="F133"/>
      <c t="s" s="170" r="G133">
        <v>356</v>
      </c>
      <c s="170" r="H133"/>
    </row>
    <row customHeight="1" r="134" ht="76.5">
      <c t="s" s="10" r="A134">
        <v>357</v>
      </c>
      <c t="s" s="121" r="B134">
        <v>20</v>
      </c>
      <c t="s" s="121" r="C134">
        <v>255</v>
      </c>
      <c t="s" s="142" r="D134">
        <v>355</v>
      </c>
      <c s="10" r="E134"/>
      <c s="10" r="F134"/>
      <c t="s" s="170" r="G134">
        <v>356</v>
      </c>
      <c s="170" r="H134"/>
    </row>
    <row customHeight="1" r="135" ht="76.5">
      <c t="s" s="10" r="A135">
        <v>358</v>
      </c>
      <c t="s" s="121" r="B135">
        <v>20</v>
      </c>
      <c t="s" s="121" r="C135">
        <v>255</v>
      </c>
      <c t="s" s="142" r="D135">
        <v>355</v>
      </c>
      <c s="10" r="E135"/>
      <c s="10" r="F135"/>
      <c t="s" s="170" r="G135">
        <v>356</v>
      </c>
      <c s="170" r="H135"/>
    </row>
    <row customHeight="1" r="136" ht="76.5">
      <c t="s" s="10" r="A136">
        <v>359</v>
      </c>
      <c t="s" s="121" r="B136">
        <v>20</v>
      </c>
      <c t="s" s="121" r="C136">
        <v>255</v>
      </c>
      <c t="s" s="142" r="D136">
        <v>355</v>
      </c>
      <c s="10" r="E136"/>
      <c s="10" r="F136"/>
      <c t="s" s="170" r="G136">
        <v>356</v>
      </c>
      <c s="170" r="H136"/>
    </row>
    <row customHeight="1" r="137" ht="76.5">
      <c t="s" s="10" r="A137">
        <v>360</v>
      </c>
      <c t="s" s="121" r="B137">
        <v>20</v>
      </c>
      <c t="s" s="121" r="C137">
        <v>255</v>
      </c>
      <c t="s" s="142" r="D137">
        <v>355</v>
      </c>
      <c s="10" r="E137"/>
      <c s="10" r="F137"/>
      <c t="s" s="170" r="G137">
        <v>356</v>
      </c>
      <c s="170" r="H137"/>
    </row>
    <row customHeight="1" r="138" ht="76.5">
      <c t="s" s="10" r="A138">
        <v>361</v>
      </c>
      <c t="s" s="121" r="B138">
        <v>20</v>
      </c>
      <c t="s" s="121" r="C138">
        <v>255</v>
      </c>
      <c t="s" s="142" r="D138">
        <v>355</v>
      </c>
      <c s="10" r="E138"/>
      <c s="10" r="F138"/>
      <c t="s" s="170" r="G138">
        <v>356</v>
      </c>
      <c s="170" r="H138"/>
    </row>
    <row customHeight="1" r="139" ht="63.75">
      <c t="s" s="10" r="A139">
        <v>362</v>
      </c>
      <c t="s" s="121" r="B139">
        <v>9</v>
      </c>
      <c t="s" s="121" r="C139">
        <v>363</v>
      </c>
      <c t="s" s="142" r="D139">
        <v>364</v>
      </c>
      <c t="s" s="170" r="E139">
        <v>365</v>
      </c>
      <c s="10" r="F139"/>
      <c t="s" s="170" r="G139">
        <v>366</v>
      </c>
      <c t="s" s="170" r="H139">
        <v>367</v>
      </c>
    </row>
    <row customHeight="1" r="140" ht="63.75">
      <c t="s" s="10" r="A140">
        <v>368</v>
      </c>
      <c t="s" s="121" r="B140">
        <v>9</v>
      </c>
      <c t="s" s="121" r="C140">
        <v>369</v>
      </c>
      <c t="s" s="142" r="D140">
        <v>364</v>
      </c>
      <c t="s" s="170" r="E140">
        <v>365</v>
      </c>
      <c s="10" r="F140"/>
      <c t="s" s="170" r="G140">
        <v>366</v>
      </c>
      <c t="s" s="170" r="H140">
        <v>367</v>
      </c>
    </row>
    <row customHeight="1" r="141" ht="105.0">
      <c t="s" s="10" r="A141">
        <v>370</v>
      </c>
      <c t="s" s="121" r="B141">
        <v>116</v>
      </c>
      <c t="s" s="121" r="C141">
        <v>333</v>
      </c>
      <c t="s" s="142" r="D141">
        <v>371</v>
      </c>
      <c t="s" s="170" r="E141">
        <v>343</v>
      </c>
      <c s="10" r="F141"/>
      <c t="s" s="170" r="G141">
        <v>372</v>
      </c>
      <c t="s" s="170" r="H141">
        <v>327</v>
      </c>
    </row>
    <row customHeight="1" r="142" ht="135.0">
      <c t="s" s="10" r="A142">
        <v>373</v>
      </c>
      <c t="s" s="121" r="B142">
        <v>116</v>
      </c>
      <c t="s" s="121" r="C142">
        <v>333</v>
      </c>
      <c t="s" s="142" r="D142">
        <v>374</v>
      </c>
      <c t="s" s="170" r="E142">
        <v>375</v>
      </c>
      <c s="10" r="F142"/>
      <c s="170" r="G142"/>
      <c t="s" s="170" r="H142">
        <v>376</v>
      </c>
    </row>
    <row customHeight="1" r="143" ht="135.0">
      <c t="s" s="10" r="A143">
        <v>377</v>
      </c>
      <c t="s" s="121" r="B143">
        <v>116</v>
      </c>
      <c t="s" s="121" r="C143">
        <v>333</v>
      </c>
      <c t="s" s="142" r="D143">
        <v>374</v>
      </c>
      <c t="s" s="170" r="E143">
        <v>375</v>
      </c>
      <c s="10" r="F143"/>
      <c s="170" r="G143"/>
      <c t="s" s="170" r="H143">
        <v>376</v>
      </c>
    </row>
    <row customHeight="1" r="144" ht="210.0">
      <c t="s" s="10" r="A144">
        <v>378</v>
      </c>
      <c t="s" s="121" r="B144">
        <v>116</v>
      </c>
      <c t="s" s="121" r="C144">
        <v>333</v>
      </c>
      <c t="s" s="142" r="D144">
        <v>379</v>
      </c>
      <c t="s" s="170" r="E144">
        <v>380</v>
      </c>
      <c s="10" r="F144"/>
      <c t="s" s="170" r="G144">
        <v>381</v>
      </c>
      <c t="s" s="170" r="H144">
        <v>382</v>
      </c>
    </row>
    <row customHeight="1" r="145" ht="210.0">
      <c t="s" s="10" r="A145">
        <v>383</v>
      </c>
      <c t="s" s="121" r="B145">
        <v>116</v>
      </c>
      <c t="s" s="121" r="C145">
        <v>333</v>
      </c>
      <c t="s" s="142" r="D145">
        <v>379</v>
      </c>
      <c t="s" s="170" r="E145">
        <v>380</v>
      </c>
      <c s="10" r="F145"/>
      <c t="s" s="170" r="G145">
        <v>381</v>
      </c>
      <c t="s" s="170" r="H145">
        <v>382</v>
      </c>
    </row>
    <row customHeight="1" r="146" ht="165.0">
      <c t="s" s="10" r="A146">
        <v>384</v>
      </c>
      <c t="s" s="121" r="B146">
        <v>116</v>
      </c>
      <c t="s" s="121" r="C146">
        <v>319</v>
      </c>
      <c t="s" s="142" r="D146">
        <v>385</v>
      </c>
      <c t="s" s="170" r="E146">
        <v>386</v>
      </c>
      <c s="10" r="F146"/>
      <c t="s" s="170" r="G146">
        <v>387</v>
      </c>
      <c t="s" s="170" r="H146">
        <v>388</v>
      </c>
    </row>
    <row customHeight="1" r="147" ht="135.0">
      <c t="s" s="10" r="A147">
        <v>389</v>
      </c>
      <c t="s" s="121" r="B147">
        <v>116</v>
      </c>
      <c t="s" s="121" r="C147">
        <v>333</v>
      </c>
      <c t="s" s="142" r="D147">
        <v>390</v>
      </c>
      <c t="s" s="170" r="E147">
        <v>391</v>
      </c>
      <c s="10" r="F147"/>
      <c t="s" s="170" r="G147">
        <v>392</v>
      </c>
      <c t="s" s="170" r="H147">
        <v>393</v>
      </c>
    </row>
    <row customHeight="1" r="148" ht="165.0">
      <c t="s" s="10" r="A148">
        <v>394</v>
      </c>
      <c t="s" s="121" r="B148">
        <v>116</v>
      </c>
      <c t="s" s="121" r="C148">
        <v>319</v>
      </c>
      <c t="s" s="142" r="D148">
        <v>395</v>
      </c>
      <c t="s" s="170" r="E148">
        <v>396</v>
      </c>
      <c s="10" r="F148"/>
      <c t="s" s="170" r="G148">
        <v>392</v>
      </c>
      <c t="s" s="170" r="H148">
        <v>397</v>
      </c>
    </row>
    <row customHeight="1" r="149" ht="165.0">
      <c t="s" s="10" r="A149">
        <v>398</v>
      </c>
      <c t="s" s="121" r="B149">
        <v>116</v>
      </c>
      <c t="s" s="121" r="C149">
        <v>319</v>
      </c>
      <c t="s" s="142" r="D149">
        <v>395</v>
      </c>
      <c t="s" s="170" r="E149">
        <v>396</v>
      </c>
      <c s="10" r="F149"/>
      <c t="s" s="170" r="G149">
        <v>392</v>
      </c>
      <c t="s" s="170" r="H149">
        <v>397</v>
      </c>
    </row>
    <row customHeight="1" r="150" ht="90.0">
      <c t="s" s="10" r="A150">
        <v>399</v>
      </c>
      <c t="s" s="121" r="B150">
        <v>9</v>
      </c>
      <c t="s" s="121" r="C150">
        <v>319</v>
      </c>
      <c t="s" s="142" r="D150">
        <v>400</v>
      </c>
      <c s="170" r="E150"/>
      <c s="10" r="F150"/>
      <c t="s" s="170" r="G150">
        <v>401</v>
      </c>
      <c t="s" s="170" r="H150">
        <v>327</v>
      </c>
    </row>
    <row customHeight="1" r="151" ht="405.0">
      <c t="s" s="10" r="A151">
        <v>402</v>
      </c>
      <c t="s" s="121" r="B151">
        <v>116</v>
      </c>
      <c t="s" s="121" r="C151">
        <v>319</v>
      </c>
      <c t="s" s="142" r="D151">
        <v>403</v>
      </c>
      <c t="s" s="170" r="E151">
        <v>404</v>
      </c>
      <c s="10" r="F151"/>
      <c t="s" s="170" r="G151">
        <v>405</v>
      </c>
      <c t="s" s="170" r="H151">
        <v>406</v>
      </c>
    </row>
    <row customHeight="1" r="152" ht="405.0">
      <c t="s" s="10" r="A152">
        <v>407</v>
      </c>
      <c t="s" s="121" r="B152">
        <v>116</v>
      </c>
      <c t="s" s="121" r="C152">
        <v>319</v>
      </c>
      <c t="s" s="142" r="D152">
        <v>403</v>
      </c>
      <c t="s" s="170" r="E152">
        <v>404</v>
      </c>
      <c s="10" r="F152"/>
      <c t="s" s="170" r="G152">
        <v>405</v>
      </c>
      <c t="s" s="170" r="H152">
        <v>406</v>
      </c>
    </row>
    <row customHeight="1" r="153" ht="38.25">
      <c t="s" s="10" r="A153">
        <v>408</v>
      </c>
      <c t="s" s="121" r="B153">
        <v>20</v>
      </c>
      <c t="s" s="121" r="C153">
        <v>255</v>
      </c>
      <c t="s" s="142" r="D153">
        <v>409</v>
      </c>
      <c s="170" r="E153"/>
      <c s="10" r="F153"/>
      <c t="s" s="170" r="G153">
        <v>410</v>
      </c>
      <c t="s" s="170" r="H153">
        <v>411</v>
      </c>
    </row>
    <row customHeight="1" r="154" ht="38.25">
      <c t="s" s="10" r="A154">
        <v>412</v>
      </c>
      <c t="s" s="121" r="B154">
        <v>20</v>
      </c>
      <c t="s" s="121" r="C154">
        <v>255</v>
      </c>
      <c t="s" s="142" r="D154">
        <v>409</v>
      </c>
      <c s="170" r="E154"/>
      <c s="10" r="F154"/>
      <c t="s" s="170" r="G154">
        <v>410</v>
      </c>
      <c t="s" s="170" r="H154">
        <v>411</v>
      </c>
    </row>
    <row customHeight="1" r="155" ht="102.0">
      <c t="s" s="10" r="A155">
        <v>413</v>
      </c>
      <c t="s" s="121" r="B155">
        <v>414</v>
      </c>
      <c t="s" s="121" r="C155">
        <v>255</v>
      </c>
      <c t="s" s="142" r="D155">
        <v>409</v>
      </c>
      <c t="s" s="170" r="E155">
        <v>100</v>
      </c>
      <c s="10" r="F155"/>
      <c t="s" s="170" r="G155">
        <v>415</v>
      </c>
      <c t="s" s="170" r="H155">
        <v>348</v>
      </c>
    </row>
    <row customHeight="1" r="156" ht="102.0">
      <c t="s" s="10" r="A156">
        <v>416</v>
      </c>
      <c t="s" s="121" r="B156">
        <v>414</v>
      </c>
      <c t="s" s="121" r="C156">
        <v>255</v>
      </c>
      <c t="s" s="142" r="D156">
        <v>409</v>
      </c>
      <c t="s" s="170" r="E156">
        <v>100</v>
      </c>
      <c s="10" r="F156"/>
      <c t="s" s="170" r="G156">
        <v>415</v>
      </c>
      <c t="s" s="170" r="H156">
        <v>348</v>
      </c>
    </row>
    <row customHeight="1" r="157" ht="102.0">
      <c t="s" s="10" r="A157">
        <v>417</v>
      </c>
      <c t="s" s="121" r="B157">
        <v>414</v>
      </c>
      <c t="s" s="121" r="C157">
        <v>255</v>
      </c>
      <c t="s" s="142" r="D157">
        <v>409</v>
      </c>
      <c t="s" s="170" r="E157">
        <v>100</v>
      </c>
      <c s="10" r="F157"/>
      <c t="s" s="170" r="G157">
        <v>415</v>
      </c>
      <c t="s" s="170" r="H157">
        <v>348</v>
      </c>
    </row>
    <row customHeight="1" r="158" ht="102.0">
      <c t="s" s="10" r="A158">
        <v>418</v>
      </c>
      <c t="s" s="121" r="B158">
        <v>414</v>
      </c>
      <c t="s" s="121" r="C158">
        <v>255</v>
      </c>
      <c t="s" s="142" r="D158">
        <v>409</v>
      </c>
      <c t="s" s="170" r="E158">
        <v>100</v>
      </c>
      <c s="10" r="F158"/>
      <c t="s" s="170" r="G158">
        <v>415</v>
      </c>
      <c t="s" s="170" r="H158">
        <v>348</v>
      </c>
    </row>
    <row customHeight="1" r="159" ht="150.0">
      <c t="s" s="10" r="A159">
        <v>419</v>
      </c>
      <c t="s" s="121" r="B159">
        <v>420</v>
      </c>
      <c t="s" s="121" r="C159">
        <v>421</v>
      </c>
      <c t="s" s="142" r="D159">
        <v>422</v>
      </c>
      <c s="170" r="E159"/>
      <c s="10" r="F159"/>
      <c t="s" s="170" r="G159">
        <v>423</v>
      </c>
      <c t="s" s="170" r="H159">
        <v>424</v>
      </c>
    </row>
    <row customHeight="1" r="160" ht="63.75">
      <c t="s" s="10" r="A160">
        <v>425</v>
      </c>
      <c t="s" s="121" r="B160">
        <v>116</v>
      </c>
      <c t="s" s="121" r="C160">
        <v>421</v>
      </c>
      <c t="s" s="142" r="D160">
        <v>426</v>
      </c>
      <c s="170" r="E160"/>
      <c s="10" r="F160"/>
      <c t="s" s="170" r="G160">
        <v>427</v>
      </c>
      <c t="s" s="170" r="H160">
        <v>424</v>
      </c>
    </row>
    <row customHeight="1" r="161" ht="51.0">
      <c t="s" s="10" r="A161">
        <v>428</v>
      </c>
      <c t="s" s="121" r="B161">
        <v>20</v>
      </c>
      <c t="s" s="121" r="C161">
        <v>429</v>
      </c>
      <c t="s" s="142" r="D161">
        <v>430</v>
      </c>
      <c t="s" s="170" r="E161">
        <v>257</v>
      </c>
      <c s="10" r="F161"/>
      <c t="s" s="170" r="G161">
        <v>431</v>
      </c>
      <c t="s" s="170" r="H161">
        <v>432</v>
      </c>
    </row>
    <row customHeight="1" r="162" ht="51.0">
      <c t="s" s="10" r="A162">
        <v>433</v>
      </c>
      <c t="s" s="121" r="B162">
        <v>20</v>
      </c>
      <c t="s" s="121" r="C162">
        <v>429</v>
      </c>
      <c t="s" s="142" r="D162">
        <v>430</v>
      </c>
      <c t="s" s="170" r="E162">
        <v>257</v>
      </c>
      <c s="10" r="F162"/>
      <c t="s" s="170" r="G162">
        <v>431</v>
      </c>
      <c t="s" s="170" r="H162">
        <v>432</v>
      </c>
    </row>
    <row customHeight="1" r="163" ht="153.0">
      <c t="s" s="10" r="A163">
        <v>434</v>
      </c>
      <c t="s" s="121" r="B163">
        <v>20</v>
      </c>
      <c t="s" s="121" r="C163">
        <v>363</v>
      </c>
      <c t="s" s="142" r="D163">
        <v>435</v>
      </c>
      <c t="s" s="170" r="E163">
        <v>436</v>
      </c>
      <c s="10" r="F163"/>
      <c t="s" s="170" r="G163">
        <v>437</v>
      </c>
      <c t="s" s="170" r="H163">
        <v>438</v>
      </c>
    </row>
    <row customHeight="1" r="164" ht="153.0">
      <c t="s" s="10" r="A164">
        <v>439</v>
      </c>
      <c t="s" s="121" r="B164">
        <v>20</v>
      </c>
      <c t="s" s="121" r="C164">
        <v>369</v>
      </c>
      <c t="s" s="142" r="D164">
        <v>435</v>
      </c>
      <c t="s" s="170" r="E164">
        <v>436</v>
      </c>
      <c s="10" r="F164"/>
      <c t="s" s="170" r="G164">
        <v>437</v>
      </c>
      <c t="s" s="170" r="H164">
        <v>438</v>
      </c>
    </row>
    <row customHeight="1" r="165" ht="102.0">
      <c t="s" s="10" r="A165">
        <v>440</v>
      </c>
      <c t="s" s="121" r="B165">
        <v>20</v>
      </c>
      <c t="s" s="121" r="C165">
        <v>363</v>
      </c>
      <c t="s" s="142" r="D165">
        <v>435</v>
      </c>
      <c t="s" s="170" r="E165">
        <v>441</v>
      </c>
      <c s="10" r="F165"/>
      <c t="s" s="170" r="G165">
        <v>442</v>
      </c>
      <c t="s" s="170" r="H165">
        <v>443</v>
      </c>
    </row>
    <row customHeight="1" r="166" ht="102.0">
      <c t="s" s="10" r="A166">
        <v>444</v>
      </c>
      <c t="s" s="121" r="B166">
        <v>20</v>
      </c>
      <c t="s" s="121" r="C166">
        <v>369</v>
      </c>
      <c t="s" s="142" r="D166">
        <v>435</v>
      </c>
      <c t="s" s="170" r="E166">
        <v>441</v>
      </c>
      <c s="10" r="F166"/>
      <c t="s" s="170" r="G166">
        <v>442</v>
      </c>
      <c t="s" s="170" r="H166">
        <v>443</v>
      </c>
    </row>
    <row customHeight="1" r="167" ht="25.5">
      <c t="s" s="10" r="A167">
        <v>445</v>
      </c>
      <c t="s" s="121" r="B167">
        <v>20</v>
      </c>
      <c t="s" s="121" r="C167">
        <v>363</v>
      </c>
      <c t="s" s="142" r="D167">
        <v>446</v>
      </c>
      <c s="170" r="E167"/>
      <c s="10" r="F167"/>
      <c t="s" s="170" r="G167">
        <v>447</v>
      </c>
      <c t="s" s="170" r="H167">
        <v>448</v>
      </c>
    </row>
    <row customHeight="1" r="168" ht="25.5">
      <c t="s" s="10" r="A168">
        <v>449</v>
      </c>
      <c t="s" s="121" r="B168">
        <v>20</v>
      </c>
      <c t="s" s="121" r="C168">
        <v>369</v>
      </c>
      <c t="s" s="142" r="D168">
        <v>446</v>
      </c>
      <c s="170" r="E168"/>
      <c s="10" r="F168"/>
      <c t="s" s="170" r="G168">
        <v>447</v>
      </c>
      <c t="s" s="170" r="H168">
        <v>448</v>
      </c>
    </row>
    <row customHeight="1" r="169" ht="267.75">
      <c t="s" s="10" r="A169">
        <v>450</v>
      </c>
      <c t="s" s="121" r="B169">
        <v>20</v>
      </c>
      <c t="s" s="121" r="C169">
        <v>451</v>
      </c>
      <c t="s" s="142" r="D169">
        <v>452</v>
      </c>
      <c t="s" s="170" r="E169">
        <v>100</v>
      </c>
      <c s="10" r="F169"/>
      <c t="s" s="170" r="G169">
        <v>453</v>
      </c>
      <c t="s" s="170" r="H169">
        <v>454</v>
      </c>
    </row>
    <row customHeight="1" r="170" ht="267.75">
      <c t="s" s="10" r="A170">
        <v>455</v>
      </c>
      <c t="s" s="121" r="B170">
        <v>20</v>
      </c>
      <c t="s" s="121" r="C170">
        <v>451</v>
      </c>
      <c t="s" s="142" r="D170">
        <v>452</v>
      </c>
      <c t="s" s="170" r="E170">
        <v>100</v>
      </c>
      <c s="10" r="F170"/>
      <c t="s" s="170" r="G170">
        <v>453</v>
      </c>
      <c t="s" s="170" r="H170">
        <v>454</v>
      </c>
    </row>
    <row customHeight="1" r="171" ht="75.0">
      <c t="s" s="10" r="A171">
        <v>456</v>
      </c>
      <c t="s" s="121" r="B171">
        <v>9</v>
      </c>
      <c t="s" s="121" r="C171">
        <v>451</v>
      </c>
      <c t="s" s="142" r="D171">
        <v>457</v>
      </c>
      <c t="s" s="170" r="E171">
        <v>106</v>
      </c>
      <c s="10" r="F171"/>
      <c t="s" s="170" r="G171">
        <v>458</v>
      </c>
      <c s="170" r="H171"/>
    </row>
    <row customHeight="1" r="172" ht="75.0">
      <c t="s" s="10" r="A172">
        <v>459</v>
      </c>
      <c t="s" s="121" r="B172">
        <v>9</v>
      </c>
      <c t="s" s="121" r="C172">
        <v>451</v>
      </c>
      <c t="s" s="142" r="D172">
        <v>457</v>
      </c>
      <c t="s" s="170" r="E172">
        <v>106</v>
      </c>
      <c s="10" r="F172"/>
      <c t="s" s="170" r="G172">
        <v>458</v>
      </c>
      <c s="170" r="H172"/>
    </row>
    <row customHeight="1" r="173" ht="165.0">
      <c t="s" s="10" r="A173">
        <v>460</v>
      </c>
      <c t="s" s="121" r="B173">
        <v>20</v>
      </c>
      <c t="s" s="121" r="C173">
        <v>461</v>
      </c>
      <c t="s" s="142" r="D173">
        <v>462</v>
      </c>
      <c s="170" r="E173"/>
      <c s="10" r="F173"/>
      <c t="s" s="170" r="G173">
        <v>463</v>
      </c>
      <c t="s" s="170" r="H173">
        <v>464</v>
      </c>
    </row>
    <row customHeight="1" r="174" ht="30.0">
      <c t="s" s="10" r="A174">
        <v>465</v>
      </c>
      <c t="s" s="121" r="B174">
        <v>172</v>
      </c>
      <c t="s" s="121" r="C174">
        <v>466</v>
      </c>
      <c t="s" s="142" r="D174">
        <v>467</v>
      </c>
      <c s="170" r="E174"/>
      <c s="10" r="F174"/>
      <c s="170" r="G174"/>
      <c s="170" r="H174"/>
    </row>
    <row customHeight="1" r="175" ht="30.0">
      <c t="s" s="10" r="A175">
        <v>468</v>
      </c>
      <c t="s" s="121" r="B175">
        <v>172</v>
      </c>
      <c t="s" s="121" r="C175">
        <v>466</v>
      </c>
      <c t="s" s="142" r="D175">
        <v>467</v>
      </c>
      <c s="170" r="E175"/>
      <c s="10" r="F175"/>
      <c s="170" r="G175"/>
      <c s="170" r="H175"/>
    </row>
    <row customHeight="1" r="176" ht="280.5">
      <c t="s" s="10" r="A176">
        <v>469</v>
      </c>
      <c t="s" s="121" r="B176">
        <v>20</v>
      </c>
      <c t="s" s="121" r="C176">
        <v>466</v>
      </c>
      <c t="s" s="142" r="D176">
        <v>470</v>
      </c>
      <c t="s" s="170" r="E176">
        <v>471</v>
      </c>
      <c s="10" r="F176"/>
      <c t="s" s="170" r="G176">
        <v>472</v>
      </c>
      <c t="s" s="170" r="H176">
        <v>473</v>
      </c>
    </row>
    <row customHeight="1" r="177" ht="280.5">
      <c t="s" s="10" r="A177">
        <v>474</v>
      </c>
      <c t="s" s="121" r="B177">
        <v>20</v>
      </c>
      <c t="s" s="121" r="C177">
        <v>466</v>
      </c>
      <c t="s" s="142" r="D177">
        <v>470</v>
      </c>
      <c t="s" s="170" r="E177">
        <v>471</v>
      </c>
      <c s="10" r="F177"/>
      <c t="s" s="170" r="G177">
        <v>472</v>
      </c>
      <c t="s" s="170" r="H177">
        <v>473</v>
      </c>
    </row>
    <row customHeight="1" r="178" ht="267.75">
      <c t="s" s="10" r="A178">
        <v>475</v>
      </c>
      <c t="s" s="121" r="B178">
        <v>20</v>
      </c>
      <c t="s" s="121" r="C178">
        <v>476</v>
      </c>
      <c t="s" s="142" r="D178">
        <v>477</v>
      </c>
      <c s="170" r="E178"/>
      <c s="10" r="F178"/>
      <c t="s" s="170" r="G178">
        <v>478</v>
      </c>
      <c t="s" s="170" r="H178">
        <v>479</v>
      </c>
    </row>
    <row customHeight="1" r="179" ht="15.0">
      <c t="s" s="10" r="A179">
        <v>480</v>
      </c>
      <c t="s" s="121" r="B179">
        <v>481</v>
      </c>
      <c t="s" s="121" r="C179">
        <v>104</v>
      </c>
      <c t="s" s="142" r="D179">
        <v>482</v>
      </c>
      <c s="170" r="E179"/>
      <c s="10" r="F179"/>
      <c s="170" r="G179"/>
      <c s="170" r="H179"/>
    </row>
    <row customHeight="1" r="180" ht="15.0">
      <c t="s" s="10" r="A180">
        <v>483</v>
      </c>
      <c t="s" s="121" r="B180">
        <v>481</v>
      </c>
      <c t="s" s="121" r="C180">
        <v>104</v>
      </c>
      <c t="s" s="142" r="D180">
        <v>482</v>
      </c>
      <c s="170" r="E180"/>
      <c s="10" r="F180"/>
      <c s="170" r="G180"/>
      <c s="170" r="H180"/>
    </row>
    <row customHeight="1" r="181" ht="150.0">
      <c t="s" s="10" r="A181">
        <v>484</v>
      </c>
      <c t="s" s="121" r="B181">
        <v>9</v>
      </c>
      <c t="s" s="121" r="C181">
        <v>485</v>
      </c>
      <c t="s" s="142" r="D181">
        <v>486</v>
      </c>
      <c s="170" r="E181"/>
      <c s="10" r="F181"/>
      <c s="170" r="G181"/>
      <c t="s" s="170" r="H181">
        <v>487</v>
      </c>
    </row>
    <row customHeight="1" r="182" ht="150.0">
      <c t="s" s="10" r="A182">
        <v>488</v>
      </c>
      <c t="s" s="121" r="B182">
        <v>9</v>
      </c>
      <c t="s" s="121" r="C182">
        <v>485</v>
      </c>
      <c t="s" s="142" r="D182">
        <v>486</v>
      </c>
      <c s="170" r="E182"/>
      <c s="10" r="F182"/>
      <c s="170" r="G182"/>
      <c t="s" s="170" r="H182">
        <v>487</v>
      </c>
    </row>
    <row customHeight="1" r="183" ht="165.75">
      <c t="s" s="10" r="A183">
        <v>489</v>
      </c>
      <c t="s" s="121" r="B183">
        <v>9</v>
      </c>
      <c t="s" s="121" r="C183">
        <v>363</v>
      </c>
      <c t="s" s="142" r="D183">
        <v>490</v>
      </c>
      <c s="170" r="E183"/>
      <c s="10" r="F183"/>
      <c t="s" s="170" r="G183">
        <v>491</v>
      </c>
      <c t="s" s="170" r="H183">
        <v>492</v>
      </c>
    </row>
    <row customHeight="1" r="184" ht="165.75">
      <c t="s" s="10" r="A184">
        <v>493</v>
      </c>
      <c t="s" s="121" r="B184">
        <v>9</v>
      </c>
      <c t="s" s="121" r="C184">
        <v>369</v>
      </c>
      <c t="s" s="142" r="D184">
        <v>494</v>
      </c>
      <c s="170" r="E184"/>
      <c s="10" r="F184"/>
      <c t="s" s="170" r="G184">
        <v>491</v>
      </c>
      <c t="s" s="170" r="H184">
        <v>492</v>
      </c>
    </row>
    <row customHeight="1" r="185" ht="15.0">
      <c t="s" s="10" r="A185">
        <v>495</v>
      </c>
      <c t="s" s="121" r="B185">
        <v>9</v>
      </c>
      <c t="s" s="121" r="C185">
        <v>369</v>
      </c>
      <c t="s" s="142" r="D185">
        <v>494</v>
      </c>
      <c s="170" r="E185"/>
      <c s="10" r="F185"/>
      <c s="170" r="G185"/>
      <c s="170" r="H185"/>
    </row>
    <row customHeight="1" r="186" ht="102.0">
      <c t="s" s="10" r="A186">
        <v>496</v>
      </c>
      <c t="s" s="121" r="B186">
        <v>9</v>
      </c>
      <c t="s" s="121" r="C186">
        <v>485</v>
      </c>
      <c t="s" s="142" r="D186">
        <v>497</v>
      </c>
      <c s="170" r="E186"/>
      <c s="10" r="F186"/>
      <c t="s" s="170" r="G186">
        <v>498</v>
      </c>
      <c t="s" s="170" r="H186">
        <v>499</v>
      </c>
    </row>
    <row customHeight="1" r="187" ht="15.0">
      <c t="s" s="10" r="A187">
        <v>500</v>
      </c>
      <c t="s" s="121" r="B187">
        <v>9</v>
      </c>
      <c t="s" s="121" r="C187">
        <v>501</v>
      </c>
      <c t="s" s="142" r="D187">
        <v>502</v>
      </c>
      <c s="170" r="E187"/>
      <c s="10" r="F187"/>
      <c s="170" r="G187"/>
      <c s="170" r="H187"/>
    </row>
    <row customHeight="1" r="188" ht="15.0">
      <c t="s" s="10" r="A188">
        <v>503</v>
      </c>
      <c t="s" s="121" r="B188">
        <v>9</v>
      </c>
      <c t="s" s="121" r="C188">
        <v>504</v>
      </c>
      <c t="s" s="142" r="D188">
        <v>502</v>
      </c>
      <c s="170" r="E188"/>
      <c s="10" r="F188"/>
      <c s="170" r="G188"/>
      <c s="170" r="H188"/>
    </row>
    <row customHeight="1" r="189" ht="127.5">
      <c t="s" s="10" r="A189">
        <v>505</v>
      </c>
      <c t="s" s="121" r="B189">
        <v>9</v>
      </c>
      <c t="s" s="121" r="C189">
        <v>255</v>
      </c>
      <c t="s" s="142" r="D189">
        <v>506</v>
      </c>
      <c s="170" r="E189"/>
      <c s="10" r="F189"/>
      <c t="s" s="170" r="G189">
        <v>507</v>
      </c>
      <c t="s" s="170" r="H189">
        <v>508</v>
      </c>
    </row>
    <row customHeight="1" r="190" ht="127.5">
      <c t="s" s="10" r="A190">
        <v>509</v>
      </c>
      <c t="s" s="121" r="B190">
        <v>9</v>
      </c>
      <c t="s" s="121" r="C190">
        <v>255</v>
      </c>
      <c t="s" s="142" r="D190">
        <v>506</v>
      </c>
      <c s="170" r="E190"/>
      <c s="10" r="F190"/>
      <c t="s" s="170" r="G190">
        <v>507</v>
      </c>
      <c t="s" s="170" r="H190">
        <v>508</v>
      </c>
    </row>
    <row customHeight="1" r="191" ht="15.0">
      <c t="s" s="10" r="A191">
        <v>510</v>
      </c>
      <c t="s" s="121" r="B191">
        <v>9</v>
      </c>
      <c t="s" s="121" r="C191">
        <v>255</v>
      </c>
      <c t="s" s="142" r="D191">
        <v>73</v>
      </c>
      <c s="170" r="E191"/>
      <c s="10" r="F191"/>
      <c s="170" r="G191"/>
      <c s="170" r="H191"/>
    </row>
    <row customHeight="1" r="192" ht="15.0">
      <c t="s" s="10" r="A192">
        <v>511</v>
      </c>
      <c t="s" s="121" r="B192">
        <v>9</v>
      </c>
      <c t="s" s="121" r="C192">
        <v>255</v>
      </c>
      <c t="s" s="142" r="D192">
        <v>73</v>
      </c>
      <c s="170" r="E192"/>
      <c s="10" r="F192"/>
      <c s="170" r="G192"/>
      <c s="170" r="H192"/>
    </row>
    <row customHeight="1" r="193" ht="38.25">
      <c t="s" s="10" r="A193">
        <v>512</v>
      </c>
      <c t="s" s="121" r="B193">
        <v>9</v>
      </c>
      <c t="s" s="121" r="C193">
        <v>255</v>
      </c>
      <c t="s" s="142" r="D193">
        <v>73</v>
      </c>
      <c t="s" s="170" r="E193">
        <v>513</v>
      </c>
      <c s="10" r="F193"/>
      <c t="s" s="170" r="G193">
        <v>514</v>
      </c>
      <c s="170" r="H193"/>
    </row>
    <row customHeight="1" r="194" ht="38.25">
      <c t="s" s="10" r="A194">
        <v>515</v>
      </c>
      <c t="s" s="121" r="B194">
        <v>9</v>
      </c>
      <c t="s" s="121" r="C194">
        <v>255</v>
      </c>
      <c t="s" s="142" r="D194">
        <v>73</v>
      </c>
      <c t="s" s="170" r="E194">
        <v>513</v>
      </c>
      <c s="10" r="F194"/>
      <c t="s" s="170" r="G194">
        <v>514</v>
      </c>
      <c s="170" r="H194"/>
    </row>
    <row customHeight="1" r="195" ht="15.0">
      <c t="s" s="10" r="A195">
        <v>516</v>
      </c>
      <c t="s" s="121" r="B195">
        <v>9</v>
      </c>
      <c t="s" s="121" r="C195">
        <v>255</v>
      </c>
      <c t="s" s="142" r="D195">
        <v>517</v>
      </c>
      <c s="170" r="E195"/>
      <c s="10" r="F195"/>
      <c s="170" r="G195"/>
      <c s="170" r="H195"/>
    </row>
    <row customHeight="1" r="196" ht="15.0">
      <c t="s" s="10" r="A196">
        <v>518</v>
      </c>
      <c t="s" s="121" r="B196">
        <v>9</v>
      </c>
      <c t="s" s="121" r="C196">
        <v>255</v>
      </c>
      <c t="s" s="142" r="D196">
        <v>73</v>
      </c>
      <c s="170" r="E196"/>
      <c s="10" r="F196"/>
      <c s="170" r="G196"/>
      <c s="170" r="H196"/>
    </row>
    <row customHeight="1" r="197" ht="15.0">
      <c t="s" s="10" r="A197">
        <v>519</v>
      </c>
      <c t="s" s="121" r="B197">
        <v>9</v>
      </c>
      <c t="s" s="121" r="C197">
        <v>255</v>
      </c>
      <c t="s" s="142" r="D197">
        <v>73</v>
      </c>
      <c s="170" r="E197"/>
      <c s="10" r="F197"/>
      <c s="170" r="G197"/>
      <c s="170" r="H197"/>
    </row>
    <row customHeight="1" r="198" ht="15.0">
      <c t="s" s="10" r="A198">
        <v>520</v>
      </c>
      <c t="s" s="121" r="B198">
        <v>9</v>
      </c>
      <c t="s" s="121" r="C198">
        <v>255</v>
      </c>
      <c t="s" s="142" r="D198">
        <v>73</v>
      </c>
      <c s="170" r="E198"/>
      <c s="10" r="F198"/>
      <c s="170" r="G198"/>
      <c s="170" r="H198"/>
    </row>
    <row customHeight="1" r="199" ht="15.0">
      <c t="s" s="10" r="A199">
        <v>521</v>
      </c>
      <c t="s" s="121" r="B199">
        <v>9</v>
      </c>
      <c t="s" s="121" r="C199">
        <v>255</v>
      </c>
      <c t="s" s="142" r="D199">
        <v>73</v>
      </c>
      <c s="170" r="E199"/>
      <c s="10" r="F199"/>
      <c s="170" r="G199"/>
      <c s="170" r="H199"/>
    </row>
    <row customHeight="1" r="200" ht="15.0">
      <c t="s" s="10" r="A200">
        <v>522</v>
      </c>
      <c t="s" s="121" r="B200">
        <v>9</v>
      </c>
      <c t="s" s="121" r="C200">
        <v>255</v>
      </c>
      <c t="s" s="142" r="D200">
        <v>73</v>
      </c>
      <c s="170" r="E200"/>
      <c s="10" r="F200"/>
      <c s="170" r="G200"/>
      <c s="170" r="H200"/>
    </row>
    <row customHeight="1" r="201" ht="15.0">
      <c t="s" s="10" r="A201">
        <v>523</v>
      </c>
      <c t="s" s="121" r="B201">
        <v>524</v>
      </c>
      <c t="s" s="121" r="C201">
        <v>255</v>
      </c>
      <c t="s" s="142" r="D201">
        <v>524</v>
      </c>
      <c s="170" r="E201"/>
      <c s="10" r="F201"/>
      <c s="170" r="G201"/>
      <c s="170" r="H201"/>
    </row>
    <row customHeight="1" r="202" ht="15.0">
      <c t="s" s="10" r="A202">
        <v>525</v>
      </c>
      <c t="s" s="121" r="B202">
        <v>524</v>
      </c>
      <c t="s" s="121" r="C202">
        <v>255</v>
      </c>
      <c t="s" s="142" r="D202">
        <v>524</v>
      </c>
      <c s="170" r="E202"/>
      <c s="10" r="F202"/>
      <c s="170" r="G202"/>
      <c s="170" r="H202"/>
    </row>
    <row customHeight="1" r="203" ht="30.0">
      <c t="s" s="10" r="A203">
        <v>526</v>
      </c>
      <c t="s" s="121" r="B203">
        <v>527</v>
      </c>
      <c t="s" s="121" r="C203">
        <v>255</v>
      </c>
      <c t="s" s="142" r="D203">
        <v>528</v>
      </c>
      <c s="170" r="E203"/>
      <c s="10" r="F203"/>
      <c s="170" r="G203"/>
      <c s="170" r="H203"/>
    </row>
    <row customHeight="1" r="204" ht="30.0">
      <c t="s" s="10" r="A204">
        <v>529</v>
      </c>
      <c t="s" s="121" r="B204">
        <v>527</v>
      </c>
      <c t="s" s="121" r="C204">
        <v>255</v>
      </c>
      <c t="s" s="142" r="D204">
        <v>528</v>
      </c>
      <c s="170" r="E204"/>
      <c s="10" r="F204"/>
      <c s="170" r="G204"/>
      <c s="170" r="H204"/>
    </row>
    <row customHeight="1" r="205" ht="15.0">
      <c t="s" s="10" r="A205">
        <v>530</v>
      </c>
      <c t="s" s="121" r="B205">
        <v>73</v>
      </c>
      <c t="s" s="121" r="C205">
        <v>255</v>
      </c>
      <c t="s" s="142" r="D205">
        <v>73</v>
      </c>
      <c s="170" r="E205"/>
      <c s="10" r="F205"/>
      <c s="170" r="G205"/>
      <c s="170" r="H205"/>
    </row>
    <row customHeight="1" r="206" ht="76.5">
      <c t="s" s="10" r="A206">
        <v>531</v>
      </c>
      <c t="s" s="121" r="B206">
        <v>73</v>
      </c>
      <c t="s" s="121" r="C206">
        <v>532</v>
      </c>
      <c t="s" s="142" r="D206">
        <v>73</v>
      </c>
      <c t="s" s="170" r="E206">
        <v>533</v>
      </c>
      <c s="10" r="F206"/>
      <c t="s" s="170" r="G206">
        <v>534</v>
      </c>
      <c s="170" r="H206"/>
    </row>
    <row customHeight="1" r="207" ht="76.5">
      <c t="s" s="10" r="A207">
        <v>535</v>
      </c>
      <c t="s" s="121" r="B207">
        <v>9</v>
      </c>
      <c t="s" s="121" r="C207">
        <v>255</v>
      </c>
      <c t="s" s="142" r="D207">
        <v>73</v>
      </c>
      <c s="170" r="E207"/>
      <c s="10" r="F207"/>
      <c s="170" r="G207"/>
      <c t="s" s="170" r="H207">
        <v>536</v>
      </c>
    </row>
    <row customHeight="1" r="208" ht="76.5">
      <c t="s" s="10" r="A208">
        <v>537</v>
      </c>
      <c t="s" s="121" r="B208">
        <v>9</v>
      </c>
      <c t="s" s="121" r="C208">
        <v>255</v>
      </c>
      <c t="s" s="142" r="D208">
        <v>73</v>
      </c>
      <c s="170" r="E208"/>
      <c s="10" r="F208"/>
      <c s="170" r="G208"/>
      <c t="s" s="170" r="H208">
        <v>536</v>
      </c>
    </row>
    <row customHeight="1" r="209" ht="15.0">
      <c t="s" s="10" r="A209">
        <v>538</v>
      </c>
      <c t="s" s="121" r="B209">
        <v>524</v>
      </c>
      <c t="s" s="121" r="C209">
        <v>255</v>
      </c>
      <c t="s" s="142" r="D209">
        <v>539</v>
      </c>
      <c s="170" r="E209"/>
      <c s="10" r="F209"/>
      <c s="170" r="G209"/>
      <c s="170" r="H209"/>
    </row>
    <row customHeight="1" r="210" ht="15.0">
      <c t="s" s="10" r="A210">
        <v>540</v>
      </c>
      <c t="s" s="121" r="B210">
        <v>524</v>
      </c>
      <c t="s" s="121" r="C210">
        <v>255</v>
      </c>
      <c t="s" s="142" r="D210">
        <v>539</v>
      </c>
      <c s="170" r="E210"/>
      <c s="10" r="F210"/>
      <c s="170" r="G210"/>
      <c s="170" r="H210"/>
    </row>
    <row customHeight="1" r="211" ht="15.0">
      <c t="s" s="10" r="A211">
        <v>541</v>
      </c>
      <c t="s" s="121" r="B211">
        <v>524</v>
      </c>
      <c t="s" s="121" r="C211">
        <v>255</v>
      </c>
      <c t="s" s="142" r="D211">
        <v>539</v>
      </c>
      <c s="170" r="E211"/>
      <c s="10" r="F211"/>
      <c s="170" r="G211"/>
      <c s="170" r="H211"/>
    </row>
    <row customHeight="1" r="212" ht="15.0">
      <c t="s" s="10" r="A212">
        <v>542</v>
      </c>
      <c t="s" s="121" r="B212">
        <v>524</v>
      </c>
      <c t="s" s="121" r="C212">
        <v>255</v>
      </c>
      <c t="s" s="142" r="D212">
        <v>539</v>
      </c>
      <c s="170" r="E212"/>
      <c s="10" r="F212"/>
      <c s="170" r="G212"/>
      <c s="170" r="H212"/>
    </row>
    <row customHeight="1" r="213" ht="15.0">
      <c t="s" s="10" r="A213">
        <v>543</v>
      </c>
      <c t="s" s="121" r="B213">
        <v>524</v>
      </c>
      <c t="s" s="121" r="C213">
        <v>255</v>
      </c>
      <c t="s" s="142" r="D213">
        <v>539</v>
      </c>
      <c s="170" r="E213"/>
      <c s="10" r="F213"/>
      <c s="170" r="G213"/>
      <c s="170" r="H213"/>
    </row>
    <row customHeight="1" r="214" ht="15.0">
      <c t="s" s="10" r="A214">
        <v>544</v>
      </c>
      <c t="s" s="121" r="B214">
        <v>524</v>
      </c>
      <c t="s" s="121" r="C214">
        <v>255</v>
      </c>
      <c t="s" s="142" r="D214">
        <v>539</v>
      </c>
      <c s="170" r="E214"/>
      <c s="10" r="F214"/>
      <c s="170" r="G214"/>
      <c s="170" r="H214"/>
    </row>
    <row customHeight="1" r="215" ht="102.0">
      <c t="s" s="10" r="A215">
        <v>545</v>
      </c>
      <c t="s" s="121" r="B215">
        <v>116</v>
      </c>
      <c t="s" s="121" r="C215">
        <v>255</v>
      </c>
      <c t="s" s="142" r="D215">
        <v>524</v>
      </c>
      <c t="s" s="170" r="E215">
        <v>533</v>
      </c>
      <c s="10" r="F215"/>
      <c t="s" s="170" r="G215">
        <v>546</v>
      </c>
      <c t="s" s="170" r="H215">
        <v>547</v>
      </c>
    </row>
    <row customHeight="1" r="216" ht="102.0">
      <c t="s" s="10" r="A216">
        <v>548</v>
      </c>
      <c t="s" s="121" r="B216">
        <v>116</v>
      </c>
      <c t="s" s="121" r="C216">
        <v>255</v>
      </c>
      <c t="s" s="142" r="D216">
        <v>524</v>
      </c>
      <c t="s" s="170" r="E216">
        <v>533</v>
      </c>
      <c s="10" r="F216"/>
      <c t="s" s="170" r="G216">
        <v>546</v>
      </c>
      <c t="s" s="170" r="H216">
        <v>547</v>
      </c>
    </row>
    <row customHeight="1" r="217" ht="102.0">
      <c t="s" s="10" r="A217">
        <v>549</v>
      </c>
      <c t="s" s="121" r="B217">
        <v>116</v>
      </c>
      <c t="s" s="121" r="C217">
        <v>255</v>
      </c>
      <c t="s" s="142" r="D217">
        <v>524</v>
      </c>
      <c t="s" s="170" r="E217">
        <v>533</v>
      </c>
      <c s="10" r="F217"/>
      <c t="s" s="170" r="G217">
        <v>546</v>
      </c>
      <c t="s" s="170" r="H217">
        <v>547</v>
      </c>
    </row>
    <row customHeight="1" r="218" ht="102.0">
      <c t="s" s="10" r="A218">
        <v>550</v>
      </c>
      <c t="s" s="121" r="B218">
        <v>116</v>
      </c>
      <c t="s" s="121" r="C218">
        <v>255</v>
      </c>
      <c t="s" s="142" r="D218">
        <v>524</v>
      </c>
      <c t="s" s="170" r="E218">
        <v>533</v>
      </c>
      <c s="10" r="F218"/>
      <c t="s" s="170" r="G218">
        <v>546</v>
      </c>
      <c t="s" s="170" r="H218">
        <v>547</v>
      </c>
    </row>
    <row customHeight="1" r="219" ht="15.0">
      <c t="s" s="10" r="A219">
        <v>551</v>
      </c>
      <c t="s" s="121" r="B219">
        <v>116</v>
      </c>
      <c t="s" s="121" r="C219">
        <v>255</v>
      </c>
      <c t="s" s="142" r="D219">
        <v>552</v>
      </c>
      <c s="170" r="E219"/>
      <c s="10" r="F219"/>
      <c s="170" r="G219"/>
      <c s="170" r="H219"/>
    </row>
    <row customHeight="1" r="220" ht="15.0">
      <c t="s" s="10" r="A220">
        <v>553</v>
      </c>
      <c t="s" s="121" r="B220">
        <v>116</v>
      </c>
      <c t="s" s="121" r="C220">
        <v>255</v>
      </c>
      <c t="s" s="142" r="D220">
        <v>552</v>
      </c>
      <c s="170" r="E220"/>
      <c s="10" r="F220"/>
      <c s="170" r="G220"/>
      <c s="170" r="H220"/>
    </row>
    <row customHeight="1" r="221" ht="15.0">
      <c t="s" s="10" r="A221">
        <v>554</v>
      </c>
      <c t="s" s="121" r="B221">
        <v>9</v>
      </c>
      <c t="s" s="121" r="C221">
        <v>255</v>
      </c>
      <c t="s" s="142" r="D221">
        <v>73</v>
      </c>
      <c s="170" r="E221"/>
      <c s="10" r="F221"/>
      <c s="170" r="G221"/>
      <c s="170" r="H221"/>
    </row>
    <row customHeight="1" r="222" ht="15.0">
      <c t="s" s="10" r="A222">
        <v>555</v>
      </c>
      <c t="s" s="121" r="B222">
        <v>9</v>
      </c>
      <c t="s" s="121" r="C222">
        <v>255</v>
      </c>
      <c t="s" s="142" r="D222">
        <v>73</v>
      </c>
      <c s="170" r="E222"/>
      <c s="10" r="F222"/>
      <c s="170" r="G222"/>
      <c s="170" r="H222"/>
    </row>
    <row customHeight="1" r="223" ht="15.0">
      <c t="s" s="10" r="A223">
        <v>556</v>
      </c>
      <c t="s" s="121" r="B223">
        <v>116</v>
      </c>
      <c t="s" s="121" r="C223">
        <v>255</v>
      </c>
      <c t="s" s="142" r="D223">
        <v>552</v>
      </c>
      <c s="170" r="E223"/>
      <c s="10" r="F223"/>
      <c s="170" r="G223"/>
      <c s="170" r="H223"/>
    </row>
    <row customHeight="1" r="224" ht="15.0">
      <c t="s" s="10" r="A224">
        <v>557</v>
      </c>
      <c t="s" s="121" r="B224">
        <v>116</v>
      </c>
      <c t="s" s="121" r="C224">
        <v>255</v>
      </c>
      <c t="s" s="142" r="D224">
        <v>552</v>
      </c>
      <c s="170" r="E224"/>
      <c s="10" r="F224"/>
      <c s="170" r="G224"/>
      <c s="170" r="H224"/>
    </row>
    <row customHeight="1" r="225" ht="15.0">
      <c t="s" s="10" r="A225">
        <v>558</v>
      </c>
      <c t="s" s="121" r="B225">
        <v>9</v>
      </c>
      <c t="s" s="121" r="C225">
        <v>255</v>
      </c>
      <c t="s" s="142" r="D225">
        <v>559</v>
      </c>
      <c s="170" r="E225"/>
      <c s="10" r="F225"/>
      <c s="170" r="G225"/>
      <c s="170" r="H225"/>
    </row>
    <row customHeight="1" r="226" ht="15.0">
      <c t="s" s="10" r="A226">
        <v>560</v>
      </c>
      <c t="s" s="121" r="B226">
        <v>9</v>
      </c>
      <c t="s" s="121" r="C226">
        <v>255</v>
      </c>
      <c t="s" s="142" r="D226">
        <v>559</v>
      </c>
      <c s="170" r="E226"/>
      <c s="10" r="F226"/>
      <c s="170" r="G226"/>
      <c s="170" r="H226"/>
    </row>
    <row customHeight="1" r="227" ht="15.0">
      <c t="s" s="10" r="A227">
        <v>561</v>
      </c>
      <c t="s" s="121" r="B227">
        <v>9</v>
      </c>
      <c t="s" s="121" r="C227">
        <v>255</v>
      </c>
      <c t="s" s="142" r="D227">
        <v>559</v>
      </c>
      <c s="170" r="E227"/>
      <c s="10" r="F227"/>
      <c s="170" r="G227"/>
      <c s="170" r="H227"/>
    </row>
    <row customHeight="1" r="228" ht="15.0">
      <c t="s" s="10" r="A228">
        <v>562</v>
      </c>
      <c t="s" s="121" r="B228">
        <v>9</v>
      </c>
      <c t="s" s="121" r="C228">
        <v>255</v>
      </c>
      <c t="s" s="142" r="D228">
        <v>559</v>
      </c>
      <c s="170" r="E228"/>
      <c s="10" r="F228"/>
      <c s="170" r="G228"/>
      <c s="170" r="H228"/>
    </row>
    <row customHeight="1" r="229" ht="30.0">
      <c t="s" s="10" r="A229">
        <v>563</v>
      </c>
      <c t="s" s="121" r="B229">
        <v>9</v>
      </c>
      <c t="s" s="121" r="C229">
        <v>255</v>
      </c>
      <c t="s" s="142" r="D229">
        <v>564</v>
      </c>
      <c s="170" r="E229"/>
      <c s="10" r="F229"/>
      <c s="170" r="G229"/>
      <c s="170" r="H229"/>
    </row>
    <row customHeight="1" r="230" ht="30.0">
      <c t="s" s="10" r="A230">
        <v>565</v>
      </c>
      <c t="s" s="121" r="B230">
        <v>9</v>
      </c>
      <c t="s" s="121" r="C230">
        <v>255</v>
      </c>
      <c t="s" s="142" r="D230">
        <v>564</v>
      </c>
      <c s="170" r="E230"/>
      <c s="10" r="F230"/>
      <c s="170" r="G230"/>
      <c s="170" r="H230"/>
    </row>
    <row customHeight="1" r="231" ht="30.0">
      <c t="s" s="10" r="A231">
        <v>566</v>
      </c>
      <c t="s" s="121" r="B231">
        <v>9</v>
      </c>
      <c t="s" s="121" r="C231">
        <v>255</v>
      </c>
      <c t="s" s="142" r="D231">
        <v>564</v>
      </c>
      <c s="170" r="E231"/>
      <c s="10" r="F231"/>
      <c s="170" r="G231"/>
      <c s="170" r="H231"/>
    </row>
    <row customHeight="1" r="232" ht="15.0">
      <c t="s" s="10" r="A232">
        <v>567</v>
      </c>
      <c t="s" s="121" r="B232">
        <v>9</v>
      </c>
      <c t="s" s="121" r="C232">
        <v>255</v>
      </c>
      <c t="s" s="142" r="D232">
        <v>568</v>
      </c>
      <c s="170" r="E232"/>
      <c s="10" r="F232"/>
      <c s="170" r="G232"/>
      <c s="170" r="H232"/>
    </row>
    <row customHeight="1" r="233" ht="15.0">
      <c t="s" s="10" r="A233">
        <v>569</v>
      </c>
      <c t="s" s="121" r="B233">
        <v>9</v>
      </c>
      <c t="s" s="121" r="C233">
        <v>255</v>
      </c>
      <c t="s" s="142" r="D233">
        <v>570</v>
      </c>
      <c s="170" r="E233"/>
      <c s="10" r="F233"/>
      <c s="170" r="G233"/>
      <c s="170" r="H233"/>
    </row>
    <row customHeight="1" r="234" ht="30.0">
      <c t="s" s="10" r="A234">
        <v>571</v>
      </c>
      <c t="s" s="121" r="B234">
        <v>9</v>
      </c>
      <c t="s" s="121" r="C234">
        <v>255</v>
      </c>
      <c t="s" s="142" r="D234">
        <v>572</v>
      </c>
      <c s="170" r="E234"/>
      <c s="10" r="F234"/>
      <c s="170" r="G234"/>
      <c s="170" r="H234"/>
    </row>
    <row customHeight="1" r="235" ht="30.0">
      <c t="s" s="10" r="A235">
        <v>573</v>
      </c>
      <c t="s" s="121" r="B235">
        <v>9</v>
      </c>
      <c t="s" s="121" r="C235">
        <v>255</v>
      </c>
      <c t="s" s="142" r="D235">
        <v>572</v>
      </c>
      <c s="170" r="E235"/>
      <c s="10" r="F235"/>
      <c s="170" r="G235"/>
      <c s="170" r="H235"/>
    </row>
    <row customHeight="1" r="236" ht="30.0">
      <c t="s" s="10" r="A236">
        <v>574</v>
      </c>
      <c t="s" s="121" r="B236">
        <v>9</v>
      </c>
      <c t="s" s="121" r="C236">
        <v>255</v>
      </c>
      <c t="s" s="142" r="D236">
        <v>572</v>
      </c>
      <c s="170" r="E236"/>
      <c s="10" r="F236"/>
      <c s="170" r="G236"/>
      <c s="170" r="H236"/>
    </row>
    <row customHeight="1" r="237" ht="30.0">
      <c t="s" s="10" r="A237">
        <v>575</v>
      </c>
      <c t="s" s="121" r="B237">
        <v>9</v>
      </c>
      <c t="s" s="121" r="C237">
        <v>255</v>
      </c>
      <c t="s" s="142" r="D237">
        <v>572</v>
      </c>
      <c s="170" r="E237"/>
      <c s="10" r="F237"/>
      <c s="170" r="G237"/>
      <c s="170" r="H237"/>
    </row>
    <row customHeight="1" r="238" ht="15.0">
      <c t="s" s="10" r="A238">
        <v>576</v>
      </c>
      <c t="s" s="121" r="B238">
        <v>9</v>
      </c>
      <c t="s" s="121" r="C238">
        <v>255</v>
      </c>
      <c t="s" s="142" r="D238">
        <v>577</v>
      </c>
      <c s="170" r="E238"/>
      <c s="10" r="F238"/>
      <c s="170" r="G238"/>
      <c s="170" r="H238"/>
    </row>
    <row customHeight="1" r="239" ht="15.0">
      <c t="s" s="10" r="A239">
        <v>578</v>
      </c>
      <c t="s" s="121" r="B239">
        <v>9</v>
      </c>
      <c t="s" s="121" r="C239">
        <v>255</v>
      </c>
      <c t="s" s="142" r="D239">
        <v>577</v>
      </c>
      <c s="170" r="E239"/>
      <c s="10" r="F239"/>
      <c s="170" r="G239"/>
      <c s="170" r="H239"/>
    </row>
    <row customHeight="1" r="240" ht="15.0">
      <c t="s" s="10" r="A240">
        <v>579</v>
      </c>
      <c t="s" s="121" r="B240">
        <v>9</v>
      </c>
      <c t="s" s="121" r="C240">
        <v>255</v>
      </c>
      <c t="s" s="142" r="D240">
        <v>577</v>
      </c>
      <c s="170" r="E240"/>
      <c s="10" r="F240"/>
      <c s="170" r="G240"/>
      <c s="170" r="H240"/>
    </row>
    <row customHeight="1" r="241" ht="15.0">
      <c t="s" s="10" r="A241">
        <v>580</v>
      </c>
      <c t="s" s="121" r="B241">
        <v>9</v>
      </c>
      <c t="s" s="121" r="C241">
        <v>255</v>
      </c>
      <c t="s" s="142" r="D241">
        <v>577</v>
      </c>
      <c s="170" r="E241"/>
      <c s="10" r="F241"/>
      <c s="170" r="G241"/>
      <c s="170" r="H241"/>
    </row>
    <row customHeight="1" r="242" ht="76.5">
      <c t="s" s="10" r="A242">
        <v>581</v>
      </c>
      <c t="s" s="121" r="B242">
        <v>300</v>
      </c>
      <c t="s" s="121" r="C242">
        <v>255</v>
      </c>
      <c t="s" s="142" r="D242">
        <v>582</v>
      </c>
      <c s="170" r="E242"/>
      <c s="10" r="F242"/>
      <c s="170" r="G242"/>
      <c t="s" s="170" r="H242">
        <v>583</v>
      </c>
    </row>
    <row customHeight="1" r="243" ht="76.5">
      <c t="s" s="10" r="A243">
        <v>584</v>
      </c>
      <c t="s" s="121" r="B243">
        <v>300</v>
      </c>
      <c t="s" s="121" r="C243">
        <v>255</v>
      </c>
      <c t="s" s="142" r="D243">
        <v>582</v>
      </c>
      <c s="170" r="E243"/>
      <c s="10" r="F243"/>
      <c s="170" r="G243"/>
      <c t="s" s="170" r="H243">
        <v>583</v>
      </c>
    </row>
    <row customHeight="1" r="244" ht="76.5">
      <c t="s" s="10" r="A244">
        <v>585</v>
      </c>
      <c t="s" s="121" r="B244">
        <v>300</v>
      </c>
      <c t="s" s="121" r="C244">
        <v>255</v>
      </c>
      <c t="s" s="142" r="D244">
        <v>582</v>
      </c>
      <c s="170" r="E244"/>
      <c s="10" r="F244"/>
      <c s="170" r="G244"/>
      <c t="s" s="170" r="H244">
        <v>583</v>
      </c>
    </row>
    <row customHeight="1" r="245" ht="76.5">
      <c t="s" s="10" r="A245">
        <v>586</v>
      </c>
      <c t="s" s="121" r="B245">
        <v>300</v>
      </c>
      <c t="s" s="121" r="C245">
        <v>255</v>
      </c>
      <c t="s" s="142" r="D245">
        <v>582</v>
      </c>
      <c s="170" r="E245"/>
      <c s="10" r="F245"/>
      <c s="170" r="G245"/>
      <c t="s" s="170" r="H245">
        <v>583</v>
      </c>
    </row>
    <row customHeight="1" r="246" ht="30.0">
      <c t="s" s="10" r="A246">
        <v>587</v>
      </c>
      <c t="s" s="121" r="B246">
        <v>300</v>
      </c>
      <c t="s" s="121" r="C246">
        <v>255</v>
      </c>
      <c t="s" s="142" r="D246">
        <v>582</v>
      </c>
      <c s="170" r="E246"/>
      <c s="10" r="F246"/>
      <c s="170" r="G246"/>
      <c s="170" r="H246"/>
    </row>
    <row customHeight="1" r="247" ht="30.0">
      <c t="s" s="10" r="A247">
        <v>588</v>
      </c>
      <c t="s" s="121" r="B247">
        <v>300</v>
      </c>
      <c t="s" s="121" r="C247">
        <v>255</v>
      </c>
      <c t="s" s="142" r="D247">
        <v>582</v>
      </c>
      <c s="170" r="E247"/>
      <c s="10" r="F247"/>
      <c s="170" r="G247"/>
      <c s="170" r="H247"/>
    </row>
    <row customHeight="1" r="248" ht="30.0">
      <c t="s" s="10" r="A248">
        <v>589</v>
      </c>
      <c t="s" s="121" r="B248">
        <v>300</v>
      </c>
      <c t="s" s="121" r="C248">
        <v>255</v>
      </c>
      <c t="s" s="142" r="D248">
        <v>582</v>
      </c>
      <c s="170" r="E248"/>
      <c s="10" r="F248"/>
      <c s="170" r="G248"/>
      <c s="170" r="H248"/>
    </row>
    <row customHeight="1" r="249" ht="30.0">
      <c t="s" s="10" r="A249">
        <v>590</v>
      </c>
      <c t="s" s="121" r="B249">
        <v>300</v>
      </c>
      <c t="s" s="121" r="C249">
        <v>255</v>
      </c>
      <c t="s" s="142" r="D249">
        <v>582</v>
      </c>
      <c s="170" r="E249"/>
      <c s="10" r="F249"/>
      <c s="170" r="G249"/>
      <c s="170" r="H249"/>
    </row>
    <row customHeight="1" r="250" ht="15.0">
      <c t="s" s="10" r="A250">
        <v>591</v>
      </c>
      <c t="s" s="121" r="B250">
        <v>116</v>
      </c>
      <c t="s" s="121" r="C250">
        <v>255</v>
      </c>
      <c t="s" s="142" r="D250">
        <v>524</v>
      </c>
      <c s="170" r="E250"/>
      <c s="10" r="F250"/>
      <c s="170" r="G250"/>
      <c s="170" r="H250"/>
    </row>
    <row customHeight="1" r="251" ht="15.0">
      <c t="s" s="10" r="A251">
        <v>592</v>
      </c>
      <c t="s" s="121" r="B251">
        <v>116</v>
      </c>
      <c t="s" s="121" r="C251">
        <v>255</v>
      </c>
      <c t="s" s="142" r="D251">
        <v>524</v>
      </c>
      <c s="170" r="E251"/>
      <c s="10" r="F251"/>
      <c s="170" r="G251"/>
      <c s="170" r="H251"/>
    </row>
    <row customHeight="1" r="252" ht="15.0">
      <c t="s" s="10" r="A252">
        <v>593</v>
      </c>
      <c t="s" s="121" r="B252">
        <v>116</v>
      </c>
      <c t="s" s="121" r="C252">
        <v>255</v>
      </c>
      <c t="s" s="142" r="D252">
        <v>524</v>
      </c>
      <c s="170" r="E252"/>
      <c s="10" r="F252"/>
      <c s="170" r="G252"/>
      <c s="170" r="H252"/>
    </row>
    <row customHeight="1" r="253" ht="15.0">
      <c t="s" s="10" r="A253">
        <v>594</v>
      </c>
      <c t="s" s="121" r="B253">
        <v>116</v>
      </c>
      <c t="s" s="121" r="C253">
        <v>255</v>
      </c>
      <c t="s" s="142" r="D253">
        <v>524</v>
      </c>
      <c s="170" r="E253"/>
      <c s="10" r="F253"/>
      <c s="170" r="G253"/>
      <c s="170" r="H253"/>
    </row>
    <row customHeight="1" r="254" ht="15.0">
      <c t="s" s="10" r="A254">
        <v>595</v>
      </c>
      <c t="s" s="121" r="B254">
        <v>9</v>
      </c>
      <c t="s" s="121" r="C254">
        <v>255</v>
      </c>
      <c t="s" s="142" r="D254">
        <v>596</v>
      </c>
      <c s="170" r="E254"/>
      <c s="10" r="F254"/>
      <c s="170" r="G254"/>
      <c s="170" r="H254"/>
    </row>
    <row customHeight="1" r="255" ht="15.0">
      <c t="s" s="10" r="A255">
        <v>597</v>
      </c>
      <c t="s" s="121" r="B255">
        <v>9</v>
      </c>
      <c t="s" s="121" r="C255">
        <v>255</v>
      </c>
      <c t="s" s="142" r="D255">
        <v>596</v>
      </c>
      <c s="170" r="E255"/>
      <c s="10" r="F255"/>
      <c s="170" r="G255"/>
      <c s="170" r="H255"/>
    </row>
    <row customHeight="1" r="256" ht="306.0">
      <c t="s" s="10" r="A256">
        <v>598</v>
      </c>
      <c t="s" s="121" r="B256">
        <v>20</v>
      </c>
      <c t="s" s="121" r="C256">
        <v>255</v>
      </c>
      <c t="s" s="142" r="D256">
        <v>599</v>
      </c>
      <c t="s" s="170" r="E256">
        <v>600</v>
      </c>
      <c t="s" s="170" r="F256">
        <v>94</v>
      </c>
      <c t="s" s="170" r="G256">
        <v>601</v>
      </c>
      <c t="s" s="170" r="H256">
        <v>602</v>
      </c>
    </row>
    <row customHeight="1" r="257" ht="306.0">
      <c t="s" s="10" r="A257">
        <v>603</v>
      </c>
      <c t="s" s="121" r="B257">
        <v>20</v>
      </c>
      <c t="s" s="10" r="C257">
        <v>255</v>
      </c>
      <c t="s" s="142" r="D257">
        <v>599</v>
      </c>
      <c t="s" s="170" r="E257">
        <v>600</v>
      </c>
      <c t="s" s="170" r="F257">
        <v>94</v>
      </c>
      <c t="s" s="170" r="G257">
        <v>601</v>
      </c>
      <c t="s" s="170" r="H257">
        <v>602</v>
      </c>
    </row>
    <row customHeight="1" r="258" ht="15.0">
      <c t="s" s="10" r="A258">
        <v>604</v>
      </c>
      <c t="s" s="121" r="B258">
        <v>20</v>
      </c>
      <c t="s" s="121" r="C258">
        <v>255</v>
      </c>
      <c t="s" s="142" r="D258">
        <v>596</v>
      </c>
      <c s="170" r="E258"/>
      <c s="10" r="F258"/>
      <c s="170" r="G258"/>
      <c t="s" s="170" r="H258">
        <v>605</v>
      </c>
    </row>
    <row customHeight="1" r="259" ht="15.0">
      <c t="s" s="10" r="A259">
        <v>606</v>
      </c>
      <c t="s" s="121" r="B259">
        <v>20</v>
      </c>
      <c t="s" s="121" r="C259">
        <v>255</v>
      </c>
      <c t="s" s="142" r="D259">
        <v>596</v>
      </c>
      <c s="170" r="E259"/>
      <c s="10" r="F259"/>
      <c s="170" r="G259"/>
      <c t="s" s="170" r="H259">
        <v>605</v>
      </c>
    </row>
    <row customHeight="1" r="260" ht="15.0">
      <c t="s" s="10" r="A260">
        <v>607</v>
      </c>
      <c t="s" s="121" r="B260">
        <v>20</v>
      </c>
      <c t="s" s="121" r="C260">
        <v>255</v>
      </c>
      <c t="s" s="142" r="D260">
        <v>596</v>
      </c>
      <c s="170" r="E260"/>
      <c s="10" r="F260"/>
      <c s="170" r="G260"/>
      <c t="s" s="170" r="H260">
        <v>605</v>
      </c>
    </row>
    <row customHeight="1" r="261" ht="15.0">
      <c t="s" s="10" r="A261">
        <v>608</v>
      </c>
      <c t="s" s="121" r="B261">
        <v>20</v>
      </c>
      <c t="s" s="121" r="C261">
        <v>255</v>
      </c>
      <c t="s" s="142" r="D261">
        <v>596</v>
      </c>
      <c s="170" r="E261"/>
      <c s="10" r="F261"/>
      <c s="170" r="G261"/>
      <c t="s" s="170" r="H261">
        <v>605</v>
      </c>
    </row>
    <row customHeight="1" r="262" ht="15.0">
      <c t="s" s="10" r="A262">
        <v>609</v>
      </c>
      <c t="s" s="121" r="B262">
        <v>116</v>
      </c>
      <c t="s" s="121" r="C262">
        <v>117</v>
      </c>
      <c t="s" s="142" r="D262">
        <v>610</v>
      </c>
      <c s="170" r="E262"/>
      <c s="10" r="F262"/>
      <c s="170" r="G262"/>
      <c s="170" r="H262"/>
    </row>
    <row customHeight="1" r="263" ht="15.0">
      <c t="s" s="10" r="A263">
        <v>611</v>
      </c>
      <c t="s" s="121" r="B263">
        <v>116</v>
      </c>
      <c t="s" s="121" r="C263">
        <v>117</v>
      </c>
      <c t="s" s="142" r="D263">
        <v>610</v>
      </c>
      <c s="170" r="E263"/>
      <c s="10" r="F263"/>
      <c s="170" r="G263"/>
      <c s="170" r="H263"/>
    </row>
    <row customHeight="1" r="264" ht="15.0">
      <c t="s" s="10" r="A264">
        <v>612</v>
      </c>
      <c t="s" s="121" r="B264">
        <v>116</v>
      </c>
      <c t="s" s="121" r="C264">
        <v>117</v>
      </c>
      <c t="s" s="142" r="D264">
        <v>610</v>
      </c>
      <c s="170" r="E264"/>
      <c s="10" r="F264"/>
      <c s="170" r="G264"/>
      <c s="170" r="H264"/>
    </row>
    <row customHeight="1" r="265" ht="15.0">
      <c t="s" s="10" r="A265">
        <v>613</v>
      </c>
      <c t="s" s="121" r="B265">
        <v>116</v>
      </c>
      <c t="s" s="121" r="C265">
        <v>117</v>
      </c>
      <c t="s" s="142" r="D265">
        <v>610</v>
      </c>
      <c s="170" r="E265"/>
      <c s="10" r="F265"/>
      <c s="170" r="G265"/>
      <c s="170" r="H265"/>
    </row>
    <row customHeight="1" r="266" ht="15.0">
      <c t="s" s="10" r="A266">
        <v>614</v>
      </c>
      <c t="s" s="121" r="B266">
        <v>116</v>
      </c>
      <c t="s" s="121" r="C266">
        <v>117</v>
      </c>
      <c t="s" s="142" r="D266">
        <v>610</v>
      </c>
      <c s="170" r="E266"/>
      <c s="10" r="F266"/>
      <c s="170" r="G266"/>
      <c s="170" r="H266"/>
    </row>
    <row customHeight="1" r="267" ht="15.0">
      <c t="s" s="10" r="A267">
        <v>615</v>
      </c>
      <c t="s" s="121" r="B267">
        <v>116</v>
      </c>
      <c t="s" s="121" r="C267">
        <v>117</v>
      </c>
      <c t="s" s="142" r="D267">
        <v>610</v>
      </c>
      <c s="170" r="E267"/>
      <c s="10" r="F267"/>
      <c s="170" r="G267"/>
      <c s="170" r="H267"/>
    </row>
    <row customHeight="1" r="268" ht="15.0">
      <c t="s" s="10" r="A268">
        <v>616</v>
      </c>
      <c t="s" s="121" r="B268">
        <v>116</v>
      </c>
      <c t="s" s="121" r="C268">
        <v>117</v>
      </c>
      <c t="s" s="142" r="D268">
        <v>610</v>
      </c>
      <c s="170" r="E268"/>
      <c s="10" r="F268"/>
      <c s="170" r="G268"/>
      <c s="170" r="H268"/>
    </row>
    <row customHeight="1" r="269" ht="15.0">
      <c t="s" s="10" r="A269">
        <v>617</v>
      </c>
      <c t="s" s="121" r="B269">
        <v>116</v>
      </c>
      <c t="s" s="121" r="C269">
        <v>117</v>
      </c>
      <c t="s" s="142" r="D269">
        <v>610</v>
      </c>
      <c s="170" r="E269"/>
      <c s="10" r="F269"/>
      <c s="170" r="G269"/>
      <c s="170" r="H269"/>
    </row>
    <row customHeight="1" r="270" ht="15.0">
      <c t="s" s="10" r="A270">
        <v>618</v>
      </c>
      <c t="s" s="121" r="B270">
        <v>116</v>
      </c>
      <c t="s" s="121" r="C270">
        <v>117</v>
      </c>
      <c t="s" s="142" r="D270">
        <v>610</v>
      </c>
      <c s="170" r="E270"/>
      <c s="10" r="F270"/>
      <c s="170" r="G270"/>
      <c s="170" r="H270"/>
    </row>
    <row customHeight="1" r="271" ht="15.0">
      <c t="s" s="10" r="A271">
        <v>619</v>
      </c>
      <c t="s" s="121" r="B271">
        <v>116</v>
      </c>
      <c t="s" s="121" r="C271">
        <v>117</v>
      </c>
      <c t="s" s="142" r="D271">
        <v>610</v>
      </c>
      <c s="170" r="E271"/>
      <c s="10" r="F271"/>
      <c s="170" r="G271"/>
      <c s="170" r="H271"/>
    </row>
    <row customHeight="1" r="272" ht="15.0">
      <c t="s" s="10" r="A272">
        <v>620</v>
      </c>
      <c t="s" s="121" r="B272">
        <v>116</v>
      </c>
      <c t="s" s="121" r="C272">
        <v>117</v>
      </c>
      <c t="s" s="142" r="D272">
        <v>610</v>
      </c>
      <c s="170" r="E272"/>
      <c s="10" r="F272"/>
      <c s="170" r="G272"/>
      <c s="170" r="H272"/>
    </row>
    <row customHeight="1" r="273" ht="30.0">
      <c t="s" s="10" r="A273">
        <v>621</v>
      </c>
      <c t="s" s="121" r="B273">
        <v>116</v>
      </c>
      <c t="s" s="121" r="C273">
        <v>117</v>
      </c>
      <c t="s" s="142" r="D273">
        <v>622</v>
      </c>
      <c s="170" r="E273"/>
      <c s="10" r="F273"/>
      <c s="170" r="G273"/>
      <c s="170" r="H273"/>
    </row>
    <row customHeight="1" r="274" ht="30.0">
      <c t="s" s="10" r="A274">
        <v>623</v>
      </c>
      <c t="s" s="121" r="B274">
        <v>116</v>
      </c>
      <c t="s" s="121" r="C274">
        <v>117</v>
      </c>
      <c t="s" s="142" r="D274">
        <v>624</v>
      </c>
      <c s="170" r="E274"/>
      <c s="10" r="F274"/>
      <c s="170" r="G274"/>
      <c s="170" r="H274"/>
    </row>
    <row customHeight="1" r="275" ht="15.0">
      <c t="s" s="10" r="A275">
        <v>625</v>
      </c>
      <c t="s" s="121" r="B275">
        <v>116</v>
      </c>
      <c t="s" s="121" r="C275">
        <v>117</v>
      </c>
      <c t="s" s="142" r="D275">
        <v>610</v>
      </c>
      <c s="170" r="E275"/>
      <c s="10" r="F275"/>
      <c s="170" r="G275"/>
      <c s="170" r="H275"/>
    </row>
    <row customHeight="1" r="276" ht="15.0">
      <c t="s" s="10" r="A276">
        <v>626</v>
      </c>
      <c t="s" s="121" r="B276">
        <v>116</v>
      </c>
      <c t="s" s="121" r="C276">
        <v>117</v>
      </c>
      <c t="s" s="142" r="D276">
        <v>610</v>
      </c>
      <c s="170" r="E276"/>
      <c s="10" r="F276"/>
      <c s="170" r="G276"/>
      <c s="170" r="H276"/>
    </row>
    <row customHeight="1" r="277" ht="15.0">
      <c t="s" s="10" r="A277">
        <v>627</v>
      </c>
      <c t="s" s="121" r="B277">
        <v>116</v>
      </c>
      <c t="s" s="121" r="C277">
        <v>117</v>
      </c>
      <c t="s" s="142" r="D277">
        <v>610</v>
      </c>
      <c s="170" r="E277"/>
      <c s="10" r="F277"/>
      <c s="170" r="G277"/>
      <c s="170" r="H277"/>
    </row>
    <row customHeight="1" r="278" ht="15.0">
      <c t="s" s="10" r="A278">
        <v>628</v>
      </c>
      <c t="s" s="121" r="B278">
        <v>116</v>
      </c>
      <c t="s" s="121" r="C278">
        <v>117</v>
      </c>
      <c t="s" s="142" r="D278">
        <v>610</v>
      </c>
      <c s="170" r="E278"/>
      <c s="10" r="F278"/>
      <c s="170" r="G278"/>
      <c s="170" r="H278"/>
    </row>
    <row customHeight="1" r="279" ht="15.0">
      <c t="s" s="10" r="A279">
        <v>629</v>
      </c>
      <c t="s" s="121" r="B279">
        <v>116</v>
      </c>
      <c t="s" s="121" r="C279">
        <v>117</v>
      </c>
      <c t="s" s="142" r="D279">
        <v>610</v>
      </c>
      <c s="170" r="E279"/>
      <c s="10" r="F279"/>
      <c s="170" r="G279"/>
      <c s="170" r="H279"/>
    </row>
    <row customHeight="1" r="280" ht="15.0">
      <c t="s" s="10" r="A280">
        <v>630</v>
      </c>
      <c t="s" s="121" r="B280">
        <v>116</v>
      </c>
      <c t="s" s="121" r="C280">
        <v>117</v>
      </c>
      <c t="s" s="142" r="D280">
        <v>610</v>
      </c>
      <c s="170" r="E280"/>
      <c s="10" r="F280"/>
      <c s="170" r="G280"/>
      <c s="170" r="H280"/>
    </row>
    <row customHeight="1" r="281" ht="15.0">
      <c t="s" s="10" r="A281">
        <v>631</v>
      </c>
      <c t="s" s="121" r="B281">
        <v>116</v>
      </c>
      <c t="s" s="121" r="C281">
        <v>117</v>
      </c>
      <c t="s" s="142" r="D281">
        <v>610</v>
      </c>
      <c s="170" r="E281"/>
      <c s="10" r="F281"/>
      <c s="170" r="G281"/>
      <c s="170" r="H281"/>
    </row>
    <row customHeight="1" r="282" ht="15.0">
      <c t="s" s="10" r="A282">
        <v>632</v>
      </c>
      <c t="s" s="121" r="B282">
        <v>116</v>
      </c>
      <c t="s" s="121" r="C282">
        <v>117</v>
      </c>
      <c t="s" s="142" r="D282">
        <v>610</v>
      </c>
      <c s="170" r="E282"/>
      <c s="10" r="F282"/>
      <c s="170" r="G282"/>
      <c s="170" r="H282"/>
    </row>
    <row customHeight="1" r="283" ht="15.0">
      <c t="s" s="10" r="A283">
        <v>633</v>
      </c>
      <c t="s" s="121" r="B283">
        <v>116</v>
      </c>
      <c t="s" s="121" r="C283">
        <v>117</v>
      </c>
      <c t="s" s="142" r="D283">
        <v>610</v>
      </c>
      <c s="170" r="E283"/>
      <c s="10" r="F283"/>
      <c s="170" r="G283"/>
      <c s="170" r="H283"/>
    </row>
    <row customHeight="1" r="284" ht="15.0">
      <c t="s" s="10" r="A284">
        <v>634</v>
      </c>
      <c t="s" s="121" r="B284">
        <v>116</v>
      </c>
      <c t="s" s="121" r="C284">
        <v>117</v>
      </c>
      <c t="s" s="142" r="D284">
        <v>610</v>
      </c>
      <c s="170" r="E284"/>
      <c s="10" r="F284"/>
      <c s="170" r="G284"/>
      <c s="170" r="H284"/>
    </row>
    <row customHeight="1" r="285" ht="270.0">
      <c t="s" s="10" r="A285">
        <v>635</v>
      </c>
      <c t="s" s="121" r="B285">
        <v>116</v>
      </c>
      <c t="s" s="121" r="C285">
        <v>117</v>
      </c>
      <c t="s" s="142" r="D285">
        <v>636</v>
      </c>
      <c t="s" s="170" r="E285">
        <v>637</v>
      </c>
      <c s="10" r="F285"/>
      <c t="s" s="170" r="G285">
        <v>638</v>
      </c>
      <c t="s" s="170" r="H285">
        <v>639</v>
      </c>
    </row>
    <row customHeight="1" r="286" ht="270.0">
      <c t="s" s="10" r="A286">
        <v>640</v>
      </c>
      <c t="s" s="121" r="B286">
        <v>116</v>
      </c>
      <c t="s" s="121" r="C286">
        <v>117</v>
      </c>
      <c t="s" s="142" r="D286">
        <v>636</v>
      </c>
      <c t="s" s="170" r="E286">
        <v>637</v>
      </c>
      <c s="10" r="F286"/>
      <c t="s" s="170" r="G286">
        <v>638</v>
      </c>
      <c t="s" s="170" r="H286">
        <v>639</v>
      </c>
    </row>
    <row customHeight="1" r="287" ht="270.0">
      <c t="s" s="10" r="A287">
        <v>641</v>
      </c>
      <c t="s" s="121" r="B287">
        <v>116</v>
      </c>
      <c t="s" s="121" r="C287">
        <v>117</v>
      </c>
      <c t="s" s="142" r="D287">
        <v>636</v>
      </c>
      <c t="s" s="170" r="E287">
        <v>637</v>
      </c>
      <c s="10" r="F287"/>
      <c t="s" s="170" r="G287">
        <v>638</v>
      </c>
      <c t="s" s="170" r="H287">
        <v>639</v>
      </c>
    </row>
    <row customHeight="1" r="288" ht="270.0">
      <c t="s" s="10" r="A288">
        <v>642</v>
      </c>
      <c t="s" s="121" r="B288">
        <v>116</v>
      </c>
      <c t="s" s="121" r="C288">
        <v>117</v>
      </c>
      <c t="s" s="142" r="D288">
        <v>636</v>
      </c>
      <c t="s" s="170" r="E288">
        <v>637</v>
      </c>
      <c s="10" r="F288"/>
      <c t="s" s="170" r="G288">
        <v>638</v>
      </c>
      <c t="s" s="170" r="H288">
        <v>639</v>
      </c>
    </row>
    <row customHeight="1" r="289" ht="270.0">
      <c t="s" s="10" r="A289">
        <v>643</v>
      </c>
      <c t="s" s="121" r="B289">
        <v>116</v>
      </c>
      <c t="s" s="121" r="C289">
        <v>117</v>
      </c>
      <c t="s" s="142" r="D289">
        <v>636</v>
      </c>
      <c t="s" s="170" r="E289">
        <v>637</v>
      </c>
      <c s="10" r="F289"/>
      <c t="s" s="170" r="G289">
        <v>638</v>
      </c>
      <c t="s" s="170" r="H289">
        <v>639</v>
      </c>
    </row>
    <row customHeight="1" r="290" ht="270.0">
      <c t="s" s="10" r="A290">
        <v>644</v>
      </c>
      <c t="s" s="121" r="B290">
        <v>116</v>
      </c>
      <c t="s" s="121" r="C290">
        <v>117</v>
      </c>
      <c t="s" s="142" r="D290">
        <v>636</v>
      </c>
      <c t="s" s="170" r="E290">
        <v>637</v>
      </c>
      <c s="10" r="F290"/>
      <c t="s" s="170" r="G290">
        <v>638</v>
      </c>
      <c t="s" s="170" r="H290">
        <v>639</v>
      </c>
    </row>
    <row customHeight="1" r="291" ht="30.0">
      <c t="s" s="10" r="A291">
        <v>645</v>
      </c>
      <c t="s" s="121" r="B291">
        <v>116</v>
      </c>
      <c t="s" s="121" r="C291">
        <v>117</v>
      </c>
      <c t="s" s="142" r="D291">
        <v>646</v>
      </c>
      <c s="170" r="E291"/>
      <c s="10" r="F291"/>
      <c s="170" r="G291"/>
      <c s="170" r="H291"/>
    </row>
    <row customHeight="1" r="292" ht="30.0">
      <c t="s" s="10" r="A292">
        <v>647</v>
      </c>
      <c t="s" s="121" r="B292">
        <v>116</v>
      </c>
      <c t="s" s="121" r="C292">
        <v>117</v>
      </c>
      <c t="s" s="142" r="D292">
        <v>646</v>
      </c>
      <c s="170" r="E292"/>
      <c s="10" r="F292"/>
      <c s="170" r="G292"/>
      <c s="170" r="H292"/>
    </row>
    <row customHeight="1" r="293" ht="30.0">
      <c t="s" s="10" r="A293">
        <v>648</v>
      </c>
      <c t="s" s="121" r="B293">
        <v>116</v>
      </c>
      <c t="s" s="121" r="C293">
        <v>117</v>
      </c>
      <c t="s" s="142" r="D293">
        <v>646</v>
      </c>
      <c s="170" r="E293"/>
      <c s="10" r="F293"/>
      <c s="170" r="G293"/>
      <c s="170" r="H293"/>
    </row>
    <row customHeight="1" r="294" ht="30.0">
      <c t="s" s="10" r="A294">
        <v>649</v>
      </c>
      <c t="s" s="121" r="B294">
        <v>116</v>
      </c>
      <c t="s" s="121" r="C294">
        <v>117</v>
      </c>
      <c t="s" s="142" r="D294">
        <v>646</v>
      </c>
      <c s="170" r="E294"/>
      <c s="10" r="F294"/>
      <c s="170" r="G294"/>
      <c s="170" r="H294"/>
    </row>
    <row customHeight="1" r="295" ht="30.0">
      <c t="s" s="10" r="A295">
        <v>650</v>
      </c>
      <c t="s" s="121" r="B295">
        <v>116</v>
      </c>
      <c t="s" s="121" r="C295">
        <v>117</v>
      </c>
      <c t="s" s="142" r="D295">
        <v>646</v>
      </c>
      <c s="170" r="E295"/>
      <c s="10" r="F295"/>
      <c s="170" r="G295"/>
      <c s="170" r="H295"/>
    </row>
    <row customHeight="1" r="296" ht="30.0">
      <c t="s" s="10" r="A296">
        <v>651</v>
      </c>
      <c t="s" s="121" r="B296">
        <v>116</v>
      </c>
      <c t="s" s="121" r="C296">
        <v>117</v>
      </c>
      <c t="s" s="142" r="D296">
        <v>646</v>
      </c>
      <c s="170" r="E296"/>
      <c s="10" r="F296"/>
      <c s="170" r="G296"/>
      <c s="170" r="H296"/>
    </row>
    <row customHeight="1" r="297" ht="30.0">
      <c t="s" s="10" r="A297">
        <v>652</v>
      </c>
      <c t="s" s="121" r="B297">
        <v>116</v>
      </c>
      <c t="s" s="121" r="C297">
        <v>117</v>
      </c>
      <c t="s" s="142" r="D297">
        <v>646</v>
      </c>
      <c s="170" r="E297"/>
      <c s="10" r="F297"/>
      <c s="170" r="G297"/>
      <c s="170" r="H297"/>
    </row>
    <row customHeight="1" r="298" ht="30.0">
      <c t="s" s="10" r="A298">
        <v>653</v>
      </c>
      <c t="s" s="121" r="B298">
        <v>116</v>
      </c>
      <c t="s" s="121" r="C298">
        <v>117</v>
      </c>
      <c t="s" s="142" r="D298">
        <v>654</v>
      </c>
      <c s="170" r="E298"/>
      <c s="10" r="F298"/>
      <c s="170" r="G298"/>
      <c s="170" r="H298"/>
    </row>
    <row customHeight="1" r="299" ht="30.0">
      <c t="s" s="10" r="A299">
        <v>655</v>
      </c>
      <c t="s" s="121" r="B299">
        <v>116</v>
      </c>
      <c t="s" s="121" r="C299">
        <v>117</v>
      </c>
      <c t="s" s="142" r="D299">
        <v>646</v>
      </c>
      <c s="170" r="E299"/>
      <c s="10" r="F299"/>
      <c s="170" r="G299"/>
      <c s="170" r="H299"/>
    </row>
    <row customHeight="1" r="300" ht="30.0">
      <c t="s" s="10" r="A300">
        <v>656</v>
      </c>
      <c t="s" s="121" r="B300">
        <v>116</v>
      </c>
      <c t="s" s="121" r="C300">
        <v>117</v>
      </c>
      <c t="s" s="142" r="D300">
        <v>646</v>
      </c>
      <c s="170" r="E300"/>
      <c s="10" r="F300"/>
      <c s="170" r="G300"/>
      <c s="170" r="H300"/>
    </row>
    <row customHeight="1" r="301" ht="30.0">
      <c t="s" s="10" r="A301">
        <v>657</v>
      </c>
      <c t="s" s="121" r="B301">
        <v>116</v>
      </c>
      <c t="s" s="121" r="C301">
        <v>117</v>
      </c>
      <c t="s" s="142" r="D301">
        <v>646</v>
      </c>
      <c s="170" r="E301"/>
      <c s="10" r="F301"/>
      <c s="170" r="G301"/>
      <c s="170" r="H301"/>
    </row>
    <row customHeight="1" r="302" ht="30.0">
      <c t="s" s="10" r="A302">
        <v>658</v>
      </c>
      <c t="s" s="121" r="B302">
        <v>116</v>
      </c>
      <c t="s" s="121" r="C302">
        <v>117</v>
      </c>
      <c t="s" s="142" r="D302">
        <v>646</v>
      </c>
      <c s="170" r="E302"/>
      <c s="10" r="F302"/>
      <c s="170" r="G302"/>
      <c s="170" r="H302"/>
    </row>
    <row customHeight="1" r="303" ht="30.0">
      <c t="s" s="10" r="A303">
        <v>659</v>
      </c>
      <c t="s" s="121" r="B303">
        <v>116</v>
      </c>
      <c t="s" s="121" r="C303">
        <v>117</v>
      </c>
      <c t="s" s="142" r="D303">
        <v>646</v>
      </c>
      <c s="170" r="E303"/>
      <c s="10" r="F303"/>
      <c s="170" r="G303"/>
      <c s="170" r="H303"/>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20.43" defaultRowHeight="12.75"/>
  <cols>
    <col min="2" customWidth="1" max="2" width="40.71"/>
    <col min="3" customWidth="1" max="3" width="41.43"/>
    <col min="6" customWidth="1" max="6" width="23.14"/>
  </cols>
  <sheetData>
    <row customHeight="1" r="1" ht="15.0">
      <c t="s" s="30" r="A1">
        <v>1270</v>
      </c>
      <c t="s" s="29" r="B1">
        <v>1271</v>
      </c>
      <c t="s" s="29" r="C1">
        <v>1272</v>
      </c>
      <c t="s" s="29" r="D1">
        <v>1273</v>
      </c>
      <c t="s" s="29" r="E1">
        <v>1274</v>
      </c>
      <c t="s" s="19" r="F1">
        <v>1275</v>
      </c>
    </row>
    <row r="2">
      <c t="s" s="27" r="A2">
        <v>1276</v>
      </c>
      <c s="110" r="B2"/>
      <c s="110" r="C2"/>
      <c s="110" r="D2"/>
      <c s="110" r="E2"/>
      <c s="68" r="F2"/>
    </row>
    <row r="3">
      <c t="s" s="116" r="A3">
        <v>1277</v>
      </c>
      <c s="158" r="B3"/>
      <c s="158" r="C3"/>
      <c s="158" r="D3"/>
      <c s="158" r="E3"/>
      <c s="23" r="F3"/>
    </row>
    <row customHeight="1" r="4" ht="24.0">
      <c t="str" s="64" r="A4">
        <f>HYPERLINK("http://www.wormbase.org/db/get?name=daf-28;class=Gene","daf-28")</f>
        <v>daf-28</v>
      </c>
      <c t="s" s="90" r="B4">
        <v>1278</v>
      </c>
      <c t="str" s="132" r="C4">
        <f>HYPERLINK("http://www.wormbase.org/db/get?name=PQR;class=Cell","ASI, ASJ, PQR, other neurons, hindgut, pharyngeal muscle, hypodermis")</f>
        <v>ASI, ASJ, PQR, other neurons, hindgut, pharyngeal muscle, hypodermis</v>
      </c>
      <c t="s" s="156" r="D4">
        <v>1279</v>
      </c>
      <c t="str" s="132" r="E4">
        <f>HYPERLINK("http://www.wormbase.org/db/get?name=DAF-2;class=Protein","DAF-2")</f>
        <v>DAF-2</v>
      </c>
      <c s="112" r="F4">
        <v>1</v>
      </c>
    </row>
    <row customHeight="1" r="5" ht="24.0">
      <c t="str" s="119" r="A5">
        <f>HYPERLINK("http://www.wormbase.org/db/get?name=Y116F11B.1;class=Gene","Y116F11B.1")</f>
        <v>Y116F11B.1</v>
      </c>
      <c t="s" s="31" r="B5">
        <v>1280</v>
      </c>
      <c s="17" r="C5"/>
      <c s="161" r="D5"/>
      <c s="17" r="E5"/>
      <c s="152" r="F5"/>
    </row>
    <row r="6">
      <c t="s" s="57" r="A6">
        <v>1281</v>
      </c>
      <c s="151" r="B6"/>
      <c s="72" r="C6"/>
      <c s="43" r="D6"/>
      <c s="72" r="E6"/>
      <c s="111" r="F6"/>
    </row>
    <row customHeight="1" r="7" ht="24.0">
      <c t="str" s="64" r="A7">
        <f>HYPERLINK("http://www.wormbase.org/db/get?name=ins-1;class=Gene","ins-1")</f>
        <v>ins-1</v>
      </c>
      <c t="s" s="90" r="B7">
        <v>1282</v>
      </c>
      <c t="s" s="156" r="C7">
        <v>1283</v>
      </c>
      <c t="str" s="132" r="D7">
        <f>HYPERLINK("http://www.wormbase.org/db/get?name=DAF-2;class=Protein","DAF-2 antagonist?")</f>
        <v>DAF-2 antagonist?</v>
      </c>
      <c t="s" s="156" r="E7">
        <v>1284</v>
      </c>
      <c t="s" s="112" r="F7">
        <v>1285</v>
      </c>
    </row>
    <row customHeight="1" r="8" ht="24.0">
      <c t="str" s="119" r="A8">
        <f>HYPERLINK("http://www.wormbase.org/db/get?name=F13B12.5;class=Gene","F13B12.5")</f>
        <v>F13B12.5</v>
      </c>
      <c t="s" s="31" r="B8">
        <v>1286</v>
      </c>
      <c s="161" r="C8"/>
      <c s="17" r="D8"/>
      <c s="161" r="E8"/>
      <c s="152" r="F8"/>
    </row>
    <row r="9">
      <c t="s" s="57" r="A9">
        <v>1287</v>
      </c>
      <c s="151" r="B9"/>
      <c s="43" r="C9"/>
      <c s="72" r="D9"/>
      <c s="43" r="E9"/>
      <c s="111" r="F9"/>
    </row>
    <row customHeight="1" r="10" ht="24.0">
      <c t="str" s="64" r="A10">
        <f>HYPERLINK("http://www.wormbase.org/db/get?name=ins-2;class=Gene","ins-2")</f>
        <v>ins-2</v>
      </c>
      <c t="s" s="90" r="B10">
        <v>1288</v>
      </c>
      <c t="s" s="156" r="C10">
        <v>1289</v>
      </c>
      <c s="156" r="D10"/>
      <c s="156" r="E10"/>
      <c s="112" r="F10">
        <v>2</v>
      </c>
    </row>
    <row customHeight="1" r="11" ht="24.0">
      <c t="str" s="119" r="A11">
        <f>HYPERLINK("http://www.wormbase.org/db/get?name=ZK75.2;class=Gene","ZK75.2")</f>
        <v>ZK75.2</v>
      </c>
      <c t="s" s="31" r="B11">
        <v>1290</v>
      </c>
      <c s="161" r="C11"/>
      <c s="161" r="D11"/>
      <c s="161" r="E11"/>
      <c s="152" r="F11"/>
    </row>
    <row r="12">
      <c t="s" s="57" r="A12">
        <v>1291</v>
      </c>
      <c s="151" r="B12"/>
      <c s="43" r="C12"/>
      <c s="43" r="D12"/>
      <c s="43" r="E12"/>
      <c s="111" r="F12"/>
    </row>
    <row customHeight="1" r="13" ht="24.0">
      <c t="str" s="64" r="A13">
        <f>HYPERLINK("http://www.wormbase.org/db/get?name=ins-3;class=Gene","ins-3")</f>
        <v>ins-3</v>
      </c>
      <c t="s" s="90" r="B13">
        <v>1292</v>
      </c>
      <c t="s" s="156" r="C13">
        <v>1293</v>
      </c>
      <c s="156" r="D13"/>
      <c s="156" r="E13"/>
      <c s="112" r="F13">
        <v>2</v>
      </c>
    </row>
    <row customHeight="1" r="14" ht="24.0">
      <c t="str" s="119" r="A14">
        <f>HYPERLINK("http://www.wormbase.org/db/get?name=ZK75.3;class=Gene","ZK75.3")</f>
        <v>ZK75.3</v>
      </c>
      <c t="s" s="31" r="B14">
        <v>1294</v>
      </c>
      <c s="161" r="C14"/>
      <c s="161" r="D14"/>
      <c s="161" r="E14"/>
      <c s="152" r="F14"/>
    </row>
    <row r="15">
      <c t="s" s="57" r="A15">
        <v>1291</v>
      </c>
      <c s="151" r="B15"/>
      <c s="43" r="C15"/>
      <c s="43" r="D15"/>
      <c s="43" r="E15"/>
      <c s="111" r="F15"/>
    </row>
    <row customHeight="1" r="16" ht="24.0">
      <c t="str" s="64" r="A16">
        <f>HYPERLINK("http://www.wormbase.org/db/get?name=ins-4;class=Gene","ins-4")</f>
        <v>ins-4</v>
      </c>
      <c t="s" s="90" r="B16">
        <v>1295</v>
      </c>
      <c t="s" s="156" r="C16">
        <v>1296</v>
      </c>
      <c s="156" r="D16"/>
      <c t="str" s="132" r="E16">
        <f>HYPERLINK("http://www.wormbase.org/db/get?name=DAF-2;class=Protein","DAF-2")</f>
        <v>DAF-2</v>
      </c>
      <c t="s" s="112" r="F16">
        <v>1297</v>
      </c>
    </row>
    <row customHeight="1" r="17" ht="24.0">
      <c t="str" s="119" r="A17">
        <f>HYPERLINK("http://www.wormbase.org/db/get?name=ZK75.1;class=Gene","ZK75.1")</f>
        <v>ZK75.1</v>
      </c>
      <c t="s" s="31" r="B17">
        <v>1298</v>
      </c>
      <c s="161" r="C17"/>
      <c s="161" r="D17"/>
      <c s="17" r="E17"/>
      <c s="152" r="F17"/>
    </row>
    <row r="18">
      <c t="s" s="57" r="A18">
        <v>1291</v>
      </c>
      <c s="151" r="B18"/>
      <c s="43" r="C18"/>
      <c s="43" r="D18"/>
      <c s="72" r="E18"/>
      <c s="111" r="F18"/>
    </row>
    <row customHeight="1" r="19" ht="24.0">
      <c t="str" s="64" r="A19">
        <f>HYPERLINK("http://www.wormbase.org/db/get?name=ins-5;class=Gene","ins-5")</f>
        <v>ins-5</v>
      </c>
      <c t="s" s="90" r="B19">
        <v>1299</v>
      </c>
      <c t="s" s="156" r="C19">
        <v>1300</v>
      </c>
      <c s="156" r="D19"/>
      <c s="156" r="E19"/>
      <c s="112" r="F19">
        <v>2</v>
      </c>
    </row>
    <row customHeight="1" r="20" ht="24.0">
      <c t="str" s="119" r="A20">
        <f>HYPERLINK("http://www.wormbase.org/db/get?name=ZK84.3;class=Gene","ZK84.3")</f>
        <v>ZK84.3</v>
      </c>
      <c t="s" s="31" r="B20">
        <v>1301</v>
      </c>
      <c s="161" r="C20"/>
      <c s="161" r="D20"/>
      <c s="161" r="E20"/>
      <c s="152" r="F20"/>
    </row>
    <row r="21">
      <c t="s" s="57" r="A21">
        <v>1291</v>
      </c>
      <c s="151" r="B21"/>
      <c s="43" r="C21"/>
      <c s="43" r="D21"/>
      <c s="43" r="E21"/>
      <c s="111" r="F21"/>
    </row>
    <row customHeight="1" r="22" ht="24.0">
      <c t="str" s="64" r="A22">
        <f>HYPERLINK("http://www.wormbase.org/db/get?name=ins-6;class=Gene","ins-6")</f>
        <v>ins-6</v>
      </c>
      <c t="s" s="90" r="B22">
        <v>1302</v>
      </c>
      <c t="s" s="156" r="C22">
        <v>1303</v>
      </c>
      <c s="156" r="D22"/>
      <c t="str" s="132" r="E22">
        <f>HYPERLINK("http://www.wormbase.org/db/get?name=DAF-2;class=Protein","DAF-2")</f>
        <v>DAF-2</v>
      </c>
      <c s="112" r="F22">
        <v>2</v>
      </c>
    </row>
    <row customHeight="1" r="23" ht="24.0">
      <c t="str" s="119" r="A23">
        <f>HYPERLINK("http://www.wormbase.org/db/get?name=ZK84.6;class=Gene","ZK84.6")</f>
        <v>ZK84.6</v>
      </c>
      <c t="s" s="31" r="B23">
        <v>1304</v>
      </c>
      <c s="161" r="C23"/>
      <c s="161" r="D23"/>
      <c s="17" r="E23"/>
      <c s="152" r="F23"/>
    </row>
    <row r="24">
      <c t="s" s="57" r="A24">
        <v>1291</v>
      </c>
      <c s="151" r="B24"/>
      <c s="43" r="C24"/>
      <c s="43" r="D24"/>
      <c s="72" r="E24"/>
      <c s="111" r="F24"/>
    </row>
    <row customHeight="1" r="25" ht="24.0">
      <c t="str" s="64" r="A25">
        <f>HYPERLINK("http://www.wormbase.org/db/get?name=ins-7;class=Gene","ins-7")</f>
        <v>ins-7</v>
      </c>
      <c t="s" s="90" r="B25">
        <v>1305</v>
      </c>
      <c t="s" s="156" r="C25">
        <v>1303</v>
      </c>
      <c s="156" r="D25"/>
      <c s="156" r="E25"/>
      <c s="112" r="F25">
        <v>2</v>
      </c>
    </row>
    <row customHeight="1" r="26" ht="24.0">
      <c t="str" s="119" r="A26">
        <f>HYPERLINK("http://www.wormbase.org/db/get?name=ZK1251.2;class=Gene","ZK1251.2")</f>
        <v>ZK1251.2</v>
      </c>
      <c t="s" s="31" r="B26">
        <v>1306</v>
      </c>
      <c s="161" r="C26"/>
      <c s="161" r="D26"/>
      <c s="161" r="E26"/>
      <c s="152" r="F26"/>
    </row>
    <row r="27">
      <c t="s" s="57" r="A27">
        <v>1287</v>
      </c>
      <c s="151" r="B27"/>
      <c s="43" r="C27"/>
      <c s="43" r="D27"/>
      <c s="43" r="E27"/>
      <c s="111" r="F27"/>
    </row>
    <row customHeight="1" r="28" ht="24.0">
      <c t="str" s="64" r="A28">
        <f>HYPERLINK("http://www.wormbase.org/db/get?name=ins-8;class=Gene","ins-8")</f>
        <v>ins-8</v>
      </c>
      <c t="s" s="90" r="B28">
        <v>1307</v>
      </c>
      <c t="s" s="156" r="C28">
        <v>1308</v>
      </c>
      <c s="156" r="D28"/>
      <c s="156" r="E28"/>
      <c s="112" r="F28">
        <v>2</v>
      </c>
    </row>
    <row customHeight="1" r="29" ht="24.0">
      <c t="str" s="119" r="A29">
        <f>HYPERLINK("http://www.wormbase.org/db/get?name=ZK1251.11;class=Gene","ZK1251.11")</f>
        <v>ZK1251.11</v>
      </c>
      <c t="s" s="31" r="B29">
        <v>1309</v>
      </c>
      <c s="161" r="C29"/>
      <c s="161" r="D29"/>
      <c s="161" r="E29"/>
      <c s="152" r="F29"/>
    </row>
    <row r="30">
      <c t="s" s="57" r="A30">
        <v>1287</v>
      </c>
      <c s="151" r="B30"/>
      <c s="43" r="C30"/>
      <c s="43" r="D30"/>
      <c s="43" r="E30"/>
      <c s="111" r="F30"/>
    </row>
    <row customHeight="1" r="31" ht="24.0">
      <c t="str" s="64" r="A31">
        <f>HYPERLINK("http://www.wormbase.org/db/get?name=ins-9;class=Gene","ins-9")</f>
        <v>ins-9</v>
      </c>
      <c t="s" s="90" r="B31">
        <v>1310</v>
      </c>
      <c t="s" s="156" r="C31">
        <v>1311</v>
      </c>
      <c t="s" s="156" r="D31">
        <v>1312</v>
      </c>
      <c t="s" s="156" r="E31">
        <v>1284</v>
      </c>
      <c s="112" r="F31">
        <v>2</v>
      </c>
    </row>
    <row customHeight="1" r="32" ht="24.0">
      <c t="str" s="119" r="A32">
        <f>HYPERLINK("http://www.wormbase.org/db/get?name=C06E2.8;class=Gene","C06E2.8")</f>
        <v>C06E2.8</v>
      </c>
      <c t="s" s="31" r="B32">
        <v>1313</v>
      </c>
      <c s="161" r="C32"/>
      <c s="161" r="D32"/>
      <c s="161" r="E32"/>
      <c s="152" r="F32"/>
    </row>
    <row r="33">
      <c t="s" s="57" r="A33">
        <v>1314</v>
      </c>
      <c s="151" r="B33"/>
      <c s="43" r="C33"/>
      <c s="43" r="D33"/>
      <c s="43" r="E33"/>
      <c s="111" r="F33"/>
    </row>
    <row customHeight="1" r="34" ht="24.0">
      <c t="str" s="64" r="A34">
        <f>HYPERLINK("http://www.wormbase.org/db/get?name=ins-10;class=Gene","ins-10")</f>
        <v>ins-10</v>
      </c>
      <c t="s" s="90" r="B34">
        <v>1315</v>
      </c>
      <c s="156" r="C34"/>
      <c s="156" r="D34"/>
      <c s="156" r="E34"/>
      <c s="112" r="F34">
        <v>2</v>
      </c>
    </row>
    <row customHeight="1" r="35" ht="24.0">
      <c t="str" s="119" r="A35">
        <f>HYPERLINK("http://www.wormbase.org/db/get?name=T08G5.12;class=Gene","T08G5.12")</f>
        <v>T08G5.12</v>
      </c>
      <c t="s" s="31" r="B35">
        <v>1316</v>
      </c>
      <c s="161" r="C35"/>
      <c s="161" r="D35"/>
      <c s="161" r="E35"/>
      <c s="152" r="F35"/>
    </row>
    <row r="36">
      <c t="s" s="57" r="A36">
        <v>1281</v>
      </c>
      <c s="151" r="B36"/>
      <c s="43" r="C36"/>
      <c s="43" r="D36"/>
      <c s="43" r="E36"/>
      <c s="111" r="F36"/>
    </row>
    <row customHeight="1" r="37" ht="24.0">
      <c t="str" s="64" r="A37">
        <f>HYPERLINK("http://www.wormbase.org/db/get?name=ins-11;class=Gene","ins-11")</f>
        <v>ins-11</v>
      </c>
      <c t="s" s="90" r="B37">
        <v>1317</v>
      </c>
      <c t="s" s="156" r="C37">
        <v>1318</v>
      </c>
      <c s="156" r="D37"/>
      <c s="156" r="E37"/>
      <c s="112" r="F37">
        <v>2</v>
      </c>
    </row>
    <row customHeight="1" r="38" ht="24.0">
      <c t="str" s="119" r="A38">
        <f>HYPERLINK("http://www.wormbase.org/db/get?name=C17C3.4;class=Gene","C17C3.4")</f>
        <v>C17C3.4</v>
      </c>
      <c t="s" s="31" r="B38">
        <v>1319</v>
      </c>
      <c s="161" r="C38"/>
      <c s="161" r="D38"/>
      <c s="161" r="E38"/>
      <c s="152" r="F38"/>
    </row>
    <row r="39">
      <c t="s" s="57" r="A39">
        <v>1291</v>
      </c>
      <c s="151" r="B39"/>
      <c s="43" r="C39"/>
      <c s="43" r="D39"/>
      <c s="43" r="E39"/>
      <c s="111" r="F39"/>
    </row>
    <row customHeight="1" r="40" ht="24.0">
      <c t="str" s="64" r="A40">
        <f>HYPERLINK("http://www.wormbase.org/db/get?name=ins-12;class=Gene","ins-12")</f>
        <v>ins-12</v>
      </c>
      <c t="s" s="90" r="B40">
        <v>1320</v>
      </c>
      <c s="156" r="C40"/>
      <c s="156" r="D40"/>
      <c s="156" r="E40"/>
      <c s="112" r="F40">
        <v>2</v>
      </c>
    </row>
    <row customHeight="1" r="41" ht="24.0">
      <c t="str" s="119" r="A41">
        <f>HYPERLINK("http://www.wormbase.org/db/get?name=C17C3.19;class=Gene","C17C3.19")</f>
        <v>C17C3.19</v>
      </c>
      <c t="s" s="31" r="B41">
        <v>1321</v>
      </c>
      <c s="161" r="C41"/>
      <c s="161" r="D41"/>
      <c s="161" r="E41"/>
      <c s="152" r="F41"/>
    </row>
    <row r="42">
      <c t="s" s="57" r="A42">
        <v>1291</v>
      </c>
      <c s="151" r="B42"/>
      <c s="43" r="C42"/>
      <c s="43" r="D42"/>
      <c s="43" r="E42"/>
      <c s="111" r="F42"/>
    </row>
    <row customHeight="1" r="43" ht="24.0">
      <c t="str" s="64" r="A43">
        <f>HYPERLINK("http://www.wormbase.org/db/get?name=ins-13;class=Gene","ins-13")</f>
        <v>ins-13</v>
      </c>
      <c t="s" s="90" r="B43">
        <v>1322</v>
      </c>
      <c s="156" r="C43"/>
      <c s="156" r="D43"/>
      <c s="156" r="E43"/>
      <c s="112" r="F43">
        <v>2</v>
      </c>
    </row>
    <row customHeight="1" r="44" ht="24.0">
      <c t="str" s="119" r="A44">
        <f>HYPERLINK("http://www.wormbase.org/db/get?name=C17C3.18;class=Gene","C17C3.18")</f>
        <v>C17C3.18</v>
      </c>
      <c t="s" s="31" r="B44">
        <v>1323</v>
      </c>
      <c s="161" r="C44"/>
      <c s="161" r="D44"/>
      <c s="161" r="E44"/>
      <c s="152" r="F44"/>
    </row>
    <row r="45">
      <c t="s" s="57" r="A45">
        <v>1291</v>
      </c>
      <c s="151" r="B45"/>
      <c s="43" r="C45"/>
      <c s="43" r="D45"/>
      <c s="43" r="E45"/>
      <c s="111" r="F45"/>
    </row>
    <row customHeight="1" r="46" ht="24.0">
      <c t="str" s="64" r="A46">
        <f>HYPERLINK("http://www.wormbase.org/db/get?name=ins-14;class=Gene","ins-14")</f>
        <v>ins-14</v>
      </c>
      <c t="s" s="90" r="B46">
        <v>1324</v>
      </c>
      <c s="156" r="C46"/>
      <c s="156" r="D46"/>
      <c s="156" r="E46"/>
      <c s="112" r="F46">
        <v>2</v>
      </c>
    </row>
    <row customHeight="1" r="47" ht="24.0">
      <c t="str" s="119" r="A47">
        <f>HYPERLINK("http://www.wormbase.org/db/get?name=F41G3.16;class=Gene","F41G3.16")</f>
        <v>F41G3.16</v>
      </c>
      <c t="s" s="31" r="B47">
        <v>1325</v>
      </c>
      <c s="161" r="C47"/>
      <c s="161" r="D47"/>
      <c s="161" r="E47"/>
      <c s="152" r="F47"/>
    </row>
    <row r="48">
      <c t="s" s="57" r="A48">
        <v>1291</v>
      </c>
      <c s="151" r="B48"/>
      <c s="43" r="C48"/>
      <c s="43" r="D48"/>
      <c s="43" r="E48"/>
      <c s="111" r="F48"/>
    </row>
    <row customHeight="1" r="49" ht="24.0">
      <c t="str" s="64" r="A49">
        <f>HYPERLINK("http://www.wormbase.org/db/get?name=ins-15;class=Gene","ins-15")</f>
        <v>ins-15</v>
      </c>
      <c t="s" s="90" r="B49">
        <v>1326</v>
      </c>
      <c s="156" r="C49"/>
      <c s="156" r="D49"/>
      <c s="156" r="E49"/>
      <c s="112" r="F49">
        <v>2</v>
      </c>
    </row>
    <row customHeight="1" r="50" ht="24.0">
      <c t="str" s="119" r="A50">
        <f>HYPERLINK("http://www.wormbase.org/db/get?name=F41G3.17;class=Gene","F41G3.17")</f>
        <v>F41G3.17</v>
      </c>
      <c t="s" s="31" r="B50">
        <v>1327</v>
      </c>
      <c s="161" r="C50"/>
      <c s="161" r="D50"/>
      <c s="161" r="E50"/>
      <c s="152" r="F50"/>
    </row>
    <row r="51">
      <c t="s" s="57" r="A51">
        <v>1291</v>
      </c>
      <c s="151" r="B51"/>
      <c s="43" r="C51"/>
      <c s="43" r="D51"/>
      <c s="43" r="E51"/>
      <c s="111" r="F51"/>
    </row>
    <row customHeight="1" r="52" ht="24.0">
      <c t="str" s="64" r="A52">
        <f>HYPERLINK("http://www.wormbase.org/db/get?name=ins-16;class=Gene","ins-16")</f>
        <v>ins-16</v>
      </c>
      <c t="s" s="90" r="B52">
        <v>1328</v>
      </c>
      <c s="156" r="C52"/>
      <c s="156" r="D52"/>
      <c s="156" r="E52"/>
      <c s="112" r="F52">
        <v>2</v>
      </c>
    </row>
    <row customHeight="1" r="53" ht="24.0">
      <c t="str" s="119" r="A53">
        <f>HYPERLINK("http://www.wormbase.org/db/get?name=Y39A3A.5;class=Gene","Y39A3A.5")</f>
        <v>Y39A3A.5</v>
      </c>
      <c t="s" s="31" r="B53">
        <v>1329</v>
      </c>
      <c s="161" r="C53"/>
      <c s="161" r="D53"/>
      <c s="161" r="E53"/>
      <c s="152" r="F53"/>
    </row>
    <row r="54">
      <c t="s" s="57" r="A54">
        <v>1330</v>
      </c>
      <c s="151" r="B54"/>
      <c s="43" r="C54"/>
      <c s="43" r="D54"/>
      <c s="43" r="E54"/>
      <c s="111" r="F54"/>
    </row>
    <row customHeight="1" r="55" ht="24.0">
      <c t="str" s="64" r="A55">
        <f>HYPERLINK("http://www.wormbase.org/db/get?name=ins-17;class=Gene","ins-17")</f>
        <v>ins-17</v>
      </c>
      <c t="s" s="90" r="B55">
        <v>1331</v>
      </c>
      <c s="156" r="C55"/>
      <c s="156" r="D55"/>
      <c s="156" r="E55"/>
      <c s="112" r="F55">
        <v>2</v>
      </c>
    </row>
    <row customHeight="1" r="56" ht="36.0">
      <c t="str" s="119" r="A56">
        <f>HYPERLINK("http://www.wormbase.org/db/get?name=F56F3.6;class=Gene","F56F3.6")</f>
        <v>F56F3.6</v>
      </c>
      <c t="s" s="31" r="B56">
        <v>1332</v>
      </c>
      <c s="161" r="C56"/>
      <c s="161" r="D56"/>
      <c s="161" r="E56"/>
      <c s="152" r="F56"/>
    </row>
    <row r="57">
      <c t="s" s="57" r="A57">
        <v>1330</v>
      </c>
      <c s="151" r="B57"/>
      <c s="43" r="C57"/>
      <c s="43" r="D57"/>
      <c s="43" r="E57"/>
      <c s="111" r="F57"/>
    </row>
    <row customHeight="1" r="58" ht="24.0">
      <c t="str" s="64" r="A58">
        <f>HYPERLINK("http://www.wormbase.org/db/get?name=ins-18;class=Gene","ins-18")</f>
        <v>ins-18</v>
      </c>
      <c t="s" s="90" r="B58">
        <v>1333</v>
      </c>
      <c t="s" s="156" r="C58">
        <v>1334</v>
      </c>
      <c t="str" s="132" r="D58">
        <f>HYPERLINK("http://www.wormbase.org/db/get?name=DAF-2;class=Protein","DAF-2 antagonist?")</f>
        <v>DAF-2 antagonist?</v>
      </c>
      <c t="s" s="156" r="E58">
        <v>1284</v>
      </c>
      <c s="112" r="F58">
        <v>2</v>
      </c>
    </row>
    <row customHeight="1" r="59" ht="24.0">
      <c t="str" s="119" r="A59">
        <f>HYPERLINK("http://www.wormbase.org/db/get?name=T28B8.2;class=Gene","T28B8.2")</f>
        <v>T28B8.2</v>
      </c>
      <c t="s" s="31" r="B59">
        <v>1335</v>
      </c>
      <c s="161" r="C59"/>
      <c s="17" r="D59"/>
      <c s="161" r="E59"/>
      <c s="152" r="F59"/>
    </row>
    <row r="60">
      <c t="s" s="57" r="A60">
        <v>1336</v>
      </c>
      <c s="151" r="B60"/>
      <c s="43" r="C60"/>
      <c s="72" r="D60"/>
      <c s="43" r="E60"/>
      <c s="111" r="F60"/>
    </row>
    <row customHeight="1" r="61" ht="24.0">
      <c t="str" s="64" r="A61">
        <f>HYPERLINK("http://www.wormbase.org/db/get?name=ins-19;class=Gene","ins-19")</f>
        <v>ins-19</v>
      </c>
      <c t="s" s="90" r="B61">
        <v>1337</v>
      </c>
      <c s="156" r="C61"/>
      <c t="s" s="156" r="D61">
        <v>1338</v>
      </c>
      <c t="s" s="156" r="E61">
        <v>1284</v>
      </c>
      <c s="112" r="F61">
        <v>2</v>
      </c>
    </row>
    <row customHeight="1" r="62" ht="36.0">
      <c t="str" s="119" r="A62">
        <f>HYPERLINK("http://www.wormbase.org/db/get?name=T10D4.13;class=Gene","T10D4.13")</f>
        <v>T10D4.13</v>
      </c>
      <c t="s" s="31" r="B62">
        <v>1339</v>
      </c>
      <c s="161" r="C62"/>
      <c s="161" r="D62"/>
      <c s="161" r="E62"/>
      <c s="152" r="F62"/>
    </row>
    <row r="63">
      <c t="s" s="57" r="A63">
        <v>1291</v>
      </c>
      <c s="151" r="B63"/>
      <c s="43" r="C63"/>
      <c s="43" r="D63"/>
      <c s="43" r="E63"/>
      <c s="111" r="F63"/>
    </row>
    <row customHeight="1" r="64" ht="24.0">
      <c t="str" s="64" r="A64">
        <f>HYPERLINK("http://www.wormbase.org/db/get?name=ins-20;class=Gene","ins-20")</f>
        <v>ins-20</v>
      </c>
      <c t="s" s="90" r="B64">
        <v>1340</v>
      </c>
      <c s="156" r="C64"/>
      <c s="156" r="D64"/>
      <c s="156" r="E64"/>
      <c s="112" r="F64">
        <v>2</v>
      </c>
    </row>
    <row customHeight="1" r="65" ht="24.0">
      <c t="str" s="119" r="A65">
        <f>HYPERLINK("http://www.wormbase.org/db/get?name=ZK84.7;class=Gene","ZK84.7")</f>
        <v>ZK84.7</v>
      </c>
      <c t="s" s="31" r="B65">
        <v>1341</v>
      </c>
      <c s="161" r="C65"/>
      <c s="161" r="D65"/>
      <c s="161" r="E65"/>
      <c s="152" r="F65"/>
    </row>
    <row r="66">
      <c t="s" s="57" r="A66">
        <v>1291</v>
      </c>
      <c s="151" r="B66"/>
      <c s="43" r="C66"/>
      <c s="43" r="D66"/>
      <c s="43" r="E66"/>
      <c s="111" r="F66"/>
    </row>
    <row customHeight="1" r="67" ht="24.0">
      <c t="str" s="64" r="A67">
        <f>HYPERLINK("http://www.wormbase.org/db/get?name=ins-21;class=Gene","ins-21")</f>
        <v>ins-21</v>
      </c>
      <c t="s" s="90" r="B67">
        <v>1342</v>
      </c>
      <c t="s" s="156" r="C67">
        <v>1343</v>
      </c>
      <c s="156" r="D67"/>
      <c s="156" r="E67"/>
      <c s="112" r="F67">
        <v>2</v>
      </c>
    </row>
    <row customHeight="1" r="68" ht="24.0">
      <c t="str" s="119" r="A68">
        <f>HYPERLINK("http://www.wormbase.org/db/get?name=M04D8.1;class=Gene","M04D8.1")</f>
        <v>M04D8.1</v>
      </c>
      <c t="s" s="31" r="B68">
        <v>1344</v>
      </c>
      <c s="161" r="C68"/>
      <c s="161" r="D68"/>
      <c s="161" r="E68"/>
      <c s="152" r="F68"/>
    </row>
    <row r="69">
      <c t="s" s="57" r="A69">
        <v>1330</v>
      </c>
      <c s="151" r="B69"/>
      <c s="43" r="C69"/>
      <c s="43" r="D69"/>
      <c s="43" r="E69"/>
      <c s="111" r="F69"/>
    </row>
    <row customHeight="1" r="70" ht="36.0">
      <c t="str" s="64" r="A70">
        <f>HYPERLINK("http://www.wormbase.org/db/get?name=ins-22;class=Gene","ins-22")</f>
        <v>ins-22</v>
      </c>
      <c t="s" s="90" r="B70">
        <v>1345</v>
      </c>
      <c t="s" s="156" r="C70">
        <v>1346</v>
      </c>
      <c t="s" s="156" r="D70">
        <v>1347</v>
      </c>
      <c s="156" r="E70"/>
      <c t="s" s="112" r="F70">
        <v>1348</v>
      </c>
    </row>
    <row customHeight="1" r="71" ht="24.0">
      <c t="str" s="119" r="A71">
        <f>HYPERLINK("http://www.wormbase.org/db/get?name=M04D8.2;class=Gene","M04D8.2")</f>
        <v>M04D8.2</v>
      </c>
      <c t="s" s="31" r="B71">
        <v>1349</v>
      </c>
      <c s="161" r="C71"/>
      <c s="161" r="D71"/>
      <c s="161" r="E71"/>
      <c s="152" r="F71"/>
    </row>
    <row r="72">
      <c t="s" s="57" r="A72">
        <v>1330</v>
      </c>
      <c s="151" r="B72"/>
      <c s="43" r="C72"/>
      <c s="43" r="D72"/>
      <c s="43" r="E72"/>
      <c s="111" r="F72"/>
    </row>
    <row customHeight="1" r="73" ht="24.0">
      <c t="str" s="64" r="A73">
        <f>HYPERLINK("http://www.wormbase.org/db/get?name=ins-23;class=Gene","ins-23")</f>
        <v>ins-23</v>
      </c>
      <c t="s" s="90" r="B73">
        <v>1350</v>
      </c>
      <c t="s" s="156" r="C73">
        <v>1351</v>
      </c>
      <c s="156" r="D73"/>
      <c s="156" r="E73"/>
      <c s="112" r="F73">
        <v>2</v>
      </c>
    </row>
    <row customHeight="1" r="74" ht="24.0">
      <c t="str" s="119" r="A74">
        <f>HYPERLINK("http://www.wormbase.org/db/get?name=M04D8.3;class=Gene","M04D8.3")</f>
        <v>M04D8.3</v>
      </c>
      <c t="s" s="31" r="B74">
        <v>1352</v>
      </c>
      <c s="161" r="C74"/>
      <c s="161" r="D74"/>
      <c s="161" r="E74"/>
      <c s="152" r="F74"/>
    </row>
    <row r="75">
      <c t="s" s="57" r="A75">
        <v>1330</v>
      </c>
      <c s="151" r="B75"/>
      <c s="43" r="C75"/>
      <c s="43" r="D75"/>
      <c s="43" r="E75"/>
      <c s="111" r="F75"/>
    </row>
    <row customHeight="1" r="76" ht="24.0">
      <c t="str" s="64" r="A76">
        <f>HYPERLINK("http://www.wormbase.org/db/get?name=ins-24;class=Gene","ins-24")</f>
        <v>ins-24</v>
      </c>
      <c t="s" s="90" r="B76">
        <v>1353</v>
      </c>
      <c s="156" r="C76"/>
      <c s="156" r="D76"/>
      <c s="156" r="E76"/>
      <c s="112" r="F76">
        <v>2</v>
      </c>
    </row>
    <row customHeight="1" r="77" ht="24.0">
      <c t="str" s="119" r="A77">
        <f>HYPERLINK("http://www.wormbase.org/db/get?name=ZC334.3;class=Gene","ZC334.3")</f>
        <v>ZC334.3</v>
      </c>
      <c t="s" s="31" r="B77">
        <v>1354</v>
      </c>
      <c s="161" r="C77"/>
      <c s="161" r="D77"/>
      <c s="161" r="E77"/>
      <c s="152" r="F77"/>
    </row>
    <row r="78">
      <c t="s" s="57" r="A78">
        <v>1336</v>
      </c>
      <c s="151" r="B78"/>
      <c s="43" r="C78"/>
      <c s="43" r="D78"/>
      <c s="43" r="E78"/>
      <c s="111" r="F78"/>
    </row>
    <row customHeight="1" r="79" ht="24.0">
      <c t="str" s="64" r="A79">
        <f>HYPERLINK("http://www.wormbase.org/db/get?name=ins-25;class=Gene","ins-25")</f>
        <v>ins-25</v>
      </c>
      <c t="s" s="90" r="B79">
        <v>1355</v>
      </c>
      <c s="156" r="C79"/>
      <c s="156" r="D79"/>
      <c s="156" r="E79"/>
      <c s="112" r="F79">
        <v>2</v>
      </c>
    </row>
    <row customHeight="1" r="80" ht="24.0">
      <c t="str" s="119" r="A80">
        <f>HYPERLINK("http://www.wormbase.org/db/get?name=ZC334.8;class=Gene","ZC334.8")</f>
        <v>ZC334.8</v>
      </c>
      <c t="s" s="31" r="B80">
        <v>1356</v>
      </c>
      <c s="161" r="C80"/>
      <c s="161" r="D80"/>
      <c s="161" r="E80"/>
      <c s="152" r="F80"/>
    </row>
    <row r="81">
      <c t="s" s="57" r="A81">
        <v>1336</v>
      </c>
      <c s="151" r="B81"/>
      <c s="43" r="C81"/>
      <c s="43" r="D81"/>
      <c s="43" r="E81"/>
      <c s="111" r="F81"/>
    </row>
    <row customHeight="1" r="82" ht="24.0">
      <c t="str" s="64" r="A82">
        <f>HYPERLINK("http://www.wormbase.org/db/get?name=ins-26;class=Gene","ins-26")</f>
        <v>ins-26</v>
      </c>
      <c t="s" s="90" r="B82">
        <v>1357</v>
      </c>
      <c s="156" r="C82"/>
      <c s="156" r="D82"/>
      <c s="156" r="E82"/>
      <c s="112" r="F82">
        <v>2</v>
      </c>
    </row>
    <row customHeight="1" r="83" ht="24.0">
      <c t="str" s="119" r="A83">
        <f>HYPERLINK("http://www.wormbase.org/db/get?name=ZC334.1;class=Gene","ZC334.1")</f>
        <v>ZC334.1</v>
      </c>
      <c t="s" s="31" r="B83">
        <v>1358</v>
      </c>
      <c s="161" r="C83"/>
      <c s="161" r="D83"/>
      <c s="161" r="E83"/>
      <c s="152" r="F83"/>
    </row>
    <row r="84">
      <c t="s" s="57" r="A84">
        <v>1336</v>
      </c>
      <c s="151" r="B84"/>
      <c s="43" r="C84"/>
      <c s="43" r="D84"/>
      <c s="43" r="E84"/>
      <c s="111" r="F84"/>
    </row>
    <row customHeight="1" r="85" ht="24.0">
      <c t="str" s="64" r="A85">
        <f>HYPERLINK("http://www.wormbase.org/db/get?name=ins-27;class=Gene","ins-27")</f>
        <v>ins-27</v>
      </c>
      <c t="s" s="90" r="B85">
        <v>1359</v>
      </c>
      <c s="156" r="C85"/>
      <c s="156" r="D85"/>
      <c s="156" r="E85"/>
      <c s="112" r="F85">
        <v>2</v>
      </c>
    </row>
    <row customHeight="1" r="86" ht="24.0">
      <c t="str" s="119" r="A86">
        <f>HYPERLINK("http://www.wormbase.org/db/get?name=ZC334.11;class=Gene","ZC334.11")</f>
        <v>ZC334.11</v>
      </c>
      <c t="s" s="31" r="B86">
        <v>1360</v>
      </c>
      <c s="161" r="C86"/>
      <c s="161" r="D86"/>
      <c s="161" r="E86"/>
      <c s="152" r="F86"/>
    </row>
    <row r="87">
      <c t="s" s="57" r="A87">
        <v>1336</v>
      </c>
      <c s="151" r="B87"/>
      <c s="43" r="C87"/>
      <c s="43" r="D87"/>
      <c s="43" r="E87"/>
      <c s="111" r="F87"/>
    </row>
    <row customHeight="1" r="88" ht="24.0">
      <c t="str" s="64" r="A88">
        <f>HYPERLINK("http://www.wormbase.org/db/get?name=ins-28;class=Gene","ins-28")</f>
        <v>ins-28</v>
      </c>
      <c t="s" s="90" r="B88">
        <v>1361</v>
      </c>
      <c s="156" r="C88"/>
      <c s="156" r="D88"/>
      <c s="156" r="E88"/>
      <c s="112" r="F88">
        <v>2</v>
      </c>
    </row>
    <row customHeight="1" r="89" ht="24.0">
      <c t="str" s="119" r="A89">
        <f>HYPERLINK("http://www.wormbase.org/db/get?name=ZC334.9;class=Gene","ZC334.9")</f>
        <v>ZC334.9</v>
      </c>
      <c t="s" s="31" r="B89">
        <v>1362</v>
      </c>
      <c s="161" r="C89"/>
      <c s="161" r="D89"/>
      <c s="161" r="E89"/>
      <c s="152" r="F89"/>
    </row>
    <row r="90">
      <c t="s" s="57" r="A90">
        <v>1336</v>
      </c>
      <c s="151" r="B90"/>
      <c s="43" r="C90"/>
      <c s="43" r="D90"/>
      <c s="43" r="E90"/>
      <c s="111" r="F90"/>
    </row>
    <row customHeight="1" r="91" ht="24.0">
      <c t="str" s="64" r="A91">
        <f>HYPERLINK("http://www.wormbase.org/db/get?name=ins-29;class=Gene","ins-29")</f>
        <v>ins-29</v>
      </c>
      <c t="s" s="90" r="B91">
        <v>1363</v>
      </c>
      <c s="156" r="C91"/>
      <c s="156" r="D91"/>
      <c s="156" r="E91"/>
      <c s="112" r="F91">
        <v>2</v>
      </c>
    </row>
    <row customHeight="1" r="92" ht="24.0">
      <c t="str" s="119" r="A92">
        <f>HYPERLINK("http://www.wormbase.org/db/get?name=ZC334.10;class=Gene","ZC334.10")</f>
        <v>ZC334.10</v>
      </c>
      <c t="s" s="31" r="B92">
        <v>1364</v>
      </c>
      <c s="161" r="C92"/>
      <c s="161" r="D92"/>
      <c s="161" r="E92"/>
      <c s="152" r="F92"/>
    </row>
    <row r="93">
      <c t="s" s="57" r="A93">
        <v>1336</v>
      </c>
      <c s="151" r="B93"/>
      <c s="43" r="C93"/>
      <c s="43" r="D93"/>
      <c s="43" r="E93"/>
      <c s="111" r="F93"/>
    </row>
    <row customHeight="1" r="94" ht="24.0">
      <c t="str" s="64" r="A94">
        <f>HYPERLINK("http://www.wormbase.org/db/get?name=ins-30;class=Gene","ins-30")</f>
        <v>ins-30</v>
      </c>
      <c t="s" s="90" r="B94">
        <v>1365</v>
      </c>
      <c s="156" r="C94"/>
      <c s="156" r="D94"/>
      <c s="156" r="E94"/>
      <c s="112" r="F94">
        <v>2</v>
      </c>
    </row>
    <row customHeight="1" r="95" ht="24.0">
      <c t="str" s="119" r="A95">
        <f>HYPERLINK("http://www.wormbase.org/db/get?name=ZC334.2;class=Gene","ZC334.2")</f>
        <v>ZC334.2</v>
      </c>
      <c t="s" s="31" r="B95">
        <v>1366</v>
      </c>
      <c s="161" r="C95"/>
      <c s="161" r="D95"/>
      <c s="161" r="E95"/>
      <c s="152" r="F95"/>
    </row>
    <row r="96">
      <c t="s" s="57" r="A96">
        <v>1336</v>
      </c>
      <c s="151" r="B96"/>
      <c s="43" r="C96"/>
      <c s="43" r="D96"/>
      <c s="43" r="E96"/>
      <c s="111" r="F96"/>
    </row>
    <row customHeight="1" r="97" ht="24.0">
      <c t="str" s="64" r="A97">
        <f>HYPERLINK("http://www.wormbase.org/db/get?name=ins-31;class=Gene","ins-31 a")</f>
        <v>ins-31 a</v>
      </c>
      <c t="s" s="90" r="B97">
        <v>1367</v>
      </c>
      <c s="156" r="C97"/>
      <c t="s" s="156" r="D97">
        <v>1368</v>
      </c>
      <c t="s" s="156" r="E97">
        <v>1284</v>
      </c>
      <c t="s" s="112" r="F97">
        <v>1369</v>
      </c>
    </row>
    <row customHeight="1" r="98" ht="36.0">
      <c t="str" s="119" r="A98">
        <f>HYPERLINK("http://www.wormbase.org/db/get?name=T10D4.4;class=Gene","T10D4.4")</f>
        <v>T10D4.4</v>
      </c>
      <c t="s" s="31" r="B98">
        <v>1370</v>
      </c>
      <c s="161" r="C98"/>
      <c s="161" r="D98"/>
      <c s="161" r="E98"/>
      <c s="152" r="F98"/>
    </row>
    <row r="99">
      <c t="s" s="57" r="A99">
        <v>1291</v>
      </c>
      <c s="151" r="B99"/>
      <c s="43" r="C99"/>
      <c s="43" r="D99"/>
      <c s="43" r="E99"/>
      <c s="111" r="F99"/>
    </row>
    <row customHeight="1" r="100" ht="24.0">
      <c t="str" s="64" r="A100">
        <f>HYPERLINK("http://www.wormbase.org/db/get?name=ins-31;class=Gene","ins-31 b")</f>
        <v>ins-31 b</v>
      </c>
      <c t="s" s="90" r="B100">
        <v>1371</v>
      </c>
      <c s="156" r="C100"/>
      <c s="156" r="D100"/>
      <c s="156" r="E100"/>
      <c t="s" s="112" r="F100">
        <v>1372</v>
      </c>
    </row>
    <row customHeight="1" r="101" ht="36.0">
      <c s="62" r="A101"/>
      <c t="s" s="185" r="B101">
        <v>1373</v>
      </c>
      <c s="43" r="C101"/>
      <c s="43" r="D101"/>
      <c s="43" r="E101"/>
      <c s="111" r="F101"/>
    </row>
    <row customHeight="1" r="102" ht="24.0">
      <c t="str" s="64" r="A102">
        <f>HYPERLINK("http://www.wormbase.org/db/get?name=ins-31;class=Gene","ins-31 c")</f>
        <v>ins-31 c</v>
      </c>
      <c t="s" s="90" r="B102">
        <v>1374</v>
      </c>
      <c s="156" r="C102"/>
      <c s="156" r="D102"/>
      <c s="156" r="E102"/>
      <c t="s" s="112" r="F102">
        <v>1372</v>
      </c>
    </row>
    <row customHeight="1" r="103" ht="36.0">
      <c s="62" r="A103"/>
      <c t="s" s="185" r="B103">
        <v>1375</v>
      </c>
      <c s="43" r="C103"/>
      <c s="43" r="D103"/>
      <c s="43" r="E103"/>
      <c s="111" r="F103"/>
    </row>
    <row customHeight="1" r="104" ht="24.0">
      <c t="str" s="64" r="A104">
        <f>HYPERLINK("http://www.wormbase.org/db/get?name=ins-32;class=Gene","ins-32")</f>
        <v>ins-32</v>
      </c>
      <c t="s" s="90" r="B104">
        <v>1376</v>
      </c>
      <c s="156" r="C104"/>
      <c s="156" r="D104"/>
      <c s="156" r="E104"/>
      <c t="s" s="112" r="F104">
        <v>1377</v>
      </c>
    </row>
    <row customHeight="1" r="105" ht="24.0">
      <c t="str" s="119" r="A105">
        <f>HYPERLINK("http://www.wormbase.org/db/get?name=Y8A9A.6;class=Gene","Y8A9A.6")</f>
        <v>Y8A9A.6</v>
      </c>
      <c t="s" s="31" r="B105">
        <v>1378</v>
      </c>
      <c s="161" r="C105"/>
      <c s="161" r="D105"/>
      <c s="161" r="E105"/>
      <c s="152" r="F105"/>
    </row>
    <row r="106">
      <c t="s" s="57" r="A106">
        <v>1291</v>
      </c>
      <c s="151" r="B106"/>
      <c s="43" r="C106"/>
      <c s="43" r="D106"/>
      <c s="43" r="E106"/>
      <c s="111" r="F106"/>
    </row>
    <row customHeight="1" r="107" ht="24.0">
      <c t="str" s="64" r="A107">
        <f>HYPERLINK("http://www.wormbase.org/db/get?name=ins-33;class=Gene","ins-33")</f>
        <v>ins-33</v>
      </c>
      <c t="s" s="90" r="B107">
        <v>1379</v>
      </c>
      <c s="156" r="C107"/>
      <c s="156" r="D107"/>
      <c s="156" r="E107"/>
      <c t="s" s="112" r="F107">
        <v>1377</v>
      </c>
    </row>
    <row customHeight="1" r="108" ht="24.0">
      <c t="str" s="119" r="A108">
        <f>HYPERLINK("http://www.wormbase.org/db/get?name=W09C5.4;class=Gene","W09C5.4")</f>
        <v>W09C5.4</v>
      </c>
      <c t="s" s="31" r="B108">
        <v>1380</v>
      </c>
      <c s="161" r="C108"/>
      <c s="161" r="D108"/>
      <c s="161" r="E108"/>
      <c s="152" r="F108"/>
    </row>
    <row r="109">
      <c t="s" s="57" r="A109">
        <v>1336</v>
      </c>
      <c s="151" r="B109"/>
      <c s="43" r="C109"/>
      <c s="43" r="D109"/>
      <c s="43" r="E109"/>
      <c s="111" r="F109"/>
    </row>
    <row customHeight="1" r="110" ht="24.0">
      <c t="str" s="64" r="A110">
        <f>HYPERLINK("http://www.wormbase.org/db/get?name=ins-34;class=Gene","ins-34")</f>
        <v>ins-34</v>
      </c>
      <c t="s" s="90" r="B110">
        <v>1381</v>
      </c>
      <c s="156" r="C110"/>
      <c s="156" r="D110"/>
      <c s="156" r="E110"/>
      <c s="112" r="F110">
        <v>2</v>
      </c>
    </row>
    <row customHeight="1" r="111" ht="24.0">
      <c t="str" s="119" r="A111">
        <f>HYPERLINK("http://www.wormbase.org/db/get?name=F52B11.6;class=Gene","F52B11.6")</f>
        <v>F52B11.6</v>
      </c>
      <c t="s" s="31" r="B111">
        <v>1382</v>
      </c>
      <c s="161" r="C111"/>
      <c s="161" r="D111"/>
      <c s="161" r="E111"/>
      <c s="152" r="F111"/>
    </row>
    <row r="112">
      <c t="s" s="57" r="A112">
        <v>1287</v>
      </c>
      <c s="151" r="B112"/>
      <c s="43" r="C112"/>
      <c s="43" r="D112"/>
      <c s="43" r="E112"/>
      <c s="111" r="F112"/>
    </row>
    <row customHeight="1" r="113" ht="24.0">
      <c t="str" s="64" r="A113">
        <f>HYPERLINK("http://www.wormbase.org/db/get?name=ins-35;class=Gene","ins-35")</f>
        <v>ins-35</v>
      </c>
      <c t="s" s="90" r="B113">
        <v>1383</v>
      </c>
      <c s="156" r="C113"/>
      <c s="156" r="D113"/>
      <c s="156" r="E113"/>
      <c t="s" s="112" r="F113">
        <v>1377</v>
      </c>
    </row>
    <row customHeight="1" r="114" ht="24.0">
      <c t="str" s="119" r="A114">
        <f>HYPERLINK("http://www.wormbase.org/db/get?name=K02E2.4;class=Gene","K02E2.4")</f>
        <v>K02E2.4</v>
      </c>
      <c t="s" s="31" r="B114">
        <v>1384</v>
      </c>
      <c s="161" r="C114"/>
      <c s="161" r="D114"/>
      <c s="161" r="E114"/>
      <c s="152" r="F114"/>
    </row>
    <row r="115">
      <c t="s" s="57" r="A115">
        <v>1281</v>
      </c>
      <c s="151" r="B115"/>
      <c s="43" r="C115"/>
      <c s="43" r="D115"/>
      <c s="43" r="E115"/>
      <c s="111" r="F115"/>
    </row>
    <row customHeight="1" r="116" ht="24.0">
      <c t="str" s="64" r="A116">
        <f>HYPERLINK("http://www.wormbase.org/db/get?name=ins-36;class=Gene","ins-36")</f>
        <v>ins-36</v>
      </c>
      <c t="s" s="90" r="B116">
        <v>1385</v>
      </c>
      <c s="156" r="C116"/>
      <c s="156" r="D116"/>
      <c s="156" r="E116"/>
      <c s="112" r="F116">
        <v>2</v>
      </c>
    </row>
    <row customHeight="1" r="117" ht="36.0">
      <c t="str" s="119" r="A117">
        <f>HYPERLINK("http://www.wormbase.org/db/get?name=Y53H1A.4;class=Gene","Y53H1A.4")</f>
        <v>Y53H1A.4</v>
      </c>
      <c t="s" s="31" r="B117">
        <v>1386</v>
      </c>
      <c s="161" r="C117"/>
      <c s="161" r="D117"/>
      <c s="161" r="E117"/>
      <c s="152" r="F117"/>
    </row>
    <row r="118">
      <c t="s" s="57" r="A118">
        <v>1336</v>
      </c>
      <c s="151" r="B118"/>
      <c s="43" r="C118"/>
      <c s="43" r="D118"/>
      <c s="43" r="E118"/>
      <c s="111" r="F118"/>
    </row>
    <row customHeight="1" r="119" ht="24.0">
      <c t="str" s="64" r="A119">
        <f>HYPERLINK("http://www.wormbase.org/db/get?name=ins-37;class=Gene","ins-37")</f>
        <v>ins-37</v>
      </c>
      <c t="s" s="90" r="B119">
        <v>1387</v>
      </c>
      <c s="156" r="C119"/>
      <c s="156" r="D119"/>
      <c s="156" r="E119"/>
      <c t="s" s="112" r="F119">
        <v>1377</v>
      </c>
    </row>
    <row customHeight="1" r="120" ht="24.0">
      <c t="str" s="119" r="A120">
        <f>HYPERLINK("http://www.wormbase.org/db/get?name=F08G2.6;class=Gene","F08G2.6")</f>
        <v>F08G2.6</v>
      </c>
      <c t="s" s="31" r="B120">
        <v>1388</v>
      </c>
      <c s="161" r="C120"/>
      <c s="161" r="D120"/>
      <c s="161" r="E120"/>
      <c s="152" r="F120"/>
    </row>
    <row r="121">
      <c t="s" s="57" r="A121">
        <v>1291</v>
      </c>
      <c s="151" r="B121"/>
      <c s="43" r="C121"/>
      <c s="43" r="D121"/>
      <c s="43" r="E121"/>
      <c s="111" r="F121"/>
    </row>
    <row customHeight="1" r="122" ht="24.0">
      <c t="str" s="64" r="A122">
        <f>HYPERLINK("http://www.wormbase.org/db/get?name=ins-38;class=Gene","ins-38")</f>
        <v>ins-38</v>
      </c>
      <c t="s" s="90" r="B122">
        <v>1389</v>
      </c>
      <c s="156" r="C122"/>
      <c s="156" r="D122"/>
      <c s="156" r="E122"/>
      <c s="112" r="F122"/>
    </row>
    <row customHeight="1" r="123" ht="24.0">
      <c t="str" s="119" r="A123">
        <f>HYPERLINK("http://www.wormbase.org/db/get?name=C17C3.20;class=Gene","C17C3.20")</f>
        <v>C17C3.20</v>
      </c>
      <c t="s" s="31" r="B123">
        <v>1390</v>
      </c>
      <c s="161" r="C123"/>
      <c s="161" r="D123"/>
      <c s="161" r="E123"/>
      <c s="152" r="F123"/>
    </row>
    <row r="124">
      <c t="s" s="57" r="A124">
        <v>1291</v>
      </c>
      <c s="151" r="B124"/>
      <c s="43" r="C124"/>
      <c s="43" r="D124"/>
      <c s="43" r="E124"/>
      <c s="111" r="F124"/>
    </row>
    <row customHeight="1" r="125" ht="24.0">
      <c t="str" s="64" r="A125">
        <f>HYPERLINK("http://www.wormbase.org/db/get?name=ins-39;class=Gene","ins-39")</f>
        <v>ins-39</v>
      </c>
      <c t="s" s="90" r="B125">
        <v>1391</v>
      </c>
      <c s="156" r="C125"/>
      <c s="156" r="D125"/>
      <c s="156" r="E125"/>
      <c t="s" s="112" r="F125">
        <v>1392</v>
      </c>
    </row>
    <row customHeight="1" r="126" ht="24.0">
      <c t="str" s="119" r="A126">
        <f>HYPERLINK("http://www.wormbase.org/db/get?name=F21E9.4;class=Gene","F21E9.4")</f>
        <v>F21E9.4</v>
      </c>
      <c t="s" s="31" r="B126">
        <v>1393</v>
      </c>
      <c s="161" r="C126"/>
      <c s="161" r="D126"/>
      <c s="161" r="E126"/>
      <c s="152" r="F126"/>
    </row>
    <row r="127">
      <c t="s" s="57" r="A127">
        <v>1314</v>
      </c>
      <c s="151" r="B127"/>
      <c s="43" r="C127"/>
      <c s="43" r="D127"/>
      <c s="43" r="E127"/>
      <c s="111" r="F127"/>
    </row>
    <row customHeight="1" r="128" ht="14.25">
      <c t="s" s="182" r="A128">
        <v>1394</v>
      </c>
      <c s="1" r="B128"/>
      <c s="1" r="C128"/>
      <c s="1" r="D128"/>
      <c s="1" r="E128"/>
      <c s="3" r="F128"/>
    </row>
  </sheetData>
  <mergeCells count="174">
    <mergeCell ref="B1:B3"/>
    <mergeCell ref="C1:C3"/>
    <mergeCell ref="D1:D3"/>
    <mergeCell ref="E1:E3"/>
    <mergeCell ref="F1:F3"/>
    <mergeCell ref="C4:C6"/>
    <mergeCell ref="D4:D6"/>
    <mergeCell ref="E4:E6"/>
    <mergeCell ref="F4:F6"/>
    <mergeCell ref="C7:C9"/>
    <mergeCell ref="D7:D9"/>
    <mergeCell ref="E7:E9"/>
    <mergeCell ref="F7:F9"/>
    <mergeCell ref="C10:C12"/>
    <mergeCell ref="D10:D12"/>
    <mergeCell ref="E10:E12"/>
    <mergeCell ref="F10:F12"/>
    <mergeCell ref="C13:C15"/>
    <mergeCell ref="D13:D15"/>
    <mergeCell ref="E13:E15"/>
    <mergeCell ref="F13:F15"/>
    <mergeCell ref="C16:C18"/>
    <mergeCell ref="D16:D18"/>
    <mergeCell ref="E16:E18"/>
    <mergeCell ref="F16:F18"/>
    <mergeCell ref="C19:C21"/>
    <mergeCell ref="D19:D21"/>
    <mergeCell ref="E19:E21"/>
    <mergeCell ref="F19:F21"/>
    <mergeCell ref="C22:C24"/>
    <mergeCell ref="D22:D24"/>
    <mergeCell ref="E22:E24"/>
    <mergeCell ref="F22:F24"/>
    <mergeCell ref="C25:C27"/>
    <mergeCell ref="D25:D27"/>
    <mergeCell ref="E25:E27"/>
    <mergeCell ref="F25:F27"/>
    <mergeCell ref="C28:C30"/>
    <mergeCell ref="D28:D30"/>
    <mergeCell ref="E28:E30"/>
    <mergeCell ref="F28:F30"/>
    <mergeCell ref="C31:C33"/>
    <mergeCell ref="D31:D33"/>
    <mergeCell ref="E31:E33"/>
    <mergeCell ref="F31:F33"/>
    <mergeCell ref="C34:C36"/>
    <mergeCell ref="D34:D36"/>
    <mergeCell ref="E34:E36"/>
    <mergeCell ref="F34:F36"/>
    <mergeCell ref="C37:C39"/>
    <mergeCell ref="D37:D39"/>
    <mergeCell ref="E37:E39"/>
    <mergeCell ref="F37:F39"/>
    <mergeCell ref="C40:C42"/>
    <mergeCell ref="D40:D42"/>
    <mergeCell ref="E40:E42"/>
    <mergeCell ref="F40:F42"/>
    <mergeCell ref="C43:C45"/>
    <mergeCell ref="D43:D45"/>
    <mergeCell ref="E43:E45"/>
    <mergeCell ref="F43:F45"/>
    <mergeCell ref="C46:C48"/>
    <mergeCell ref="D46:D48"/>
    <mergeCell ref="E46:E48"/>
    <mergeCell ref="F46:F48"/>
    <mergeCell ref="C49:C51"/>
    <mergeCell ref="D49:D51"/>
    <mergeCell ref="E49:E51"/>
    <mergeCell ref="F49:F51"/>
    <mergeCell ref="C52:C54"/>
    <mergeCell ref="D52:D54"/>
    <mergeCell ref="E52:E54"/>
    <mergeCell ref="F52:F54"/>
    <mergeCell ref="C55:C57"/>
    <mergeCell ref="D55:D57"/>
    <mergeCell ref="E55:E57"/>
    <mergeCell ref="F55:F57"/>
    <mergeCell ref="C58:C60"/>
    <mergeCell ref="D58:D60"/>
    <mergeCell ref="E58:E60"/>
    <mergeCell ref="F58:F60"/>
    <mergeCell ref="C61:C63"/>
    <mergeCell ref="D61:D63"/>
    <mergeCell ref="E61:E63"/>
    <mergeCell ref="F61:F63"/>
    <mergeCell ref="C64:C66"/>
    <mergeCell ref="D64:D66"/>
    <mergeCell ref="E64:E66"/>
    <mergeCell ref="F64:F66"/>
    <mergeCell ref="C67:C69"/>
    <mergeCell ref="D67:D69"/>
    <mergeCell ref="E67:E69"/>
    <mergeCell ref="F67:F69"/>
    <mergeCell ref="C70:C72"/>
    <mergeCell ref="D70:D72"/>
    <mergeCell ref="E70:E72"/>
    <mergeCell ref="F70:F72"/>
    <mergeCell ref="C73:C75"/>
    <mergeCell ref="D73:D75"/>
    <mergeCell ref="E73:E75"/>
    <mergeCell ref="F73:F75"/>
    <mergeCell ref="C76:C78"/>
    <mergeCell ref="D76:D78"/>
    <mergeCell ref="E76:E78"/>
    <mergeCell ref="F76:F78"/>
    <mergeCell ref="C79:C81"/>
    <mergeCell ref="D79:D81"/>
    <mergeCell ref="E79:E81"/>
    <mergeCell ref="F79:F81"/>
    <mergeCell ref="C82:C84"/>
    <mergeCell ref="D82:D84"/>
    <mergeCell ref="E82:E84"/>
    <mergeCell ref="F82:F84"/>
    <mergeCell ref="C85:C87"/>
    <mergeCell ref="D85:D87"/>
    <mergeCell ref="E85:E87"/>
    <mergeCell ref="F85:F87"/>
    <mergeCell ref="C88:C90"/>
    <mergeCell ref="D88:D90"/>
    <mergeCell ref="E88:E90"/>
    <mergeCell ref="F88:F90"/>
    <mergeCell ref="C91:C93"/>
    <mergeCell ref="D91:D93"/>
    <mergeCell ref="E91:E93"/>
    <mergeCell ref="F91:F93"/>
    <mergeCell ref="C94:C96"/>
    <mergeCell ref="D94:D96"/>
    <mergeCell ref="E94:E96"/>
    <mergeCell ref="F94:F96"/>
    <mergeCell ref="C97:C99"/>
    <mergeCell ref="D97:D99"/>
    <mergeCell ref="E97:E99"/>
    <mergeCell ref="F97:F99"/>
    <mergeCell ref="C100:C101"/>
    <mergeCell ref="D100:D101"/>
    <mergeCell ref="E100:E101"/>
    <mergeCell ref="F100:F101"/>
    <mergeCell ref="C102:C103"/>
    <mergeCell ref="D102:D103"/>
    <mergeCell ref="E102:E103"/>
    <mergeCell ref="F102:F103"/>
    <mergeCell ref="C104:C106"/>
    <mergeCell ref="D104:D106"/>
    <mergeCell ref="E104:E106"/>
    <mergeCell ref="F104:F106"/>
    <mergeCell ref="C107:C109"/>
    <mergeCell ref="D107:D109"/>
    <mergeCell ref="E107:E109"/>
    <mergeCell ref="F107:F109"/>
    <mergeCell ref="C110:C112"/>
    <mergeCell ref="D110:D112"/>
    <mergeCell ref="E110:E112"/>
    <mergeCell ref="F110:F112"/>
    <mergeCell ref="C113:C115"/>
    <mergeCell ref="D113:D115"/>
    <mergeCell ref="E113:E115"/>
    <mergeCell ref="F113:F115"/>
    <mergeCell ref="C116:C118"/>
    <mergeCell ref="D116:D118"/>
    <mergeCell ref="E116:E118"/>
    <mergeCell ref="F116:F118"/>
    <mergeCell ref="C119:C121"/>
    <mergeCell ref="D119:D121"/>
    <mergeCell ref="E119:E121"/>
    <mergeCell ref="F119:F121"/>
    <mergeCell ref="C122:C124"/>
    <mergeCell ref="D122:D124"/>
    <mergeCell ref="E122:E124"/>
    <mergeCell ref="F122:F124"/>
    <mergeCell ref="C125:C127"/>
    <mergeCell ref="D125:D127"/>
    <mergeCell ref="E125:E127"/>
    <mergeCell ref="F125:F127"/>
    <mergeCell ref="A128:F128"/>
  </mergeCell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2.0"/>
    <col min="2" customWidth="1" max="2" width="17.86"/>
    <col min="3" customWidth="1" max="3" width="42.14"/>
    <col min="4" customWidth="1" max="4" width="69.14"/>
    <col min="5" customWidth="1" max="5" width="28.86"/>
    <col min="6" customWidth="1" max="6" width="14.0"/>
  </cols>
  <sheetData>
    <row customHeight="1" r="1" ht="15.0">
      <c t="s" s="30" r="A1">
        <v>1270</v>
      </c>
      <c t="s" s="19" r="B1">
        <v>1395</v>
      </c>
      <c t="s" s="19" r="C1">
        <v>1396</v>
      </c>
      <c t="s" s="19" r="D1">
        <v>1273</v>
      </c>
      <c t="s" s="19" r="E1">
        <v>1397</v>
      </c>
      <c t="s" s="19" r="F1">
        <v>1275</v>
      </c>
    </row>
    <row r="2">
      <c t="s" s="27" r="A2">
        <v>1276</v>
      </c>
      <c s="68" r="B2"/>
      <c s="68" r="C2"/>
      <c s="68" r="D2"/>
      <c s="68" r="E2"/>
      <c s="68" r="F2"/>
    </row>
    <row r="3">
      <c t="s" s="116" r="A3">
        <v>1277</v>
      </c>
      <c s="23" r="B3"/>
      <c s="23" r="C3"/>
      <c s="23" r="D3"/>
      <c s="23" r="E3"/>
      <c s="23" r="F3"/>
    </row>
    <row customHeight="1" r="4" ht="16.5">
      <c t="str" s="64" r="A4">
        <f>HYPERLINK("http://www.wormbase.org/db/get?name=flp-1;class=Gene","flp-1")</f>
        <v>flp-1</v>
      </c>
      <c t="s" s="24" r="B4">
        <v>1398</v>
      </c>
      <c t="str" s="132" r="C4">
        <f>HYPERLINK("http://www.wormbase.org/db/get?name=M5;class=Cell","AIA, AIY, AVA, AVE, AVK, RIG, RMG, M5")</f>
        <v>AIA, AIY, AVA, AVE, AVK, RIG, RMG, M5</v>
      </c>
      <c t="s" s="156" r="D4">
        <v>1399</v>
      </c>
      <c t="s" s="156" r="E4">
        <v>1400</v>
      </c>
      <c t="s" s="156" r="F4">
        <v>1401</v>
      </c>
    </row>
    <row customHeight="1" r="5" ht="16.5">
      <c t="s" s="148" r="A5">
        <v>1402</v>
      </c>
      <c t="s" s="120" r="B5">
        <v>1403</v>
      </c>
      <c s="17" r="C5"/>
      <c s="161" r="D5"/>
      <c s="161" r="E5"/>
      <c s="161" r="F5"/>
    </row>
    <row customHeight="1" r="6" ht="16.5">
      <c t="s" s="148" r="A6">
        <v>1287</v>
      </c>
      <c t="s" s="120" r="B6">
        <v>1404</v>
      </c>
      <c s="17" r="C6"/>
      <c s="161" r="D6"/>
      <c s="161" r="E6"/>
      <c s="161" r="F6"/>
    </row>
    <row customHeight="1" r="7" ht="16.5">
      <c s="122" r="A7"/>
      <c t="s" s="120" r="B7">
        <v>1405</v>
      </c>
      <c s="17" r="C7"/>
      <c s="161" r="D7"/>
      <c s="161" r="E7"/>
      <c s="161" r="F7"/>
    </row>
    <row customHeight="1" r="8" ht="16.5">
      <c s="122" r="A8"/>
      <c t="s" s="120" r="B8">
        <v>1406</v>
      </c>
      <c s="17" r="C8"/>
      <c s="161" r="D8"/>
      <c s="161" r="E8"/>
      <c s="161" r="F8"/>
    </row>
    <row customHeight="1" r="9" ht="16.5">
      <c s="122" r="A9"/>
      <c t="s" s="120" r="B9">
        <v>1407</v>
      </c>
      <c s="17" r="C9"/>
      <c s="161" r="D9"/>
      <c s="161" r="E9"/>
      <c s="161" r="F9"/>
    </row>
    <row r="10">
      <c s="122" r="A10"/>
      <c t="s" s="120" r="B10">
        <v>1408</v>
      </c>
      <c s="17" r="C10"/>
      <c s="161" r="D10"/>
      <c s="161" r="E10"/>
      <c s="161" r="F10"/>
    </row>
    <row r="11">
      <c s="151" r="A11"/>
      <c t="s" s="25" r="B11">
        <v>1409</v>
      </c>
      <c s="72" r="C11"/>
      <c s="43" r="D11"/>
      <c s="43" r="E11"/>
      <c s="43" r="F11"/>
    </row>
    <row customHeight="1" r="12" ht="16.5">
      <c t="str" s="64" r="A12">
        <f>HYPERLINK("http://www.wormbase.org/db/get?name=flp-2;class=Gene","flp-2")</f>
        <v>flp-2</v>
      </c>
      <c t="s" s="24" r="B12">
        <v>1410</v>
      </c>
      <c t="s" s="156" r="C12">
        <v>1411</v>
      </c>
      <c s="156" r="D12"/>
      <c t="str" s="132" r="E12">
        <f>HYPERLINK("http://www.wormbase.org/db/get?name=T19F4.1a;class=Gene","T19F4.1a/b")</f>
        <v>T19F4.1a/b</v>
      </c>
      <c t="s" s="156" r="F12">
        <v>1412</v>
      </c>
    </row>
    <row r="13">
      <c t="s" s="148" r="A13">
        <v>1413</v>
      </c>
      <c t="s" s="120" r="B13">
        <v>1414</v>
      </c>
      <c s="161" r="C13"/>
      <c s="161" r="D13"/>
      <c s="17" r="E13"/>
      <c s="161" r="F13"/>
    </row>
    <row r="14">
      <c t="s" s="57" r="A14">
        <v>1314</v>
      </c>
      <c s="126" r="B14"/>
      <c s="43" r="C14"/>
      <c s="43" r="D14"/>
      <c s="72" r="E14"/>
      <c s="43" r="F14"/>
    </row>
    <row r="15">
      <c t="str" s="64" r="A15">
        <f>HYPERLINK("http://www.wormbase.org/db/get?name=flp-3;class=Gene","flp-3")</f>
        <v>flp-3</v>
      </c>
      <c t="s" s="24" r="B15">
        <v>1415</v>
      </c>
      <c t="s" s="156" r="C15">
        <v>1416</v>
      </c>
      <c t="s" s="156" r="D15">
        <v>1417</v>
      </c>
      <c t="s" s="156" r="E15">
        <v>1418</v>
      </c>
      <c t="s" s="156" r="F15">
        <v>1419</v>
      </c>
    </row>
    <row customHeight="1" r="16" ht="16.5">
      <c t="str" s="119" r="A16">
        <f>HYPERLINK("http://www.wormbase.org/db/get?name=W07E11.2;class=Gene","W07E11.2")</f>
        <v>W07E11.2</v>
      </c>
      <c t="s" s="120" r="B16">
        <v>1420</v>
      </c>
      <c s="161" r="C16"/>
      <c s="161" r="D16"/>
      <c s="161" r="E16"/>
      <c s="161" r="F16"/>
    </row>
    <row customHeight="1" r="17" ht="16.5">
      <c t="s" s="148" r="A17">
        <v>1314</v>
      </c>
      <c t="s" s="120" r="B17">
        <v>1421</v>
      </c>
      <c s="161" r="C17"/>
      <c s="161" r="D17"/>
      <c s="161" r="E17"/>
      <c s="161" r="F17"/>
    </row>
    <row r="18">
      <c s="122" r="A18"/>
      <c t="s" s="120" r="B18">
        <v>1422</v>
      </c>
      <c s="161" r="C18"/>
      <c s="161" r="D18"/>
      <c s="161" r="E18"/>
      <c s="161" r="F18"/>
    </row>
    <row customHeight="1" r="19" ht="16.5">
      <c s="122" r="A19"/>
      <c t="s" s="120" r="B19">
        <v>1423</v>
      </c>
      <c s="161" r="C19"/>
      <c s="161" r="D19"/>
      <c s="161" r="E19"/>
      <c s="161" r="F19"/>
    </row>
    <row r="20">
      <c s="122" r="A20"/>
      <c t="s" s="120" r="B20">
        <v>1424</v>
      </c>
      <c s="161" r="C20"/>
      <c s="161" r="D20"/>
      <c s="161" r="E20"/>
      <c s="161" r="F20"/>
    </row>
    <row customHeight="1" r="21" ht="16.5">
      <c s="122" r="A21"/>
      <c t="s" s="120" r="B21">
        <v>1425</v>
      </c>
      <c s="161" r="C21"/>
      <c s="161" r="D21"/>
      <c s="161" r="E21"/>
      <c s="161" r="F21"/>
    </row>
    <row customHeight="1" r="22" ht="16.5">
      <c s="122" r="A22"/>
      <c t="s" s="120" r="B22">
        <v>1426</v>
      </c>
      <c s="161" r="C22"/>
      <c s="161" r="D22"/>
      <c s="161" r="E22"/>
      <c s="161" r="F22"/>
    </row>
    <row customHeight="1" r="23" ht="16.5">
      <c s="151" r="A23"/>
      <c t="s" s="80" r="B23">
        <v>1427</v>
      </c>
      <c s="43" r="C23"/>
      <c s="43" r="D23"/>
      <c s="43" r="E23"/>
      <c s="43" r="F23"/>
    </row>
    <row r="24">
      <c t="str" s="64" r="A24">
        <f>HYPERLINK("http://www.wormbase.org/db/get?name=flp-4;class=Gene","flp-4")</f>
        <v>flp-4</v>
      </c>
      <c t="s" s="24" r="B24">
        <v>1428</v>
      </c>
      <c t="s" s="156" r="C24">
        <v>1429</v>
      </c>
      <c s="156" r="D24"/>
      <c t="str" s="132" r="E24">
        <f>HYPERLINK("http://www.wormbase.org/db/get?name=C16D6.2;class=Gene","C16D6.2")</f>
        <v>C16D6.2</v>
      </c>
      <c t="s" s="156" r="F24">
        <v>1430</v>
      </c>
    </row>
    <row r="25">
      <c t="str" s="119" r="A25">
        <f>HYPERLINK("http://www.wormbase.org/db/get?name=C18D1.3;class=Gene","C18D1.3")</f>
        <v>C18D1.3</v>
      </c>
      <c t="s" s="120" r="B25">
        <v>1431</v>
      </c>
      <c s="161" r="C25"/>
      <c s="161" r="D25"/>
      <c s="17" r="E25"/>
      <c s="161" r="F25"/>
    </row>
    <row r="26">
      <c t="s" s="57" r="A26">
        <v>1291</v>
      </c>
      <c s="126" r="B26"/>
      <c s="43" r="C26"/>
      <c s="43" r="D26"/>
      <c s="72" r="E26"/>
      <c s="43" r="F26"/>
    </row>
    <row customHeight="1" r="27" ht="16.5">
      <c t="str" s="64" r="A27">
        <f>HYPERLINK("http://www.wormbase.org/db/get?name=flp-5;class=Gene","flp-5")</f>
        <v>flp-5</v>
      </c>
      <c t="s" s="24" r="B27">
        <v>1432</v>
      </c>
      <c t="s" s="156" r="C27">
        <v>1433</v>
      </c>
      <c t="s" s="156" r="D27">
        <v>1434</v>
      </c>
      <c t="str" s="132" r="E27">
        <f>HYPERLINK("http://www.wormbase.org/db/get?name=C25G6.5;class=Gene","(C25G6.5)")</f>
        <v>(C25G6.5)</v>
      </c>
      <c t="s" s="156" r="F27">
        <v>1435</v>
      </c>
    </row>
    <row r="28">
      <c t="str" s="119" r="A28">
        <f>HYPERLINK("http://www.wormbase.org/db/get?name=C03G5.7;class=Gene","C03G5.7")</f>
        <v>C03G5.7</v>
      </c>
      <c t="s" s="120" r="B28">
        <v>1436</v>
      </c>
      <c s="161" r="C28"/>
      <c s="161" r="D28"/>
      <c s="17" r="E28"/>
      <c s="161" r="F28"/>
    </row>
    <row r="29">
      <c t="s" s="57" r="A29">
        <v>1314</v>
      </c>
      <c t="s" s="80" r="B29">
        <v>1437</v>
      </c>
      <c s="43" r="C29"/>
      <c s="43" r="D29"/>
      <c s="72" r="E29"/>
      <c s="43" r="F29"/>
    </row>
    <row customHeight="1" r="30" ht="16.5">
      <c t="str" s="64" r="A30">
        <f>HYPERLINK("http://www.wormbase.org/db/get?name=flp-6;class=Gene","flp-6")</f>
        <v>flp-6</v>
      </c>
      <c t="s" s="24" r="B30">
        <v>1438</v>
      </c>
      <c t="str" s="132" r="C30">
        <f>HYPERLINK("http://www.wormbase.org/db/get?name=PVT;class=Cell","ASE, AFD, ASG, PVT, I1 (one or two pairs of head cells); rays 2, 5, 6, 7")</f>
        <v>ASE, AFD, ASG, PVT, I1 (one or two pairs of head cells); rays 2, 5, 6, 7</v>
      </c>
      <c t="s" s="156" r="D30">
        <v>1439</v>
      </c>
      <c s="156" r="E30"/>
      <c t="s" s="156" r="F30">
        <v>1440</v>
      </c>
    </row>
    <row customHeight="1" r="31" ht="16.5">
      <c t="str" s="119" r="A31">
        <f>HYPERLINK("http://www.wormbase.org/db/get?name=F07D3.2;class=Gene","F07D3.2")</f>
        <v>F07D3.2</v>
      </c>
      <c t="s" s="120" r="B31">
        <v>1441</v>
      </c>
      <c s="17" r="C31"/>
      <c s="161" r="D31"/>
      <c s="161" r="E31"/>
      <c s="161" r="F31"/>
    </row>
    <row r="32">
      <c t="s" s="57" r="A32">
        <v>1281</v>
      </c>
      <c s="126" r="B32"/>
      <c s="72" r="C32"/>
      <c s="43" r="D32"/>
      <c s="43" r="E32"/>
      <c s="43" r="F32"/>
    </row>
    <row customHeight="1" r="33" ht="16.5">
      <c t="str" s="64" r="A33">
        <f>HYPERLINK("http://www.wormbase.org/db/get?name=flp-7;class=Gene","flp-7")</f>
        <v>flp-7</v>
      </c>
      <c t="s" s="24" r="B33">
        <v>1442</v>
      </c>
      <c t="s" s="156" r="C33">
        <v>1443</v>
      </c>
      <c s="156" r="D33"/>
      <c t="s" s="156" r="E33">
        <v>1444</v>
      </c>
      <c t="s" s="156" r="F33">
        <v>1445</v>
      </c>
    </row>
    <row customHeight="1" r="34" ht="16.5">
      <c t="str" s="119" r="A34">
        <f>HYPERLINK("http://www.wormbase.org/db/get?name=F49E10.3;class=Gene","F49E10.3")</f>
        <v>F49E10.3</v>
      </c>
      <c t="s" s="120" r="B34">
        <v>1446</v>
      </c>
      <c s="161" r="C34"/>
      <c s="161" r="D34"/>
      <c s="161" r="E34"/>
      <c s="161" r="F34"/>
    </row>
    <row r="35">
      <c t="s" s="148" r="A35">
        <v>1314</v>
      </c>
      <c t="s" s="120" r="B35">
        <v>1447</v>
      </c>
      <c s="161" r="C35"/>
      <c s="161" r="D35"/>
      <c s="161" r="E35"/>
      <c s="161" r="F35"/>
    </row>
    <row r="36">
      <c s="151" r="A36"/>
      <c t="s" s="80" r="B36">
        <v>1448</v>
      </c>
      <c s="43" r="C36"/>
      <c s="43" r="D36"/>
      <c s="43" r="E36"/>
      <c s="43" r="F36"/>
    </row>
    <row customHeight="1" r="37" ht="16.5">
      <c t="str" s="64" r="A37">
        <f>HYPERLINK("http://www.wormbase.org/db/get?name=flp-8;class=Gene","flp-8")</f>
        <v>flp-8</v>
      </c>
      <c t="s" s="24" r="B37">
        <v>1449</v>
      </c>
      <c t="s" s="156" r="C37">
        <v>1450</v>
      </c>
      <c t="s" s="156" r="D37">
        <v>1451</v>
      </c>
      <c s="156" r="E37"/>
      <c t="s" s="156" r="F37">
        <v>1452</v>
      </c>
    </row>
    <row r="38">
      <c t="s" s="148" r="A38">
        <v>1453</v>
      </c>
      <c s="35" r="B38"/>
      <c s="161" r="C38"/>
      <c s="161" r="D38"/>
      <c s="161" r="E38"/>
      <c s="161" r="F38"/>
    </row>
    <row r="39">
      <c t="s" s="57" r="A39">
        <v>1314</v>
      </c>
      <c s="62" r="B39"/>
      <c s="43" r="C39"/>
      <c s="43" r="D39"/>
      <c s="43" r="E39"/>
      <c s="43" r="F39"/>
    </row>
    <row customHeight="1" r="40" ht="16.5">
      <c t="str" s="64" r="A40">
        <f>HYPERLINK("http://www.wormbase.org/db/get?name=flp-9;class=Gene","flp-9")</f>
        <v>flp-9</v>
      </c>
      <c t="s" s="24" r="B40">
        <v>1454</v>
      </c>
      <c s="156" r="C40"/>
      <c t="s" s="156" r="D40">
        <v>1455</v>
      </c>
      <c t="str" s="132" r="E40">
        <f>HYPERLINK("http://www.wormbase.org/db/get?name=Y59H11AL.1;class=Gene","(Y59H11AL.1)")</f>
        <v>(Y59H11AL.1)</v>
      </c>
      <c t="s" s="156" r="F40">
        <v>1456</v>
      </c>
    </row>
    <row r="41">
      <c t="str" s="119" r="A41">
        <f>HYPERLINK("http://www.wormbase.org/db/get?name=C36H8.3;class=Gene","C36H8.3")</f>
        <v>C36H8.3</v>
      </c>
      <c s="35" r="B41"/>
      <c s="161" r="C41"/>
      <c s="161" r="D41"/>
      <c s="17" r="E41"/>
      <c s="161" r="F41"/>
    </row>
    <row r="42">
      <c t="s" s="57" r="A42">
        <v>1287</v>
      </c>
      <c s="62" r="B42"/>
      <c s="43" r="C42"/>
      <c s="43" r="D42"/>
      <c s="72" r="E42"/>
      <c s="43" r="F42"/>
    </row>
    <row r="43">
      <c t="str" s="64" r="A43">
        <f>HYPERLINK("http://www.wormbase.org/db/get?name=flp-10;class=Gene","flp-10")</f>
        <v>flp-10</v>
      </c>
      <c t="s" s="24" r="B43">
        <v>1457</v>
      </c>
      <c t="s" s="156" r="C43">
        <v>1458</v>
      </c>
      <c s="156" r="D43"/>
      <c s="156" r="E43"/>
      <c t="s" s="156" r="F43">
        <v>1459</v>
      </c>
    </row>
    <row r="44">
      <c t="str" s="119" r="A44">
        <f>HYPERLINK("http://www.wormbase.org/db/get?name=T06C10.4;class=Gene","T06C10.4")</f>
        <v>T06C10.4</v>
      </c>
      <c s="35" r="B44"/>
      <c s="161" r="C44"/>
      <c s="161" r="D44"/>
      <c s="161" r="E44"/>
      <c s="161" r="F44"/>
    </row>
    <row r="45">
      <c t="s" s="57" r="A45">
        <v>1287</v>
      </c>
      <c s="62" r="B45"/>
      <c s="43" r="C45"/>
      <c s="43" r="D45"/>
      <c s="43" r="E45"/>
      <c s="43" r="F45"/>
    </row>
    <row customHeight="1" r="46" ht="16.5">
      <c t="str" s="64" r="A46">
        <f>HYPERLINK("http://www.wormbase.org/db/get?name=flp-11;class=Gene","flp-11")</f>
        <v>flp-11</v>
      </c>
      <c t="s" s="24" r="B46">
        <v>1460</v>
      </c>
      <c t="str" s="132" r="C46">
        <f>HYPERLINK("http://www.wormbase.org/db/get?name=DVB;class=Cell","AUA, BAG, DA, DD, DVB, LUA, PHC, PVC, SAB, URX, VD, uv1, head muscle (socket cells); ray 4")</f>
        <v>AUA, BAG, DA, DD, DVB, LUA, PHC, PVC, SAB, URX, VD, uv1, head muscle (socket cells); ray 4</v>
      </c>
      <c s="156" r="D46"/>
      <c t="s" s="156" r="E46">
        <v>1461</v>
      </c>
      <c t="s" s="156" r="F46">
        <v>1462</v>
      </c>
    </row>
    <row customHeight="1" r="47" ht="16.5">
      <c t="s" s="148" r="A47">
        <v>1463</v>
      </c>
      <c t="s" s="120" r="B47">
        <v>1464</v>
      </c>
      <c s="17" r="C47"/>
      <c s="161" r="D47"/>
      <c s="161" r="E47"/>
      <c s="161" r="F47"/>
    </row>
    <row customHeight="1" r="48" ht="16.5">
      <c t="s" s="148" r="A48">
        <v>1314</v>
      </c>
      <c t="s" s="120" r="B48">
        <v>1465</v>
      </c>
      <c s="17" r="C48"/>
      <c s="161" r="D48"/>
      <c s="161" r="E48"/>
      <c s="161" r="F48"/>
    </row>
    <row customHeight="1" r="49" ht="28.5">
      <c s="151" r="A49"/>
      <c t="s" s="80" r="B49">
        <v>1466</v>
      </c>
      <c s="72" r="C49"/>
      <c s="43" r="D49"/>
      <c s="43" r="E49"/>
      <c s="43" r="F49"/>
    </row>
    <row customHeight="1" r="50" ht="16.5">
      <c t="str" s="64" r="A50">
        <f>HYPERLINK("http://www.wormbase.org/db/get?name=flp-12;class=Gene","flp-12")</f>
        <v>flp-12</v>
      </c>
      <c t="s" s="24" r="B50">
        <v>1467</v>
      </c>
      <c t="s" s="156" r="C50">
        <v>1468</v>
      </c>
      <c s="156" r="D50"/>
      <c s="156" r="E50"/>
      <c t="s" s="156" r="F50">
        <v>1469</v>
      </c>
    </row>
    <row r="51">
      <c t="str" s="119" r="A51">
        <f>HYPERLINK("http://www.wormbase.org/db/get?name=C05E11.8;class=Gene","C05E11.8")</f>
        <v>C05E11.8</v>
      </c>
      <c s="35" r="B51"/>
      <c s="161" r="C51"/>
      <c s="161" r="D51"/>
      <c s="161" r="E51"/>
      <c s="161" r="F51"/>
    </row>
    <row r="52">
      <c t="s" s="57" r="A52">
        <v>1314</v>
      </c>
      <c s="62" r="B52"/>
      <c s="43" r="C52"/>
      <c s="43" r="D52"/>
      <c s="43" r="E52"/>
      <c s="43" r="F52"/>
    </row>
    <row customHeight="1" r="53" ht="16.5">
      <c t="str" s="64" r="A53">
        <f>HYPERLINK("http://www.wormbase.org/db/get?name=flp-13;class=Gene","flp-13")</f>
        <v>flp-13</v>
      </c>
      <c t="s" s="24" r="B53">
        <v>1470</v>
      </c>
      <c t="s" s="156" r="C53">
        <v>1471</v>
      </c>
      <c t="s" s="156" r="D53">
        <v>1472</v>
      </c>
      <c t="str" s="132" r="E53">
        <f>HYPERLINK("http://www.wormbase.org/db/get?name=Y59H11AL.1;class=Gene","(Y59H11AL.1)")</f>
        <v>(Y59H11AL.1)</v>
      </c>
      <c t="s" s="156" r="F53">
        <v>1473</v>
      </c>
    </row>
    <row customHeight="1" r="54" ht="16.5">
      <c t="str" s="119" r="A54">
        <f>HYPERLINK("http://www.wormbase.org/db/get?name=F33D4.3;class=Gene","F33D4.3")</f>
        <v>F33D4.3</v>
      </c>
      <c t="s" s="120" r="B54">
        <v>1474</v>
      </c>
      <c s="161" r="C54"/>
      <c s="161" r="D54"/>
      <c s="17" r="E54"/>
      <c s="161" r="F54"/>
    </row>
    <row customHeight="1" r="55" ht="16.5">
      <c t="s" s="148" r="A55">
        <v>1287</v>
      </c>
      <c t="s" s="120" r="B55">
        <v>1475</v>
      </c>
      <c s="161" r="C55"/>
      <c s="161" r="D55"/>
      <c s="17" r="E55"/>
      <c s="161" r="F55"/>
    </row>
    <row customHeight="1" r="56" ht="16.5">
      <c s="122" r="A56"/>
      <c t="s" s="120" r="B56">
        <v>1476</v>
      </c>
      <c s="161" r="C56"/>
      <c s="161" r="D56"/>
      <c s="17" r="E56"/>
      <c s="161" r="F56"/>
    </row>
    <row customHeight="1" r="57" ht="16.5">
      <c s="122" r="A57"/>
      <c t="s" s="120" r="B57">
        <v>1477</v>
      </c>
      <c s="161" r="C57"/>
      <c s="161" r="D57"/>
      <c s="17" r="E57"/>
      <c s="161" r="F57"/>
    </row>
    <row r="58">
      <c s="122" r="A58"/>
      <c t="s" s="120" r="B58">
        <v>1478</v>
      </c>
      <c s="161" r="C58"/>
      <c s="161" r="D58"/>
      <c s="17" r="E58"/>
      <c s="161" r="F58"/>
    </row>
    <row customHeight="1" r="59" ht="16.5">
      <c s="151" r="A59"/>
      <c t="s" s="80" r="B59">
        <v>1479</v>
      </c>
      <c s="43" r="C59"/>
      <c s="43" r="D59"/>
      <c s="72" r="E59"/>
      <c s="43" r="F59"/>
    </row>
    <row customHeight="1" r="60" ht="16.5">
      <c t="str" s="64" r="A60">
        <f>HYPERLINK("http://www.wormbase.org/db/get?name=flp-14;class=Gene","flp-14")</f>
        <v>flp-14</v>
      </c>
      <c t="s" s="90" r="B60">
        <v>1480</v>
      </c>
      <c s="156" r="C60"/>
      <c t="s" s="156" r="D60">
        <v>1439</v>
      </c>
      <c t="s" s="156" r="E60">
        <v>1481</v>
      </c>
      <c t="s" s="156" r="F60">
        <v>1482</v>
      </c>
    </row>
    <row r="61">
      <c t="str" s="119" r="A61">
        <f>HYPERLINK("http://www.wormbase.org/db/get?name=Y37D8A.15;class=Gene","Y37D8A.15")</f>
        <v>Y37D8A.15</v>
      </c>
      <c s="35" r="B61"/>
      <c s="161" r="C61"/>
      <c s="161" r="D61"/>
      <c s="161" r="E61"/>
      <c s="161" r="F61"/>
    </row>
    <row r="62">
      <c t="s" s="57" r="A62">
        <v>1330</v>
      </c>
      <c s="62" r="B62"/>
      <c s="43" r="C62"/>
      <c s="43" r="D62"/>
      <c s="43" r="E62"/>
      <c s="43" r="F62"/>
    </row>
    <row customHeight="1" r="63" ht="16.5">
      <c t="str" s="64" r="A63">
        <f>HYPERLINK("http://www.wormbase.org/db/get?name=flp-15;class=Gene","flp-15")</f>
        <v>flp-15</v>
      </c>
      <c t="s" s="24" r="B63">
        <v>1483</v>
      </c>
      <c t="s" s="156" r="C63">
        <v>1484</v>
      </c>
      <c s="156" r="D63"/>
      <c t="s" s="156" r="E63">
        <v>1485</v>
      </c>
      <c t="s" s="156" r="F63">
        <v>1486</v>
      </c>
    </row>
    <row customHeight="1" r="64" ht="16.5">
      <c t="str" s="119" r="A64">
        <f>HYPERLINK("http://www.wormbase.org/db/get?name=ZK525.1;class=Gene","ZK525.1")</f>
        <v>ZK525.1</v>
      </c>
      <c t="s" s="120" r="B64">
        <v>1487</v>
      </c>
      <c s="161" r="C64"/>
      <c s="161" r="D64"/>
      <c s="161" r="E64"/>
      <c s="161" r="F64"/>
    </row>
    <row r="65">
      <c t="s" s="57" r="A65">
        <v>1330</v>
      </c>
      <c s="126" r="B65"/>
      <c s="43" r="C65"/>
      <c s="43" r="D65"/>
      <c s="43" r="E65"/>
      <c s="43" r="F65"/>
    </row>
    <row customHeight="1" r="66" ht="16.5">
      <c t="str" s="64" r="A66">
        <f>HYPERLINK("http://www.wormbase.org/db/get?name=flp-16;class=Gene","flp-16")</f>
        <v>flp-16</v>
      </c>
      <c t="s" s="24" r="B66">
        <v>1488</v>
      </c>
      <c s="156" r="C66"/>
      <c t="s" s="156" r="D66">
        <v>1489</v>
      </c>
      <c s="156" r="E66"/>
      <c t="s" s="156" r="F66">
        <v>1490</v>
      </c>
    </row>
    <row customHeight="1" r="67" ht="16.5">
      <c t="str" s="119" r="A67">
        <f>HYPERLINK("http://www.wormbase.org/db/get?name=F15D4.8;class=Gene","F15D4.8")</f>
        <v>F15D4.8</v>
      </c>
      <c t="s" s="120" r="B67">
        <v>1491</v>
      </c>
      <c s="161" r="C67"/>
      <c s="161" r="D67"/>
      <c s="161" r="E67"/>
      <c s="161" r="F67"/>
    </row>
    <row r="68">
      <c t="s" s="57" r="A68">
        <v>1291</v>
      </c>
      <c s="126" r="B68"/>
      <c s="43" r="C68"/>
      <c s="43" r="D68"/>
      <c s="43" r="E68"/>
      <c s="43" r="F68"/>
    </row>
    <row r="69">
      <c t="str" s="64" r="A69">
        <f>HYPERLINK("http://www.wormbase.org/db/get?name=flp-17;class=Gene","flp-17")</f>
        <v>flp-17</v>
      </c>
      <c t="s" s="24" r="B69">
        <v>1492</v>
      </c>
      <c t="str" s="132" r="C69">
        <f>HYPERLINK("http://www.wormbase.org/db/get?name=M5;class=Cell","BAG, M5 (an extra pair of cells in the head); rays 1, 5, 7")</f>
        <v>BAG, M5 (an extra pair of cells in the head); rays 1, 5, 7</v>
      </c>
      <c s="156" r="D69"/>
      <c s="156" r="E69"/>
      <c t="s" s="156" r="F69">
        <v>1493</v>
      </c>
    </row>
    <row r="70">
      <c t="str" s="119" r="A70">
        <f>HYPERLINK("http://www.wormbase.org/db/get?name=C52D10.11;class=Gene","C52D10.11")</f>
        <v>C52D10.11</v>
      </c>
      <c t="s" s="157" r="B70">
        <v>1494</v>
      </c>
      <c s="17" r="C70"/>
      <c s="161" r="D70"/>
      <c s="161" r="E70"/>
      <c s="161" r="F70"/>
    </row>
    <row r="71">
      <c t="s" s="57" r="A71">
        <v>1287</v>
      </c>
      <c s="126" r="B71"/>
      <c s="72" r="C71"/>
      <c s="43" r="D71"/>
      <c s="43" r="E71"/>
      <c s="43" r="F71"/>
    </row>
    <row customHeight="1" r="72" ht="28.5">
      <c t="str" s="64" r="A72">
        <f>HYPERLINK("http://www.wormbase.org/db/get?name=flp-18;class=Gene","flp-18")</f>
        <v>flp-18</v>
      </c>
      <c t="s" s="24" r="B72">
        <v>1495</v>
      </c>
      <c t="str" s="132" r="C72">
        <f>HYPERLINK("http://www.wormbase.org/db/get?name=M3;class=Cell","AVA, AIY, RIG, RIM, M2 (M3, two extra pairs of cells in the head); rays 2, 6")</f>
        <v>AVA, AIY, RIG, RIM, M2 (M3, two extra pairs of cells in the head); rays 2, 6</v>
      </c>
      <c s="156" r="D72"/>
      <c t="s" s="156" r="E72">
        <v>1496</v>
      </c>
      <c t="s" s="156" r="F72">
        <v>1497</v>
      </c>
    </row>
    <row customHeight="1" r="73" ht="16.5">
      <c t="str" s="119" r="A73">
        <f>HYPERLINK("http://www.wormbase.org/db/get?name=Y48D7A.2;class=Gene","Y48D7A.2")</f>
        <v>Y48D7A.2</v>
      </c>
      <c t="s" s="120" r="B73">
        <v>1498</v>
      </c>
      <c s="17" r="C73"/>
      <c s="161" r="D73"/>
      <c s="161" r="E73"/>
      <c s="161" r="F73"/>
    </row>
    <row customHeight="1" r="74" ht="40.5">
      <c t="s" s="148" r="A74">
        <v>1314</v>
      </c>
      <c t="s" s="120" r="B74">
        <v>1499</v>
      </c>
      <c s="17" r="C74"/>
      <c s="161" r="D74"/>
      <c s="161" r="E74"/>
      <c s="161" r="F74"/>
    </row>
    <row customHeight="1" r="75" ht="16.5">
      <c s="122" r="A75"/>
      <c t="s" s="120" r="B75">
        <v>1500</v>
      </c>
      <c s="17" r="C75"/>
      <c s="161" r="D75"/>
      <c s="161" r="E75"/>
      <c s="161" r="F75"/>
    </row>
    <row customHeight="1" r="76" ht="16.5">
      <c s="122" r="A76"/>
      <c t="s" s="120" r="B76">
        <v>1501</v>
      </c>
      <c s="17" r="C76"/>
      <c s="161" r="D76"/>
      <c s="161" r="E76"/>
      <c s="161" r="F76"/>
    </row>
    <row customHeight="1" r="77" ht="16.5">
      <c s="151" r="A77"/>
      <c t="s" s="80" r="B77">
        <v>1502</v>
      </c>
      <c s="72" r="C77"/>
      <c s="43" r="D77"/>
      <c s="43" r="E77"/>
      <c s="43" r="F77"/>
    </row>
    <row customHeight="1" r="78" ht="16.5">
      <c t="str" s="64" r="A78">
        <f>HYPERLINK("http://www.wormbase.org/db/get?name=flp-19;class=Gene","flp-19")</f>
        <v>flp-19</v>
      </c>
      <c t="s" s="24" r="B78">
        <v>1503</v>
      </c>
      <c t="s" s="156" r="C78">
        <v>1504</v>
      </c>
      <c s="156" r="D78"/>
      <c s="156" r="E78"/>
      <c t="s" s="156" r="F78">
        <v>1505</v>
      </c>
    </row>
    <row customHeight="1" r="79" ht="16.5">
      <c t="str" s="119" r="A79">
        <f>HYPERLINK("http://www.wormbase.org/db/get?name=M79.4;class=Gene","M79.4")</f>
        <v>M79.4</v>
      </c>
      <c t="s" s="120" r="B79">
        <v>1506</v>
      </c>
      <c s="161" r="C79"/>
      <c s="161" r="D79"/>
      <c s="161" r="E79"/>
      <c s="161" r="F79"/>
    </row>
    <row r="80">
      <c t="s" s="57" r="A80">
        <v>1314</v>
      </c>
      <c s="126" r="B80"/>
      <c s="43" r="C80"/>
      <c s="43" r="D80"/>
      <c s="43" r="E80"/>
      <c s="43" r="F80"/>
    </row>
    <row r="81">
      <c t="str" s="64" r="A81">
        <f>HYPERLINK("http://www.wormbase.org/db/get?name=flp-20;class=Gene","flp-20")</f>
        <v>flp-20</v>
      </c>
      <c t="s" s="24" r="B81">
        <v>1507</v>
      </c>
      <c t="s" s="156" r="C81">
        <v>1508</v>
      </c>
      <c s="156" r="D81"/>
      <c s="156" r="E81"/>
      <c t="s" s="156" r="F81">
        <v>1509</v>
      </c>
    </row>
    <row r="82">
      <c t="str" s="119" r="A82">
        <f>HYPERLINK("http://www.wormbase.org/db/get?name=E01H11.3;class=Gene","E01H11.3")</f>
        <v>E01H11.3</v>
      </c>
      <c s="35" r="B82"/>
      <c s="161" r="C82"/>
      <c s="161" r="D82"/>
      <c s="161" r="E82"/>
      <c s="161" r="F82"/>
    </row>
    <row r="83">
      <c t="s" s="57" r="A83">
        <v>1314</v>
      </c>
      <c s="62" r="B83"/>
      <c s="43" r="C83"/>
      <c s="43" r="D83"/>
      <c s="43" r="E83"/>
      <c s="43" r="F83"/>
    </row>
    <row r="84">
      <c t="str" s="64" r="A84">
        <f>HYPERLINK("http://www.wormbase.org/db/get?name=flp-21;class=Gene","flp-21")</f>
        <v>flp-21</v>
      </c>
      <c t="s" s="24" r="B84">
        <v>1510</v>
      </c>
      <c t="s" s="156" r="C84">
        <v>1511</v>
      </c>
      <c t="s" s="156" r="D84">
        <v>1512</v>
      </c>
      <c t="s" s="156" r="E84">
        <v>1513</v>
      </c>
      <c t="s" s="156" r="F84">
        <v>1514</v>
      </c>
    </row>
    <row r="85">
      <c t="str" s="119" r="A85">
        <f>HYPERLINK("http://www.wormbase.org/db/get?name=C26F1.10;class=Gene","C26F1.10")</f>
        <v>C26F1.10</v>
      </c>
      <c s="35" r="B85"/>
      <c s="161" r="C85"/>
      <c s="161" r="D85"/>
      <c s="161" r="E85"/>
      <c s="161" r="F85"/>
    </row>
    <row r="86">
      <c t="s" s="57" r="A86">
        <v>1281</v>
      </c>
      <c s="62" r="B86"/>
      <c s="43" r="C86"/>
      <c s="43" r="D86"/>
      <c s="43" r="E86"/>
      <c s="43" r="F86"/>
    </row>
    <row customHeight="1" r="87" ht="16.5">
      <c t="str" s="64" r="A87">
        <f>HYPERLINK("http://www.wormbase.org/db/get?name=flp-22;class=Gene","flp-22")</f>
        <v>flp-22</v>
      </c>
      <c t="s" s="24" r="B87">
        <v>1515</v>
      </c>
      <c t="s" s="156" r="C87">
        <v>1516</v>
      </c>
      <c s="156" r="D87"/>
      <c t="str" s="132" r="E87">
        <f>HYPERLINK("http://www.wormbase.org/db/get?name=Y59H11AL.1;class=Gene","(Y59H11AL.1)")</f>
        <v>(Y59H11AL.1)</v>
      </c>
      <c t="s" s="156" r="F87">
        <v>1505</v>
      </c>
    </row>
    <row r="88">
      <c t="str" s="119" r="A88">
        <f>HYPERLINK("http://www.wormbase.org/db/get?name=F39H2.1;class=Gene","F39H2.1")</f>
        <v>F39H2.1</v>
      </c>
      <c s="35" r="B88"/>
      <c s="161" r="C88"/>
      <c s="161" r="D88"/>
      <c s="17" r="E88"/>
      <c s="161" r="F88"/>
    </row>
    <row r="89">
      <c t="s" s="57" r="A89">
        <v>1336</v>
      </c>
      <c s="62" r="B89"/>
      <c s="43" r="C89"/>
      <c s="43" r="D89"/>
      <c s="72" r="E89"/>
      <c s="43" r="F89"/>
    </row>
    <row r="90">
      <c t="str" s="64" r="A90">
        <f>HYPERLINK("http://www.wormbase.org/db/get?name=flp-23;class=Gene","flp-23")</f>
        <v>flp-23</v>
      </c>
      <c t="s" s="24" r="B90">
        <v>1517</v>
      </c>
      <c s="156" r="C90"/>
      <c s="156" r="D90"/>
      <c s="156" r="E90"/>
      <c t="s" s="156" r="F90">
        <v>1518</v>
      </c>
    </row>
    <row r="91">
      <c t="str" s="119" r="A91">
        <f>HYPERLINK("http://www.wormbase.org/db/get?name=F22B7.2;class=Gene","F22B7.2")</f>
        <v>F22B7.2</v>
      </c>
      <c t="s" s="120" r="B91">
        <v>1519</v>
      </c>
      <c s="161" r="C91"/>
      <c s="161" r="D91"/>
      <c s="161" r="E91"/>
      <c s="161" r="F91"/>
    </row>
    <row r="92">
      <c t="s" s="57" r="A92">
        <v>1330</v>
      </c>
      <c s="126" r="B92"/>
      <c s="43" r="C92"/>
      <c s="43" r="D92"/>
      <c s="43" r="E92"/>
      <c s="43" r="F92"/>
    </row>
    <row customHeight="1" r="93" ht="16.5">
      <c t="str" s="64" r="A93">
        <f>HYPERLINK("http://www.wormbase.org/db/get?name=flp-24;class=Gene","flp-24")</f>
        <v>flp-24</v>
      </c>
      <c t="s" s="24" r="B93">
        <v>1520</v>
      </c>
      <c s="156" r="C93"/>
      <c s="156" r="D93"/>
      <c s="156" r="E93"/>
      <c t="s" s="156" r="F93">
        <v>1521</v>
      </c>
    </row>
    <row r="94">
      <c t="str" s="119" r="A94">
        <f>HYPERLINK("http://www.wormbase.org/db/get?name=C24A1.1;class=Gene","C24A1.1")</f>
        <v>C24A1.1</v>
      </c>
      <c s="35" r="B94"/>
      <c s="161" r="C94"/>
      <c s="161" r="D94"/>
      <c s="161" r="E94"/>
      <c s="161" r="F94"/>
    </row>
    <row r="95">
      <c t="s" s="57" r="A95">
        <v>1330</v>
      </c>
      <c s="62" r="B95"/>
      <c s="43" r="C95"/>
      <c s="43" r="D95"/>
      <c s="43" r="E95"/>
      <c s="43" r="F95"/>
    </row>
    <row r="96">
      <c t="str" s="64" r="A96">
        <f>HYPERLINK("http://www.wormbase.org/db/get?name=flp-25;class=Gene","flp-25")</f>
        <v>flp-25</v>
      </c>
      <c t="s" s="24" r="B96">
        <v>1522</v>
      </c>
      <c s="156" r="C96"/>
      <c s="156" r="D96"/>
      <c s="156" r="E96"/>
      <c t="s" s="156" r="F96">
        <v>1521</v>
      </c>
    </row>
    <row customHeight="1" r="97" ht="16.5">
      <c t="str" s="119" r="A97">
        <f>HYPERLINK("http://www.wormbase.org/db/get?name=K04H4.7;class=Gene","K04H4.7")</f>
        <v>K04H4.7</v>
      </c>
      <c t="s" s="120" r="B97">
        <v>1523</v>
      </c>
      <c s="161" r="C97"/>
      <c s="161" r="D97"/>
      <c s="161" r="E97"/>
      <c s="161" r="F97"/>
    </row>
    <row r="98">
      <c t="s" s="57" r="A98">
        <v>1330</v>
      </c>
      <c s="126" r="B98"/>
      <c s="43" r="C98"/>
      <c s="43" r="D98"/>
      <c s="43" r="E98"/>
      <c s="43" r="F98"/>
    </row>
    <row customHeight="1" r="99" ht="16.5">
      <c t="str" s="64" r="A99">
        <f>HYPERLINK("http://www.wormbase.org/db/get?name=flp-26;class=Gene","flp-26")</f>
        <v>flp-26</v>
      </c>
      <c t="s" s="24" r="B99">
        <v>1524</v>
      </c>
      <c s="156" r="C99"/>
      <c s="156" r="D99"/>
      <c s="156" r="E99"/>
      <c t="s" s="156" r="F99">
        <v>1521</v>
      </c>
    </row>
    <row customHeight="1" r="100" ht="28.5">
      <c t="str" s="119" r="A100">
        <f>HYPERLINK("http://www.wormbase.org/db/get?name=R173.4;class=Gene","R173.4")</f>
        <v>R173.4</v>
      </c>
      <c t="s" s="120" r="B100">
        <v>1525</v>
      </c>
      <c s="161" r="C100"/>
      <c s="161" r="D100"/>
      <c s="161" r="E100"/>
      <c s="161" r="F100"/>
    </row>
    <row customHeight="1" r="101" ht="28.5">
      <c t="s" s="148" r="A101">
        <v>1314</v>
      </c>
      <c t="s" s="120" r="B101">
        <v>1526</v>
      </c>
      <c s="161" r="C101"/>
      <c s="161" r="D101"/>
      <c s="161" r="E101"/>
      <c s="161" r="F101"/>
    </row>
    <row customHeight="1" r="102" ht="16.5">
      <c s="151" r="A102"/>
      <c t="s" s="80" r="B102">
        <v>1527</v>
      </c>
      <c s="43" r="C102"/>
      <c s="43" r="D102"/>
      <c s="43" r="E102"/>
      <c s="43" r="F102"/>
    </row>
    <row customHeight="1" r="103" ht="24.0">
      <c t="str" s="64" r="A103">
        <f>HYPERLINK("http://www.wormbase.org/db/get?name=flp-27;class=Gene","flp-27")</f>
        <v>flp-27</v>
      </c>
      <c t="s" s="24" r="B103">
        <v>1528</v>
      </c>
      <c s="156" r="C103"/>
      <c s="156" r="D103"/>
      <c s="156" r="E103"/>
      <c t="s" s="156" r="F103">
        <v>1521</v>
      </c>
    </row>
    <row customHeight="1" r="104" ht="16.5">
      <c t="str" s="119" r="A104">
        <f>HYPERLINK("http://www.wormbase.org/db/get?name=C25H3.5;class=Gene","C25H3.5")</f>
        <v>C25H3.5</v>
      </c>
      <c t="s" s="120" r="B104">
        <v>1529</v>
      </c>
      <c s="161" r="C104"/>
      <c s="161" r="D104"/>
      <c s="161" r="E104"/>
      <c s="161" r="F104"/>
    </row>
    <row r="105">
      <c t="s" s="57" r="A105">
        <v>1291</v>
      </c>
      <c s="126" r="B105"/>
      <c s="43" r="C105"/>
      <c s="43" r="D105"/>
      <c s="43" r="E105"/>
      <c s="43" r="F105"/>
    </row>
    <row customHeight="1" r="106" ht="16.5">
      <c t="str" s="64" r="A106">
        <f>HYPERLINK("http://www.wormbase.org/db/get?name=flp-28;class=Gene","flp-28")</f>
        <v>flp-28</v>
      </c>
      <c t="s" s="24" r="B106">
        <v>1530</v>
      </c>
      <c s="156" r="C106"/>
      <c s="156" r="D106"/>
      <c s="156" r="E106"/>
      <c t="s" s="156" r="F106">
        <v>1531</v>
      </c>
    </row>
    <row r="107">
      <c t="str" s="119" r="A107">
        <f>HYPERLINK("http://www.wormbase.org/db/get?name=W07E11.4;class=Gene","W07E11.4")</f>
        <v>W07E11.4</v>
      </c>
      <c s="35" r="B107"/>
      <c s="161" r="C107"/>
      <c s="161" r="D107"/>
      <c s="161" r="E107"/>
      <c s="161" r="F107"/>
    </row>
    <row r="108">
      <c t="s" s="57" r="A108">
        <v>1314</v>
      </c>
      <c s="62" r="B108"/>
      <c s="43" r="C108"/>
      <c s="43" r="D108"/>
      <c s="43" r="E108"/>
      <c s="43" r="F108"/>
    </row>
    <row r="109">
      <c t="str" s="64" r="A109">
        <f>HYPERLINK("http://www.wormbase.org/db/get?name=flp-32;class=Gene","flp-32")</f>
        <v>flp-32</v>
      </c>
      <c t="s" s="24" r="B109">
        <v>1532</v>
      </c>
      <c s="156" r="C109"/>
      <c s="156" r="D109"/>
      <c s="156" r="E109"/>
      <c t="s" s="156" r="F109">
        <v>1533</v>
      </c>
    </row>
    <row r="110">
      <c t="str" s="119" r="A110">
        <f>HYPERLINK("http://www.wormbase.org/db/get?name=R03A10.2;class=Gene","R03A10.2")</f>
        <v>R03A10.2</v>
      </c>
      <c s="35" r="B110"/>
      <c s="161" r="C110"/>
      <c s="161" r="D110"/>
      <c s="161" r="E110"/>
      <c s="161" r="F110"/>
    </row>
    <row r="111">
      <c t="s" s="57" r="A111">
        <v>1314</v>
      </c>
      <c s="62" r="B111"/>
      <c s="43" r="C111"/>
      <c s="43" r="D111"/>
      <c s="43" r="E111"/>
      <c s="43" r="F111"/>
    </row>
    <row customHeight="1" r="112" ht="28.5">
      <c t="str" s="64" r="A112">
        <f>HYPERLINK("http://www.wormbase.org/db/get?name=flp-33;class=Gene","flp-33")</f>
        <v>flp-33</v>
      </c>
      <c t="s" s="24" r="B112">
        <v>1534</v>
      </c>
      <c s="156" r="C112"/>
      <c s="156" r="D112"/>
      <c s="156" r="E112"/>
      <c s="156" r="F112">
        <v>28</v>
      </c>
    </row>
    <row r="113">
      <c t="str" s="119" r="A113">
        <f>HYPERLINK("http://www.wormbase.org/db/get?name=T07D10.6;class=Gene","T07D10.6")</f>
        <v>T07D10.6</v>
      </c>
      <c s="35" r="B113"/>
      <c s="161" r="C113"/>
      <c s="161" r="D113"/>
      <c s="161" r="E113"/>
      <c s="161" r="F113"/>
    </row>
    <row r="114">
      <c t="s" s="57" r="A114">
        <v>1336</v>
      </c>
      <c s="62" r="B114"/>
      <c s="43" r="C114"/>
      <c s="43" r="D114"/>
      <c s="43" r="E114"/>
      <c s="43" r="F114"/>
    </row>
    <row customHeight="1" r="115" ht="28.5">
      <c t="s" s="166" r="A115">
        <v>1535</v>
      </c>
      <c t="s" s="24" r="B115">
        <v>1536</v>
      </c>
      <c s="156" r="C115"/>
      <c s="156" r="D115"/>
      <c s="156" r="E115"/>
      <c t="s" s="156" r="F115">
        <v>1537</v>
      </c>
    </row>
    <row r="116">
      <c t="str" s="119" r="A116">
        <f>HYPERLINK("http://www.wormbase.org/db/get?name=R09A1.5;class=Gene","R09A1.5")</f>
        <v>R09A1.5</v>
      </c>
      <c s="35" r="B116"/>
      <c s="161" r="C116"/>
      <c s="161" r="D116"/>
      <c s="161" r="E116"/>
      <c s="161" r="F116"/>
    </row>
    <row r="117">
      <c t="s" s="57" r="A117">
        <v>1336</v>
      </c>
      <c s="62" r="B117"/>
      <c s="43" r="C117"/>
      <c s="43" r="D117"/>
      <c s="43" r="E117"/>
      <c s="43" r="F117"/>
    </row>
    <row customHeight="1" r="118" ht="14.25">
      <c t="s" s="182" r="A118">
        <v>1538</v>
      </c>
      <c s="1" r="B118"/>
      <c s="1" r="C118"/>
      <c s="1" r="D118"/>
      <c s="1" r="E118"/>
      <c s="3" r="F118"/>
    </row>
  </sheetData>
  <mergeCells count="130">
    <mergeCell ref="B1:B3"/>
    <mergeCell ref="C1:C3"/>
    <mergeCell ref="D1:D3"/>
    <mergeCell ref="E1:E3"/>
    <mergeCell ref="F1:F3"/>
    <mergeCell ref="C4:C11"/>
    <mergeCell ref="D4:D11"/>
    <mergeCell ref="E4:E11"/>
    <mergeCell ref="F4:F11"/>
    <mergeCell ref="C12:C14"/>
    <mergeCell ref="D12:D14"/>
    <mergeCell ref="E12:E14"/>
    <mergeCell ref="F12:F14"/>
    <mergeCell ref="C15:C23"/>
    <mergeCell ref="D15:D23"/>
    <mergeCell ref="E15:E23"/>
    <mergeCell ref="F15:F23"/>
    <mergeCell ref="C24:C26"/>
    <mergeCell ref="D24:D26"/>
    <mergeCell ref="E24:E26"/>
    <mergeCell ref="F24:F26"/>
    <mergeCell ref="C27:C29"/>
    <mergeCell ref="D27:D29"/>
    <mergeCell ref="E27:E29"/>
    <mergeCell ref="F27:F29"/>
    <mergeCell ref="C30:C32"/>
    <mergeCell ref="D30:D32"/>
    <mergeCell ref="E30:E32"/>
    <mergeCell ref="F30:F32"/>
    <mergeCell ref="C33:C36"/>
    <mergeCell ref="D33:D36"/>
    <mergeCell ref="E33:E36"/>
    <mergeCell ref="F33:F36"/>
    <mergeCell ref="C37:C39"/>
    <mergeCell ref="D37:D39"/>
    <mergeCell ref="E37:E39"/>
    <mergeCell ref="F37:F39"/>
    <mergeCell ref="C40:C42"/>
    <mergeCell ref="D40:D42"/>
    <mergeCell ref="E40:E42"/>
    <mergeCell ref="F40:F42"/>
    <mergeCell ref="C43:C45"/>
    <mergeCell ref="D43:D45"/>
    <mergeCell ref="E43:E45"/>
    <mergeCell ref="F43:F45"/>
    <mergeCell ref="C46:C49"/>
    <mergeCell ref="D46:D49"/>
    <mergeCell ref="E46:E49"/>
    <mergeCell ref="F46:F49"/>
    <mergeCell ref="C50:C52"/>
    <mergeCell ref="D50:D52"/>
    <mergeCell ref="E50:E52"/>
    <mergeCell ref="F50:F52"/>
    <mergeCell ref="C53:C59"/>
    <mergeCell ref="D53:D59"/>
    <mergeCell ref="E53:E59"/>
    <mergeCell ref="F53:F59"/>
    <mergeCell ref="C60:C62"/>
    <mergeCell ref="D60:D62"/>
    <mergeCell ref="E60:E62"/>
    <mergeCell ref="F60:F62"/>
    <mergeCell ref="C63:C65"/>
    <mergeCell ref="D63:D65"/>
    <mergeCell ref="E63:E65"/>
    <mergeCell ref="F63:F65"/>
    <mergeCell ref="C66:C68"/>
    <mergeCell ref="D66:D68"/>
    <mergeCell ref="E66:E68"/>
    <mergeCell ref="F66:F68"/>
    <mergeCell ref="C69:C71"/>
    <mergeCell ref="D69:D71"/>
    <mergeCell ref="E69:E71"/>
    <mergeCell ref="F69:F71"/>
    <mergeCell ref="C72:C77"/>
    <mergeCell ref="D72:D77"/>
    <mergeCell ref="E72:E77"/>
    <mergeCell ref="F72:F77"/>
    <mergeCell ref="C78:C80"/>
    <mergeCell ref="D78:D80"/>
    <mergeCell ref="E78:E80"/>
    <mergeCell ref="F78:F80"/>
    <mergeCell ref="C81:C83"/>
    <mergeCell ref="D81:D83"/>
    <mergeCell ref="E81:E83"/>
    <mergeCell ref="F81:F83"/>
    <mergeCell ref="C84:C86"/>
    <mergeCell ref="D84:D86"/>
    <mergeCell ref="E84:E86"/>
    <mergeCell ref="F84:F86"/>
    <mergeCell ref="C87:C89"/>
    <mergeCell ref="D87:D89"/>
    <mergeCell ref="E87:E89"/>
    <mergeCell ref="F87:F89"/>
    <mergeCell ref="C90:C92"/>
    <mergeCell ref="D90:D92"/>
    <mergeCell ref="E90:E92"/>
    <mergeCell ref="F90:F92"/>
    <mergeCell ref="C93:C95"/>
    <mergeCell ref="D93:D95"/>
    <mergeCell ref="E93:E95"/>
    <mergeCell ref="F93:F95"/>
    <mergeCell ref="C96:C98"/>
    <mergeCell ref="D96:D98"/>
    <mergeCell ref="E96:E98"/>
    <mergeCell ref="F96:F98"/>
    <mergeCell ref="C99:C102"/>
    <mergeCell ref="D99:D102"/>
    <mergeCell ref="E99:E102"/>
    <mergeCell ref="F99:F102"/>
    <mergeCell ref="C103:C105"/>
    <mergeCell ref="D103:D105"/>
    <mergeCell ref="E103:E105"/>
    <mergeCell ref="F103:F105"/>
    <mergeCell ref="C106:C108"/>
    <mergeCell ref="D106:D108"/>
    <mergeCell ref="E106:E108"/>
    <mergeCell ref="F106:F108"/>
    <mergeCell ref="C109:C111"/>
    <mergeCell ref="D109:D111"/>
    <mergeCell ref="E109:E111"/>
    <mergeCell ref="F109:F111"/>
    <mergeCell ref="C112:C114"/>
    <mergeCell ref="D112:D114"/>
    <mergeCell ref="E112:E114"/>
    <mergeCell ref="F112:F114"/>
    <mergeCell ref="C115:C117"/>
    <mergeCell ref="D115:D117"/>
    <mergeCell ref="E115:E117"/>
    <mergeCell ref="F115:F117"/>
    <mergeCell ref="A118:F118"/>
  </mergeCell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2.86"/>
    <col min="2" customWidth="1" max="2" width="19.57"/>
    <col min="3" customWidth="1" max="3" width="76.0"/>
    <col min="4" customWidth="1" max="4" width="19.29"/>
    <col min="5" customWidth="1" max="5" width="12.0"/>
  </cols>
  <sheetData>
    <row customHeight="1" r="1" ht="15.0">
      <c t="s" s="30" r="A1">
        <v>1270</v>
      </c>
      <c t="s" s="19" r="B1">
        <v>1395</v>
      </c>
      <c t="s" s="19" r="C1">
        <v>1396</v>
      </c>
      <c t="s" s="19" r="D1">
        <v>1273</v>
      </c>
      <c t="s" s="19" r="E1">
        <v>1275</v>
      </c>
      <c s="84" r="F1"/>
    </row>
    <row r="2">
      <c t="s" s="27" r="A2">
        <v>1276</v>
      </c>
      <c s="68" r="B2"/>
      <c s="68" r="C2"/>
      <c s="68" r="D2"/>
      <c s="68" r="E2"/>
      <c s="84" r="F2"/>
    </row>
    <row r="3">
      <c t="s" s="116" r="A3">
        <v>1277</v>
      </c>
      <c s="23" r="B3"/>
      <c s="23" r="C3"/>
      <c s="23" r="D3"/>
      <c s="23" r="E3"/>
      <c s="84" r="F3"/>
    </row>
    <row customHeight="1" r="4" ht="16.5">
      <c t="str" s="64" r="A4">
        <f>HYPERLINK("http://www.wormbase.org/db/get?name=nlp-1;class=Gene","nlp-1")</f>
        <v>nlp-1</v>
      </c>
      <c t="s" s="24" r="B4">
        <v>1539</v>
      </c>
      <c t="s" s="156" r="C4">
        <v>1540</v>
      </c>
      <c s="156" r="D4"/>
      <c t="s" s="156" r="E4">
        <v>1541</v>
      </c>
      <c s="84" r="F4"/>
    </row>
    <row customHeight="1" r="5" ht="16.5">
      <c t="str" s="119" r="A5">
        <f>HYPERLINK("http://www.wormbase.org/db/get?name=C01C4.1;class=Gene","C01C4.1")</f>
        <v>C01C4.1</v>
      </c>
      <c t="s" s="120" r="B5">
        <v>1542</v>
      </c>
      <c s="161" r="C5"/>
      <c s="161" r="D5"/>
      <c s="161" r="E5"/>
      <c s="84" r="F5"/>
    </row>
    <row customHeight="1" r="6" ht="16.5">
      <c t="s" s="57" r="A6">
        <v>1314</v>
      </c>
      <c t="s" s="80" r="B6">
        <v>1543</v>
      </c>
      <c s="43" r="C6"/>
      <c s="43" r="D6"/>
      <c s="43" r="E6"/>
      <c s="84" r="F6"/>
    </row>
    <row r="7">
      <c t="str" s="64" r="A7">
        <f>HYPERLINK("http://www.wormbase.org/db/get?name=nlp-2;class=Gene","nlp-2")</f>
        <v>nlp-2</v>
      </c>
      <c t="s" s="20" r="B7">
        <v>1544</v>
      </c>
      <c t="s" s="156" r="C7">
        <v>1545</v>
      </c>
      <c s="156" r="D7"/>
      <c t="s" s="156" r="E7">
        <v>1377</v>
      </c>
      <c s="84" r="F7"/>
    </row>
    <row r="8">
      <c t="str" s="119" r="A8">
        <f>HYPERLINK("http://www.wormbase.org/db/get?name=T24D8.5;class=Gene","T24D8.5")</f>
        <v>T24D8.5</v>
      </c>
      <c t="s" s="157" r="B8">
        <v>1546</v>
      </c>
      <c s="161" r="C8"/>
      <c s="161" r="D8"/>
      <c s="161" r="E8"/>
      <c s="84" r="F8"/>
    </row>
    <row r="9">
      <c t="s" s="57" r="A9">
        <v>1314</v>
      </c>
      <c t="s" s="80" r="B9">
        <v>1547</v>
      </c>
      <c s="43" r="C9"/>
      <c s="43" r="D9"/>
      <c s="43" r="E9"/>
      <c s="84" r="F9"/>
    </row>
    <row r="10">
      <c t="str" s="64" r="A10">
        <f>HYPERLINK("http://www.wormbase.org/db/get?name=nlp-3;class=Gene","nlp-3")</f>
        <v>nlp-3</v>
      </c>
      <c t="s" s="24" r="B10">
        <v>1548</v>
      </c>
      <c t="s" s="156" r="C10">
        <v>1549</v>
      </c>
      <c s="156" r="D10"/>
      <c s="156" r="E10">
        <v>2</v>
      </c>
      <c s="84" r="F10"/>
    </row>
    <row r="11">
      <c t="str" s="119" r="A11">
        <f>HYPERLINK("http://www.wormbase.org/db/get?name=F48C11.3;class=Gene","F48C11.3")</f>
        <v>F48C11.3</v>
      </c>
      <c t="s" s="120" r="B11">
        <v>1550</v>
      </c>
      <c s="161" r="C11"/>
      <c s="161" r="D11"/>
      <c s="161" r="E11"/>
      <c s="84" r="F11"/>
    </row>
    <row r="12">
      <c t="s" s="57" r="A12">
        <v>1314</v>
      </c>
      <c t="s" s="80" r="B12">
        <v>1551</v>
      </c>
      <c s="43" r="C12"/>
      <c s="43" r="D12"/>
      <c s="43" r="E12"/>
      <c s="84" r="F12"/>
    </row>
    <row customHeight="1" r="13" ht="24.0">
      <c t="str" s="64" r="A13">
        <f>HYPERLINK("http://www.wormbase.org/db/get?name=nlp-4;class=Gene","nlp-4")</f>
        <v>nlp-4</v>
      </c>
      <c t="s" s="24" r="B13">
        <v>1552</v>
      </c>
      <c s="156" r="C13"/>
      <c s="156" r="D13"/>
      <c s="156" r="E13">
        <v>2</v>
      </c>
      <c s="84" r="F13"/>
    </row>
    <row customHeight="1" r="14" ht="24.0">
      <c t="str" s="119" r="A14">
        <f>HYPERLINK("http://www.wormbase.org/db/get?name=F59C6.6;class=Gene","F59C6.6")</f>
        <v>F59C6.6</v>
      </c>
      <c t="s" s="120" r="B14">
        <v>1553</v>
      </c>
      <c s="161" r="C14"/>
      <c s="161" r="D14"/>
      <c s="161" r="E14"/>
      <c s="84" r="F14"/>
    </row>
    <row customHeight="1" r="15" ht="24.0">
      <c t="s" s="57" r="A15">
        <v>1336</v>
      </c>
      <c t="s" s="80" r="B15">
        <v>1554</v>
      </c>
      <c s="43" r="C15"/>
      <c s="43" r="D15"/>
      <c s="43" r="E15"/>
      <c s="84" r="F15"/>
    </row>
    <row customHeight="1" r="16" ht="24.0">
      <c t="str" s="64" r="A16">
        <f>HYPERLINK("http://www.wormbase.org/db/get?name=nlp-5;class=Gene","nlp-5")</f>
        <v>nlp-5</v>
      </c>
      <c t="s" s="24" r="B16">
        <v>1555</v>
      </c>
      <c t="s" s="156" r="C16">
        <v>1556</v>
      </c>
      <c s="156" r="D16"/>
      <c s="156" r="E16">
        <v>2</v>
      </c>
      <c s="84" r="F16"/>
    </row>
    <row r="17">
      <c t="str" s="119" r="A17">
        <f>HYPERLINK("http://www.wormbase.org/db/get?name=F35C11.1;class=Gene","F35C11.1")</f>
        <v>F35C11.1</v>
      </c>
      <c t="s" s="120" r="B17">
        <v>1557</v>
      </c>
      <c s="161" r="C17"/>
      <c s="161" r="D17"/>
      <c s="161" r="E17"/>
      <c s="84" r="F17"/>
    </row>
    <row r="18">
      <c t="s" s="57" r="A18">
        <v>1291</v>
      </c>
      <c t="s" s="80" r="B18">
        <v>1558</v>
      </c>
      <c s="43" r="C18"/>
      <c s="43" r="D18"/>
      <c s="43" r="E18"/>
      <c s="84" r="F18"/>
    </row>
    <row customHeight="1" r="19" ht="16.5">
      <c t="str" s="64" r="A19">
        <f>HYPERLINK("http://www.wormbase.org/db/get?name=nlp-6;class=Gene","nlp-6")</f>
        <v>nlp-6</v>
      </c>
      <c t="s" s="24" r="B19">
        <v>1559</v>
      </c>
      <c t="s" s="156" r="C19">
        <v>1560</v>
      </c>
      <c s="156" r="D19"/>
      <c t="s" s="156" r="E19">
        <v>1561</v>
      </c>
      <c s="84" r="F19"/>
    </row>
    <row customHeight="1" r="20" ht="16.5">
      <c t="str" s="119" r="A20">
        <f>HYPERLINK("http://www.wormbase.org/db/get?name=T23E7.4;class=Gene","T23E7.4")</f>
        <v>T23E7.4</v>
      </c>
      <c t="s" s="120" r="B20">
        <v>1562</v>
      </c>
      <c s="161" r="C20"/>
      <c s="161" r="D20"/>
      <c s="161" r="E20"/>
      <c s="84" r="F20"/>
    </row>
    <row customHeight="1" r="21" ht="16.5">
      <c t="s" s="148" r="A21">
        <v>1314</v>
      </c>
      <c t="s" s="120" r="B21">
        <v>1563</v>
      </c>
      <c s="161" r="C21"/>
      <c s="161" r="D21"/>
      <c s="161" r="E21"/>
      <c s="84" r="F21"/>
    </row>
    <row r="22">
      <c s="151" r="A22"/>
      <c t="s" s="80" r="B22">
        <v>1564</v>
      </c>
      <c s="43" r="C22"/>
      <c s="43" r="D22"/>
      <c s="43" r="E22"/>
      <c s="84" r="F22"/>
    </row>
    <row customHeight="1" r="23" ht="28.5">
      <c t="str" s="64" r="A23">
        <f>HYPERLINK("http://www.wormbase.org/db/get?name=nlp-7;class=Gene","nlp-7")</f>
        <v>nlp-7</v>
      </c>
      <c t="s" s="24" r="B23">
        <v>1565</v>
      </c>
      <c t="s" s="156" r="C23">
        <v>1566</v>
      </c>
      <c s="156" r="D23"/>
      <c t="s" s="156" r="E23">
        <v>1561</v>
      </c>
      <c s="84" r="F23"/>
    </row>
    <row customHeight="1" r="24" ht="16.5">
      <c t="str" s="119" r="A24">
        <f>HYPERLINK("http://www.wormbase.org/db/get?name=F18E9.2;class=Gene","F18E9.2")</f>
        <v>F18E9.2</v>
      </c>
      <c t="s" s="120" r="B24">
        <v>1567</v>
      </c>
      <c s="161" r="C24"/>
      <c s="161" r="D24"/>
      <c s="161" r="E24"/>
      <c s="84" r="F24"/>
    </row>
    <row customHeight="1" r="25" ht="16.5">
      <c t="s" s="57" r="A25">
        <v>1314</v>
      </c>
      <c t="s" s="80" r="B25">
        <v>1568</v>
      </c>
      <c s="43" r="C25"/>
      <c s="43" r="D25"/>
      <c s="43" r="E25"/>
      <c s="84" r="F25"/>
    </row>
    <row customHeight="1" r="26" ht="16.5">
      <c t="str" s="64" r="A26">
        <f>HYPERLINK("http://www.wormbase.org/db/get?name=nlp-8;class=Gene","nlp-8")</f>
        <v>nlp-8</v>
      </c>
      <c t="s" s="24" r="B26">
        <v>1569</v>
      </c>
      <c t="str" s="132" r="C26">
        <f>HYPERLINK("http://www.wormbase.org/db/get?name=HOB;class=Cell","ASK, ADL, 6 head neurons, 2 tail neurons, I2, g1D, pm5L, pm5R, 2 RVG, processes in pharynx, intestine; HOB")</f>
        <v>ASK, ADL, 6 head neurons, 2 tail neurons, I2, g1D, pm5L, pm5R, 2 RVG, processes in pharynx, intestine; HOB</v>
      </c>
      <c s="156" r="D26"/>
      <c t="s" s="156" r="E26">
        <v>1561</v>
      </c>
      <c s="84" r="F26"/>
    </row>
    <row customHeight="1" r="27" ht="16.5">
      <c t="str" s="119" r="A27">
        <f>HYPERLINK("http://www.wormbase.org/db/get?name=D2005.2;class=Gene","D2005.2")</f>
        <v>D2005.2</v>
      </c>
      <c t="s" s="120" r="B27">
        <v>1570</v>
      </c>
      <c s="17" r="C27"/>
      <c s="161" r="D27"/>
      <c s="161" r="E27"/>
      <c s="84" r="F27"/>
    </row>
    <row customHeight="1" r="28" ht="16.5">
      <c t="s" s="148" r="A28">
        <v>1336</v>
      </c>
      <c t="s" s="120" r="B28">
        <v>1571</v>
      </c>
      <c s="17" r="C28"/>
      <c s="161" r="D28"/>
      <c s="161" r="E28"/>
      <c s="84" r="F28"/>
    </row>
    <row customHeight="1" r="29" ht="28.5">
      <c s="151" r="A29"/>
      <c t="s" s="80" r="B29">
        <v>1572</v>
      </c>
      <c s="72" r="C29"/>
      <c s="43" r="D29"/>
      <c s="43" r="E29"/>
      <c s="84" r="F29"/>
    </row>
    <row r="30">
      <c t="str" s="64" r="A30">
        <f>HYPERLINK("http://www.wormbase.org/db/get?name=nlp-9;class=Gene","nlp-9")</f>
        <v>nlp-9</v>
      </c>
      <c t="s" s="20" r="B30">
        <v>1573</v>
      </c>
      <c t="s" s="156" r="C30">
        <v>1574</v>
      </c>
      <c s="156" r="D30"/>
      <c t="s" s="156" r="E30">
        <v>1285</v>
      </c>
      <c s="84" r="F30"/>
    </row>
    <row r="31">
      <c t="s" s="148" r="A31">
        <v>1575</v>
      </c>
      <c t="s" s="157" r="B31">
        <v>1576</v>
      </c>
      <c s="161" r="C31"/>
      <c s="161" r="D31"/>
      <c s="161" r="E31"/>
      <c s="84" r="F31"/>
    </row>
    <row r="32">
      <c t="s" s="148" r="A32">
        <v>1281</v>
      </c>
      <c t="s" s="157" r="B32">
        <v>1577</v>
      </c>
      <c s="161" r="C32"/>
      <c s="161" r="D32"/>
      <c s="161" r="E32"/>
      <c s="84" r="F32"/>
    </row>
    <row customHeight="1" r="33" ht="28.5">
      <c s="151" r="A33"/>
      <c t="s" s="80" r="B33">
        <v>1578</v>
      </c>
      <c s="43" r="C33"/>
      <c s="43" r="D33"/>
      <c s="43" r="E33"/>
      <c s="84" r="F33"/>
    </row>
    <row r="34">
      <c t="str" s="64" r="A34">
        <f>HYPERLINK("http://www.wormbase.org/db/get?name=nlp-10;class=Gene","nlp-10")</f>
        <v>nlp-10</v>
      </c>
      <c t="s" s="24" r="B34">
        <v>1579</v>
      </c>
      <c t="s" s="156" r="C34">
        <v>1580</v>
      </c>
      <c s="156" r="D34"/>
      <c s="156" r="E34">
        <v>2</v>
      </c>
      <c s="84" r="F34"/>
    </row>
    <row r="35">
      <c t="str" s="119" r="A35">
        <f>HYPERLINK("http://www.wormbase.org/db/get?name=F37A8.4;class=Gene","F37A8.4")</f>
        <v>F37A8.4</v>
      </c>
      <c t="s" s="120" r="B35">
        <v>1581</v>
      </c>
      <c s="161" r="C35"/>
      <c s="161" r="D35"/>
      <c s="161" r="E35"/>
      <c s="84" r="F35"/>
    </row>
    <row r="36">
      <c t="s" s="148" r="A36">
        <v>1330</v>
      </c>
      <c t="s" s="120" r="B36">
        <v>1582</v>
      </c>
      <c s="161" r="C36"/>
      <c s="161" r="D36"/>
      <c s="161" r="E36"/>
      <c s="84" r="F36"/>
    </row>
    <row r="37">
      <c s="151" r="A37"/>
      <c t="s" s="80" r="B37">
        <v>1583</v>
      </c>
      <c s="43" r="C37"/>
      <c s="43" r="D37"/>
      <c s="43" r="E37"/>
      <c s="84" r="F37"/>
    </row>
    <row customHeight="1" r="38" ht="28.5">
      <c t="str" s="64" r="A38">
        <f>HYPERLINK("http://www.wormbase.org/db/get?name=nlp-11;class=Gene","nlp-11")</f>
        <v>nlp-11</v>
      </c>
      <c t="s" s="24" r="B38">
        <v>1584</v>
      </c>
      <c t="str" s="132" r="C38">
        <f>HYPERLINK("http://www.wormbase.org/db/get?name=PVD;class=Cell","IL1, 2 head neurons, VNC, PVD, 3 tail neurons, precomma embryos")</f>
        <v>IL1, 2 head neurons, VNC, PVD, 3 tail neurons, precomma embryos</v>
      </c>
      <c s="156" r="D38"/>
      <c t="s" s="156" r="E38">
        <v>1585</v>
      </c>
      <c s="84" r="F38"/>
    </row>
    <row customHeight="1" r="39" ht="28.5">
      <c t="str" s="119" r="A39">
        <f>HYPERLINK("http://www.wormbase.org/db/get?name=ZK1320.10;class=Gene","ZK1320.10")</f>
        <v>ZK1320.10</v>
      </c>
      <c t="s" s="120" r="B39">
        <v>1586</v>
      </c>
      <c s="17" r="C39"/>
      <c s="161" r="D39"/>
      <c s="161" r="E39"/>
      <c s="84" r="F39"/>
    </row>
    <row customHeight="1" r="40" ht="28.5">
      <c t="s" s="57" r="A40">
        <v>1291</v>
      </c>
      <c t="s" s="80" r="B40">
        <v>1587</v>
      </c>
      <c s="72" r="C40"/>
      <c s="43" r="D40"/>
      <c s="43" r="E40"/>
      <c s="84" r="F40"/>
    </row>
    <row customHeight="1" r="41" ht="16.5">
      <c t="str" s="64" r="A41">
        <f>HYPERLINK("http://www.wormbase.org/db/get?name=nlp-12;class=Gene","nlp-12")</f>
        <v>nlp-12</v>
      </c>
      <c t="s" s="24" r="B41">
        <v>1588</v>
      </c>
      <c t="s" s="156" r="C41">
        <v>1589</v>
      </c>
      <c t="s" s="156" r="D41">
        <v>1590</v>
      </c>
      <c t="s" s="156" r="E41">
        <v>1591</v>
      </c>
      <c s="84" r="F41"/>
    </row>
    <row customHeight="1" r="42" ht="16.5">
      <c t="str" s="119" r="A42">
        <f>HYPERLINK("http://www.wormbase.org/db/get?name=M01D7.5;class=Gene","M01D7.5")</f>
        <v>M01D7.5</v>
      </c>
      <c t="s" s="120" r="B42">
        <v>1592</v>
      </c>
      <c s="161" r="C42"/>
      <c s="161" r="D42"/>
      <c s="161" r="E42"/>
      <c s="84" r="F42"/>
    </row>
    <row r="43">
      <c t="s" s="57" r="A43">
        <v>1336</v>
      </c>
      <c s="126" r="B43"/>
      <c s="43" r="C43"/>
      <c s="43" r="D43"/>
      <c s="43" r="E43"/>
      <c s="84" r="F43"/>
    </row>
    <row customHeight="1" r="44" ht="16.5">
      <c t="str" s="64" r="A44">
        <f>HYPERLINK("http://www.wormbase.org/db/get?name=nlp-13;class=Gene","nlp-13")</f>
        <v>nlp-13</v>
      </c>
      <c t="s" s="24" r="B44">
        <v>1593</v>
      </c>
      <c t="str" s="132" r="C44">
        <f>HYPERLINK("http://www.wormbase.org/db/get?name=I4;class=Cell","3 head neurons, NSM, M2, I4, spermatheca, LUA, 1 tail cell, dorsal and ventral hypoderm, intestine")</f>
        <v>3 head neurons, NSM, M2, I4, spermatheca, LUA, 1 tail cell, dorsal and ventral hypoderm, intestine</v>
      </c>
      <c s="156" r="D44"/>
      <c t="s" s="156" r="E44">
        <v>1285</v>
      </c>
      <c s="84" r="F44"/>
    </row>
    <row customHeight="1" r="45" ht="16.5">
      <c t="str" s="119" r="A45">
        <f>HYPERLINK("http://www.wormbase.org/db/get?name=E03D2.1;class=Gene","E03D2.1")</f>
        <v>E03D2.1</v>
      </c>
      <c t="s" s="120" r="B45">
        <v>1594</v>
      </c>
      <c s="17" r="C45"/>
      <c s="161" r="D45"/>
      <c s="161" r="E45"/>
      <c s="84" r="F45"/>
    </row>
    <row r="46">
      <c t="s" s="148" r="A46">
        <v>1281</v>
      </c>
      <c t="s" s="120" r="B46">
        <v>1595</v>
      </c>
      <c s="17" r="C46"/>
      <c s="161" r="D46"/>
      <c s="161" r="E46"/>
      <c s="84" r="F46"/>
    </row>
    <row customHeight="1" r="47" ht="16.5">
      <c s="122" r="A47"/>
      <c t="s" s="120" r="B47">
        <v>1596</v>
      </c>
      <c s="17" r="C47"/>
      <c s="161" r="D47"/>
      <c s="161" r="E47"/>
      <c s="84" r="F47"/>
    </row>
    <row customHeight="1" r="48" ht="16.5">
      <c s="122" r="A48"/>
      <c t="s" s="120" r="B48">
        <v>1597</v>
      </c>
      <c s="17" r="C48"/>
      <c s="161" r="D48"/>
      <c s="161" r="E48"/>
      <c s="84" r="F48"/>
    </row>
    <row customHeight="1" r="49" ht="16.5">
      <c s="122" r="A49"/>
      <c t="s" s="120" r="B49">
        <v>1598</v>
      </c>
      <c s="17" r="C49"/>
      <c s="161" r="D49"/>
      <c s="161" r="E49"/>
      <c s="84" r="F49"/>
    </row>
    <row customHeight="1" r="50" ht="16.5">
      <c s="151" r="A50"/>
      <c t="s" s="80" r="B50">
        <v>1599</v>
      </c>
      <c s="72" r="C50"/>
      <c s="43" r="D50"/>
      <c s="43" r="E50"/>
      <c s="84" r="F50"/>
    </row>
    <row r="51">
      <c t="str" s="64" r="A51">
        <f>HYPERLINK("http://www.wormbase.org/db/get?name=nlp-14;class=Gene","nlp-14")</f>
        <v>nlp-14</v>
      </c>
      <c t="s" s="24" r="B51">
        <v>1600</v>
      </c>
      <c t="s" s="156" r="C51">
        <v>1601</v>
      </c>
      <c s="156" r="D51"/>
      <c t="s" s="156" r="E51">
        <v>1602</v>
      </c>
      <c s="84" r="F51"/>
    </row>
    <row r="52">
      <c t="str" s="119" r="A52">
        <f>HYPERLINK("http://www.wormbase.org/db/get?name=D1009.4;class=Gene","D1009.4")</f>
        <v>D1009.4</v>
      </c>
      <c t="s" s="120" r="B52">
        <v>1603</v>
      </c>
      <c s="161" r="C52"/>
      <c s="161" r="D52"/>
      <c s="161" r="E52"/>
      <c s="84" r="F52"/>
    </row>
    <row r="53">
      <c t="s" s="148" r="A53">
        <v>1314</v>
      </c>
      <c t="s" s="120" r="B53">
        <v>1604</v>
      </c>
      <c s="161" r="C53"/>
      <c s="161" r="D53"/>
      <c s="161" r="E53"/>
      <c s="84" r="F53"/>
    </row>
    <row customHeight="1" r="54" ht="16.5">
      <c s="122" r="A54"/>
      <c t="s" s="120" r="B54">
        <v>1605</v>
      </c>
      <c s="161" r="C54"/>
      <c s="161" r="D54"/>
      <c s="161" r="E54"/>
      <c s="84" r="F54"/>
    </row>
    <row r="55">
      <c s="151" r="A55"/>
      <c t="s" s="80" r="B55">
        <v>1606</v>
      </c>
      <c s="43" r="C55"/>
      <c s="43" r="D55"/>
      <c s="43" r="E55"/>
      <c s="84" r="F55"/>
    </row>
    <row customHeight="1" r="56" ht="16.5">
      <c t="str" s="64" r="A56">
        <f>HYPERLINK("http://www.wormbase.org/db/get?name=nlp-15;class=Gene","nlp-15")</f>
        <v>nlp-15</v>
      </c>
      <c t="s" s="24" r="B56">
        <v>1607</v>
      </c>
      <c t="s" s="156" r="C56">
        <v>1608</v>
      </c>
      <c s="156" r="D56"/>
      <c t="s" s="156" r="E56">
        <v>1609</v>
      </c>
      <c s="84" r="F56"/>
    </row>
    <row r="57">
      <c t="str" s="119" r="A57">
        <f>HYPERLINK("http://www.wormbase.org/db/get?name=CC4.2;class=Gene","CC4.2")</f>
        <v>CC4.2</v>
      </c>
      <c t="s" s="120" r="B57">
        <v>1610</v>
      </c>
      <c s="161" r="C57"/>
      <c s="161" r="D57"/>
      <c s="161" r="E57"/>
      <c s="84" r="F57"/>
    </row>
    <row r="58">
      <c t="s" s="148" r="A58">
        <v>1336</v>
      </c>
      <c t="s" s="157" r="B58">
        <v>1611</v>
      </c>
      <c s="161" r="C58"/>
      <c s="161" r="D58"/>
      <c s="161" r="E58"/>
      <c s="84" r="F58"/>
    </row>
    <row r="59">
      <c s="122" r="A59"/>
      <c t="s" s="157" r="B59">
        <v>1612</v>
      </c>
      <c s="161" r="C59"/>
      <c s="161" r="D59"/>
      <c s="161" r="E59"/>
      <c s="84" r="F59"/>
    </row>
    <row r="60">
      <c s="151" r="A60"/>
      <c t="s" s="106" r="B60">
        <v>1613</v>
      </c>
      <c s="43" r="C60"/>
      <c s="43" r="D60"/>
      <c s="43" r="E60"/>
      <c s="84" r="F60"/>
    </row>
    <row r="61">
      <c t="str" s="64" r="A61">
        <f>HYPERLINK("http://www.wormbase.org/db/get?name=nlp-16;class=Gene","nlp-16")</f>
        <v>nlp-16</v>
      </c>
      <c t="s" s="24" r="B61">
        <v>1614</v>
      </c>
      <c t="s" s="156" r="C61">
        <v>1615</v>
      </c>
      <c s="156" r="D61"/>
      <c t="s" s="156" r="E61">
        <v>1616</v>
      </c>
      <c s="84" r="F61"/>
    </row>
    <row r="62">
      <c t="str" s="119" r="A62">
        <f>HYPERLINK("http://www.wormbase.org/db/get?name=T13A10.5;class=Gene","T13A10.5")</f>
        <v>T13A10.5</v>
      </c>
      <c t="s" s="120" r="B62">
        <v>1617</v>
      </c>
      <c s="161" r="C62"/>
      <c s="161" r="D62"/>
      <c s="161" r="E62"/>
      <c s="84" r="F62"/>
    </row>
    <row customHeight="1" r="63" ht="24.0">
      <c t="s" s="148" r="A63">
        <v>1287</v>
      </c>
      <c t="s" s="120" r="B63">
        <v>1618</v>
      </c>
      <c s="161" r="C63"/>
      <c s="161" r="D63"/>
      <c s="161" r="E63"/>
      <c s="84" r="F63"/>
    </row>
    <row r="64">
      <c s="122" r="A64"/>
      <c t="s" s="120" r="B64">
        <v>1619</v>
      </c>
      <c s="161" r="C64"/>
      <c s="161" r="D64"/>
      <c s="161" r="E64"/>
      <c s="84" r="F64"/>
    </row>
    <row customHeight="1" r="65" ht="16.5">
      <c s="122" r="A65"/>
      <c t="s" s="120" r="B65">
        <v>1620</v>
      </c>
      <c s="161" r="C65"/>
      <c s="161" r="D65"/>
      <c s="161" r="E65"/>
      <c s="84" r="F65"/>
    </row>
    <row customHeight="1" r="66" ht="16.5">
      <c s="122" r="A66"/>
      <c t="s" s="120" r="B66">
        <v>1621</v>
      </c>
      <c s="161" r="C66"/>
      <c s="161" r="D66"/>
      <c s="161" r="E66"/>
      <c s="84" r="F66"/>
    </row>
    <row r="67">
      <c s="122" r="A67"/>
      <c t="s" s="120" r="B67">
        <v>1622</v>
      </c>
      <c s="161" r="C67"/>
      <c s="161" r="D67"/>
      <c s="161" r="E67"/>
      <c s="84" r="F67"/>
    </row>
    <row r="68">
      <c s="151" r="A68"/>
      <c t="s" s="80" r="B68">
        <v>1623</v>
      </c>
      <c s="43" r="C68"/>
      <c s="43" r="D68"/>
      <c s="43" r="E68"/>
      <c s="84" r="F68"/>
    </row>
    <row customHeight="1" r="69" ht="16.5">
      <c t="str" s="64" r="A69">
        <f>HYPERLINK("http://www.wormbase.org/db/get?name=nlp-17;class=Gene","nlp-17")</f>
        <v>nlp-17</v>
      </c>
      <c t="s" s="24" r="B69">
        <v>1624</v>
      </c>
      <c s="156" r="C69"/>
      <c s="156" r="D69"/>
      <c t="s" s="156" r="E69">
        <v>1609</v>
      </c>
      <c s="84" r="F69"/>
    </row>
    <row customHeight="1" r="70" ht="24.0">
      <c t="str" s="119" r="A70">
        <f>HYPERLINK("http://www.wormbase.org/db/get?name=Y45F10A.5;class=Gene","Y45F10A.5")</f>
        <v>Y45F10A.5</v>
      </c>
      <c t="s" s="120" r="B70">
        <v>1625</v>
      </c>
      <c s="161" r="C70"/>
      <c s="161" r="D70"/>
      <c s="161" r="E70"/>
      <c s="84" r="F70"/>
    </row>
    <row r="71">
      <c t="s" s="57" r="A71">
        <v>1287</v>
      </c>
      <c s="126" r="B71"/>
      <c s="43" r="C71"/>
      <c s="43" r="D71"/>
      <c s="43" r="E71"/>
      <c s="84" r="F71"/>
    </row>
    <row customHeight="1" r="72" ht="16.5">
      <c t="str" s="64" r="A72">
        <f>HYPERLINK("http://www.wormbase.org/db/get?name=nlp-18;class=Gene","nlp-18")</f>
        <v>nlp-18</v>
      </c>
      <c t="s" s="24" r="B72">
        <v>1626</v>
      </c>
      <c t="s" s="156" r="C72">
        <v>1627</v>
      </c>
      <c s="156" r="D72"/>
      <c t="s" s="156" r="E72">
        <v>1561</v>
      </c>
      <c s="84" r="F72"/>
    </row>
    <row r="73">
      <c t="str" s="119" r="A73">
        <f>HYPERLINK("http://www.wormbase.org/db/get?name=F33A8.2;class=Gene","F33A8.2")</f>
        <v>F33A8.2</v>
      </c>
      <c t="s" s="120" r="B73">
        <v>1628</v>
      </c>
      <c s="161" r="C73"/>
      <c s="161" r="D73"/>
      <c s="161" r="E73"/>
      <c s="84" r="F73"/>
    </row>
    <row customHeight="1" r="74" ht="16.5">
      <c t="s" s="148" r="A74">
        <v>1291</v>
      </c>
      <c t="s" s="120" r="B74">
        <v>1629</v>
      </c>
      <c s="161" r="C74"/>
      <c s="161" r="D74"/>
      <c s="161" r="E74"/>
      <c s="84" r="F74"/>
    </row>
    <row r="75">
      <c s="122" r="A75"/>
      <c t="s" s="120" r="B75">
        <v>1630</v>
      </c>
      <c s="161" r="C75"/>
      <c s="161" r="D75"/>
      <c s="161" r="E75"/>
      <c s="84" r="F75"/>
    </row>
    <row customHeight="1" r="76" ht="16.5">
      <c s="151" r="A76"/>
      <c t="s" s="80" r="B76">
        <v>1631</v>
      </c>
      <c s="43" r="C76"/>
      <c s="43" r="D76"/>
      <c s="43" r="E76"/>
      <c s="84" r="F76"/>
    </row>
    <row r="77">
      <c t="str" s="64" r="A77">
        <f>HYPERLINK("http://www.wormbase.org/db/get?name=nlp-19;class=Gene","nlp-19")</f>
        <v>nlp-19</v>
      </c>
      <c t="s" s="24" r="B77">
        <v>1632</v>
      </c>
      <c t="s" s="156" r="C77">
        <v>1633</v>
      </c>
      <c s="156" r="D77"/>
      <c t="s" s="156" r="E77">
        <v>1634</v>
      </c>
      <c s="84" r="F77"/>
    </row>
    <row r="78">
      <c t="str" s="119" r="A78">
        <f>HYPERLINK("http://www.wormbase.org/db/get?name=K09C8.6;class=Gene","K09C8.6")</f>
        <v>K09C8.6</v>
      </c>
      <c t="s" s="120" r="B78">
        <v>1635</v>
      </c>
      <c s="161" r="C78"/>
      <c s="161" r="D78"/>
      <c s="161" r="E78"/>
      <c s="84" r="F78"/>
    </row>
    <row r="79">
      <c t="s" s="57" r="A79">
        <v>1314</v>
      </c>
      <c t="s" s="80" r="B79">
        <v>1636</v>
      </c>
      <c s="43" r="C79"/>
      <c s="43" r="D79"/>
      <c s="43" r="E79"/>
      <c s="84" r="F79"/>
    </row>
    <row r="80">
      <c t="str" s="64" r="A80">
        <f>HYPERLINK("http://www.wormbase.org/db/get?name=nlp-20;class=Gene","nlp-20")</f>
        <v>nlp-20</v>
      </c>
      <c t="s" s="24" r="B80">
        <v>1637</v>
      </c>
      <c t="s" s="156" r="C80">
        <v>1638</v>
      </c>
      <c s="156" r="D80"/>
      <c t="s" s="156" r="E80">
        <v>1616</v>
      </c>
      <c s="84" r="F80"/>
    </row>
    <row customHeight="1" r="81" ht="16.5">
      <c t="str" s="119" r="A81">
        <f>HYPERLINK("http://www.wormbase.org/db/get?name=F45E4.8;class=Gene","F45E4.8")</f>
        <v>F45E4.8</v>
      </c>
      <c t="s" s="120" r="B81">
        <v>1639</v>
      </c>
      <c s="161" r="C81"/>
      <c s="161" r="D81"/>
      <c s="161" r="E81"/>
      <c s="84" r="F81"/>
    </row>
    <row r="82">
      <c t="s" s="57" r="A82">
        <v>1287</v>
      </c>
      <c t="s" s="80" r="B82">
        <v>1640</v>
      </c>
      <c s="43" r="C82"/>
      <c s="43" r="D82"/>
      <c s="43" r="E82"/>
      <c s="84" r="F82"/>
    </row>
    <row r="83">
      <c t="str" s="64" r="A83">
        <f>HYPERLINK("http://www.wormbase.org/db/get?name=nlp-21;class=Gene","nlp-21")</f>
        <v>nlp-21</v>
      </c>
      <c t="s" s="20" r="B83">
        <v>1641</v>
      </c>
      <c t="s" s="156" r="C83">
        <v>1642</v>
      </c>
      <c s="156" r="D83"/>
      <c t="s" s="156" r="E83">
        <v>1561</v>
      </c>
      <c s="84" r="F83"/>
    </row>
    <row customHeight="1" r="84" ht="16.5">
      <c t="s" s="148" r="A84">
        <v>1643</v>
      </c>
      <c t="s" s="120" r="B84">
        <v>1644</v>
      </c>
      <c s="161" r="C84"/>
      <c s="161" r="D84"/>
      <c s="161" r="E84"/>
      <c s="84" r="F84"/>
    </row>
    <row customHeight="1" r="85" ht="16.5">
      <c t="s" s="148" r="A85">
        <v>1330</v>
      </c>
      <c t="s" s="120" r="B85">
        <v>1645</v>
      </c>
      <c s="161" r="C85"/>
      <c s="161" r="D85"/>
      <c s="161" r="E85"/>
      <c s="84" r="F85"/>
    </row>
    <row customHeight="1" r="86" ht="16.5">
      <c s="122" r="A86"/>
      <c t="s" s="120" r="B86">
        <v>1646</v>
      </c>
      <c s="161" r="C86"/>
      <c s="161" r="D86"/>
      <c s="161" r="E86"/>
      <c s="84" r="F86"/>
    </row>
    <row r="87">
      <c s="122" r="A87"/>
      <c t="s" s="157" r="B87">
        <v>1647</v>
      </c>
      <c s="161" r="C87"/>
      <c s="161" r="D87"/>
      <c s="161" r="E87"/>
      <c s="84" r="F87"/>
    </row>
    <row r="88">
      <c s="122" r="A88"/>
      <c t="s" s="120" r="B88">
        <v>1648</v>
      </c>
      <c s="161" r="C88"/>
      <c s="161" r="D88"/>
      <c s="161" r="E88"/>
      <c s="84" r="F88"/>
    </row>
    <row r="89">
      <c s="122" r="A89"/>
      <c t="s" s="157" r="B89">
        <v>1649</v>
      </c>
      <c s="161" r="C89"/>
      <c s="161" r="D89"/>
      <c s="161" r="E89"/>
      <c s="84" r="F89"/>
    </row>
    <row r="90">
      <c s="122" r="A90"/>
      <c t="s" s="120" r="B90">
        <v>1650</v>
      </c>
      <c s="161" r="C90"/>
      <c s="161" r="D90"/>
      <c s="161" r="E90"/>
      <c s="84" r="F90"/>
    </row>
    <row customHeight="1" r="91" ht="16.5">
      <c s="151" r="A91"/>
      <c t="s" s="80" r="B91">
        <v>1651</v>
      </c>
      <c s="43" r="C91"/>
      <c s="43" r="D91"/>
      <c s="43" r="E91"/>
      <c s="84" r="F91"/>
    </row>
    <row r="92">
      <c t="str" s="64" r="A92">
        <f>HYPERLINK("http://www.wormbase.org/db/get?name=nlp-22;class=Gene","nlp-22")</f>
        <v>nlp-22</v>
      </c>
      <c t="s" s="24" r="B92">
        <v>1652</v>
      </c>
      <c s="156" r="C92"/>
      <c s="156" r="D92"/>
      <c s="156" r="E92">
        <v>2</v>
      </c>
      <c s="84" r="F92"/>
    </row>
    <row r="93">
      <c t="str" s="119" r="A93">
        <f>HYPERLINK("http://www.wormbase.org/db/get?name=T24D8.3;class=Gene","T24D8.3")</f>
        <v>T24D8.3</v>
      </c>
      <c s="35" r="B93"/>
      <c s="161" r="C93"/>
      <c s="161" r="D93"/>
      <c s="161" r="E93"/>
      <c s="84" r="F93"/>
    </row>
    <row r="94">
      <c t="s" s="57" r="A94">
        <v>1314</v>
      </c>
      <c s="62" r="B94"/>
      <c s="43" r="C94"/>
      <c s="43" r="D94"/>
      <c s="43" r="E94"/>
      <c s="84" r="F94"/>
    </row>
    <row r="95">
      <c t="str" s="64" r="A95">
        <f>HYPERLINK("http://www.wormbase.org/db/get?name=nlp-23;class=Gene","nlp-23")</f>
        <v>nlp-23</v>
      </c>
      <c t="s" s="24" r="B95">
        <v>1653</v>
      </c>
      <c t="s" s="156" r="C95">
        <v>1654</v>
      </c>
      <c s="156" r="D95"/>
      <c s="156" r="E95">
        <v>2</v>
      </c>
      <c s="84" r="F95"/>
    </row>
    <row r="96">
      <c t="str" s="119" r="A96">
        <f>HYPERLINK("http://www.wormbase.org/db/get?name=T24D8.4;class=Gene","T24D8.4")</f>
        <v>T24D8.4</v>
      </c>
      <c t="s" s="120" r="B96">
        <v>1655</v>
      </c>
      <c s="161" r="C96"/>
      <c s="161" r="D96"/>
      <c s="161" r="E96"/>
      <c s="84" r="F96"/>
    </row>
    <row r="97">
      <c t="s" s="57" r="A97">
        <v>1314</v>
      </c>
      <c t="s" s="80" r="B97">
        <v>1656</v>
      </c>
      <c s="43" r="C97"/>
      <c s="43" r="D97"/>
      <c s="43" r="E97"/>
      <c s="84" r="F97"/>
    </row>
    <row customHeight="1" r="98" ht="24.0">
      <c t="str" s="64" r="A98">
        <f>HYPERLINK("http://www.wormbase.org/db/get?name=nlp-24;class=Gene","nlp-24")</f>
        <v>nlp-24</v>
      </c>
      <c t="s" s="24" r="B98">
        <v>1657</v>
      </c>
      <c t="s" s="156" r="C98">
        <v>1658</v>
      </c>
      <c t="s" s="156" r="D98">
        <v>1659</v>
      </c>
      <c t="s" s="156" r="E98">
        <v>1348</v>
      </c>
      <c s="84" r="F98"/>
    </row>
    <row customHeight="1" r="99" ht="24.0">
      <c t="str" s="119" r="A99">
        <f>HYPERLINK("http://www.wormbase.org/db/get?name=F35B12.7;class=Gene","F35B12.7")</f>
        <v>F35B12.7</v>
      </c>
      <c t="s" s="120" r="B99">
        <v>1660</v>
      </c>
      <c s="161" r="C99"/>
      <c s="161" r="D99"/>
      <c s="161" r="E99"/>
      <c s="84" r="F99"/>
    </row>
    <row r="100">
      <c t="s" s="57" r="A100">
        <v>1281</v>
      </c>
      <c t="s" s="80" r="B100">
        <v>1661</v>
      </c>
      <c s="43" r="C100"/>
      <c s="43" r="D100"/>
      <c s="43" r="E100"/>
      <c s="84" r="F100"/>
    </row>
    <row customHeight="1" r="101" ht="16.5">
      <c t="str" s="64" r="A101">
        <f>HYPERLINK("http://www.wormbase.org/db/get?name=nlp-25;class=Gene","nlp-25")</f>
        <v>nlp-25</v>
      </c>
      <c t="s" s="24" r="B101">
        <v>1662</v>
      </c>
      <c s="156" r="C101"/>
      <c t="s" s="156" r="D101">
        <v>1659</v>
      </c>
      <c t="s" s="156" r="E101">
        <v>1663</v>
      </c>
      <c s="84" r="F101"/>
    </row>
    <row customHeight="1" r="102" ht="24.0">
      <c t="str" s="119" r="A102">
        <f>HYPERLINK("http://www.wormbase.org/db/get?name=Y43F8C.1;class=Gene","Y43F8C.1")</f>
        <v>Y43F8C.1</v>
      </c>
      <c t="s" s="120" r="B102">
        <v>1664</v>
      </c>
      <c s="161" r="C102"/>
      <c s="161" r="D102"/>
      <c s="161" r="E102"/>
      <c s="84" r="F102"/>
    </row>
    <row r="103">
      <c t="s" s="57" r="A103">
        <v>1281</v>
      </c>
      <c s="126" r="B103"/>
      <c s="43" r="C103"/>
      <c s="43" r="D103"/>
      <c s="43" r="E103"/>
      <c s="84" r="F103"/>
    </row>
    <row customHeight="1" r="104" ht="24.0">
      <c t="str" s="64" r="A104">
        <f>HYPERLINK("http://www.wormbase.org/db/get?name=nlp-26;class=Gene","nlp-26")</f>
        <v>nlp-26</v>
      </c>
      <c t="s" s="24" r="B104">
        <v>1665</v>
      </c>
      <c t="s" s="156" r="C104">
        <v>1666</v>
      </c>
      <c s="156" r="D104"/>
      <c t="s" s="156" r="E104">
        <v>1616</v>
      </c>
      <c s="84" r="F104"/>
    </row>
    <row customHeight="1" r="105" ht="16.5">
      <c t="str" s="119" r="A105">
        <f>HYPERLINK("http://www.wormbase.org/db/get?name=Y43F8C.2;class=Gene","Y43F8C.2")</f>
        <v>Y43F8C.2</v>
      </c>
      <c t="s" s="120" r="B105">
        <v>1667</v>
      </c>
      <c s="161" r="C105"/>
      <c s="161" r="D105"/>
      <c s="161" r="E105"/>
      <c s="84" r="F105"/>
    </row>
    <row r="106">
      <c t="s" s="57" r="A106">
        <v>1281</v>
      </c>
      <c t="s" s="80" r="B106">
        <v>1668</v>
      </c>
      <c s="43" r="C106"/>
      <c s="43" r="D106"/>
      <c s="43" r="E106"/>
      <c s="84" r="F106"/>
    </row>
    <row customHeight="1" r="107" ht="24.0">
      <c t="str" s="64" r="A107">
        <f>HYPERLINK("http://www.wormbase.org/db/get?name=nlp-27;class=Gene","nlp-27")</f>
        <v>nlp-27</v>
      </c>
      <c t="s" s="24" r="B107">
        <v>1669</v>
      </c>
      <c t="s" s="156" r="C107">
        <v>1670</v>
      </c>
      <c t="s" s="156" r="D107">
        <v>1659</v>
      </c>
      <c t="s" s="156" r="E107">
        <v>1348</v>
      </c>
      <c s="84" r="F107"/>
    </row>
    <row customHeight="1" r="108" ht="24.0">
      <c t="str" s="119" r="A108">
        <f>HYPERLINK("http://www.wormbase.org/db/get?name=B0213.2;class=Gene","B0213.2")</f>
        <v>B0213.2</v>
      </c>
      <c t="s" s="120" r="B108">
        <v>1671</v>
      </c>
      <c s="161" r="C108"/>
      <c s="161" r="D108"/>
      <c s="161" r="E108"/>
      <c s="84" r="F108"/>
    </row>
    <row r="109">
      <c t="s" s="57" r="A109">
        <v>1281</v>
      </c>
      <c s="126" r="B109"/>
      <c s="43" r="C109"/>
      <c s="43" r="D109"/>
      <c s="43" r="E109"/>
      <c s="84" r="F109"/>
    </row>
    <row customHeight="1" r="110" ht="24.0">
      <c t="str" s="64" r="A110">
        <f>HYPERLINK("http://www.wormbase.org/db/get?name=nlp-28;class=Gene","nlp-28")</f>
        <v>nlp-28</v>
      </c>
      <c t="s" s="24" r="B110">
        <v>1672</v>
      </c>
      <c s="156" r="C110"/>
      <c t="s" s="156" r="D110">
        <v>1659</v>
      </c>
      <c t="s" s="156" r="E110">
        <v>1673</v>
      </c>
      <c s="84" r="F110"/>
    </row>
    <row r="111">
      <c t="str" s="119" r="A111">
        <f>HYPERLINK("http://www.wormbase.org/db/get?name=B0213.3;class=Gene","B0213.3")</f>
        <v>B0213.3</v>
      </c>
      <c t="s" s="157" r="B111">
        <v>1674</v>
      </c>
      <c s="161" r="C111"/>
      <c s="161" r="D111"/>
      <c s="161" r="E111"/>
      <c s="84" r="F111"/>
    </row>
    <row r="112">
      <c t="s" s="57" r="A112">
        <v>1281</v>
      </c>
      <c s="126" r="B112"/>
      <c s="43" r="C112"/>
      <c s="43" r="D112"/>
      <c s="43" r="E112"/>
      <c s="84" r="F112"/>
    </row>
    <row customHeight="1" r="113" ht="24.0">
      <c t="str" s="64" r="A113">
        <f>HYPERLINK("http://www.wormbase.org/db/get?name=nlp-29;class=Gene","nlp-29")</f>
        <v>nlp-29</v>
      </c>
      <c t="s" s="24" r="B113">
        <v>1672</v>
      </c>
      <c t="s" s="156" r="C113">
        <v>1675</v>
      </c>
      <c t="s" s="156" r="D113">
        <v>1659</v>
      </c>
      <c t="s" s="156" r="E113">
        <v>1348</v>
      </c>
      <c s="84" r="F113"/>
    </row>
    <row customHeight="1" r="114" ht="24.0">
      <c t="str" s="119" r="A114">
        <f>HYPERLINK("http://www.wormbase.org/db/get?name=B0213.4;class=Gene","B0213.4")</f>
        <v>B0213.4</v>
      </c>
      <c t="s" s="120" r="B114">
        <v>1676</v>
      </c>
      <c s="161" r="C114"/>
      <c s="161" r="D114"/>
      <c s="161" r="E114"/>
      <c s="84" r="F114"/>
    </row>
    <row r="115">
      <c t="s" s="57" r="A115">
        <v>1281</v>
      </c>
      <c s="126" r="B115"/>
      <c s="43" r="C115"/>
      <c s="43" r="D115"/>
      <c s="43" r="E115"/>
      <c s="84" r="F115"/>
    </row>
    <row customHeight="1" r="116" ht="24.0">
      <c t="str" s="64" r="A116">
        <f>HYPERLINK("http://www.wormbase.org/db/get?name=nlp-30;class=Gene","nlp-30")</f>
        <v>nlp-30</v>
      </c>
      <c t="s" s="24" r="B116">
        <v>1677</v>
      </c>
      <c t="s" s="156" r="C116">
        <v>1666</v>
      </c>
      <c t="s" s="156" r="D116">
        <v>1659</v>
      </c>
      <c t="s" s="156" r="E116">
        <v>1348</v>
      </c>
      <c s="84" r="F116"/>
    </row>
    <row customHeight="1" r="117" ht="24.0">
      <c t="str" s="119" r="A117">
        <f>HYPERLINK("http://www.wormbase.org/db/get?name=B0213.5;class=Gene","B0213.5")</f>
        <v>B0213.5</v>
      </c>
      <c t="s" s="157" r="B117">
        <v>1678</v>
      </c>
      <c s="161" r="C117"/>
      <c s="161" r="D117"/>
      <c s="161" r="E117"/>
      <c s="84" r="F117"/>
    </row>
    <row r="118">
      <c t="s" s="57" r="A118">
        <v>1281</v>
      </c>
      <c s="126" r="B118"/>
      <c s="43" r="C118"/>
      <c s="43" r="D118"/>
      <c s="43" r="E118"/>
      <c s="84" r="F118"/>
    </row>
    <row customHeight="1" r="119" ht="24.0">
      <c t="str" s="64" r="A119">
        <f>HYPERLINK("http://www.wormbase.org/db/get?name=nlp-31;class=Gene","nlp-31")</f>
        <v>nlp-31</v>
      </c>
      <c t="s" s="24" r="B119">
        <v>1679</v>
      </c>
      <c t="s" s="156" r="C119">
        <v>1680</v>
      </c>
      <c t="s" s="156" r="D119">
        <v>1681</v>
      </c>
      <c t="s" s="156" r="E119">
        <v>1348</v>
      </c>
      <c s="84" r="F119"/>
    </row>
    <row customHeight="1" r="120" ht="24.0">
      <c t="str" s="119" r="A120">
        <f>HYPERLINK("http://www.wormbase.org/db/get?name=B0213.6;class=Gene","B0213.6")</f>
        <v>B0213.6</v>
      </c>
      <c t="s" s="157" r="B120">
        <v>1682</v>
      </c>
      <c s="161" r="C120"/>
      <c s="161" r="D120"/>
      <c s="161" r="E120"/>
      <c s="84" r="F120"/>
    </row>
    <row r="121">
      <c t="s" s="57" r="A121">
        <v>1281</v>
      </c>
      <c s="126" r="B121"/>
      <c s="43" r="C121"/>
      <c s="43" r="D121"/>
      <c s="43" r="E121"/>
      <c s="84" r="F121"/>
    </row>
    <row customHeight="1" r="122" ht="24.0">
      <c t="str" s="64" r="A122">
        <f>HYPERLINK("http://www.wormbase.org/db/get?name=nlp-32;class=Gene","nlp-32")</f>
        <v>nlp-32</v>
      </c>
      <c t="s" s="24" r="B122">
        <v>1683</v>
      </c>
      <c s="156" r="C122"/>
      <c t="s" s="156" r="D122">
        <v>1659</v>
      </c>
      <c t="s" s="156" r="E122">
        <v>1348</v>
      </c>
      <c s="84" r="F122"/>
    </row>
    <row customHeight="1" r="123" ht="24.0">
      <c t="str" s="119" r="A123">
        <f>HYPERLINK("http://www.wormbase.org/db/get?name=F30H5.2;class=Gene","F30H5.2")</f>
        <v>F30H5.2</v>
      </c>
      <c t="s" s="120" r="B123">
        <v>1684</v>
      </c>
      <c s="161" r="C123"/>
      <c s="161" r="D123"/>
      <c s="161" r="E123"/>
      <c s="84" r="F123"/>
    </row>
    <row r="124">
      <c t="s" s="57" r="A124">
        <v>1330</v>
      </c>
      <c s="126" r="B124"/>
      <c s="43" r="C124"/>
      <c s="43" r="D124"/>
      <c s="43" r="E124"/>
      <c s="84" r="F124"/>
    </row>
    <row customHeight="1" r="125" ht="24.0">
      <c t="str" s="64" r="A125">
        <f>HYPERLINK("http://www.wormbase.org/db/get?name=nlp-33;class=Gene","nlp-33")</f>
        <v>nlp-33</v>
      </c>
      <c t="s" s="24" r="B125">
        <v>1685</v>
      </c>
      <c t="s" s="156" r="C125">
        <v>1666</v>
      </c>
      <c t="s" s="156" r="D125">
        <v>1659</v>
      </c>
      <c t="s" s="156" r="E125">
        <v>1686</v>
      </c>
      <c s="84" r="F125"/>
    </row>
    <row customHeight="1" r="126" ht="24.0">
      <c t="str" s="119" r="A126">
        <f>HYPERLINK("http://www.wormbase.org/db/get?name=T19C4.7;class=Gene","T19C4.7")</f>
        <v>T19C4.7</v>
      </c>
      <c t="s" s="120" r="B126">
        <v>1687</v>
      </c>
      <c s="161" r="C126"/>
      <c s="161" r="D126"/>
      <c s="161" r="E126"/>
      <c s="84" r="F126"/>
    </row>
    <row r="127">
      <c t="s" s="57" r="A127">
        <v>1281</v>
      </c>
      <c s="126" r="B127"/>
      <c s="43" r="C127"/>
      <c s="43" r="D127"/>
      <c s="43" r="E127"/>
      <c s="84" r="F127"/>
    </row>
    <row r="128">
      <c t="str" s="64" r="A128">
        <f>HYPERLINK("http://www.wormbase.org/db/get?name=nlp-34;class=Gene","nlp-34")</f>
        <v>nlp-34</v>
      </c>
      <c t="s" s="20" r="B128">
        <v>1688</v>
      </c>
      <c s="156" r="C128"/>
      <c s="156" r="D128"/>
      <c t="s" s="156" r="E128">
        <v>1689</v>
      </c>
      <c s="84" r="F128"/>
    </row>
    <row r="129">
      <c t="str" s="119" r="A129">
        <f>HYPERLINK("http://www.wormbase.org/db/get?name=B0213.17;class=Gene","B0213.17")</f>
        <v>B0213.17</v>
      </c>
      <c t="s" s="157" r="B129">
        <v>1690</v>
      </c>
      <c s="161" r="C129"/>
      <c s="161" r="D129"/>
      <c s="161" r="E129"/>
      <c s="84" r="F129"/>
    </row>
    <row r="130">
      <c t="s" s="57" r="A130">
        <v>1281</v>
      </c>
      <c s="126" r="B130"/>
      <c s="43" r="C130"/>
      <c s="43" r="D130"/>
      <c s="43" r="E130"/>
      <c s="84" r="F130"/>
    </row>
    <row customHeight="1" r="131" ht="16.5">
      <c t="str" s="64" r="A131">
        <f>HYPERLINK("http://www.wormbase.org/db/get?name=nlp-35;class=Gene","nlp-35")</f>
        <v>nlp-35</v>
      </c>
      <c t="s" s="24" r="B131">
        <v>1691</v>
      </c>
      <c s="156" r="C131"/>
      <c s="156" r="D131"/>
      <c t="s" s="156" r="E131">
        <v>1692</v>
      </c>
      <c s="84" r="F131"/>
    </row>
    <row r="132">
      <c t="str" s="119" r="A132">
        <f>HYPERLINK("http://www.wormbase.org/db/get?name=C33A12.2;class=Gene","C33A12.2")</f>
        <v>C33A12.2</v>
      </c>
      <c s="35" r="B132"/>
      <c s="161" r="C132"/>
      <c s="161" r="D132"/>
      <c s="161" r="E132"/>
      <c s="84" r="F132"/>
    </row>
    <row r="133">
      <c t="s" s="57" r="A133">
        <v>1287</v>
      </c>
      <c s="62" r="B133"/>
      <c s="43" r="C133"/>
      <c s="43" r="D133"/>
      <c s="43" r="E133"/>
      <c s="84" r="F133"/>
    </row>
    <row customHeight="1" r="134" ht="16.5">
      <c t="str" s="64" r="A134">
        <f>HYPERLINK("http://www.wormbase.org/db/get?name=nlp-36;class=Gene","nlp-36")</f>
        <v>nlp-36</v>
      </c>
      <c t="s" s="24" r="B134">
        <v>1693</v>
      </c>
      <c s="156" r="C134"/>
      <c s="156" r="D134"/>
      <c t="s" s="156" r="E134">
        <v>1694</v>
      </c>
      <c s="84" r="F134"/>
    </row>
    <row r="135">
      <c t="str" s="119" r="A135">
        <f>HYPERLINK("http://www.wormbase.org/db/get?name=B0464.3;class=Gene","B0464.3")</f>
        <v>B0464.3</v>
      </c>
      <c s="35" r="B135"/>
      <c s="161" r="C135"/>
      <c s="161" r="D135"/>
      <c s="161" r="E135"/>
      <c s="84" r="F135"/>
    </row>
    <row r="136">
      <c t="s" s="57" r="A136">
        <v>1330</v>
      </c>
      <c s="62" r="B136"/>
      <c s="43" r="C136"/>
      <c s="43" r="D136"/>
      <c s="43" r="E136"/>
      <c s="84" r="F136"/>
    </row>
    <row customHeight="1" r="137" ht="28.5">
      <c t="str" s="64" r="A137">
        <f>HYPERLINK("http://www.wormbase.org/db/get?name=nlp-37;class=Gene","nlp-37")</f>
        <v>nlp-37</v>
      </c>
      <c t="s" s="24" r="B137">
        <v>1695</v>
      </c>
      <c s="156" r="C137"/>
      <c s="156" r="D137"/>
      <c t="s" s="156" r="E137">
        <v>1692</v>
      </c>
      <c s="84" r="F137"/>
    </row>
    <row r="138">
      <c t="str" s="119" r="A138">
        <f>HYPERLINK("http://www.wormbase.org/db/get?name=F48B9.4;class=Gene","F48B9.4")</f>
        <v>F48B9.4</v>
      </c>
      <c s="35" r="B138"/>
      <c s="161" r="C138"/>
      <c s="161" r="D138"/>
      <c s="161" r="E138"/>
      <c s="84" r="F138"/>
    </row>
    <row r="139">
      <c t="s" s="57" r="A139">
        <v>1314</v>
      </c>
      <c s="62" r="B139"/>
      <c s="43" r="C139"/>
      <c s="43" r="D139"/>
      <c s="43" r="E139"/>
      <c s="84" r="F139"/>
    </row>
    <row customHeight="1" r="140" ht="28.5">
      <c t="str" s="64" r="A140">
        <f>HYPERLINK("http://www.wormbase.org/db/get?name=nlp-38;class=Gene","nlp-38")</f>
        <v>nlp-38</v>
      </c>
      <c t="s" s="24" r="B140">
        <v>1696</v>
      </c>
      <c s="156" r="C140"/>
      <c s="156" r="D140"/>
      <c t="s" s="156" r="E140">
        <v>1697</v>
      </c>
      <c s="84" r="F140"/>
    </row>
    <row customHeight="1" r="141" ht="16.5">
      <c t="str" s="119" r="A141">
        <f>HYPERLINK("http://www.wormbase.org/db/get?name=C01A2.7;class=Gene","C01A2.7")</f>
        <v>C01A2.7</v>
      </c>
      <c t="s" s="120" r="B141">
        <v>1698</v>
      </c>
      <c s="161" r="C141"/>
      <c s="161" r="D141"/>
      <c s="161" r="E141"/>
      <c s="84" r="F141"/>
    </row>
    <row customHeight="1" r="142" ht="16.5">
      <c t="s" s="57" r="A142">
        <v>1336</v>
      </c>
      <c t="s" s="80" r="B142">
        <v>1699</v>
      </c>
      <c s="43" r="C142"/>
      <c s="43" r="D142"/>
      <c s="43" r="E142"/>
      <c s="84" r="F142"/>
    </row>
    <row customHeight="1" r="143" ht="16.5">
      <c t="str" s="64" r="A143">
        <f>HYPERLINK("http://www.wormbase.org/db/get?name=nlp-39;class=Gene","nlp-39")</f>
        <v>nlp-39</v>
      </c>
      <c t="s" s="24" r="B143">
        <v>1700</v>
      </c>
      <c s="156" r="C143"/>
      <c s="156" r="D143"/>
      <c t="s" s="156" r="E143">
        <v>1694</v>
      </c>
      <c s="84" r="F143"/>
    </row>
    <row r="144">
      <c t="str" s="119" r="A144">
        <f>HYPERLINK("http://www.wormbase.org/db/get?name=C54C8.9;class=Gene","C54C8.9")</f>
        <v>C54C8.9</v>
      </c>
      <c s="35" r="B144"/>
      <c s="161" r="C144"/>
      <c s="161" r="D144"/>
      <c s="161" r="E144"/>
      <c s="84" r="F144"/>
    </row>
    <row r="145">
      <c t="s" s="57" r="A145">
        <v>1336</v>
      </c>
      <c s="62" r="B145"/>
      <c s="43" r="C145"/>
      <c s="43" r="D145"/>
      <c s="43" r="E145"/>
      <c s="84" r="F145"/>
    </row>
    <row customHeight="1" r="146" ht="16.5">
      <c t="str" s="64" r="A146">
        <f>HYPERLINK("http://www.wormbase.org/db/get?name=nlp-40;class=Gene","nlp-40")</f>
        <v>nlp-40</v>
      </c>
      <c t="s" s="24" r="B146">
        <v>1701</v>
      </c>
      <c s="156" r="C146"/>
      <c s="156" r="D146"/>
      <c t="s" s="156" r="E146">
        <v>1692</v>
      </c>
      <c s="84" r="F146"/>
    </row>
    <row customHeight="1" r="147" ht="16.5">
      <c t="str" s="119" r="A147">
        <f>HYPERLINK("http://www.wormbase.org/db/get?name=Y74C9A.2;class=Gene","Y74C9A.2")</f>
        <v>Y74C9A.2</v>
      </c>
      <c t="s" s="120" r="B147">
        <v>1702</v>
      </c>
      <c s="161" r="C147"/>
      <c s="161" r="D147"/>
      <c s="161" r="E147"/>
      <c s="84" r="F147"/>
    </row>
    <row r="148">
      <c t="s" s="57" r="A148">
        <v>1336</v>
      </c>
      <c s="126" r="B148"/>
      <c s="43" r="C148"/>
      <c s="43" r="D148"/>
      <c s="43" r="E148"/>
      <c s="84" r="F148"/>
    </row>
    <row customHeight="1" r="149" ht="16.5">
      <c t="str" s="64" r="A149">
        <f>HYPERLINK("http://www.wormbase.org/db/get?name=nlp-41;class=Gene","nlp-41")</f>
        <v>nlp-41</v>
      </c>
      <c t="s" s="24" r="B149">
        <v>1703</v>
      </c>
      <c s="156" r="C149"/>
      <c s="156" r="D149"/>
      <c t="s" s="156" r="E149">
        <v>1692</v>
      </c>
      <c s="84" r="F149"/>
    </row>
    <row r="150">
      <c t="str" s="119" r="A150">
        <f>HYPERLINK("http://www.wormbase.org/db/get?name=C04H5.8;class=Gene","C04H5.8")</f>
        <v>C04H5.8</v>
      </c>
      <c s="35" r="B150"/>
      <c s="161" r="C150"/>
      <c s="161" r="D150"/>
      <c s="161" r="E150"/>
      <c s="84" r="F150"/>
    </row>
    <row r="151">
      <c t="s" s="57" r="A151">
        <v>1291</v>
      </c>
      <c s="62" r="B151"/>
      <c s="43" r="C151"/>
      <c s="43" r="D151"/>
      <c s="43" r="E151"/>
      <c s="84" r="F151"/>
    </row>
    <row customHeight="1" r="152" ht="24.0">
      <c t="str" s="64" r="A152">
        <f>HYPERLINK("http://www.wormbase.org/db/get?name=nlp-42;class=Gene","nlp-42")</f>
        <v>nlp-42</v>
      </c>
      <c t="s" s="24" r="B152">
        <v>1704</v>
      </c>
      <c s="156" r="C152"/>
      <c s="156" r="D152"/>
      <c t="s" s="156" r="E152">
        <v>1705</v>
      </c>
      <c s="84" r="F152"/>
    </row>
    <row r="153">
      <c t="str" s="119" r="A153">
        <f>HYPERLINK("http://www.wormbase.org/db/get?name=Y80D3A.10;class=Gene","Y80D3A.10")</f>
        <v>Y80D3A.10</v>
      </c>
      <c t="s" s="157" r="B153">
        <v>1706</v>
      </c>
      <c s="161" r="C153"/>
      <c s="161" r="D153"/>
      <c s="161" r="E153"/>
      <c s="84" r="F153"/>
    </row>
    <row r="154">
      <c t="s" s="57" r="A154">
        <v>1281</v>
      </c>
      <c s="126" r="B154"/>
      <c s="43" r="C154"/>
      <c s="43" r="D154"/>
      <c s="43" r="E154"/>
      <c s="84" r="F154"/>
    </row>
    <row customHeight="1" r="155" ht="14.25">
      <c t="s" s="182" r="A155">
        <v>1707</v>
      </c>
      <c s="1" r="B155"/>
      <c s="1" r="C155"/>
      <c s="1" r="D155"/>
      <c s="3" r="E155"/>
      <c s="84" r="F155"/>
    </row>
  </sheetData>
  <mergeCells count="131">
    <mergeCell ref="B1:B3"/>
    <mergeCell ref="C1:C3"/>
    <mergeCell ref="D1:D3"/>
    <mergeCell ref="E1:E3"/>
    <mergeCell ref="C4:C6"/>
    <mergeCell ref="D4:D6"/>
    <mergeCell ref="E4:E6"/>
    <mergeCell ref="C7:C9"/>
    <mergeCell ref="D7:D9"/>
    <mergeCell ref="E7:E9"/>
    <mergeCell ref="C10:C12"/>
    <mergeCell ref="D10:D12"/>
    <mergeCell ref="E10:E12"/>
    <mergeCell ref="C13:C15"/>
    <mergeCell ref="D13:D15"/>
    <mergeCell ref="E13:E15"/>
    <mergeCell ref="C16:C18"/>
    <mergeCell ref="D16:D18"/>
    <mergeCell ref="E16:E18"/>
    <mergeCell ref="C19:C22"/>
    <mergeCell ref="D19:D22"/>
    <mergeCell ref="E19:E22"/>
    <mergeCell ref="C23:C25"/>
    <mergeCell ref="D23:D25"/>
    <mergeCell ref="E23:E25"/>
    <mergeCell ref="C26:C29"/>
    <mergeCell ref="D26:D29"/>
    <mergeCell ref="E26:E29"/>
    <mergeCell ref="C30:C33"/>
    <mergeCell ref="D30:D33"/>
    <mergeCell ref="E30:E33"/>
    <mergeCell ref="C34:C37"/>
    <mergeCell ref="D34:D37"/>
    <mergeCell ref="E34:E37"/>
    <mergeCell ref="C38:C40"/>
    <mergeCell ref="D38:D40"/>
    <mergeCell ref="E38:E40"/>
    <mergeCell ref="C41:C43"/>
    <mergeCell ref="D41:D43"/>
    <mergeCell ref="E41:E43"/>
    <mergeCell ref="C44:C50"/>
    <mergeCell ref="D44:D50"/>
    <mergeCell ref="E44:E50"/>
    <mergeCell ref="C51:C55"/>
    <mergeCell ref="D51:D55"/>
    <mergeCell ref="E51:E55"/>
    <mergeCell ref="C56:C60"/>
    <mergeCell ref="D56:D60"/>
    <mergeCell ref="E56:E60"/>
    <mergeCell ref="C61:C68"/>
    <mergeCell ref="D61:D68"/>
    <mergeCell ref="E61:E68"/>
    <mergeCell ref="C69:C71"/>
    <mergeCell ref="D69:D71"/>
    <mergeCell ref="E69:E71"/>
    <mergeCell ref="C72:C76"/>
    <mergeCell ref="D72:D76"/>
    <mergeCell ref="E72:E76"/>
    <mergeCell ref="C77:C79"/>
    <mergeCell ref="D77:D79"/>
    <mergeCell ref="E77:E79"/>
    <mergeCell ref="C80:C82"/>
    <mergeCell ref="D80:D82"/>
    <mergeCell ref="E80:E82"/>
    <mergeCell ref="C83:C91"/>
    <mergeCell ref="D83:D91"/>
    <mergeCell ref="E83:E91"/>
    <mergeCell ref="C92:C94"/>
    <mergeCell ref="D92:D94"/>
    <mergeCell ref="E92:E94"/>
    <mergeCell ref="C95:C97"/>
    <mergeCell ref="D95:D97"/>
    <mergeCell ref="E95:E97"/>
    <mergeCell ref="C98:C100"/>
    <mergeCell ref="D98:D100"/>
    <mergeCell ref="E98:E100"/>
    <mergeCell ref="C101:C103"/>
    <mergeCell ref="D101:D103"/>
    <mergeCell ref="E101:E103"/>
    <mergeCell ref="C104:C106"/>
    <mergeCell ref="D104:D106"/>
    <mergeCell ref="E104:E106"/>
    <mergeCell ref="C107:C109"/>
    <mergeCell ref="D107:D109"/>
    <mergeCell ref="E107:E109"/>
    <mergeCell ref="C110:C112"/>
    <mergeCell ref="D110:D112"/>
    <mergeCell ref="E110:E112"/>
    <mergeCell ref="C113:C115"/>
    <mergeCell ref="D113:D115"/>
    <mergeCell ref="E113:E115"/>
    <mergeCell ref="C116:C118"/>
    <mergeCell ref="D116:D118"/>
    <mergeCell ref="E116:E118"/>
    <mergeCell ref="C119:C121"/>
    <mergeCell ref="D119:D121"/>
    <mergeCell ref="E119:E121"/>
    <mergeCell ref="C122:C124"/>
    <mergeCell ref="D122:D124"/>
    <mergeCell ref="E122:E124"/>
    <mergeCell ref="C125:C127"/>
    <mergeCell ref="D125:D127"/>
    <mergeCell ref="E125:E127"/>
    <mergeCell ref="C128:C130"/>
    <mergeCell ref="D128:D130"/>
    <mergeCell ref="E128:E130"/>
    <mergeCell ref="C131:C133"/>
    <mergeCell ref="D131:D133"/>
    <mergeCell ref="E131:E133"/>
    <mergeCell ref="C134:C136"/>
    <mergeCell ref="D134:D136"/>
    <mergeCell ref="E134:E136"/>
    <mergeCell ref="C137:C139"/>
    <mergeCell ref="D137:D139"/>
    <mergeCell ref="E137:E139"/>
    <mergeCell ref="C140:C142"/>
    <mergeCell ref="D140:D142"/>
    <mergeCell ref="E140:E142"/>
    <mergeCell ref="C143:C145"/>
    <mergeCell ref="D143:D145"/>
    <mergeCell ref="E143:E145"/>
    <mergeCell ref="C146:C148"/>
    <mergeCell ref="D146:D148"/>
    <mergeCell ref="E146:E148"/>
    <mergeCell ref="C149:C151"/>
    <mergeCell ref="D149:D151"/>
    <mergeCell ref="E149:E151"/>
    <mergeCell ref="C152:C154"/>
    <mergeCell ref="D152:D154"/>
    <mergeCell ref="E152:E154"/>
    <mergeCell ref="A155:E155"/>
  </mergeCell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1.71"/>
    <col min="2" customWidth="1" max="2" width="23.86"/>
    <col min="3" customWidth="1" max="3" width="23.0"/>
    <col min="4" customWidth="1" max="4" width="36.71"/>
    <col min="5" customWidth="1" max="5" width="12.57"/>
  </cols>
  <sheetData>
    <row customHeight="1" r="1" ht="15.0">
      <c t="s" s="30" r="A1">
        <v>1270</v>
      </c>
      <c t="s" s="54" r="B1">
        <v>1395</v>
      </c>
      <c t="s" s="29" r="C1">
        <v>1708</v>
      </c>
      <c t="s" s="29" r="D1">
        <v>1709</v>
      </c>
      <c t="s" s="29" r="E1">
        <v>1275</v>
      </c>
      <c s="84" r="F1"/>
    </row>
    <row r="2">
      <c t="s" s="27" r="A2">
        <v>1276</v>
      </c>
      <c s="2" r="B2"/>
      <c s="110" r="C2"/>
      <c s="110" r="D2"/>
      <c s="110" r="E2"/>
      <c s="84" r="F2"/>
    </row>
    <row r="3">
      <c t="s" s="116" r="A3">
        <v>1277</v>
      </c>
      <c s="99" r="B3"/>
      <c s="158" r="C3"/>
      <c s="158" r="D3"/>
      <c s="158" r="E3"/>
      <c s="84" r="F3"/>
    </row>
    <row customHeight="1" r="4" ht="16.5">
      <c t="str" s="64" r="A4">
        <f>HYPERLINK("http://www.wormbase.org/db/get?name=flp-1;class=Gene","flp-1")</f>
        <v>flp-1</v>
      </c>
      <c t="s" s="24" r="B4">
        <v>1398</v>
      </c>
      <c t="s" s="22" r="C4">
        <v>1710</v>
      </c>
      <c t="s" s="22" r="D4">
        <v>1711</v>
      </c>
      <c s="85" r="E4">
        <v>39818</v>
      </c>
      <c s="84" r="F4"/>
    </row>
    <row customHeight="1" r="5" ht="16.5">
      <c t="s" s="148" r="A5">
        <v>1402</v>
      </c>
      <c t="s" s="120" r="B5">
        <v>1403</v>
      </c>
      <c t="s" s="148" r="C5">
        <v>1712</v>
      </c>
      <c s="148" r="D5"/>
      <c s="123" r="E5"/>
      <c s="84" r="F5"/>
    </row>
    <row customHeight="1" r="6" ht="16.5">
      <c t="s" s="148" r="A6">
        <v>1287</v>
      </c>
      <c t="s" s="120" r="B6">
        <v>1404</v>
      </c>
      <c t="s" s="148" r="C6">
        <v>1713</v>
      </c>
      <c s="148" r="D6"/>
      <c s="123" r="E6"/>
      <c s="84" r="F6"/>
    </row>
    <row customHeight="1" r="7" ht="16.5">
      <c s="122" r="A7"/>
      <c t="s" s="120" r="B7">
        <v>1405</v>
      </c>
      <c t="s" s="148" r="C7">
        <v>1714</v>
      </c>
      <c t="s" s="148" r="D7">
        <v>1715</v>
      </c>
      <c s="123" r="E7"/>
      <c s="84" r="F7"/>
    </row>
    <row customHeight="1" r="8" ht="16.5">
      <c s="122" r="A8"/>
      <c t="s" s="120" r="B8">
        <v>1406</v>
      </c>
      <c t="s" s="148" r="C8">
        <v>1716</v>
      </c>
      <c s="148" r="D8"/>
      <c s="123" r="E8"/>
      <c s="84" r="F8"/>
    </row>
    <row customHeight="1" r="9" ht="16.5">
      <c s="122" r="A9"/>
      <c t="s" s="120" r="B9">
        <v>1407</v>
      </c>
      <c t="s" s="148" r="C9">
        <v>1717</v>
      </c>
      <c t="s" s="148" r="D9">
        <v>1718</v>
      </c>
      <c s="123" r="E9"/>
      <c s="84" r="F9"/>
    </row>
    <row r="10">
      <c s="122" r="A10"/>
      <c t="s" s="120" r="B10">
        <v>1408</v>
      </c>
      <c t="s" s="148" r="C10">
        <v>1719</v>
      </c>
      <c s="122" r="D10"/>
      <c s="123" r="E10"/>
      <c s="84" r="F10"/>
    </row>
    <row r="11">
      <c s="151" r="A11"/>
      <c t="s" s="25" r="B11">
        <v>1409</v>
      </c>
      <c t="s" s="57" r="C11">
        <v>1720</v>
      </c>
      <c s="151" r="D11"/>
      <c s="98" r="E11"/>
      <c s="84" r="F11"/>
    </row>
    <row customHeight="1" r="12" ht="16.5">
      <c t="str" s="64" r="A12">
        <f>HYPERLINK("http://www.wormbase.org/db/get?name=flp-2;class=Gene","flp-2")</f>
        <v>flp-2</v>
      </c>
      <c t="s" s="24" r="B12">
        <v>1410</v>
      </c>
      <c t="s" s="22" r="C12">
        <v>1721</v>
      </c>
      <c s="156" r="D12"/>
      <c t="s" s="156" r="E12">
        <v>1722</v>
      </c>
      <c s="84" r="F12"/>
    </row>
    <row r="13">
      <c t="s" s="148" r="A13">
        <v>1413</v>
      </c>
      <c t="s" s="120" r="B13">
        <v>1414</v>
      </c>
      <c t="s" s="148" r="C13">
        <v>1723</v>
      </c>
      <c s="161" r="D13"/>
      <c s="161" r="E13"/>
      <c s="84" r="F13"/>
    </row>
    <row r="14">
      <c t="s" s="57" r="A14">
        <v>1314</v>
      </c>
      <c s="126" r="B14"/>
      <c s="151" r="C14"/>
      <c s="43" r="D14"/>
      <c s="43" r="E14"/>
      <c s="84" r="F14"/>
    </row>
    <row r="15">
      <c t="str" s="64" r="A15">
        <f>HYPERLINK("http://www.wormbase.org/db/get?name=flp-3;class=Gene","flp-3")</f>
        <v>flp-3</v>
      </c>
      <c t="s" s="24" r="B15">
        <v>1415</v>
      </c>
      <c t="s" s="22" r="C15">
        <v>1724</v>
      </c>
      <c s="156" r="D15"/>
      <c t="s" s="156" r="E15">
        <v>1725</v>
      </c>
      <c s="84" r="F15"/>
    </row>
    <row customHeight="1" r="16" ht="16.5">
      <c t="str" s="119" r="A16">
        <f>HYPERLINK("http://www.wormbase.org/db/get?name=W07E11.2;class=Gene","W07E11.2")</f>
        <v>W07E11.2</v>
      </c>
      <c t="s" s="120" r="B16">
        <v>1420</v>
      </c>
      <c t="s" s="148" r="C16">
        <v>1726</v>
      </c>
      <c s="161" r="D16"/>
      <c s="161" r="E16"/>
      <c s="84" r="F16"/>
    </row>
    <row customHeight="1" r="17" ht="16.5">
      <c t="s" s="148" r="A17">
        <v>1314</v>
      </c>
      <c t="s" s="120" r="B17">
        <v>1421</v>
      </c>
      <c t="s" s="148" r="C17">
        <v>1727</v>
      </c>
      <c s="161" r="D17"/>
      <c s="161" r="E17"/>
      <c s="84" r="F17"/>
    </row>
    <row r="18">
      <c s="122" r="A18"/>
      <c t="s" s="120" r="B18">
        <v>1422</v>
      </c>
      <c t="s" s="148" r="C18">
        <v>1728</v>
      </c>
      <c s="161" r="D18"/>
      <c s="161" r="E18"/>
      <c s="84" r="F18"/>
    </row>
    <row customHeight="1" r="19" ht="16.5">
      <c s="122" r="A19"/>
      <c t="s" s="120" r="B19">
        <v>1423</v>
      </c>
      <c t="s" s="148" r="C19">
        <v>1729</v>
      </c>
      <c s="161" r="D19"/>
      <c s="161" r="E19"/>
      <c s="84" r="F19"/>
    </row>
    <row r="20">
      <c s="122" r="A20"/>
      <c t="s" s="120" r="B20">
        <v>1424</v>
      </c>
      <c t="s" s="148" r="C20">
        <v>1730</v>
      </c>
      <c s="161" r="D20"/>
      <c s="161" r="E20"/>
      <c s="84" r="F20"/>
    </row>
    <row customHeight="1" r="21" ht="16.5">
      <c s="122" r="A21"/>
      <c t="s" s="120" r="B21">
        <v>1425</v>
      </c>
      <c t="s" s="148" r="C21">
        <v>1731</v>
      </c>
      <c s="161" r="D21"/>
      <c s="161" r="E21"/>
      <c s="84" r="F21"/>
    </row>
    <row customHeight="1" r="22" ht="16.5">
      <c s="122" r="A22"/>
      <c t="s" s="120" r="B22">
        <v>1426</v>
      </c>
      <c t="s" s="148" r="C22">
        <v>1732</v>
      </c>
      <c s="161" r="D22"/>
      <c s="161" r="E22"/>
      <c s="84" r="F22"/>
    </row>
    <row customHeight="1" r="23" ht="16.5">
      <c s="151" r="A23"/>
      <c t="s" s="80" r="B23">
        <v>1427</v>
      </c>
      <c t="s" s="57" r="C23">
        <v>1733</v>
      </c>
      <c s="43" r="D23"/>
      <c s="43" r="E23"/>
      <c s="84" r="F23"/>
    </row>
    <row r="24">
      <c t="str" s="64" r="A24">
        <f>HYPERLINK("http://www.wormbase.org/db/get?name=flp-4;class=Gene","flp-4")</f>
        <v>flp-4</v>
      </c>
      <c t="s" s="24" r="B24">
        <v>1428</v>
      </c>
      <c t="s" s="22" r="C24">
        <v>1734</v>
      </c>
      <c s="156" r="D24"/>
      <c t="s" s="156" r="E24">
        <v>1735</v>
      </c>
      <c s="84" r="F24"/>
    </row>
    <row r="25">
      <c t="str" s="119" r="A25">
        <f>HYPERLINK("http://www.wormbase.org/db/get?name=C18D1.3;class=Gene","C18D1.3")</f>
        <v>C18D1.3</v>
      </c>
      <c t="s" s="120" r="B25">
        <v>1431</v>
      </c>
      <c t="s" s="148" r="C25">
        <v>1736</v>
      </c>
      <c s="161" r="D25"/>
      <c s="161" r="E25"/>
      <c s="84" r="F25"/>
    </row>
    <row r="26">
      <c t="s" s="57" r="A26">
        <v>1291</v>
      </c>
      <c s="126" r="B26"/>
      <c s="151" r="C26"/>
      <c s="43" r="D26"/>
      <c s="43" r="E26"/>
      <c s="84" r="F26"/>
    </row>
    <row customHeight="1" r="27" ht="16.5">
      <c t="str" s="64" r="A27">
        <f>HYPERLINK("http://www.wormbase.org/db/get?name=flp-5;class=Gene","flp-5")</f>
        <v>flp-5</v>
      </c>
      <c t="s" s="24" r="B27">
        <v>1432</v>
      </c>
      <c t="s" s="22" r="C27">
        <v>1737</v>
      </c>
      <c s="156" r="D27"/>
      <c t="s" s="156" r="E27">
        <v>1738</v>
      </c>
      <c s="84" r="F27"/>
    </row>
    <row r="28">
      <c t="str" s="119" r="A28">
        <f>HYPERLINK("http://www.wormbase.org/db/get?name=C03G5.7;class=Gene","C03G5.7")</f>
        <v>C03G5.7</v>
      </c>
      <c t="s" s="120" r="B28">
        <v>1436</v>
      </c>
      <c t="s" s="148" r="C28">
        <v>1739</v>
      </c>
      <c s="161" r="D28"/>
      <c s="161" r="E28"/>
      <c s="84" r="F28"/>
    </row>
    <row r="29">
      <c t="s" s="57" r="A29">
        <v>1314</v>
      </c>
      <c t="s" s="80" r="B29">
        <v>1437</v>
      </c>
      <c t="s" s="57" r="C29">
        <v>1740</v>
      </c>
      <c s="43" r="D29"/>
      <c s="43" r="E29"/>
      <c s="84" r="F29"/>
    </row>
    <row customHeight="1" r="30" ht="16.5">
      <c t="str" s="64" r="A30">
        <f>HYPERLINK("http://www.wormbase.org/db/get?name=flp-6;class=Gene","flp-6")</f>
        <v>flp-6</v>
      </c>
      <c t="s" s="24" r="B30">
        <v>1438</v>
      </c>
      <c t="s" s="22" r="C30">
        <v>1741</v>
      </c>
      <c t="s" s="156" r="D30">
        <v>1742</v>
      </c>
      <c t="s" s="156" r="E30">
        <v>1743</v>
      </c>
      <c s="84" r="F30"/>
    </row>
    <row customHeight="1" r="31" ht="16.5">
      <c t="str" s="119" r="A31">
        <f>HYPERLINK("http://www.wormbase.org/db/get?name=F07D3.2;class=Gene","F07D3.2")</f>
        <v>F07D3.2</v>
      </c>
      <c t="s" s="120" r="B31">
        <v>1441</v>
      </c>
      <c t="s" s="148" r="C31">
        <v>1744</v>
      </c>
      <c s="161" r="D31"/>
      <c s="161" r="E31"/>
      <c s="84" r="F31"/>
    </row>
    <row r="32">
      <c t="s" s="57" r="A32">
        <v>1281</v>
      </c>
      <c s="126" r="B32"/>
      <c s="151" r="C32"/>
      <c s="43" r="D32"/>
      <c s="43" r="E32"/>
      <c s="84" r="F32"/>
    </row>
    <row customHeight="1" r="33" ht="16.5">
      <c t="str" s="64" r="A33">
        <f>HYPERLINK("http://www.wormbase.org/db/get?name=flp-7;class=Gene","flp-7")</f>
        <v>flp-7</v>
      </c>
      <c t="s" s="24" r="B33">
        <v>1442</v>
      </c>
      <c t="s" s="22" r="C33">
        <v>1745</v>
      </c>
      <c s="156" r="D33"/>
      <c t="s" s="156" r="E33">
        <v>1722</v>
      </c>
      <c s="84" r="F33"/>
    </row>
    <row customHeight="1" r="34" ht="16.5">
      <c t="str" s="119" r="A34">
        <f>HYPERLINK("http://www.wormbase.org/db/get?name=F49E10.3;class=Gene","F49E10.3")</f>
        <v>F49E10.3</v>
      </c>
      <c t="s" s="120" r="B34">
        <v>1446</v>
      </c>
      <c t="s" s="148" r="C34">
        <v>1746</v>
      </c>
      <c s="161" r="D34"/>
      <c s="161" r="E34"/>
      <c s="84" r="F34"/>
    </row>
    <row r="35">
      <c t="s" s="148" r="A35">
        <v>1314</v>
      </c>
      <c t="s" s="120" r="B35">
        <v>1447</v>
      </c>
      <c t="s" s="148" r="C35">
        <v>1747</v>
      </c>
      <c s="161" r="D35"/>
      <c s="161" r="E35"/>
      <c s="84" r="F35"/>
    </row>
    <row r="36">
      <c s="151" r="A36"/>
      <c t="s" s="80" r="B36">
        <v>1448</v>
      </c>
      <c t="s" s="57" r="C36">
        <v>1748</v>
      </c>
      <c s="43" r="D36"/>
      <c s="43" r="E36"/>
      <c s="84" r="F36"/>
    </row>
    <row customHeight="1" r="37" ht="16.5">
      <c t="str" s="64" r="A37">
        <f>HYPERLINK("http://www.wormbase.org/db/get?name=flp-8;class=Gene","flp-8")</f>
        <v>flp-8</v>
      </c>
      <c t="s" s="24" r="B37">
        <v>1449</v>
      </c>
      <c t="str" s="64" r="C37">
        <f>HYPERLINK("http://www.wormbase.org/db/get?name=FLP-8;class=Protein","FLP-8")</f>
        <v>FLP-8</v>
      </c>
      <c t="s" s="156" r="D37">
        <v>1749</v>
      </c>
      <c t="s" s="156" r="E37">
        <v>1750</v>
      </c>
      <c s="84" r="F37"/>
    </row>
    <row r="38">
      <c t="s" s="148" r="A38">
        <v>1453</v>
      </c>
      <c s="35" r="B38"/>
      <c s="35" r="C38"/>
      <c s="161" r="D38"/>
      <c s="161" r="E38"/>
      <c s="84" r="F38"/>
    </row>
    <row r="39">
      <c t="s" s="57" r="A39">
        <v>1314</v>
      </c>
      <c s="62" r="B39"/>
      <c s="62" r="C39"/>
      <c s="43" r="D39"/>
      <c s="43" r="E39"/>
      <c s="84" r="F39"/>
    </row>
    <row customHeight="1" r="40" ht="16.5">
      <c t="str" s="64" r="A40">
        <f>HYPERLINK("http://www.wormbase.org/db/get?name=flp-9;class=Gene","flp-9")</f>
        <v>flp-9</v>
      </c>
      <c t="s" s="24" r="B40">
        <v>1454</v>
      </c>
      <c t="str" s="64" r="C40">
        <f>HYPERLINK("http://www.wormbase.org/db/get?name=FLP-9;class=Protein","FLP-9")</f>
        <v>FLP-9</v>
      </c>
      <c s="156" r="D40"/>
      <c t="s" s="156" r="E40">
        <v>1751</v>
      </c>
      <c s="84" r="F40"/>
    </row>
    <row r="41">
      <c t="str" s="119" r="A41">
        <f>HYPERLINK("http://www.wormbase.org/db/get?name=C36H8.3;class=Gene","C36H8.3")</f>
        <v>C36H8.3</v>
      </c>
      <c s="35" r="B41"/>
      <c s="35" r="C41"/>
      <c s="161" r="D41"/>
      <c s="161" r="E41"/>
      <c s="84" r="F41"/>
    </row>
    <row r="42">
      <c t="s" s="57" r="A42">
        <v>1287</v>
      </c>
      <c s="62" r="B42"/>
      <c s="62" r="C42"/>
      <c s="43" r="D42"/>
      <c s="43" r="E42"/>
      <c s="84" r="F42"/>
    </row>
    <row r="43">
      <c t="str" s="64" r="A43">
        <f>HYPERLINK("http://www.wormbase.org/db/get?name=flp-10;class=Gene","flp-10")</f>
        <v>flp-10</v>
      </c>
      <c t="s" s="24" r="B43">
        <v>1457</v>
      </c>
      <c t="str" s="64" r="C43">
        <f>HYPERLINK("http://www.wormbase.org/db/get?name=FLP-10;class=Protein","FLP-10")</f>
        <v>FLP-10</v>
      </c>
      <c s="156" r="D43"/>
      <c t="s" s="156" r="E43">
        <v>1735</v>
      </c>
      <c s="84" r="F43"/>
    </row>
    <row r="44">
      <c t="str" s="119" r="A44">
        <f>HYPERLINK("http://www.wormbase.org/db/get?name=T06C10.4;class=Gene","T06C10.4")</f>
        <v>T06C10.4</v>
      </c>
      <c s="35" r="B44"/>
      <c s="35" r="C44"/>
      <c s="161" r="D44"/>
      <c s="161" r="E44"/>
      <c s="84" r="F44"/>
    </row>
    <row r="45">
      <c t="s" s="57" r="A45">
        <v>1287</v>
      </c>
      <c s="62" r="B45"/>
      <c s="62" r="C45"/>
      <c s="43" r="D45"/>
      <c s="43" r="E45"/>
      <c s="84" r="F45"/>
    </row>
    <row customHeight="1" r="46" ht="16.5">
      <c t="str" s="64" r="A46">
        <f>HYPERLINK("http://www.wormbase.org/db/get?name=flp-11;class=Gene","flp-11")</f>
        <v>flp-11</v>
      </c>
      <c t="s" s="24" r="B46">
        <v>1460</v>
      </c>
      <c t="s" s="22" r="C46">
        <v>1752</v>
      </c>
      <c t="s" s="22" r="D46">
        <v>1753</v>
      </c>
      <c t="s" s="156" r="E46">
        <v>1754</v>
      </c>
      <c s="84" r="F46"/>
    </row>
    <row customHeight="1" r="47" ht="16.5">
      <c t="s" s="148" r="A47">
        <v>1463</v>
      </c>
      <c t="s" s="120" r="B47">
        <v>1464</v>
      </c>
      <c t="s" s="148" r="C47">
        <v>1755</v>
      </c>
      <c s="35" r="D47"/>
      <c s="161" r="E47"/>
      <c s="84" r="F47"/>
    </row>
    <row customHeight="1" r="48" ht="16.5">
      <c t="s" s="148" r="A48">
        <v>1314</v>
      </c>
      <c t="s" s="120" r="B48">
        <v>1465</v>
      </c>
      <c t="s" s="148" r="C48">
        <v>1756</v>
      </c>
      <c s="35" r="D48"/>
      <c s="161" r="E48"/>
      <c s="84" r="F48"/>
    </row>
    <row customHeight="1" r="49" ht="16.5">
      <c s="151" r="A49"/>
      <c t="s" s="80" r="B49">
        <v>1466</v>
      </c>
      <c t="s" s="57" r="C49">
        <v>1757</v>
      </c>
      <c s="62" r="D49"/>
      <c s="43" r="E49"/>
      <c s="84" r="F49"/>
    </row>
    <row customHeight="1" r="50" ht="16.5">
      <c t="str" s="64" r="A50">
        <f>HYPERLINK("http://www.wormbase.org/db/get?name=flp-12;class=Gene","flp-12")</f>
        <v>flp-12</v>
      </c>
      <c t="s" s="24" r="B50">
        <v>1467</v>
      </c>
      <c t="str" s="64" r="C50">
        <f>HYPERLINK("http://www.wormbase.org/db/get?name=FLP-12;class=Protein","FLP-12")</f>
        <v>FLP-12</v>
      </c>
      <c t="s" s="22" r="D50">
        <v>1758</v>
      </c>
      <c t="s" s="156" r="E50">
        <v>1759</v>
      </c>
      <c s="84" r="F50"/>
    </row>
    <row r="51">
      <c t="str" s="119" r="A51">
        <f>HYPERLINK("http://www.wormbase.org/db/get?name=C05E11.8;class=Gene","C05E11.8")</f>
        <v>C05E11.8</v>
      </c>
      <c s="35" r="B51"/>
      <c s="35" r="C51"/>
      <c s="35" r="D51"/>
      <c s="161" r="E51"/>
      <c s="84" r="F51"/>
    </row>
    <row r="52">
      <c t="s" s="57" r="A52">
        <v>1314</v>
      </c>
      <c s="62" r="B52"/>
      <c s="62" r="C52"/>
      <c s="62" r="D52"/>
      <c s="43" r="E52"/>
      <c s="84" r="F52"/>
    </row>
    <row customHeight="1" r="53" ht="16.5">
      <c t="str" s="64" r="A53">
        <f>HYPERLINK("http://www.wormbase.org/db/get?name=flp-13;class=Gene","flp-13")</f>
        <v>flp-13</v>
      </c>
      <c t="s" s="24" r="B53">
        <v>1470</v>
      </c>
      <c t="s" s="22" r="C53">
        <v>1760</v>
      </c>
      <c s="156" r="D53"/>
      <c t="s" s="156" r="E53">
        <v>1761</v>
      </c>
      <c s="84" r="F53"/>
    </row>
    <row customHeight="1" r="54" ht="16.5">
      <c t="str" s="119" r="A54">
        <f>HYPERLINK("http://www.wormbase.org/db/get?name=F33D4.3;class=Gene","F33D4.3")</f>
        <v>F33D4.3</v>
      </c>
      <c t="s" s="120" r="B54">
        <v>1474</v>
      </c>
      <c t="s" s="148" r="C54">
        <v>1762</v>
      </c>
      <c s="161" r="D54"/>
      <c s="161" r="E54"/>
      <c s="84" r="F54"/>
    </row>
    <row customHeight="1" r="55" ht="16.5">
      <c t="s" s="148" r="A55">
        <v>1287</v>
      </c>
      <c t="s" s="120" r="B55">
        <v>1475</v>
      </c>
      <c t="s" s="148" r="C55">
        <v>1763</v>
      </c>
      <c s="161" r="D55"/>
      <c s="161" r="E55"/>
      <c s="84" r="F55"/>
    </row>
    <row customHeight="1" r="56" ht="16.5">
      <c s="122" r="A56"/>
      <c t="s" s="120" r="B56">
        <v>1476</v>
      </c>
      <c t="s" s="148" r="C56">
        <v>1764</v>
      </c>
      <c s="161" r="D56"/>
      <c s="161" r="E56"/>
      <c s="84" r="F56"/>
    </row>
    <row customHeight="1" r="57" ht="16.5">
      <c s="122" r="A57"/>
      <c t="s" s="120" r="B57">
        <v>1477</v>
      </c>
      <c t="s" s="148" r="C57">
        <v>1765</v>
      </c>
      <c s="161" r="D57"/>
      <c s="161" r="E57"/>
      <c s="84" r="F57"/>
    </row>
    <row r="58">
      <c s="122" r="A58"/>
      <c t="s" s="120" r="B58">
        <v>1478</v>
      </c>
      <c t="s" s="148" r="C58">
        <v>1766</v>
      </c>
      <c s="161" r="D58"/>
      <c s="161" r="E58"/>
      <c s="84" r="F58"/>
    </row>
    <row customHeight="1" r="59" ht="16.5">
      <c s="151" r="A59"/>
      <c t="s" s="80" r="B59">
        <v>1479</v>
      </c>
      <c t="s" s="57" r="C59">
        <v>1767</v>
      </c>
      <c s="43" r="D59"/>
      <c s="43" r="E59"/>
      <c s="84" r="F59"/>
    </row>
    <row customHeight="1" r="60" ht="16.5">
      <c t="str" s="64" r="A60">
        <f>HYPERLINK("http://www.wormbase.org/db/get?name=flp-14;class=Gene","flp-14")</f>
        <v>flp-14</v>
      </c>
      <c t="s" s="24" r="B60">
        <v>1480</v>
      </c>
      <c t="str" s="64" r="C60">
        <f>HYPERLINK("http://www.wormbase.org/db/get?name=FLP-14;class=Protein","FLP-14")</f>
        <v>FLP-14</v>
      </c>
      <c t="s" s="22" r="D60">
        <v>1768</v>
      </c>
      <c t="s" s="156" r="E60">
        <v>1769</v>
      </c>
      <c s="84" r="F60"/>
    </row>
    <row r="61">
      <c t="str" s="119" r="A61">
        <f>HYPERLINK("http://www.wormbase.org/db/get?name=Y37D8A.15;class=Gene","Y37D8A.15")</f>
        <v>Y37D8A.15</v>
      </c>
      <c s="35" r="B61"/>
      <c s="35" r="C61"/>
      <c s="35" r="D61"/>
      <c s="161" r="E61"/>
      <c s="84" r="F61"/>
    </row>
    <row r="62">
      <c t="s" s="57" r="A62">
        <v>1330</v>
      </c>
      <c s="62" r="B62"/>
      <c s="62" r="C62"/>
      <c s="62" r="D62"/>
      <c s="43" r="E62"/>
      <c s="84" r="F62"/>
    </row>
    <row customHeight="1" r="63" ht="16.5">
      <c t="str" s="64" r="A63">
        <f>HYPERLINK("http://www.wormbase.org/db/get?name=flp-15;class=Gene","flp-15")</f>
        <v>flp-15</v>
      </c>
      <c t="s" s="24" r="B63">
        <v>1483</v>
      </c>
      <c t="s" s="22" r="C63">
        <v>1770</v>
      </c>
      <c s="156" r="D63"/>
      <c t="s" s="156" r="E63">
        <v>1771</v>
      </c>
      <c s="84" r="F63"/>
    </row>
    <row customHeight="1" r="64" ht="16.5">
      <c t="str" s="119" r="A64">
        <f>HYPERLINK("http://www.wormbase.org/db/get?name=ZK525.1;class=Gene","ZK525.1")</f>
        <v>ZK525.1</v>
      </c>
      <c t="s" s="120" r="B64">
        <v>1487</v>
      </c>
      <c t="s" s="148" r="C64">
        <v>1772</v>
      </c>
      <c s="161" r="D64"/>
      <c s="161" r="E64"/>
      <c s="84" r="F64"/>
    </row>
    <row r="65">
      <c t="s" s="57" r="A65">
        <v>1330</v>
      </c>
      <c s="126" r="B65"/>
      <c s="151" r="C65"/>
      <c s="43" r="D65"/>
      <c s="43" r="E65"/>
      <c s="84" r="F65"/>
    </row>
    <row customHeight="1" r="66" ht="16.5">
      <c t="str" s="64" r="A66">
        <f>HYPERLINK("http://www.wormbase.org/db/get?name=flp-16;class=Gene","flp-16")</f>
        <v>flp-16</v>
      </c>
      <c t="s" s="24" r="B66">
        <v>1488</v>
      </c>
      <c t="s" s="22" r="C66">
        <v>1773</v>
      </c>
      <c t="s" s="22" r="D66">
        <v>1774</v>
      </c>
      <c t="s" s="156" r="E66">
        <v>1775</v>
      </c>
      <c s="84" r="F66"/>
    </row>
    <row customHeight="1" r="67" ht="16.5">
      <c t="str" s="119" r="A67">
        <f>HYPERLINK("http://www.wormbase.org/db/get?name=F15D4.8;class=Gene","F15D4.8")</f>
        <v>F15D4.8</v>
      </c>
      <c t="s" s="120" r="B67">
        <v>1491</v>
      </c>
      <c t="s" s="148" r="C67">
        <v>1776</v>
      </c>
      <c s="35" r="D67"/>
      <c s="161" r="E67"/>
      <c s="84" r="F67"/>
    </row>
    <row r="68">
      <c t="s" s="57" r="A68">
        <v>1291</v>
      </c>
      <c s="126" r="B68"/>
      <c s="151" r="C68"/>
      <c s="62" r="D68"/>
      <c s="43" r="E68"/>
      <c s="84" r="F68"/>
    </row>
    <row r="69">
      <c t="str" s="64" r="A69">
        <f>HYPERLINK("http://www.wormbase.org/db/get?name=flp-17;class=Gene","flp-17")</f>
        <v>flp-17</v>
      </c>
      <c t="s" s="24" r="B69">
        <v>1492</v>
      </c>
      <c t="s" s="22" r="C69">
        <v>1777</v>
      </c>
      <c s="156" r="D69"/>
      <c t="s" s="156" r="E69">
        <v>1778</v>
      </c>
      <c s="84" r="F69"/>
    </row>
    <row r="70">
      <c t="str" s="119" r="A70">
        <f>HYPERLINK("http://www.wormbase.org/db/get?name=C52D10.11;class=Gene","C52D10.11")</f>
        <v>C52D10.11</v>
      </c>
      <c t="s" s="157" r="B70">
        <v>1494</v>
      </c>
      <c t="s" s="148" r="C70">
        <v>1779</v>
      </c>
      <c s="161" r="D70"/>
      <c s="161" r="E70"/>
      <c s="84" r="F70"/>
    </row>
    <row r="71">
      <c t="s" s="57" r="A71">
        <v>1287</v>
      </c>
      <c s="126" r="B71"/>
      <c s="151" r="C71"/>
      <c s="43" r="D71"/>
      <c s="43" r="E71"/>
      <c s="84" r="F71"/>
    </row>
    <row customHeight="1" r="72" ht="16.5">
      <c t="str" s="64" r="A72">
        <f>HYPERLINK("http://www.wormbase.org/db/get?name=flp-18;class=Gene","flp-18")</f>
        <v>flp-18</v>
      </c>
      <c t="s" s="24" r="B72">
        <v>1495</v>
      </c>
      <c t="s" s="22" r="C72">
        <v>1780</v>
      </c>
      <c t="s" s="22" r="D72">
        <v>1781</v>
      </c>
      <c t="s" s="156" r="E72">
        <v>1782</v>
      </c>
      <c s="84" r="F72"/>
    </row>
    <row customHeight="1" r="73" ht="16.5">
      <c t="str" s="119" r="A73">
        <f>HYPERLINK("http://www.wormbase.org/db/get?name=Y48D7A.2;class=Gene","Y48D7A.2")</f>
        <v>Y48D7A.2</v>
      </c>
      <c t="s" s="120" r="B73">
        <v>1498</v>
      </c>
      <c t="s" s="148" r="C73">
        <v>1783</v>
      </c>
      <c s="35" r="D73"/>
      <c s="161" r="E73"/>
      <c s="84" r="F73"/>
    </row>
    <row customHeight="1" r="74" ht="28.5">
      <c t="s" s="148" r="A74">
        <v>1314</v>
      </c>
      <c t="s" s="120" r="B74">
        <v>1499</v>
      </c>
      <c t="s" s="148" r="C74">
        <v>1784</v>
      </c>
      <c s="35" r="D74"/>
      <c s="161" r="E74"/>
      <c s="84" r="F74"/>
    </row>
    <row customHeight="1" r="75" ht="16.5">
      <c s="122" r="A75"/>
      <c t="s" s="120" r="B75">
        <v>1500</v>
      </c>
      <c t="s" s="148" r="C75">
        <v>1785</v>
      </c>
      <c s="35" r="D75"/>
      <c s="161" r="E75"/>
      <c s="84" r="F75"/>
    </row>
    <row customHeight="1" r="76" ht="16.5">
      <c s="122" r="A76"/>
      <c t="s" s="120" r="B76">
        <v>1501</v>
      </c>
      <c t="s" s="148" r="C76">
        <v>1786</v>
      </c>
      <c s="35" r="D76"/>
      <c s="161" r="E76"/>
      <c s="84" r="F76"/>
    </row>
    <row customHeight="1" r="77" ht="16.5">
      <c s="151" r="A77"/>
      <c t="s" s="80" r="B77">
        <v>1502</v>
      </c>
      <c t="s" s="57" r="C77">
        <v>1787</v>
      </c>
      <c s="62" r="D77"/>
      <c s="43" r="E77"/>
      <c s="84" r="F77"/>
    </row>
    <row customHeight="1" r="78" ht="16.5">
      <c t="str" s="64" r="A78">
        <f>HYPERLINK("http://www.wormbase.org/db/get?name=flp-19;class=Gene","flp-19")</f>
        <v>flp-19</v>
      </c>
      <c t="s" s="24" r="B78">
        <v>1503</v>
      </c>
      <c t="s" s="22" r="C78">
        <v>1788</v>
      </c>
      <c s="156" r="D78"/>
      <c t="s" s="156" r="E78">
        <v>1789</v>
      </c>
      <c s="84" r="F78"/>
    </row>
    <row customHeight="1" r="79" ht="16.5">
      <c t="str" s="119" r="A79">
        <f>HYPERLINK("http://www.wormbase.org/db/get?name=M79.4;class=Gene","M79.4")</f>
        <v>M79.4</v>
      </c>
      <c t="s" s="120" r="B79">
        <v>1506</v>
      </c>
      <c t="s" s="148" r="C79">
        <v>1790</v>
      </c>
      <c s="161" r="D79"/>
      <c s="161" r="E79"/>
      <c s="84" r="F79"/>
    </row>
    <row r="80">
      <c t="s" s="57" r="A80">
        <v>1314</v>
      </c>
      <c s="126" r="B80"/>
      <c s="151" r="C80"/>
      <c s="43" r="D80"/>
      <c s="43" r="E80"/>
      <c s="84" r="F80"/>
    </row>
    <row r="81">
      <c t="str" s="64" r="A81">
        <f>HYPERLINK("http://www.wormbase.org/db/get?name=flp-20;class=Gene","flp-20")</f>
        <v>flp-20</v>
      </c>
      <c t="s" s="24" r="B81">
        <v>1507</v>
      </c>
      <c t="str" s="64" r="C81">
        <f>HYPERLINK("http://www.wormbase.org/db/get?name=FLP-20;class=Protein","FLP-20")</f>
        <v>FLP-20</v>
      </c>
      <c s="156" r="D81"/>
      <c t="s" s="156" r="E81">
        <v>1778</v>
      </c>
      <c s="84" r="F81"/>
    </row>
    <row r="82">
      <c t="str" s="119" r="A82">
        <f>HYPERLINK("http://www.wormbase.org/db/get?name=E01H11.3;class=Gene","E01H11.3")</f>
        <v>E01H11.3</v>
      </c>
      <c s="35" r="B82"/>
      <c s="35" r="C82"/>
      <c s="161" r="D82"/>
      <c s="161" r="E82"/>
      <c s="84" r="F82"/>
    </row>
    <row r="83">
      <c t="s" s="57" r="A83">
        <v>1314</v>
      </c>
      <c s="62" r="B83"/>
      <c s="62" r="C83"/>
      <c s="43" r="D83"/>
      <c s="43" r="E83"/>
      <c s="84" r="F83"/>
    </row>
    <row r="84">
      <c t="str" s="64" r="A84">
        <f>HYPERLINK("http://www.wormbase.org/db/get?name=flp-21;class=Gene","flp-21")</f>
        <v>flp-21</v>
      </c>
      <c t="s" s="24" r="B84">
        <v>1510</v>
      </c>
      <c t="str" s="64" r="C84">
        <f>HYPERLINK("http://www.wormbase.org/db/get?name=FLP-21;class=Protein","FLP-21")</f>
        <v>FLP-21</v>
      </c>
      <c t="s" s="22" r="D84">
        <v>1791</v>
      </c>
      <c t="s" s="156" r="E84">
        <v>1792</v>
      </c>
      <c s="84" r="F84"/>
    </row>
    <row r="85">
      <c t="str" s="119" r="A85">
        <f>HYPERLINK("http://www.wormbase.org/db/get?name=C26F1.10;class=Gene","C26F1.10")</f>
        <v>C26F1.10</v>
      </c>
      <c s="35" r="B85"/>
      <c s="35" r="C85"/>
      <c s="35" r="D85"/>
      <c s="161" r="E85"/>
      <c s="84" r="F85"/>
    </row>
    <row r="86">
      <c t="s" s="57" r="A86">
        <v>1281</v>
      </c>
      <c s="62" r="B86"/>
      <c s="62" r="C86"/>
      <c s="62" r="D86"/>
      <c s="43" r="E86"/>
      <c s="84" r="F86"/>
    </row>
    <row customHeight="1" r="87" ht="16.5">
      <c t="str" s="64" r="A87">
        <f>HYPERLINK("http://www.wormbase.org/db/get?name=flp-22;class=Gene","flp-22")</f>
        <v>flp-22</v>
      </c>
      <c t="s" s="24" r="B87">
        <v>1515</v>
      </c>
      <c t="str" s="64" r="C87">
        <f>HYPERLINK("http://www.wormbase.org/db/get?name=FLP-22;class=Protein","FLP-22")</f>
        <v>FLP-22</v>
      </c>
      <c s="156" r="D87"/>
      <c t="s" s="156" r="E87">
        <v>1789</v>
      </c>
      <c s="84" r="F87"/>
    </row>
    <row r="88">
      <c t="str" s="119" r="A88">
        <f>HYPERLINK("http://www.wormbase.org/db/get?name=F39H2.1;class=Gene","F39H2.1")</f>
        <v>F39H2.1</v>
      </c>
      <c s="35" r="B88"/>
      <c s="35" r="C88"/>
      <c s="161" r="D88"/>
      <c s="161" r="E88"/>
      <c s="84" r="F88"/>
    </row>
    <row r="89">
      <c t="s" s="57" r="A89">
        <v>1336</v>
      </c>
      <c s="62" r="B89"/>
      <c s="62" r="C89"/>
      <c s="43" r="D89"/>
      <c s="43" r="E89"/>
      <c s="84" r="F89"/>
    </row>
    <row r="90">
      <c t="str" s="64" r="A90">
        <f>HYPERLINK("http://www.wormbase.org/db/get?name=flp-23;class=Gene","flp-23")</f>
        <v>flp-23</v>
      </c>
      <c t="s" s="24" r="B90">
        <v>1793</v>
      </c>
      <c t="str" s="64" r="C90">
        <f>HYPERLINK("http://www.wormbase.org/db/get?name=FLP-23;class=Protein","FLP-23")</f>
        <v>FLP-23</v>
      </c>
      <c s="156" r="D90"/>
      <c t="s" s="156" r="E90">
        <v>1794</v>
      </c>
      <c s="84" r="F90"/>
    </row>
    <row r="91">
      <c t="str" s="119" r="A91">
        <f>HYPERLINK("http://www.wormbase.org/db/get?name=F22B7.2;class=Gene","F22B7.2")</f>
        <v>F22B7.2</v>
      </c>
      <c t="s" s="120" r="B91">
        <v>1519</v>
      </c>
      <c s="35" r="C91"/>
      <c s="161" r="D91"/>
      <c s="161" r="E91"/>
      <c s="84" r="F91"/>
    </row>
    <row r="92">
      <c t="s" s="57" r="A92">
        <v>1330</v>
      </c>
      <c s="126" r="B92"/>
      <c s="62" r="C92"/>
      <c s="43" r="D92"/>
      <c s="43" r="E92"/>
      <c s="84" r="F92"/>
    </row>
    <row customHeight="1" r="93" ht="16.5">
      <c t="str" s="64" r="A93">
        <f>HYPERLINK("http://www.wormbase.org/db/get?name=flp-24;class=Gene","flp-24")</f>
        <v>flp-24</v>
      </c>
      <c t="s" s="24" r="B93">
        <v>1520</v>
      </c>
      <c t="str" s="64" r="C93">
        <f>HYPERLINK("http://www.wormbase.org/db/get?name=FLP-24;class=Protein","FLP-24")</f>
        <v>FLP-24</v>
      </c>
      <c s="156" r="D93"/>
      <c t="s" s="156" r="E93">
        <v>1795</v>
      </c>
      <c s="84" r="F93"/>
    </row>
    <row r="94">
      <c t="str" s="119" r="A94">
        <f>HYPERLINK("http://www.wormbase.org/db/get?name=C24A1.1;class=Gene","C24A1.1")</f>
        <v>C24A1.1</v>
      </c>
      <c s="35" r="B94"/>
      <c s="35" r="C94"/>
      <c s="161" r="D94"/>
      <c s="161" r="E94"/>
      <c s="84" r="F94"/>
    </row>
    <row r="95">
      <c t="s" s="57" r="A95">
        <v>1330</v>
      </c>
      <c s="62" r="B95"/>
      <c s="62" r="C95"/>
      <c s="43" r="D95"/>
      <c s="43" r="E95"/>
      <c s="84" r="F95"/>
    </row>
    <row r="96">
      <c t="str" s="64" r="A96">
        <f>HYPERLINK("http://www.wormbase.org/db/get?name=flp-25;class=Gene","flp-25")</f>
        <v>flp-25</v>
      </c>
      <c t="s" s="24" r="B96">
        <v>1522</v>
      </c>
      <c t="s" s="22" r="C96">
        <v>1796</v>
      </c>
      <c s="156" r="D96"/>
      <c s="156" r="E96">
        <v>4</v>
      </c>
      <c s="84" r="F96"/>
    </row>
    <row customHeight="1" r="97" ht="16.5">
      <c t="str" s="119" r="A97">
        <f>HYPERLINK("http://www.wormbase.org/db/get?name=K04H4.7;class=Gene","K04H4.7")</f>
        <v>K04H4.7</v>
      </c>
      <c t="s" s="120" r="B97">
        <v>1523</v>
      </c>
      <c t="s" s="148" r="C97">
        <v>1797</v>
      </c>
      <c s="161" r="D97"/>
      <c s="161" r="E97"/>
      <c s="84" r="F97"/>
    </row>
    <row r="98">
      <c t="s" s="57" r="A98">
        <v>1330</v>
      </c>
      <c s="126" r="B98"/>
      <c s="151" r="C98"/>
      <c s="43" r="D98"/>
      <c s="43" r="E98"/>
      <c s="84" r="F98"/>
    </row>
    <row customHeight="1" r="99" ht="16.5">
      <c t="str" s="64" r="A99">
        <f>HYPERLINK("http://www.wormbase.org/db/get?name=flp-26;class=Gene","flp-26")</f>
        <v>flp-26</v>
      </c>
      <c t="s" s="24" r="B99">
        <v>1524</v>
      </c>
      <c t="s" s="22" r="C99">
        <v>1798</v>
      </c>
      <c s="156" r="D99"/>
      <c t="s" s="156" r="E99">
        <v>1799</v>
      </c>
      <c s="84" r="F99"/>
    </row>
    <row customHeight="1" r="100" ht="16.5">
      <c t="str" s="119" r="A100">
        <f>HYPERLINK("http://www.wormbase.org/db/get?name=R173.4;class=Gene","R173.4")</f>
        <v>R173.4</v>
      </c>
      <c t="s" s="120" r="B100">
        <v>1525</v>
      </c>
      <c t="s" s="148" r="C100">
        <v>1800</v>
      </c>
      <c s="161" r="D100"/>
      <c s="161" r="E100"/>
      <c s="84" r="F100"/>
    </row>
    <row customHeight="1" r="101" ht="16.5">
      <c t="s" s="148" r="A101">
        <v>1314</v>
      </c>
      <c t="s" s="120" r="B101">
        <v>1526</v>
      </c>
      <c t="s" s="148" r="C101">
        <v>1801</v>
      </c>
      <c s="161" r="D101"/>
      <c s="161" r="E101"/>
      <c s="84" r="F101"/>
    </row>
    <row customHeight="1" r="102" ht="16.5">
      <c s="151" r="A102"/>
      <c t="s" s="80" r="B102">
        <v>1527</v>
      </c>
      <c t="s" s="57" r="C102">
        <v>1802</v>
      </c>
      <c s="43" r="D102"/>
      <c s="43" r="E102"/>
      <c s="84" r="F102"/>
    </row>
    <row customHeight="1" r="103" ht="24.0">
      <c t="str" s="64" r="A103">
        <f>HYPERLINK("http://www.wormbase.org/db/get?name=flp-27;class=Gene","flp-27")</f>
        <v>flp-27</v>
      </c>
      <c t="s" s="24" r="B103">
        <v>1528</v>
      </c>
      <c t="s" s="22" r="C103">
        <v>1803</v>
      </c>
      <c s="156" r="D103"/>
      <c t="s" s="156" r="E103">
        <v>1799</v>
      </c>
      <c s="84" r="F103"/>
    </row>
    <row customHeight="1" r="104" ht="16.5">
      <c t="str" s="119" r="A104">
        <f>HYPERLINK("http://www.wormbase.org/db/get?name=C25H3.5;class=Gene","C25H3.5")</f>
        <v>C25H3.5</v>
      </c>
      <c t="s" s="120" r="B104">
        <v>1529</v>
      </c>
      <c t="s" s="148" r="C104">
        <v>1804</v>
      </c>
      <c s="161" r="D104"/>
      <c s="161" r="E104"/>
      <c s="84" r="F104"/>
    </row>
    <row r="105">
      <c t="s" s="57" r="A105">
        <v>1291</v>
      </c>
      <c s="126" r="B105"/>
      <c s="151" r="C105"/>
      <c s="43" r="D105"/>
      <c s="43" r="E105"/>
      <c s="84" r="F105"/>
    </row>
    <row customHeight="1" r="106" ht="16.5">
      <c t="str" s="64" r="A106">
        <f>HYPERLINK("http://www.wormbase.org/db/get?name=flp-28;class=Gene","flp-28")</f>
        <v>flp-28</v>
      </c>
      <c t="s" s="24" r="B106">
        <v>1530</v>
      </c>
      <c t="str" s="64" r="C106">
        <f>HYPERLINK("http://www.wormbase.org/db/get?name=FLP-28;class=Protein","FLP-28")</f>
        <v>FLP-28</v>
      </c>
      <c s="156" r="D106"/>
      <c t="s" s="156" r="E106">
        <v>1805</v>
      </c>
      <c s="84" r="F106"/>
    </row>
    <row r="107">
      <c t="str" s="119" r="A107">
        <f>HYPERLINK("http://www.wormbase.org/db/get?name=W07E11.4;class=Gene","W07E11.4")</f>
        <v>W07E11.4</v>
      </c>
      <c s="35" r="B107"/>
      <c s="35" r="C107"/>
      <c s="161" r="D107"/>
      <c s="161" r="E107"/>
      <c s="84" r="F107"/>
    </row>
    <row r="108">
      <c t="s" s="57" r="A108">
        <v>1314</v>
      </c>
      <c s="62" r="B108"/>
      <c s="62" r="C108"/>
      <c s="43" r="D108"/>
      <c s="43" r="E108"/>
      <c s="84" r="F108"/>
    </row>
    <row r="109">
      <c t="str" s="64" r="A109">
        <f>HYPERLINK("http://www.wormbase.org/db/get?name=flp-32;class=Gene","flp-32")</f>
        <v>flp-32</v>
      </c>
      <c t="s" s="24" r="B109">
        <v>1532</v>
      </c>
      <c t="str" s="64" r="C109">
        <f>HYPERLINK("http://www.wormbase.org/db/get?name=FLP-32;class=Protein","FLP-32")</f>
        <v>FLP-32</v>
      </c>
      <c s="156" r="D109"/>
      <c t="s" s="156" r="E109">
        <v>1533</v>
      </c>
      <c s="84" r="F109"/>
    </row>
    <row r="110">
      <c t="str" s="119" r="A110">
        <f>HYPERLINK("http://www.wormbase.org/db/get?name=R03A10.2;class=Gene","R03A10.2")</f>
        <v>R03A10.2</v>
      </c>
      <c s="35" r="B110"/>
      <c s="35" r="C110"/>
      <c s="161" r="D110"/>
      <c s="161" r="E110"/>
      <c s="84" r="F110"/>
    </row>
    <row r="111">
      <c t="s" s="57" r="A111">
        <v>1314</v>
      </c>
      <c s="62" r="B111"/>
      <c s="62" r="C111"/>
      <c s="43" r="D111"/>
      <c s="43" r="E111"/>
      <c s="84" r="F111"/>
    </row>
    <row customHeight="1" r="112" ht="28.5">
      <c t="str" s="64" r="A112">
        <f>HYPERLINK("http://www.wormbase.org/db/get?name=flp-33;class=Gene","flp-33")</f>
        <v>flp-33</v>
      </c>
      <c t="s" s="24" r="B112">
        <v>1534</v>
      </c>
      <c t="s" s="22" r="C112">
        <v>1806</v>
      </c>
      <c s="156" r="D112"/>
      <c s="156" r="E112">
        <v>23</v>
      </c>
      <c s="84" r="F112"/>
    </row>
    <row r="113">
      <c t="str" s="119" r="A113">
        <f>HYPERLINK("http://www.wormbase.org/db/get?name=T07D10.6;class=Gene","T07D10.6")</f>
        <v>T07D10.6</v>
      </c>
      <c s="35" r="B113"/>
      <c s="35" r="C113"/>
      <c s="161" r="D113"/>
      <c s="161" r="E113"/>
      <c s="84" r="F113"/>
    </row>
    <row r="114">
      <c t="s" s="57" r="A114">
        <v>1336</v>
      </c>
      <c s="62" r="B114"/>
      <c s="62" r="C114"/>
      <c s="43" r="D114"/>
      <c s="43" r="E114"/>
      <c s="84" r="F114"/>
    </row>
    <row r="115">
      <c t="s" s="166" r="A115">
        <v>1535</v>
      </c>
      <c t="s" s="24" r="B115">
        <v>1807</v>
      </c>
      <c t="s" s="22" r="C115">
        <v>1808</v>
      </c>
      <c s="156" r="D115"/>
      <c t="s" s="156" r="E115">
        <v>1537</v>
      </c>
      <c s="84" r="F115"/>
    </row>
    <row r="116">
      <c t="str" s="119" r="A116">
        <f>HYPERLINK("http://www.wormbase.org/db/get?name=R09A1.5;class=Gene","R09A1.5")</f>
        <v>R09A1.5</v>
      </c>
      <c s="35" r="B116"/>
      <c s="35" r="C116"/>
      <c s="161" r="D116"/>
      <c s="161" r="E116"/>
      <c s="84" r="F116"/>
    </row>
    <row r="117">
      <c t="s" s="57" r="A117">
        <v>1336</v>
      </c>
      <c s="62" r="B117"/>
      <c s="62" r="C117"/>
      <c s="43" r="D117"/>
      <c s="43" r="E117"/>
      <c s="84" r="F117"/>
    </row>
    <row customHeight="1" r="118" ht="14.25">
      <c t="s" s="182" r="A118">
        <v>1809</v>
      </c>
      <c s="1" r="B118"/>
      <c s="1" r="C118"/>
      <c s="1" r="D118"/>
      <c s="3" r="E118"/>
      <c s="84" r="F118"/>
    </row>
  </sheetData>
  <mergeCells count="60">
    <mergeCell ref="B1:B3"/>
    <mergeCell ref="C1:C3"/>
    <mergeCell ref="D1:D3"/>
    <mergeCell ref="E1:E3"/>
    <mergeCell ref="E4:E11"/>
    <mergeCell ref="D12:D14"/>
    <mergeCell ref="E12:E14"/>
    <mergeCell ref="D15:D23"/>
    <mergeCell ref="E15:E23"/>
    <mergeCell ref="D24:D26"/>
    <mergeCell ref="E24:E26"/>
    <mergeCell ref="D27:D29"/>
    <mergeCell ref="E27:E29"/>
    <mergeCell ref="D30:D32"/>
    <mergeCell ref="E30:E32"/>
    <mergeCell ref="D33:D36"/>
    <mergeCell ref="E33:E36"/>
    <mergeCell ref="D37:D39"/>
    <mergeCell ref="E37:E39"/>
    <mergeCell ref="D40:D42"/>
    <mergeCell ref="E40:E42"/>
    <mergeCell ref="D43:D45"/>
    <mergeCell ref="E43:E45"/>
    <mergeCell ref="E46:E49"/>
    <mergeCell ref="E50:E52"/>
    <mergeCell ref="D53:D59"/>
    <mergeCell ref="E53:E59"/>
    <mergeCell ref="E60:E62"/>
    <mergeCell ref="D63:D65"/>
    <mergeCell ref="E63:E65"/>
    <mergeCell ref="E66:E68"/>
    <mergeCell ref="D69:D71"/>
    <mergeCell ref="E69:E71"/>
    <mergeCell ref="E72:E77"/>
    <mergeCell ref="D78:D80"/>
    <mergeCell ref="E78:E80"/>
    <mergeCell ref="D81:D83"/>
    <mergeCell ref="E81:E83"/>
    <mergeCell ref="E84:E86"/>
    <mergeCell ref="D87:D89"/>
    <mergeCell ref="E87:E89"/>
    <mergeCell ref="D90:D92"/>
    <mergeCell ref="E90:E92"/>
    <mergeCell ref="D93:D95"/>
    <mergeCell ref="E93:E95"/>
    <mergeCell ref="D96:D98"/>
    <mergeCell ref="E96:E98"/>
    <mergeCell ref="D99:D102"/>
    <mergeCell ref="E99:E102"/>
    <mergeCell ref="D103:D105"/>
    <mergeCell ref="E103:E105"/>
    <mergeCell ref="D106:D108"/>
    <mergeCell ref="E106:E108"/>
    <mergeCell ref="D109:D111"/>
    <mergeCell ref="E109:E111"/>
    <mergeCell ref="D112:D114"/>
    <mergeCell ref="E112:E114"/>
    <mergeCell ref="D115:D117"/>
    <mergeCell ref="E115:E117"/>
    <mergeCell ref="A118:E118"/>
  </mergeCell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sheetData>
    <row r="1">
      <c s="87" r="A1"/>
      <c s="87" r="B1"/>
      <c s="87" r="C1"/>
      <c s="87" r="D1"/>
      <c s="87" r="E1"/>
      <c s="87" r="F1"/>
    </row>
    <row r="2">
      <c s="87" r="A2"/>
      <c s="87" r="B2"/>
      <c s="87" r="C2"/>
      <c s="87" r="D2"/>
      <c s="87" r="E2"/>
      <c s="87" r="F2"/>
    </row>
    <row r="3">
      <c s="87" r="A3"/>
      <c s="87" r="B3"/>
      <c s="87" r="C3"/>
      <c s="87" r="D3"/>
      <c s="87" r="E3"/>
      <c s="87" r="F3"/>
    </row>
    <row r="4">
      <c s="87" r="A4"/>
      <c s="87" r="B4"/>
      <c s="87" r="C4"/>
      <c s="87" r="D4"/>
      <c s="87" r="E4"/>
      <c s="87" r="F4"/>
    </row>
    <row r="5">
      <c s="87" r="A5"/>
      <c s="87" r="B5"/>
      <c s="87" r="C5"/>
      <c s="87" r="D5"/>
      <c s="87" r="E5"/>
      <c s="87" r="F5"/>
    </row>
    <row r="6">
      <c s="87" r="A6"/>
      <c s="87" r="B6"/>
      <c s="87" r="C6"/>
      <c s="87" r="D6"/>
      <c s="87" r="E6"/>
      <c s="87" r="F6"/>
    </row>
    <row r="7">
      <c s="87" r="A7"/>
      <c s="87" r="B7"/>
      <c s="87" r="C7"/>
      <c s="87" r="D7"/>
      <c s="87" r="E7"/>
      <c s="87" r="F7"/>
    </row>
    <row r="8">
      <c s="87" r="A8"/>
      <c s="87" r="B8"/>
      <c s="87" r="C8"/>
      <c s="87" r="D8"/>
      <c s="87" r="E8"/>
      <c s="87" r="F8"/>
    </row>
    <row r="9">
      <c s="87" r="A9"/>
      <c s="87" r="B9"/>
      <c s="87" r="C9"/>
      <c s="87" r="D9"/>
      <c s="87" r="E9"/>
      <c s="87" r="F9"/>
    </row>
    <row r="10">
      <c s="87" r="A10"/>
      <c s="87" r="B10"/>
      <c s="87" r="C10"/>
      <c s="87" r="D10"/>
      <c s="87" r="E10"/>
      <c s="87" r="F10"/>
    </row>
    <row r="11">
      <c s="87" r="A11"/>
      <c s="87" r="B11"/>
      <c s="87" r="C11"/>
      <c s="87" r="D11"/>
      <c s="87" r="E11"/>
      <c s="87" r="F11"/>
    </row>
    <row r="12">
      <c s="87" r="A12"/>
      <c s="87" r="B12"/>
      <c s="87" r="C12"/>
      <c s="87" r="D12"/>
      <c s="87" r="E12"/>
      <c s="87" r="F12"/>
    </row>
    <row r="13">
      <c s="87" r="A13"/>
      <c s="87" r="B13"/>
      <c s="87" r="C13"/>
      <c s="87" r="D13"/>
      <c s="87" r="E13"/>
      <c s="87" r="F13"/>
    </row>
    <row r="14">
      <c s="87" r="A14"/>
      <c s="87" r="B14"/>
      <c s="87" r="C14"/>
      <c s="87" r="D14"/>
      <c s="87" r="E14"/>
      <c s="87" r="F14"/>
    </row>
    <row r="15">
      <c s="87" r="A15"/>
      <c s="87" r="B15"/>
      <c s="87" r="C15"/>
      <c s="87" r="D15"/>
      <c s="87" r="E15"/>
      <c s="87" r="F15"/>
    </row>
    <row r="16">
      <c s="87" r="A16"/>
      <c s="87" r="B16"/>
      <c s="87" r="C16"/>
      <c s="87" r="D16"/>
      <c s="87" r="E16"/>
      <c s="87" r="F16"/>
    </row>
    <row r="17">
      <c s="87" r="A17"/>
      <c s="87" r="B17"/>
      <c s="87" r="C17"/>
      <c s="87" r="D17"/>
      <c s="87" r="E17"/>
      <c s="87" r="F17"/>
    </row>
    <row r="18">
      <c s="87" r="A18"/>
      <c s="87" r="B18"/>
      <c s="87" r="C18"/>
      <c s="87" r="D18"/>
      <c s="87" r="E18"/>
      <c s="87" r="F18"/>
    </row>
    <row r="19">
      <c s="87" r="A19"/>
      <c s="87" r="B19"/>
      <c s="87" r="C19"/>
      <c s="87" r="D19"/>
      <c s="87" r="E19"/>
      <c s="87" r="F19"/>
    </row>
    <row r="20">
      <c s="87" r="A20"/>
      <c s="87" r="B20"/>
      <c s="87" r="C20"/>
      <c s="87" r="D20"/>
      <c s="87" r="E20"/>
      <c s="87" r="F20"/>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27.43" defaultRowHeight="15.0"/>
  <cols>
    <col min="1" customWidth="1" max="1" style="140" width="54.86"/>
    <col min="2" customWidth="1" max="2" style="140" width="34.43"/>
    <col min="3" customWidth="1" max="3" style="140" width="26.14"/>
    <col min="4" customWidth="1" max="4" style="140" width="100.86"/>
    <col min="5" customWidth="1" max="5" style="140" width="73.57"/>
    <col min="6" customWidth="1" max="6" style="140" width="127.71"/>
    <col min="7" customWidth="1" max="7" style="140" width="93.86"/>
    <col min="8" customWidth="1" max="8" style="140" width="255.43"/>
    <col min="9" customWidth="1" max="9" style="140" width="82.29"/>
    <col min="10" max="11" style="140" width="26.71"/>
    <col min="12" customWidth="1" max="12" style="140" width="14.43"/>
    <col min="13" max="15" style="140" width="26.71"/>
    <col min="16" customWidth="1" max="16" style="140" width="9.86"/>
    <col min="17" max="17" style="140" width="26.71"/>
  </cols>
  <sheetData>
    <row customHeight="1" r="1" ht="15.75">
      <c t="s" s="26" r="A1">
        <v>660</v>
      </c>
      <c t="s" s="44" r="B1">
        <v>661</v>
      </c>
      <c t="s" s="149" r="C1">
        <v>662</v>
      </c>
      <c t="s" s="149" r="D1">
        <v>1</v>
      </c>
      <c t="s" s="149" r="E1">
        <v>663</v>
      </c>
      <c t="str" s="131" r="F1">
        <f>HYPERLINK("http://www.google.com/url?q=http://www.wormatlas.org/NTRmainframe.htm&amp;usd=2&amp;usg=ALhdy28HXJgWVod-XOukgf5_0FUjH6T-fg","Expression pattern*")</f>
        <v>Expression pattern*</v>
      </c>
      <c t="s" s="149" r="G1">
        <v>664</v>
      </c>
      <c t="s" s="149" r="H1">
        <v>665</v>
      </c>
      <c t="str" s="131" r="I1">
        <f>HYPERLINK("http://www.google.com/url?q=http://www.wormatlas.org/NTRmainframe.htm&amp;usd=2&amp;usg=ALhdy28HXJgWVod-XOukgf5_0FUjH6T-fg","References**")</f>
        <v>References**</v>
      </c>
      <c s="79" r="J1"/>
      <c s="4" r="K1"/>
      <c s="4" r="L1"/>
      <c s="4" r="M1"/>
      <c s="4" r="N1"/>
      <c s="4" r="O1"/>
      <c s="4" r="P1"/>
      <c s="4" r="Q1"/>
    </row>
    <row customHeight="1" r="2" ht="15.75">
      <c t="s" s="82" r="A2">
        <v>666</v>
      </c>
      <c s="45" r="B2"/>
      <c s="45" r="C2"/>
      <c s="45" r="D2"/>
      <c s="45" r="E2"/>
      <c s="45" r="F2"/>
      <c s="139" r="G2"/>
      <c s="141" r="H2"/>
      <c s="141" r="I2"/>
      <c s="93" r="J2"/>
      <c s="93" r="K2"/>
      <c s="93" r="L2"/>
      <c s="93" r="M2"/>
      <c s="114" r="N2"/>
      <c s="114" r="O2"/>
      <c s="79" r="P2"/>
      <c s="4" r="Q2"/>
    </row>
    <row customHeight="1" r="3" ht="15.75">
      <c t="s" s="153" r="A3">
        <v>667</v>
      </c>
      <c s="47" r="B3"/>
      <c s="47" r="C3"/>
      <c s="47" r="D3"/>
      <c s="47" r="E3"/>
      <c s="47" r="F3"/>
      <c s="47" r="G3"/>
      <c s="167" r="H3"/>
      <c s="167" r="I3"/>
      <c s="115" r="J3"/>
      <c s="109" r="K3"/>
      <c s="109" r="L3"/>
      <c s="109" r="M3"/>
      <c s="86" r="N3"/>
      <c s="86" r="O3"/>
      <c s="4" r="P3"/>
      <c s="4" r="Q3"/>
    </row>
    <row customHeight="1" r="4" ht="15.75">
      <c t="s" s="38" r="A4">
        <v>668</v>
      </c>
      <c s="167" r="B4"/>
      <c s="167" r="C4"/>
      <c s="167" r="D4"/>
      <c s="167" r="E4"/>
      <c s="167" r="F4"/>
      <c s="167" r="G4"/>
      <c s="167" r="H4"/>
      <c s="167" r="I4"/>
      <c s="79" r="J4"/>
      <c s="4" r="K4"/>
      <c s="4" r="L4"/>
      <c s="4" r="M4"/>
      <c s="4" r="N4"/>
      <c s="4" r="O4"/>
      <c s="4" r="P4"/>
      <c s="4" r="Q4"/>
    </row>
    <row customHeight="1" r="5" ht="64.5">
      <c t="s" s="28" r="A5">
        <v>669</v>
      </c>
      <c t="str" s="78" r="B5">
        <f>HYPERLINK("http://www.google.com/url?q=http://www.wormbase.org/db/gene/gene%3Fname%3DWBGene00004776%3Bclass%3DGene&amp;usd=2&amp;usg=ALhdy2910Q1zIbLuy4-6Rm5sGBeDrfFJnQ","ser-1 (5-HTCeL, 5-HTCeS)")</f>
        <v>ser-1 (5-HTCeL, 5-HTCeS)</v>
      </c>
      <c t="str" s="78" r="C5">
        <f>HYPERLINK("http://www.google.com/url?q=http://www.wormbase.org/db/gene/gene%3Fname%3DWBGene00004776%3Bclass%3DGene&amp;usd=2&amp;usg=ALhdy2910Q1zIbLuy4-6Rm5sGBeDrfFJnQ","F59C12.2")</f>
        <v>F59C12.2</v>
      </c>
      <c t="s" s="28" r="D5">
        <v>670</v>
      </c>
      <c t="s" s="56" r="E5">
        <v>671</v>
      </c>
      <c t="s" s="28" r="F5">
        <v>672</v>
      </c>
      <c t="s" s="28" r="G5">
        <v>673</v>
      </c>
      <c t="s" s="28" r="H5">
        <v>674</v>
      </c>
      <c t="s" s="28" r="I5">
        <v>675</v>
      </c>
      <c s="79" r="J5"/>
      <c s="4" r="K5"/>
      <c s="4" r="L5"/>
      <c s="4" r="M5"/>
      <c s="4" r="N5"/>
      <c s="4" r="O5"/>
      <c s="4" r="P5"/>
      <c s="4" r="Q5"/>
    </row>
    <row customHeight="1" r="6" ht="39.0">
      <c t="s" s="28" r="A6">
        <v>676</v>
      </c>
      <c t="str" s="78" r="B6">
        <f>HYPERLINK("http://www.google.com/url?q=http://www.wormbase.org/db/gene/gene%3Fname%3DWBGene00004779%3Bclass%3DGene&amp;usd=2&amp;usg=ALhdy29BGDVlz8Qiow-5ihqOTc-bfg6VLA","ser-4, (cer-1, 5HT-Ce)")</f>
        <v>ser-4, (cer-1, 5HT-Ce)</v>
      </c>
      <c t="str" s="78" r="C6">
        <f>HYPERLINK("http://www.google.com/url?q=http://www.wormbase.org/db/gene/gene%3Fname%3DWBGene00004779%3Bclass%3DGene&amp;usd=2&amp;usg=ALhdy29BGDVlz8Qiow-5ihqOTc-bfg6VLA","Y22D7AR.13")</f>
        <v>Y22D7AR.13</v>
      </c>
      <c t="s" s="28" r="D6">
        <v>677</v>
      </c>
      <c t="s" s="56" r="E6">
        <v>678</v>
      </c>
      <c t="str" s="78" r="F6">
        <f>HYPERLINK("http://www.google.com/url?q=http://www.wormatlas.org/neurons/Individual%2520Neurons/Neuronframeset.html&amp;usd=2&amp;usg=ALhdy2_OIz5gY07K9vr5knfGd_eIwp9JUw","RIB and RIS, other head, pharyngeal neurons, sublateral neurons, retrovesicular ganglion neurons, PVT, and either DVA or DVC")</f>
        <v>RIB and RIS, other head, pharyngeal neurons, sublateral neurons, retrovesicular ganglion neurons, PVT, and either DVA or DVC</v>
      </c>
      <c t="s" s="28" r="G6">
        <v>679</v>
      </c>
      <c t="s" s="28" r="H6">
        <v>680</v>
      </c>
      <c t="s" s="28" r="I6">
        <v>681</v>
      </c>
      <c s="79" r="J6"/>
      <c s="4" r="K6"/>
      <c s="4" r="L6"/>
      <c s="4" r="M6"/>
      <c s="4" r="N6"/>
      <c s="4" r="O6"/>
      <c s="4" r="P6"/>
      <c s="4" r="Q6"/>
    </row>
    <row customHeight="1" r="7" ht="26.25">
      <c t="s" s="28" r="A7">
        <v>682</v>
      </c>
      <c t="str" s="78" r="B7">
        <f>HYPERLINK("http://www.google.com/url?q=http://www.wormbase.org/db/gene/gene%3Fname%3DWBGene00008890%3Bclass%3DGene&amp;usd=2&amp;usg=ALhdy2-TSG1cJJ6pudEQLmIntFa4KsHvUQ","ser-5")</f>
        <v>ser-5</v>
      </c>
      <c t="str" s="78" r="C7">
        <f>HYPERLINK("http://www.google.com/url?q=http://www.wormbase.org/db/gene/gene%3Fname%3DWBGene00008890%3Bclass%3DGene&amp;usd=2&amp;usg=ALhdy2-TSG1cJJ6pudEQLmIntFa4KsHvUQ","F16D3.7")</f>
        <v>F16D3.7</v>
      </c>
      <c t="s" s="28" r="D7">
        <v>683</v>
      </c>
      <c t="s" s="56" r="E7">
        <v>678</v>
      </c>
      <c t="s" s="28" r="F7">
        <v>684</v>
      </c>
      <c t="s" s="28" r="G7">
        <v>685</v>
      </c>
      <c t="s" s="28" r="H7">
        <v>686</v>
      </c>
      <c t="s" s="28" r="I7">
        <v>687</v>
      </c>
      <c s="79" r="J7"/>
      <c s="4" r="K7"/>
      <c s="4" r="L7"/>
      <c s="4" r="M7"/>
      <c s="4" r="N7"/>
      <c s="4" r="O7"/>
      <c s="4" r="P7"/>
      <c s="4" r="Q7"/>
    </row>
    <row customHeight="1" r="8" ht="39.0">
      <c t="s" s="28" r="A8">
        <v>688</v>
      </c>
      <c t="str" s="78" r="B8">
        <f>HYPERLINK("http://www.google.com/url?q=http://www.wormbase.org/db/gene/gene%3Fname%3DWBGene00004780%3Bclass%3DGene&amp;usd=2&amp;usg=ALhdy2-fp7n9v6S7l_4Z7rz-BBFVOeJWrw","ser-7")</f>
        <v>ser-7</v>
      </c>
      <c t="str" s="78" r="C8">
        <f>HYPERLINK("http://www.google.com/url?q=http://www.wormbase.org/db/gene/gene%3Fname%3DWBGene00004780%3Bclass%3DGene&amp;usd=2&amp;usg=ALhdy2-fp7n9v6S7l_4Z7rz-BBFVOeJWrw","C09B7.1")</f>
        <v>C09B7.1</v>
      </c>
      <c t="s" s="28" r="D8">
        <v>689</v>
      </c>
      <c t="s" s="56" r="E8">
        <v>678</v>
      </c>
      <c t="s" s="28" r="F8">
        <v>690</v>
      </c>
      <c t="s" s="28" r="G8">
        <v>691</v>
      </c>
      <c t="s" s="28" r="H8">
        <v>692</v>
      </c>
      <c t="s" s="28" r="I8">
        <v>693</v>
      </c>
      <c s="79" r="J8"/>
      <c s="4" r="K8"/>
      <c s="4" r="L8"/>
      <c s="4" r="M8"/>
      <c s="4" r="N8"/>
      <c s="4" r="O8"/>
      <c s="4" r="P8"/>
      <c s="4" r="Q8"/>
    </row>
    <row customHeight="1" r="9" ht="15.75">
      <c t="s" s="95" r="A9">
        <v>694</v>
      </c>
      <c t="str" s="78" r="B9">
        <f>HYPERLINK("http://www.google.com/url?q=http://www.wormbase.org/db/gene/gene%3Fname%3DWBGene00003386%3Bclass%3DGene&amp;usd=2&amp;usg=ALhdy28fM49C4ZJEAKnsssrrqslIl-gL7w","mod-1")</f>
        <v>mod-1</v>
      </c>
      <c t="str" s="78" r="C9">
        <f>HYPERLINK("http://www.google.com/url?q=http://www.wormbase.org/db/gene/gene%3Fname%3DWBGene00003386%3Bclass%3DGene&amp;usd=2&amp;usg=ALhdy28fM49C4ZJEAKnsssrrqslIl-gL7w","K06C4.6")</f>
        <v>K06C4.6</v>
      </c>
      <c t="s" s="28" r="D9">
        <v>695</v>
      </c>
      <c t="s" s="56" r="E9">
        <v>678</v>
      </c>
      <c t="s" s="28" r="F9">
        <v>696</v>
      </c>
      <c s="167" r="G9"/>
      <c t="s" s="28" r="H9">
        <v>697</v>
      </c>
      <c t="s" s="28" r="I9">
        <v>698</v>
      </c>
      <c s="79" r="J9"/>
      <c s="4" r="K9"/>
      <c s="4" r="L9"/>
      <c s="4" r="M9"/>
      <c s="4" r="N9"/>
      <c s="4" r="O9"/>
      <c s="4" r="P9"/>
      <c s="4" r="Q9"/>
    </row>
    <row customHeight="1" r="10" ht="26.25">
      <c s="101" r="A10"/>
      <c t="str" s="150" r="B10">
        <f>HYPERLINK("http://www.google.com/url?q=http://www.wormbase.org/db/gene/gene%3Fname%3DWBGene00020605%3Bclass%3DGene&amp;usd=2&amp;usg=ALhdy29T240huumkoj9HnNjP-q_kf-yfVg","lgc-50")</f>
        <v>lgc-50</v>
      </c>
      <c t="str" s="150" r="C10">
        <f>HYPERLINK("http://www.google.com/url?q=http://www.wormbase.org/db/gene/gene%3Fname%3DWBGene00020605%3Bclass%3DGene&amp;usd=2&amp;usg=ALhdy29T240huumkoj9HnNjP-q_kf-yfVg","T20B12.9")</f>
        <v>T20B12.9</v>
      </c>
      <c t="s" s="181" r="D10">
        <v>699</v>
      </c>
      <c s="160" r="E10"/>
      <c s="101" r="F10"/>
      <c s="101" r="G10"/>
      <c s="101" r="H10"/>
      <c t="s" s="181" r="I10">
        <v>700</v>
      </c>
      <c s="79" r="J10"/>
      <c s="4" r="K10"/>
      <c s="4" r="L10"/>
      <c s="4" r="M10"/>
      <c s="4" r="N10"/>
      <c s="4" r="O10"/>
      <c s="4" r="P10"/>
      <c s="4" r="Q10"/>
    </row>
    <row customHeight="1" r="11" ht="15.75">
      <c t="s" s="118" r="A11">
        <v>701</v>
      </c>
      <c t="s" s="104" r="B11">
        <v>661</v>
      </c>
      <c t="s" s="60" r="C11">
        <v>662</v>
      </c>
      <c t="s" s="60" r="D11">
        <v>1</v>
      </c>
      <c t="s" s="60" r="E11">
        <v>663</v>
      </c>
      <c t="s" s="60" r="F11">
        <v>702</v>
      </c>
      <c t="s" s="60" r="G11">
        <v>664</v>
      </c>
      <c t="s" s="60" r="H11">
        <v>665</v>
      </c>
      <c t="s" s="60" r="I11">
        <v>703</v>
      </c>
      <c s="79" r="J11"/>
      <c s="4" r="K11"/>
      <c s="4" r="L11"/>
      <c s="4" r="M11"/>
      <c s="4" r="N11"/>
      <c s="4" r="O11"/>
      <c s="4" r="P11"/>
      <c s="4" r="Q11"/>
    </row>
    <row customHeight="1" r="12" ht="15.75">
      <c t="s" s="153" r="A12">
        <v>704</v>
      </c>
      <c s="47" r="B12"/>
      <c s="47" r="C12"/>
      <c s="47" r="D12"/>
      <c s="47" r="E12"/>
      <c s="47" r="F12"/>
      <c s="47" r="G12"/>
      <c s="47" r="H12"/>
      <c t="s" s="146" r="I12">
        <v>705</v>
      </c>
      <c s="79" r="J12"/>
      <c s="4" r="K12"/>
      <c s="4" r="L12"/>
      <c s="4" r="M12"/>
      <c s="4" r="N12"/>
      <c s="4" r="O12"/>
      <c s="4" r="P12"/>
      <c s="4" r="Q12"/>
    </row>
    <row customHeight="1" r="13" ht="15.75">
      <c t="s" s="38" r="A13">
        <v>668</v>
      </c>
      <c s="167" r="B13"/>
      <c s="167" r="C13"/>
      <c s="167" r="D13"/>
      <c s="167" r="E13"/>
      <c s="167" r="F13"/>
      <c s="167" r="G13"/>
      <c s="167" r="H13"/>
      <c s="167" r="I13"/>
      <c s="79" r="J13"/>
      <c s="4" r="K13"/>
      <c s="4" r="L13"/>
      <c s="4" r="M13"/>
      <c s="4" r="N13"/>
      <c s="4" r="O13"/>
      <c s="4" r="P13"/>
      <c s="4" r="Q13"/>
    </row>
    <row customHeight="1" r="14" ht="51.75">
      <c t="s" s="28" r="A14">
        <v>706</v>
      </c>
      <c t="str" s="78" r="B14">
        <f>HYPERLINK("http://www.google.com/url?q=http://www.wormbase.org/db/gene/gene%3Fname%3DWBGene00001052%3Bclass%3DGene&amp;usd=2&amp;usg=ALhdy29w9rNj6g_0H25HyWJkdZKHy0RO6A","dop-1")</f>
        <v>dop-1</v>
      </c>
      <c t="str" s="78" r="C14">
        <f>HYPERLINK("http://www.google.com/url?q=http://www.wormbase.org/db/gene/gene%3Fname%3DWBGene00001052%3Bclass%3DGene&amp;usd=2&amp;usg=ALhdy29w9rNj6g_0H25HyWJkdZKHy0RO6A","F15A8.5")</f>
        <v>F15A8.5</v>
      </c>
      <c t="s" s="28" r="D14">
        <v>707</v>
      </c>
      <c t="s" s="56" r="E14">
        <v>708</v>
      </c>
      <c t="s" s="28" r="F14">
        <v>709</v>
      </c>
      <c t="s" s="28" r="G14">
        <v>710</v>
      </c>
      <c t="s" s="28" r="H14">
        <v>711</v>
      </c>
      <c t="s" s="28" r="I14">
        <v>712</v>
      </c>
      <c s="79" r="J14"/>
      <c s="4" r="K14"/>
      <c s="4" r="L14"/>
      <c s="4" r="M14"/>
      <c s="4" r="N14"/>
      <c s="4" r="O14"/>
      <c s="4" r="P14"/>
      <c s="4" r="Q14"/>
    </row>
    <row customHeight="1" r="15" ht="15.75">
      <c t="s" s="28" r="A15">
        <v>713</v>
      </c>
      <c t="str" s="78" r="B15">
        <f>HYPERLINK("http://www.google.com/url?q=http://www.wormbase.org/db/gene/gene%3Fname%3DWBGene00001053%3Bclass%3DGene&amp;usd=2&amp;usg=ALhdy28JvHJHDk2R-KhxofdJaI7Pqwf4vw","dop-2 (dop-2L)")</f>
        <v>dop-2 (dop-2L)</v>
      </c>
      <c t="str" s="78" r="C15">
        <f>HYPERLINK("http://www.google.com/url?q=http://www.wormbase.org/db/gene/gene%3Fname%3DWBGene00001053%3Bclass%3DGene&amp;usd=2&amp;usg=ALhdy28JvHJHDk2R-KhxofdJaI7Pqwf4vw","K09G1.4")</f>
        <v>K09G1.4</v>
      </c>
      <c t="s" s="28" r="D15">
        <v>714</v>
      </c>
      <c t="s" s="56" r="E15">
        <v>708</v>
      </c>
      <c t="str" s="78" r="F15">
        <f>HYPERLINK("http://www.google.com/url?q=http://www.wormatlas.org/neurons/Individual%2520Neurons/Neuronframeset.html&amp;usd=2&amp;usg=ALhdy2_OIz5gY07K9vr5knfGd_eIwp9JUw","ADE, CEP, PDA, PDE, RIA, RID, SIA, SIB, unidentified neurons in the head, male ray")</f>
        <v>ADE, CEP, PDA, PDE, RIA, RID, SIA, SIB, unidentified neurons in the head, male ray</v>
      </c>
      <c s="167" r="G15"/>
      <c s="167" r="H15"/>
      <c t="s" s="28" r="I15">
        <v>715</v>
      </c>
      <c s="79" r="J15"/>
      <c s="4" r="K15"/>
      <c s="4" r="L15"/>
      <c s="4" r="M15"/>
      <c s="4" r="N15"/>
      <c s="4" r="O15"/>
      <c s="4" r="P15"/>
      <c s="4" r="Q15"/>
    </row>
    <row customHeight="1" r="16" ht="39.0">
      <c t="s" s="28" r="A16">
        <v>713</v>
      </c>
      <c t="str" s="78" r="B16">
        <f>HYPERLINK("http://www.google.com/url?q=http://www.wormbase.org/db/gene/gene%3Fname%3DWBGene00020506%3Bclass%3DGene&amp;usd=2&amp;usg=ALhdy29CyKhK5XkVRifEysi97kgCBvTXOA","dop-3")</f>
        <v>dop-3</v>
      </c>
      <c t="str" s="78" r="C16">
        <f>HYPERLINK("http://www.google.com/url?q=http://www.wormbase.org/db/gene/gene%3Fname%3DWBGene00020506%3Bclass%3DGene&amp;usd=2&amp;usg=ALhdy29CyKhK5XkVRifEysi97kgCBvTXOA","T14E8.3")</f>
        <v>T14E8.3</v>
      </c>
      <c t="s" s="28" r="D16">
        <v>716</v>
      </c>
      <c t="s" s="56" r="E16">
        <v>708</v>
      </c>
      <c t="s" s="28" r="F16">
        <v>717</v>
      </c>
      <c s="167" r="G16"/>
      <c t="s" s="28" r="H16">
        <v>718</v>
      </c>
      <c t="s" s="28" r="I16">
        <v>719</v>
      </c>
      <c s="79" r="J16"/>
      <c s="4" r="K16"/>
      <c s="4" r="L16"/>
      <c s="4" r="M16"/>
      <c s="4" r="N16"/>
      <c s="4" r="O16"/>
      <c s="4" r="P16"/>
      <c s="4" r="Q16"/>
    </row>
    <row customHeight="1" r="17" ht="15.75">
      <c t="s" s="28" r="A17">
        <v>720</v>
      </c>
      <c t="str" s="78" r="B17">
        <f>HYPERLINK("http://www.google.com/url?q=http://www.wormbase.org/db/gene/gene%3Fname%3DWBGene00016872%3Bclass%3DGene&amp;usd=2&amp;usg=ALhdy281d9Ua9vtWpgGQwWFoLX1pEqm14A","dop-4")</f>
        <v>dop-4</v>
      </c>
      <c t="str" s="78" r="C17">
        <f>HYPERLINK("http://www.google.com/url?q=http://www.wormbase.org/db/gene/gene%3Fname%3DWBGene00016872%3Bclass%3DGene&amp;usd=2&amp;usg=ALhdy281d9Ua9vtWpgGQwWFoLX1pEqm14A","C52B11.3")</f>
        <v>C52B11.3</v>
      </c>
      <c t="s" s="28" r="D17">
        <v>721</v>
      </c>
      <c t="s" s="56" r="E17">
        <v>708</v>
      </c>
      <c t="s" s="28" r="F17">
        <v>722</v>
      </c>
      <c s="167" r="G17"/>
      <c s="167" r="H17"/>
      <c t="s" s="28" r="I17">
        <v>723</v>
      </c>
      <c s="79" r="J17"/>
      <c s="4" r="K17"/>
      <c s="4" r="L17"/>
      <c s="4" r="M17"/>
      <c s="4" r="N17"/>
      <c s="4" r="O17"/>
      <c s="4" r="P17"/>
      <c s="4" r="Q17"/>
    </row>
    <row customHeight="1" r="18" ht="51.75">
      <c t="s" s="28" r="A18">
        <v>724</v>
      </c>
      <c t="str" s="78" r="B18">
        <f>HYPERLINK("http://www.google.com/url?q=http://www.wormbase.org/db/gene/gene%3Fname%3DWBGene00011382%3Bclass%3DGene&amp;usd=2&amp;usg=ALhdy2-zelTP22M9m72dfV0RegPLWl8Bsw","dop-5")</f>
        <v>dop-5</v>
      </c>
      <c t="str" s="78" r="C18">
        <f>HYPERLINK("http://www.google.com/url?q=http://www.wormbase.org/db/gene/gene%3Fname%3DWBGene00011382%3Bclass%3DGene&amp;usd=2&amp;usg=ALhdy2-zelTP22M9m72dfV0RegPLWl8Bsw","T02E9.3")</f>
        <v>T02E9.3</v>
      </c>
      <c t="s" s="28" r="D18">
        <v>721</v>
      </c>
      <c t="s" s="56" r="E18">
        <v>725</v>
      </c>
      <c t="str" s="78" r="F18">
        <f>HYPERLINK("http://www.google.com/url?q=http://www.wormatlas.org/neurons/Individual%2520Neurons/Neuronframeset.html&amp;usd=2&amp;usg=ALhdy2_OIz5gY07K9vr5knfGd_eIwp9JUw","ASE, other head and tail neurons")</f>
        <v>ASE, other head and tail neurons</v>
      </c>
      <c s="167" r="G18"/>
      <c t="s" s="28" r="H18">
        <v>726</v>
      </c>
      <c t="s" s="28" r="I18">
        <v>727</v>
      </c>
      <c s="79" r="J18"/>
      <c s="4" r="K18"/>
      <c s="4" r="L18"/>
      <c s="4" r="M18"/>
      <c s="4" r="N18"/>
      <c s="4" r="O18"/>
      <c s="4" r="P18"/>
      <c s="4" r="Q18"/>
    </row>
    <row customHeight="1" r="19" ht="26.25">
      <c t="s" s="181" r="A19">
        <v>728</v>
      </c>
      <c t="str" s="150" r="B19">
        <f>HYPERLINK("http://www.google.com/url?q=http://www.wormbase.org/db/gene/gene%3Fname%3DWBGene00016037%3Bclass%3DGene&amp;usd=2&amp;usg=ALhdy28CinfxFz35__yrB9cJqAKK8jvz2Q","dop-6")</f>
        <v>dop-6</v>
      </c>
      <c t="str" s="150" r="C19">
        <f>HYPERLINK("http://www.google.com/url?q=http://www.wormbase.org/db/gene/gene%3Fname%3DWBGene00016037%3Bclass%3DGene&amp;usd=2&amp;usg=ALhdy28CinfxFz35__yrB9cJqAKK8jvz2Q","C24A8.1")</f>
        <v>C24A8.1</v>
      </c>
      <c t="s" s="181" r="D19">
        <v>721</v>
      </c>
      <c t="s" s="8" r="E19">
        <v>708</v>
      </c>
      <c t="s" s="181" r="F19">
        <v>729</v>
      </c>
      <c s="101" r="G19"/>
      <c t="s" s="181" r="H19">
        <v>730</v>
      </c>
      <c t="s" s="181" r="I19">
        <v>731</v>
      </c>
      <c s="79" r="J19"/>
      <c s="4" r="K19"/>
      <c s="4" r="L19"/>
      <c s="4" r="M19"/>
      <c s="4" r="N19"/>
      <c s="4" r="O19"/>
      <c s="4" r="P19"/>
      <c s="4" r="Q19"/>
    </row>
    <row customHeight="1" r="20" ht="15.75">
      <c t="s" s="177" r="A20">
        <v>732</v>
      </c>
      <c s="47" r="B20"/>
      <c s="47" r="C20"/>
      <c s="47" r="D20"/>
      <c s="47" r="E20"/>
      <c s="47" r="F20"/>
      <c s="47" r="G20"/>
      <c s="47" r="H20"/>
      <c s="47" r="I20"/>
      <c s="79" r="J20"/>
      <c s="4" r="K20"/>
      <c s="4" r="L20"/>
      <c s="4" r="M20"/>
      <c s="4" r="N20"/>
      <c s="4" r="O20"/>
      <c s="4" r="P20"/>
      <c s="4" r="Q20"/>
    </row>
    <row customHeight="1" r="21" ht="51.75">
      <c s="101" r="A21"/>
      <c t="str" s="150" r="B21">
        <f>HYPERLINK("http://www.google.com/url?q=http://www.wormbase.org/db/gene/gene%3Fname%3DWBGene00044004%3Bclass%3DGene&amp;usd=2&amp;usg=ALhdy282vEqW1Prmy53aGNEsi48oCP50zw","C24A8.6")</f>
        <v>C24A8.6</v>
      </c>
      <c t="str" s="150" r="C21">
        <f>HYPERLINK("http://www.google.com/url?q=http://www.wormbase.org/db/gene/gene%3Fname%3DWBGene00044004%3Bclass%3DGene&amp;usd=2&amp;usg=ALhdy282vEqW1Prmy53aGNEsi48oCP50zw","C24A8.6")</f>
        <v>C24A8.6</v>
      </c>
      <c t="s" s="181" r="D21">
        <v>733</v>
      </c>
      <c t="s" s="9" r="E21">
        <v>694</v>
      </c>
      <c s="101" r="F21"/>
      <c s="101" r="G21"/>
      <c s="101" r="H21"/>
      <c t="s" s="181" r="I21">
        <v>734</v>
      </c>
      <c s="79" r="J21"/>
      <c s="4" r="K21"/>
      <c s="4" r="L21"/>
      <c s="4" r="M21"/>
      <c s="4" r="N21"/>
      <c s="4" r="O21"/>
      <c s="4" r="P21"/>
      <c s="4" r="Q21"/>
    </row>
    <row customHeight="1" r="22" ht="15.75">
      <c t="s" s="118" r="A22">
        <v>660</v>
      </c>
      <c t="s" s="104" r="B22">
        <v>661</v>
      </c>
      <c t="s" s="60" r="C22">
        <v>662</v>
      </c>
      <c t="s" s="60" r="D22">
        <v>1</v>
      </c>
      <c t="s" s="60" r="E22">
        <v>663</v>
      </c>
      <c t="s" s="60" r="F22">
        <v>702</v>
      </c>
      <c t="s" s="60" r="G22">
        <v>664</v>
      </c>
      <c t="s" s="60" r="H22">
        <v>665</v>
      </c>
      <c t="s" s="60" r="I22">
        <v>703</v>
      </c>
      <c s="79" r="J22"/>
      <c s="4" r="K22"/>
      <c s="4" r="L22"/>
      <c s="4" r="M22"/>
      <c s="4" r="N22"/>
      <c s="4" r="O22"/>
      <c s="4" r="P22"/>
      <c s="4" r="Q22"/>
    </row>
    <row customHeight="1" r="23" ht="15.75">
      <c t="s" s="153" r="A23">
        <v>735</v>
      </c>
      <c s="47" r="B23"/>
      <c s="47" r="C23"/>
      <c s="47" r="D23"/>
      <c s="47" r="E23"/>
      <c s="47" r="F23"/>
      <c s="47" r="G23"/>
      <c s="47" r="H23"/>
      <c s="47" r="I23"/>
      <c s="79" r="J23"/>
      <c s="4" r="K23"/>
      <c s="4" r="L23"/>
      <c s="4" r="M23"/>
      <c s="4" r="N23"/>
      <c s="4" r="O23"/>
      <c s="4" r="P23"/>
      <c s="4" r="Q23"/>
    </row>
    <row customHeight="1" r="24" ht="15.75">
      <c t="s" s="38" r="A24">
        <v>668</v>
      </c>
      <c s="167" r="B24"/>
      <c s="167" r="C24"/>
      <c s="167" r="D24"/>
      <c s="167" r="E24"/>
      <c s="167" r="F24"/>
      <c s="167" r="G24"/>
      <c s="167" r="H24"/>
      <c s="167" r="I24"/>
      <c s="79" r="J24"/>
      <c s="4" r="K24"/>
      <c s="4" r="L24"/>
      <c s="4" r="M24"/>
      <c s="4" r="N24"/>
      <c s="4" r="O24"/>
      <c s="4" r="P24"/>
      <c s="4" r="Q24"/>
    </row>
    <row customHeight="1" r="25" ht="15.75">
      <c s="167" r="A25"/>
      <c t="str" s="78" r="B25">
        <f>HYPERLINK("http://www.google.com/url?q=http://www.wormbase.org/db/gene/gene%3Fname%3DWBGene00006411%3Bclass%3DGene&amp;usd=2&amp;usg=ALhdy2-jd2ZJ4tD7ZZdkkPtq03eyF4szcA","octr-1")</f>
        <v>octr-1</v>
      </c>
      <c t="str" s="78" r="C25">
        <f>HYPERLINK("http://www.google.com/url?q=http://www.wormbase.org/db/gene/gene%3Fname%3DWBGene00006411%3Bclass%3DGene&amp;usd=2&amp;usg=ALhdy2-jd2ZJ4tD7ZZdkkPtq03eyF4szcA","F14D12.6")</f>
        <v>F14D12.6</v>
      </c>
      <c t="s" s="28" r="D25">
        <v>736</v>
      </c>
      <c t="s" s="56" r="E25">
        <v>737</v>
      </c>
      <c t="str" s="78" r="F25">
        <f>HYPERLINK("http://www.google.com/url?q=http://www.wormatlas.org/neurons/Individual%2520Neurons/Neuronframeset.html&amp;usd=2&amp;usg=ALhdy2_OIz5gY07K9vr5knfGd_eIwp9JUw","Exclusively in a subset of head and tail neurons, ASH")</f>
        <v>Exclusively in a subset of head and tail neurons, ASH</v>
      </c>
      <c s="167" r="G25"/>
      <c t="s" s="28" r="H25">
        <v>738</v>
      </c>
      <c t="s" s="28" r="I25">
        <v>739</v>
      </c>
      <c s="79" r="J25"/>
      <c s="4" r="K25"/>
      <c s="4" r="L25"/>
      <c s="4" r="M25"/>
      <c s="4" r="N25"/>
      <c s="4" r="O25"/>
      <c s="4" r="P25"/>
      <c s="4" r="Q25"/>
    </row>
    <row customHeight="1" r="26" ht="102.75">
      <c t="s" s="28" r="A26">
        <v>740</v>
      </c>
      <c t="str" s="78" r="B26">
        <f>HYPERLINK("http://www.google.com/url?q=http://www.wormbase.org/db/gene/gene%3Fname%3DWBGene00004778%3Bclass%3DGene&amp;usd=2&amp;usg=ALhdy2_SDTpK3rB0NsfTqy0Ew9EMFAKAGQ","ser-3")</f>
        <v>ser-3</v>
      </c>
      <c t="str" s="78" r="C26">
        <f>HYPERLINK("http://www.google.com/url?q=http://www.wormbase.org/db/gene/gene%3Fname%3DWBGene00004778%3Bclass%3DGene&amp;usd=2&amp;usg=ALhdy2_SDTpK3rB0NsfTqy0Ew9EMFAKAGQ","K02F2.6")</f>
        <v>K02F2.6</v>
      </c>
      <c t="s" s="28" r="D26">
        <v>741</v>
      </c>
      <c t="s" s="56" r="E26">
        <v>742</v>
      </c>
      <c t="s" s="28" r="F26">
        <v>743</v>
      </c>
      <c t="s" s="28" r="G26">
        <v>744</v>
      </c>
      <c t="s" s="28" r="H26">
        <v>745</v>
      </c>
      <c t="s" s="28" r="I26">
        <v>746</v>
      </c>
      <c s="79" r="J26"/>
      <c s="4" r="K26"/>
      <c s="4" r="L26"/>
      <c s="4" r="M26"/>
      <c s="4" r="N26"/>
      <c s="4" r="O26"/>
      <c s="4" r="P26"/>
      <c s="4" r="Q26"/>
    </row>
    <row customHeight="1" r="27" ht="26.25">
      <c s="101" r="A27"/>
      <c t="str" s="150" r="B27">
        <f>HYPERLINK("http://www.google.com/url?q=http://www.wormbase.org/db/gene/gene%3Fname%3DWBGene00021897%3Bclass%3DGene&amp;usd=2&amp;usg=ALhdy2_X8NwAEF-pZXjIAL2OGJobW1ok6g","ser-6")</f>
        <v>ser-6</v>
      </c>
      <c t="str" s="150" r="C27">
        <f>HYPERLINK("http://www.google.com/url?q=http://www.wormbase.org/db/gene/gene%3Fname%3DWBGene00021897%3Bclass%3DGene&amp;usd=2&amp;usg=ALhdy2_X8NwAEF-pZXjIAL2OGJobW1ok6g","Y54G2A.35")</f>
        <v>Y54G2A.35</v>
      </c>
      <c t="s" s="181" r="D27">
        <v>747</v>
      </c>
      <c t="s" s="8" r="E27">
        <v>737</v>
      </c>
      <c t="str" s="150" r="F27">
        <f>HYPERLINK("http://www.google.com/url?q=http://www.wormatlas.org/neurons/Individual%2520Neurons/Neuronframeset.html&amp;usd=2&amp;usg=ALhdy2_OIz5gY07K9vr5knfGd_eIwp9JUw","Subset of head and tail neurons")</f>
        <v>Subset of head and tail neurons</v>
      </c>
      <c t="s" s="181" r="G27">
        <v>748</v>
      </c>
      <c t="s" s="181" r="H27">
        <v>749</v>
      </c>
      <c t="s" s="181" r="I27">
        <v>750</v>
      </c>
      <c s="79" r="J27"/>
      <c s="4" r="K27"/>
      <c s="4" r="L27"/>
      <c s="4" r="M27"/>
      <c s="4" r="N27"/>
      <c s="4" r="O27"/>
      <c s="4" r="P27"/>
      <c s="4" r="Q27"/>
    </row>
    <row customHeight="1" r="28" ht="15.75">
      <c t="s" s="118" r="A28">
        <v>660</v>
      </c>
      <c t="s" s="104" r="B28">
        <v>661</v>
      </c>
      <c t="s" s="60" r="C28">
        <v>662</v>
      </c>
      <c t="s" s="60" r="D28">
        <v>1</v>
      </c>
      <c t="s" s="60" r="E28">
        <v>663</v>
      </c>
      <c t="s" s="60" r="F28">
        <v>702</v>
      </c>
      <c t="s" s="60" r="G28">
        <v>664</v>
      </c>
      <c t="s" s="60" r="H28">
        <v>665</v>
      </c>
      <c t="s" s="60" r="I28">
        <v>703</v>
      </c>
      <c s="79" r="J28"/>
      <c s="4" r="K28"/>
      <c s="4" r="L28"/>
      <c s="4" r="M28"/>
      <c s="4" r="N28"/>
      <c s="4" r="O28"/>
      <c s="4" r="P28"/>
      <c s="4" r="Q28"/>
    </row>
    <row customHeight="1" r="29" ht="15.75">
      <c t="s" s="153" r="A29">
        <v>751</v>
      </c>
      <c s="47" r="B29"/>
      <c s="47" r="C29"/>
      <c s="47" r="D29"/>
      <c s="47" r="E29"/>
      <c s="47" r="F29"/>
      <c s="47" r="G29"/>
      <c s="47" r="H29"/>
      <c t="s" s="146" r="I29">
        <v>752</v>
      </c>
      <c s="79" r="J29"/>
      <c s="4" r="K29"/>
      <c s="4" r="L29"/>
      <c s="4" r="M29"/>
      <c s="4" r="N29"/>
      <c s="4" r="O29"/>
      <c s="4" r="P29"/>
      <c s="4" r="Q29"/>
    </row>
    <row customHeight="1" r="30" ht="15.75">
      <c t="s" s="38" r="A30">
        <v>668</v>
      </c>
      <c s="167" r="B30"/>
      <c s="167" r="C30"/>
      <c s="167" r="D30"/>
      <c s="167" r="E30"/>
      <c s="167" r="F30"/>
      <c s="167" r="G30"/>
      <c s="167" r="H30"/>
      <c s="167" r="I30"/>
      <c s="79" r="J30"/>
      <c s="4" r="K30"/>
      <c s="4" r="L30"/>
      <c s="4" r="M30"/>
      <c s="4" r="N30"/>
      <c s="4" r="O30"/>
      <c s="4" r="P30"/>
      <c s="4" r="Q30"/>
    </row>
    <row customHeight="1" r="31" ht="77.25">
      <c s="167" r="A31"/>
      <c t="str" s="78" r="B31">
        <f>HYPERLINK("http://www.google.com/url?q=http://www.wormbase.org/db/gene/gene%3Fname%3DWBGene00004777%3Bclass%3DGene&amp;usd=2&amp;usg=ALhdy2-YAHa9QieCn_wM11b0FzKFOfFzig","ser-2")</f>
        <v>ser-2</v>
      </c>
      <c t="str" s="78" r="C31">
        <f>HYPERLINK("http://www.google.com/url?q=http://www.wormbase.org/db/gene/gene%3Fname%3DWBGene00004777%3Bclass%3DGene&amp;usd=2&amp;usg=ALhdy2-YAHa9QieCn_wM11b0FzKFOfFzig","C02D4.2")</f>
        <v>C02D4.2</v>
      </c>
      <c t="s" s="28" r="D31">
        <v>714</v>
      </c>
      <c t="s" s="56" r="E31">
        <v>753</v>
      </c>
      <c t="s" s="28" r="F31">
        <v>754</v>
      </c>
      <c t="s" s="28" r="G31">
        <v>755</v>
      </c>
      <c t="s" s="28" r="H31">
        <v>756</v>
      </c>
      <c t="s" s="28" r="I31">
        <v>757</v>
      </c>
      <c s="79" r="J31"/>
      <c s="4" r="K31"/>
      <c s="4" r="L31"/>
      <c s="4" r="M31"/>
      <c s="4" r="N31"/>
      <c s="4" r="O31"/>
      <c s="4" r="P31"/>
      <c s="4" r="Q31"/>
    </row>
    <row customHeight="1" r="32" ht="26.25">
      <c t="s" s="28" r="A32">
        <v>758</v>
      </c>
      <c t="str" s="78" r="B32">
        <f>HYPERLINK("http://www.google.com/url?q=http://www.wormbase.org/db/gene/gene%3Fname%3DWBGene00017157%3Bclass%3DGene&amp;usd=2&amp;usg=ALhdy2-ss87jgvIR6aTr3k5q7N-OVHVecw","tyra-2")</f>
        <v>tyra-2</v>
      </c>
      <c t="str" s="78" r="C32">
        <f>HYPERLINK("http://www.google.com/url?q=http://www.wormbase.org/db/gene/gene%3Fname%3DWBGene00017157%3Bclass%3DGene&amp;usd=2&amp;usg=ALhdy2-ss87jgvIR6aTr3k5q7N-OVHVecw","F01E11.5")</f>
        <v>F01E11.5</v>
      </c>
      <c t="s" s="28" r="D32">
        <v>759</v>
      </c>
      <c t="s" s="56" r="E32">
        <v>753</v>
      </c>
      <c t="str" s="78" r="F32">
        <f>HYPERLINK("http://www.google.com/url?q=http://www.wormatlas.org/neurons/Individual%2520Neurons/Neuronframeset.html&amp;usd=2&amp;usg=ALhdy2_OIz5gY07K9vr5knfGd_eIwp9JUw","MC and NSM pharyngeal neurons, the AS family of amphid neurons (ASE, ASG, ASH, ASI) and neurons in the nerve ring, body and tail including PVD, CAN and the ALM")</f>
        <v>MC and NSM pharyngeal neurons, the AS family of amphid neurons (ASE, ASG, ASH, ASI) and neurons in the nerve ring, body and tail including PVD, CAN and the ALM</v>
      </c>
      <c s="167" r="G32"/>
      <c s="167" r="H32"/>
      <c t="s" s="28" r="I32">
        <v>760</v>
      </c>
      <c s="79" r="J32"/>
      <c s="4" r="K32"/>
      <c s="4" r="L32"/>
      <c s="4" r="M32"/>
      <c s="4" r="N32"/>
      <c s="4" r="O32"/>
      <c s="4" r="P32"/>
      <c s="4" r="Q32"/>
    </row>
    <row customHeight="1" r="33" ht="26.25">
      <c s="167" r="A33"/>
      <c t="str" s="78" r="B33">
        <f>HYPERLINK("http://www.google.com/url?q=http://www.wormbase.org/db/gene/gene%3Fname%3DWBGene00006475%3Bclass%3DGene&amp;usd=2&amp;usg=ALhdy2-uYdRSpF2nsfkpv5989CGl1wWlYg","tyra-3")</f>
        <v>tyra-3</v>
      </c>
      <c t="str" s="78" r="C33">
        <f>HYPERLINK("http://www.google.com/url?q=http://www.wormbase.org/db/gene/gene%3Fname%3DWBGene00006475%3Bclass%3DGene&amp;usd=2&amp;usg=ALhdy2-uYdRSpF2nsfkpv5989CGl1wWlYg","M03F4.3")</f>
        <v>M03F4.3</v>
      </c>
      <c t="s" s="28" r="D33">
        <v>761</v>
      </c>
      <c t="s" s="56" r="E33">
        <v>762</v>
      </c>
      <c t="s" s="28" r="F33">
        <v>763</v>
      </c>
      <c s="167" r="G33"/>
      <c t="s" s="28" r="H33">
        <v>764</v>
      </c>
      <c t="s" s="28" r="I33">
        <v>765</v>
      </c>
      <c s="79" r="J33"/>
      <c s="4" r="K33"/>
      <c s="4" r="L33"/>
      <c s="4" r="M33"/>
      <c s="4" r="N33"/>
      <c s="4" r="O33"/>
      <c s="4" r="P33"/>
      <c s="4" r="Q33"/>
    </row>
    <row customHeight="1" r="34" ht="26.25">
      <c s="101" r="A34"/>
      <c t="str" s="150" r="B34">
        <f>HYPERLINK("http://www.google.com/url?q=http://www.wormbase.org/db/gene/gene%3Fname%3DWBGene00013746%3Bclass%3DGene&amp;usd=2&amp;usg=ALhdy2-AvlIrRIuNKAh0s5HmKJlkVL9aoA","lgc-55")</f>
        <v>lgc-55</v>
      </c>
      <c t="str" s="150" r="C34">
        <f>HYPERLINK("http://www.google.com/url?q=http://www.wormbase.org/db/gene/gene%3Fname%3DWBGene00013746%3Bclass%3DGene&amp;usd=2&amp;usg=ALhdy2-AvlIrRIuNKAh0s5HmKJlkVL9aoA","Y113G7A.5")</f>
        <v>Y113G7A.5</v>
      </c>
      <c t="s" s="181" r="D34">
        <v>766</v>
      </c>
      <c t="s" s="8" r="E34">
        <v>767</v>
      </c>
      <c t="s" s="181" r="F34">
        <v>768</v>
      </c>
      <c s="101" r="G34"/>
      <c t="s" s="181" r="H34">
        <v>769</v>
      </c>
      <c t="s" s="181" r="I34">
        <v>770</v>
      </c>
      <c s="79" r="J34"/>
      <c s="4" r="K34"/>
      <c s="4" r="L34"/>
      <c s="4" r="M34"/>
      <c s="4" r="N34"/>
      <c s="4" r="O34"/>
      <c s="4" r="P34"/>
      <c s="4" r="Q34"/>
    </row>
    <row customHeight="1" r="35" ht="15.75">
      <c t="s" s="118" r="A35">
        <v>660</v>
      </c>
      <c t="s" s="104" r="B35">
        <v>661</v>
      </c>
      <c t="s" s="60" r="C35">
        <v>662</v>
      </c>
      <c t="s" s="60" r="D35">
        <v>1</v>
      </c>
      <c t="s" s="60" r="E35">
        <v>663</v>
      </c>
      <c t="s" s="60" r="F35">
        <v>702</v>
      </c>
      <c t="s" s="60" r="G35">
        <v>664</v>
      </c>
      <c t="s" s="60" r="H35">
        <v>665</v>
      </c>
      <c t="s" s="60" r="I35">
        <v>703</v>
      </c>
      <c s="79" r="J35"/>
      <c s="4" r="K35"/>
      <c s="4" r="L35"/>
      <c s="4" r="M35"/>
      <c s="4" r="N35"/>
      <c s="4" r="O35"/>
      <c s="4" r="P35"/>
      <c s="4" r="Q35"/>
    </row>
    <row customHeight="1" r="36" ht="15.75">
      <c t="s" s="53" r="A36">
        <v>771</v>
      </c>
      <c s="154" r="B36"/>
      <c s="154" r="C36"/>
      <c s="154" r="D36"/>
      <c s="154" r="E36"/>
      <c s="154" r="F36"/>
      <c s="154" r="G36"/>
      <c s="154" r="H36"/>
      <c t="s" s="49" r="I36">
        <v>752</v>
      </c>
      <c s="79" r="J36"/>
      <c s="4" r="K36"/>
      <c s="4" r="L36"/>
      <c s="4" r="M36"/>
      <c s="4" r="N36"/>
      <c s="4" r="O36"/>
      <c s="4" r="P36"/>
      <c s="4" r="Q36"/>
    </row>
    <row customHeight="1" r="37" ht="64.5">
      <c t="s" s="171" r="A37">
        <v>772</v>
      </c>
      <c s="154" r="B37"/>
      <c s="154" r="C37"/>
      <c s="154" r="D37"/>
      <c s="154" r="E37"/>
      <c s="154" r="F37"/>
      <c s="154" r="G37"/>
      <c s="154" r="H37"/>
      <c s="154" r="I37"/>
      <c s="79" r="J37"/>
      <c s="4" r="K37"/>
      <c s="4" r="L37"/>
      <c s="4" r="M37"/>
      <c s="4" r="N37"/>
      <c s="4" r="O37"/>
      <c s="4" r="P37"/>
      <c s="4" r="Q37"/>
    </row>
    <row customHeight="1" r="38" ht="51.75">
      <c s="71" r="A38"/>
      <c t="str" s="46" r="B38">
        <f>HYPERLINK("http://www.google.com/url?q=http://www.wormbase.org/db/gene/gene%3Fname%3DWBGene00010329%3Bclass%3DGene&amp;usd=2&amp;usg=ALhdy29TdVJCFEJptK4IFuZkI1kZ2C6XQA","F59D12.1")</f>
        <v>F59D12.1</v>
      </c>
      <c t="str" s="46" r="C38">
        <f>HYPERLINK("http://www.google.com/url?q=http://www.wormbase.org/db/gene/gene%3Fname%3DWBGene00010329%3Bclass%3DGene&amp;usd=2&amp;usg=ALhdy29TdVJCFEJptK4IFuZkI1kZ2C6XQA","F59D12.1")</f>
        <v>F59D12.1</v>
      </c>
      <c t="s" s="49" r="D38">
        <v>773</v>
      </c>
      <c t="s" s="53" r="E38">
        <v>774</v>
      </c>
      <c s="180" r="F38"/>
      <c s="154" r="G38"/>
      <c t="s" s="49" r="H38">
        <v>775</v>
      </c>
      <c t="s" s="49" r="I38">
        <v>776</v>
      </c>
      <c s="79" r="J38"/>
      <c s="4" r="K38"/>
      <c s="4" r="L38"/>
      <c s="4" r="M38"/>
      <c s="4" r="N38"/>
      <c s="4" r="O38"/>
      <c s="4" r="P38"/>
      <c s="4" r="Q38"/>
    </row>
    <row customHeight="1" r="39" ht="64.5">
      <c s="71" r="A39"/>
      <c t="str" s="46" r="B39">
        <f>HYPERLINK("http://www.google.com/url?q=http://www.wormbase.org/db/gene/gene%3Fname%3DWBGene00011878%3Bclass%3DGene&amp;usd=2&amp;usg=ALhdy287juh3mIrefgL0ADfitOPlAwZKjw","T21B4.4")</f>
        <v>T21B4.4</v>
      </c>
      <c t="str" s="46" r="C39">
        <f>HYPERLINK("http://www.google.com/url?q=http://www.wormbase.org/db/gene/gene%3Fname%3DWBGene00011878%3Bclass%3DGene&amp;usd=2&amp;usg=ALhdy287juh3mIrefgL0ADfitOPlAwZKjw","T21B4.4")</f>
        <v>T21B4.4</v>
      </c>
      <c t="s" s="49" r="D39">
        <v>777</v>
      </c>
      <c t="s" s="5" r="E39">
        <v>694</v>
      </c>
      <c s="180" r="F39"/>
      <c s="154" r="G39"/>
      <c s="154" r="H39"/>
      <c t="s" s="49" r="I39">
        <v>734</v>
      </c>
      <c s="79" r="J39"/>
      <c s="4" r="K39"/>
      <c s="4" r="L39"/>
      <c s="4" r="M39"/>
      <c s="4" r="N39"/>
      <c s="4" r="O39"/>
      <c s="4" r="P39"/>
      <c s="4" r="Q39"/>
    </row>
    <row customHeight="1" r="40" ht="39.0">
      <c s="71" r="A40"/>
      <c t="str" s="46" r="B40">
        <f>HYPERLINK("http://www.google.com/url?q=http://www.wormbase.org/db/gene/gene%3Fname%3DWBGene00010986%3Bclass%3DGene&amp;usd=2&amp;usg=ALhdy2_o-67_WFAJfHY363smFa5XDvEChQ","sprr-1")</f>
        <v>sprr-1</v>
      </c>
      <c t="str" s="46" r="C40">
        <f>HYPERLINK("http://www.google.com/url?q=http://www.wormbase.org/db/gene/gene%3Fname%3DWBGene00010986%3Bclass%3DGene&amp;usd=2&amp;usg=ALhdy2_o-67_WFAJfHY363smFa5XDvEChQ","R03A10.6")</f>
        <v>R03A10.6</v>
      </c>
      <c t="s" s="49" r="D40">
        <v>778</v>
      </c>
      <c t="s" s="5" r="E40">
        <v>694</v>
      </c>
      <c s="154" r="F40"/>
      <c s="154" r="G40"/>
      <c s="154" r="H40"/>
      <c s="154" r="I40"/>
      <c s="79" r="J40"/>
      <c s="4" r="K40"/>
      <c s="4" r="L40"/>
      <c s="4" r="M40"/>
      <c s="4" r="N40"/>
      <c s="4" r="O40"/>
      <c s="4" r="P40"/>
      <c s="4" r="Q40"/>
    </row>
    <row customHeight="1" r="41" ht="77.25">
      <c s="71" r="A41"/>
      <c t="str" s="46" r="B41">
        <f>HYPERLINK("http://www.google.com/url?q=http://www.wormbase.org/db/gene/gene%3Fname%3DWBGene00009629%3Bclass%3DGene&amp;usd=2&amp;usg=ALhdy29SpISMX-4_3ezWpAB6FKEwtzy3Ig","sprr-2")</f>
        <v>sprr-2</v>
      </c>
      <c t="str" s="46" r="C41">
        <f>HYPERLINK("http://www.google.com/url?q=http://www.wormbase.org/db/gene/gene%3Fname%3DWBGene00009629%3Bclass%3DGene&amp;usd=2&amp;usg=ALhdy29SpISMX-4_3ezWpAB6FKEwtzy3Ig","F42D1.3")</f>
        <v>F42D1.3</v>
      </c>
      <c t="s" s="49" r="D41">
        <v>779</v>
      </c>
      <c t="s" s="5" r="E41">
        <v>694</v>
      </c>
      <c s="180" r="F41"/>
      <c s="154" r="G41"/>
      <c s="154" r="H41"/>
      <c t="s" s="49" r="I41">
        <v>734</v>
      </c>
      <c s="79" r="J41"/>
      <c s="4" r="K41"/>
      <c s="4" r="L41"/>
      <c s="4" r="M41"/>
      <c s="4" r="N41"/>
      <c s="4" r="O41"/>
      <c s="4" r="P41"/>
      <c s="4" r="Q41"/>
    </row>
    <row customHeight="1" r="42" ht="39.0">
      <c s="71" r="A42"/>
      <c t="str" s="46" r="B42">
        <f>HYPERLINK("http://www.google.com/url?q=http://www.wormbase.org/db/gene/gene%3Fname%3DWBGene00022086%3Bclass%3DGene&amp;usd=2&amp;usg=ALhdy2_cJtkXAxdwNP81_tu0fYpBS4Z9wQ","sprr-3")</f>
        <v>sprr-3</v>
      </c>
      <c t="str" s="46" r="C42">
        <f>HYPERLINK("http://www.google.com/url?q=http://www.wormbase.org/db/gene/gene%3Fname%3DWBGene00022086%3Bclass%3DGene&amp;usd=2&amp;usg=ALhdy2_cJtkXAxdwNP81_tu0fYpBS4Z9wQ","Y69A2AR.15")</f>
        <v>Y69A2AR.15</v>
      </c>
      <c t="s" s="49" r="D42">
        <v>780</v>
      </c>
      <c t="s" s="5" r="E42">
        <v>694</v>
      </c>
      <c s="154" r="F42"/>
      <c s="154" r="G42"/>
      <c s="154" r="H42"/>
      <c s="154" r="I42"/>
      <c s="79" r="J42"/>
      <c s="4" r="K42"/>
      <c s="4" r="L42"/>
      <c s="4" r="M42"/>
      <c s="4" r="N42"/>
      <c s="4" r="O42"/>
      <c s="4" r="P42"/>
      <c s="4" r="Q42"/>
    </row>
    <row customHeight="1" r="43" ht="15.75">
      <c t="s" s="118" r="A43">
        <v>660</v>
      </c>
      <c t="s" s="60" r="B43">
        <v>661</v>
      </c>
      <c t="s" s="60" r="C43">
        <v>662</v>
      </c>
      <c t="s" s="60" r="D43">
        <v>1</v>
      </c>
      <c t="s" s="60" r="E43">
        <v>663</v>
      </c>
      <c t="s" s="60" r="F43">
        <v>702</v>
      </c>
      <c t="s" s="60" r="G43">
        <v>664</v>
      </c>
      <c t="s" s="60" r="H43">
        <v>665</v>
      </c>
      <c t="s" s="60" r="I43">
        <v>703</v>
      </c>
      <c s="79" r="J43"/>
      <c s="4" r="K43"/>
      <c s="4" r="L43"/>
      <c s="4" r="M43"/>
      <c s="4" r="N43"/>
      <c s="4" r="O43"/>
      <c s="4" r="P43"/>
      <c s="4" r="Q43"/>
    </row>
    <row customHeight="1" r="44" ht="15.75">
      <c t="s" s="153" r="A44">
        <v>781</v>
      </c>
      <c s="47" r="B44"/>
      <c s="47" r="C44"/>
      <c s="47" r="D44"/>
      <c s="47" r="E44"/>
      <c s="47" r="F44"/>
      <c s="47" r="G44"/>
      <c s="47" r="H44"/>
      <c s="47" r="I44"/>
      <c s="79" r="J44"/>
      <c s="4" r="K44"/>
      <c s="4" r="L44"/>
      <c s="4" r="M44"/>
      <c s="4" r="N44"/>
      <c s="4" r="O44"/>
      <c s="4" r="P44"/>
      <c s="4" r="Q44"/>
    </row>
    <row customHeight="1" r="45" ht="15.75">
      <c t="s" s="38" r="A45">
        <v>668</v>
      </c>
      <c s="167" r="B45"/>
      <c s="167" r="C45"/>
      <c s="167" r="D45"/>
      <c s="167" r="E45"/>
      <c s="167" r="F45"/>
      <c s="167" r="G45"/>
      <c s="167" r="H45"/>
      <c s="167" r="I45"/>
      <c s="79" r="J45"/>
      <c s="4" r="K45"/>
      <c s="4" r="L45"/>
      <c s="4" r="M45"/>
      <c s="4" r="N45"/>
      <c s="4" r="O45"/>
      <c s="4" r="P45"/>
      <c s="4" r="Q45"/>
    </row>
    <row customHeight="1" r="46" ht="179.25">
      <c s="167" r="A46"/>
      <c t="str" s="78" r="B46">
        <f>HYPERLINK("http://www.google.com/url?q=http://www.wormbase.org/db/gene/gene%3Fname%3DWBGene00001517%3Bclass%3DGene&amp;usd=2&amp;usg=ALhdy298584oilF9mjT3th50pQEEQs7wiw","gar-1 (acm-1)")</f>
        <v>gar-1 (acm-1)</v>
      </c>
      <c t="str" s="78" r="C46">
        <f>HYPERLINK("http://www.google.com/url?q=http://www.wormbase.org/db/gene/gene%3Fname%3DWBGene00001517%3Bclass%3DGene&amp;usd=2&amp;usg=ALhdy298584oilF9mjT3th50pQEEQs7wiw","C15B12.5")</f>
        <v>C15B12.5</v>
      </c>
      <c t="s" s="28" r="D46">
        <v>782</v>
      </c>
      <c t="s" s="56" r="E46">
        <v>783</v>
      </c>
      <c t="str" s="78" r="F46">
        <f>HYPERLINK("http://www.google.com/url?q=http://www.wormatlas.org/neurons/Individual%2520Neurons/Neuronframeset.html&amp;usd=2&amp;usg=ALhdy2_OIz5gY07K9vr5knfGd_eIwp9JUw","Some head neurons with ciliated endings and in PVM neuron. Three PCR products of expected sizes found at all developmental stages.")</f>
        <v>Some head neurons with ciliated endings and in PVM neuron. Three PCR products of expected sizes found at all developmental stages.</v>
      </c>
      <c t="s" s="28" r="G46">
        <v>784</v>
      </c>
      <c t="s" s="28" r="H46">
        <v>785</v>
      </c>
      <c t="s" s="28" r="I46">
        <v>786</v>
      </c>
      <c s="79" r="J46"/>
      <c s="4" r="K46"/>
      <c s="4" r="L46"/>
      <c s="4" r="M46"/>
      <c s="4" r="N46"/>
      <c s="4" r="O46"/>
      <c s="4" r="P46"/>
      <c s="4" r="Q46"/>
    </row>
    <row customHeight="1" r="47" ht="255.75">
      <c s="167" r="A47"/>
      <c t="str" s="78" r="B47">
        <f>HYPERLINK("http://www.google.com/url?q=http://www.wormbase.org/db/gene/gene%3Fname%3DWBGene00001518%3Bclass%3DGene&amp;usd=2&amp;usg=ALhdy29eYi2hUlwAoD0pBx6RhaWjalH1SQ","gar-2 (formerly acm-2)")</f>
        <v>gar-2 (formerly acm-2)</v>
      </c>
      <c t="str" s="78" r="C47">
        <f>HYPERLINK("http://www.google.com/url?q=http://www.wormbase.org/db/gene/gene%3Fname%3DWBGene00001518%3Bclass%3DGene&amp;usd=2&amp;usg=ALhdy29eYi2hUlwAoD0pBx6RhaWjalH1SQ","F47D12.1")</f>
        <v>F47D12.1</v>
      </c>
      <c t="s" s="28" r="D47">
        <v>782</v>
      </c>
      <c t="s" s="56" r="E47">
        <v>787</v>
      </c>
      <c t="str" s="78" r="F47">
        <f>HYPERLINK("http://www.google.com/url?q=http://www.wormatlas.org/neurons/Individual%2520Neurons/Neuronframeset.html&amp;usd=2&amp;usg=ALhdy2_OIz5gY07K9vr5knfGd_eIwp9JUw","AIY, Ciliated head neurons, ventral cord motor neurons, and HSN. From mid-embryogenesis through adulthood.")</f>
        <v>AIY, Ciliated head neurons, ventral cord motor neurons, and HSN. From mid-embryogenesis through adulthood.</v>
      </c>
      <c t="s" s="28" r="G47">
        <v>788</v>
      </c>
      <c s="167" r="H47"/>
      <c t="s" s="28" r="I47">
        <v>789</v>
      </c>
      <c s="79" r="J47"/>
      <c s="4" r="K47"/>
      <c s="4" r="L47"/>
      <c s="4" r="M47"/>
      <c s="4" r="N47"/>
      <c s="4" r="O47"/>
      <c s="4" r="P47"/>
      <c s="4" r="Q47"/>
    </row>
    <row customHeight="1" r="48" ht="64.5">
      <c s="167" r="A48"/>
      <c t="str" s="78" r="B48">
        <f>HYPERLINK("http://www.google.com/url?q=http://www.wormbase.org/db/gene/gene%3Fname%3DWBGene00001519%3Bclass%3DGene&amp;usd=2&amp;usg=ALhdy2-rtQdpyv46RhCKN7FjsnmZhUbmrg","gar-3 (acm-3)")</f>
        <v>gar-3 (acm-3)</v>
      </c>
      <c t="str" s="78" r="C48">
        <f>HYPERLINK("http://www.google.com/url?q=http://www.wormbase.org/db/gene/gene%3Fname%3DWBGene00001519%3Bclass%3DGene&amp;usd=2&amp;usg=ALhdy2-rtQdpyv46RhCKN7FjsnmZhUbmrg","Y40H4A.1")</f>
        <v>Y40H4A.1</v>
      </c>
      <c t="s" s="28" r="D48">
        <v>782</v>
      </c>
      <c t="s" s="56" r="E48">
        <v>787</v>
      </c>
      <c t="s" s="28" r="F48">
        <v>790</v>
      </c>
      <c t="s" s="28" r="G48">
        <v>791</v>
      </c>
      <c t="s" s="28" r="H48">
        <v>792</v>
      </c>
      <c t="s" s="28" r="I48">
        <v>793</v>
      </c>
      <c s="79" r="J48"/>
      <c s="4" r="K48"/>
      <c s="4" r="L48"/>
      <c s="4" r="M48"/>
      <c s="4" r="N48"/>
      <c s="4" r="O48"/>
      <c s="4" r="P48"/>
      <c s="4" r="Q48"/>
    </row>
    <row customHeight="1" r="49" ht="230.25">
      <c t="s" s="76" r="A49">
        <v>794</v>
      </c>
      <c t="str" s="78" r="B49">
        <f>HYPERLINK("http://www.google.com/url?q=http://www.wormbase.org/db/gene/gene%3Fname%3DWBGene00002974%3Bclass%3DGene&amp;usd=2&amp;usg=ALhdy28-GVsOgjjJzngoWOKLjT528ZtV1A","lev-1 (acr-1 and tmr-1)")</f>
        <v>lev-1 (acr-1 and tmr-1)</v>
      </c>
      <c t="str" s="78" r="C49">
        <f>HYPERLINK("http://www.google.com/url?q=http://www.wormbase.org/db/gene/gene%3Fname%3DWBGene00002974%3Bclass%3DGene&amp;usd=2&amp;usg=ALhdy28-GVsOgjjJzngoWOKLjT528ZtV1A","F09E8.7")</f>
        <v>F09E8.7</v>
      </c>
      <c t="s" s="28" r="D49">
        <v>795</v>
      </c>
      <c t="s" s="56" r="E49">
        <v>787</v>
      </c>
      <c t="s" s="28" r="F49">
        <v>796</v>
      </c>
      <c t="s" s="28" r="G49">
        <v>797</v>
      </c>
      <c t="s" s="28" r="H49">
        <v>798</v>
      </c>
      <c t="s" s="28" r="I49">
        <v>799</v>
      </c>
      <c s="79" r="J49"/>
      <c s="4" r="K49"/>
      <c s="4" r="L49"/>
      <c s="4" r="M49"/>
      <c s="4" r="N49"/>
      <c s="4" r="O49"/>
      <c s="4" r="P49"/>
      <c s="4" r="Q49"/>
    </row>
    <row customHeight="1" r="50" ht="64.5">
      <c s="167" r="A50"/>
      <c t="str" s="78" r="B50">
        <f>HYPERLINK("http://www.google.com/url?q=http://www.wormbase.org/db/gene/gene%3Fname%3DWBGene00006765%3Bclass%3DGene&amp;usd=2&amp;usg=ALhdy28Q2QvY7tHq0l3lYFNH1QD4KhncoA","unc-29 (unc-21 and unc-56 and tmr-4)")</f>
        <v>unc-29 (unc-21 and unc-56 and tmr-4)</v>
      </c>
      <c t="str" s="78" r="C50">
        <f>HYPERLINK("http://www.google.com/url?q=http://www.wormbase.org/db/gene/gene%3Fname%3DWBGene00006765%3Bclass%3DGene&amp;usd=2&amp;usg=ALhdy28Q2QvY7tHq0l3lYFNH1QD4KhncoA","unc-29 (aka unc-21 and unc-56 and tmr-4)")</f>
        <v>unc-29 (aka unc-21 and unc-56 and tmr-4)</v>
      </c>
      <c t="s" s="28" r="D50">
        <v>800</v>
      </c>
      <c t="s" s="56" r="E50">
        <v>787</v>
      </c>
      <c t="s" s="28" r="F50">
        <v>801</v>
      </c>
      <c t="s" s="28" r="G50">
        <v>802</v>
      </c>
      <c t="s" s="28" r="H50">
        <v>803</v>
      </c>
      <c t="s" s="28" r="I50">
        <v>804</v>
      </c>
      <c s="79" r="J50"/>
      <c s="4" r="K50"/>
      <c s="4" r="L50"/>
      <c s="4" r="M50"/>
      <c s="4" r="N50"/>
      <c s="4" r="O50"/>
      <c s="4" r="P50"/>
      <c s="4" r="Q50"/>
    </row>
    <row customHeight="1" r="51" ht="39.0">
      <c s="167" r="A51"/>
      <c t="str" s="78" r="B51">
        <f>HYPERLINK("http://www.google.com/url?q=http://www.wormbase.org/db/gene/gene%3Fname%3DWBGene00000043%3Bclass%3DGene&amp;usd=2&amp;usg=ALhdy2-lRtHe8NMiQNf7Sug9LXg0PeBkwA","acr-2")</f>
        <v>acr-2</v>
      </c>
      <c t="str" s="78" r="C51">
        <f>HYPERLINK("http://www.google.com/url?q=http://www.wormbase.org/db/gene/gene%3Fname%3DWBGene00000042%3Bclass%3DGene&amp;usd=2&amp;usg=ALhdy293HVBJUeOk63LQXmdUd7JitDqhzQ","K11G12.2")</f>
        <v>K11G12.2</v>
      </c>
      <c t="s" s="28" r="D51">
        <v>800</v>
      </c>
      <c t="s" s="56" r="E51">
        <v>787</v>
      </c>
      <c t="str" s="78" r="F51">
        <f>HYPERLINK("http://www.google.com/url?q=http://www.wormatlas.org/neurons/Individual%2520Neurons/Neuronframeset.html&amp;usd=2&amp;usg=ALhdy2_OIz5gY07K9vr5knfGd_eIwp9JUw","DA, DB, IL1, PVQ, RMD, VA and VB")</f>
        <v>DA, DB, IL1, PVQ, RMD, VA and VB</v>
      </c>
      <c t="s" s="28" r="G51">
        <v>805</v>
      </c>
      <c s="167" r="H51"/>
      <c t="s" s="28" r="I51">
        <v>806</v>
      </c>
      <c s="79" r="J51"/>
      <c s="4" r="K51"/>
      <c s="4" r="L51"/>
      <c s="4" r="M51"/>
      <c s="4" r="N51"/>
      <c s="4" r="O51"/>
      <c s="4" r="P51"/>
      <c s="4" r="Q51"/>
    </row>
    <row customHeight="1" r="52" ht="39.0">
      <c s="167" r="A52"/>
      <c t="str" s="78" r="B52">
        <f>HYPERLINK("http://www.google.com/url?q=http://www.wormbase.org/db/gene/gene%3Fname%3DWBGene00000043%3Bclass%3DGene&amp;usd=2&amp;usg=ALhdy2-lRtHe8NMiQNf7Sug9LXg0PeBkwA","acr-3")</f>
        <v>acr-3</v>
      </c>
      <c t="str" s="78" r="C52">
        <f>HYPERLINK("http://www.google.com/url?q=http://www.wormbase.org/db/gene/gene%3Fname%3DWBGene00000043%3Bclass%3DGene&amp;usd=2&amp;usg=ALhdy2-lRtHe8NMiQNf7Sug9LXg0PeBkwA","K11G12.7")</f>
        <v>K11G12.7</v>
      </c>
      <c t="s" s="28" r="D52">
        <v>800</v>
      </c>
      <c t="s" s="56" r="E52">
        <v>787</v>
      </c>
      <c t="s" s="28" r="F52">
        <v>14</v>
      </c>
      <c t="s" s="28" r="G52">
        <v>807</v>
      </c>
      <c s="167" r="H52"/>
      <c s="167" r="I52"/>
      <c s="79" r="J52"/>
      <c s="4" r="K52"/>
      <c s="4" r="L52"/>
      <c s="4" r="M52"/>
      <c s="4" r="N52"/>
      <c s="4" r="O52"/>
      <c s="4" r="P52"/>
      <c s="4" r="Q52"/>
    </row>
    <row customHeight="1" r="53" ht="51.75">
      <c t="s" s="76" r="A53">
        <v>808</v>
      </c>
      <c t="str" s="78" r="B53">
        <f>HYPERLINK("http://www.google.com/url?q=http://www.wormbase.org/db/gene/gene%3Fname%3DWBGene00006774%3Bclass%3DGene&amp;usd=2&amp;usg=ALhdy2_eJjl2REoZRIfilodern4AgJY4jA","unc-38")</f>
        <v>unc-38</v>
      </c>
      <c t="str" s="78" r="C53">
        <f>HYPERLINK("http://www.google.com/url?q=http://www.wormbase.org/db/gene/gene%3Fname%3DWBGene00006774%3Bclass%3DGene&amp;usd=2&amp;usg=ALhdy2_eJjl2REoZRIfilodern4AgJY4jA","F21F3.5")</f>
        <v>F21F3.5</v>
      </c>
      <c t="s" s="28" r="D53">
        <v>809</v>
      </c>
      <c t="s" s="56" r="E53">
        <v>783</v>
      </c>
      <c t="s" s="28" r="F53">
        <v>810</v>
      </c>
      <c t="s" s="28" r="G53">
        <v>811</v>
      </c>
      <c t="s" s="28" r="H53">
        <v>812</v>
      </c>
      <c t="s" s="28" r="I53">
        <v>813</v>
      </c>
      <c s="79" r="J53"/>
      <c s="4" r="K53"/>
      <c s="4" r="L53"/>
      <c s="4" r="M53"/>
      <c s="4" r="N53"/>
      <c s="4" r="O53"/>
      <c s="4" r="P53"/>
      <c s="4" r="Q53"/>
    </row>
    <row customHeight="1" r="54" ht="15.75">
      <c s="167" r="A54"/>
      <c t="str" s="78" r="B54">
        <f>HYPERLINK("http://www.google.com/url?q=http://www.wormbase.org/db/gene/gene%3Fname%3DWBGene00000045%3Bclass%3DGene&amp;usd=2&amp;usg=ALhdy2-yGr6j44sSIyo_qLzHd1fvdgtthQ","acr-6")</f>
        <v>acr-6</v>
      </c>
      <c t="str" s="78" r="C54">
        <f>HYPERLINK("http://www.google.com/url?q=http://www.wormbase.org/db/gene/gene%3Fname%3DWBGene00000045%3Bclass%3DGene&amp;usd=2&amp;usg=ALhdy2-yGr6j44sSIyo_qLzHd1fvdgtthQ","ZK973.5")</f>
        <v>ZK973.5</v>
      </c>
      <c t="s" s="28" r="D54">
        <v>809</v>
      </c>
      <c t="s" s="56" r="E54">
        <v>783</v>
      </c>
      <c s="167" r="F54"/>
      <c s="167" r="G54"/>
      <c t="s" s="28" r="H54">
        <v>814</v>
      </c>
      <c s="167" r="I54"/>
      <c s="79" r="J54"/>
      <c s="4" r="K54"/>
      <c s="4" r="L54"/>
      <c s="4" r="M54"/>
      <c s="4" r="N54"/>
      <c s="4" r="O54"/>
      <c s="4" r="P54"/>
      <c s="4" r="Q54"/>
    </row>
    <row customHeight="1" r="55" ht="51.75">
      <c s="167" r="A55"/>
      <c t="str" s="78" r="B55">
        <f>HYPERLINK("http://www.google.com/url?q=http://www.wormbase.org/db/gene/gene%3Fname%3DWBGene00006797%3Bclass%3DGene&amp;usd=2&amp;usg=ALhdy29jy6yB90tOVGwcZrTmNT0KQeRmGQ","unc-63 (lev-7 and tmr-3)")</f>
        <v>unc-63 (lev-7 and tmr-3)</v>
      </c>
      <c t="str" s="78" r="C55">
        <f>HYPERLINK("http://www.google.com/url?q=http://www.wormbase.org/db/gene/gene%3Fname%3DWBGene00006797%3Bclass%3DGene&amp;usd=2&amp;usg=ALhdy29jy6yB90tOVGwcZrTmNT0KQeRmGQ","Y110A7A.3")</f>
        <v>Y110A7A.3</v>
      </c>
      <c t="s" s="28" r="D55">
        <v>809</v>
      </c>
      <c t="s" s="56" r="E55">
        <v>783</v>
      </c>
      <c t="s" s="28" r="F55">
        <v>815</v>
      </c>
      <c t="s" s="28" r="G55">
        <v>816</v>
      </c>
      <c t="s" s="28" r="H55">
        <v>817</v>
      </c>
      <c t="s" s="28" r="I55">
        <v>818</v>
      </c>
      <c s="79" r="J55"/>
      <c s="4" r="K55"/>
      <c s="4" r="L55"/>
      <c s="4" r="M55"/>
      <c s="4" r="N55"/>
      <c s="4" r="O55"/>
      <c s="4" r="P55"/>
      <c s="4" r="Q55"/>
    </row>
    <row customHeight="1" r="56" ht="51.75">
      <c t="s" s="76" r="A56">
        <v>819</v>
      </c>
      <c t="str" s="78" r="B56">
        <f>HYPERLINK("http://www.google.com/url?q=http://www.wormbase.org/db/gene/gene%3Fname%3DWBGene00000046%3Bclass%3DGene&amp;usd=2&amp;usg=ALhdy2-WXgs5xP4UTGabtq8m-6a35X78rg","acr-7")</f>
        <v>acr-7</v>
      </c>
      <c t="str" s="78" r="C56">
        <f>HYPERLINK("http://www.google.com/url?q=http://www.wormbase.org/db/gene/gene%3Fname%3DWBGene00000046%3Bclass%3DGene&amp;usd=2&amp;usg=ALhdy2-WXgs5xP4UTGabtq8m-6a35X78rg","T09A5.3")</f>
        <v>T09A5.3</v>
      </c>
      <c t="s" s="28" r="D56">
        <v>820</v>
      </c>
      <c t="s" s="56" r="E56">
        <v>783</v>
      </c>
      <c t="s" s="28" r="F56">
        <v>821</v>
      </c>
      <c t="s" s="28" r="G56">
        <v>822</v>
      </c>
      <c s="167" r="H56"/>
      <c s="167" r="I56"/>
      <c s="79" r="J56"/>
      <c s="4" r="K56"/>
      <c s="4" r="L56"/>
      <c s="4" r="M56"/>
      <c s="4" r="N56"/>
      <c s="4" r="O56"/>
      <c s="4" r="P56"/>
      <c s="4" r="Q56"/>
    </row>
    <row customHeight="1" r="57" ht="26.25">
      <c s="167" r="A57"/>
      <c t="str" s="78" r="B57">
        <f>HYPERLINK("http://www.google.com/url?q=http://www.wormbase.org/db/gene/gene%3Fname%3DWBGene00000048%3Bclass%3DGene&amp;usd=2&amp;usg=ALhdy28f0CpztdDAm2NY6viEG6GLESkbLw","acr-9")</f>
        <v>acr-9</v>
      </c>
      <c t="str" s="78" r="C57">
        <f>HYPERLINK("http://www.google.com/url?q=http://www.wormbase.org/db/gene/gene%3Fname%3DWBGene00000048%3Bclass%3DGene&amp;usd=2&amp;usg=ALhdy28f0CpztdDAm2NY6viEG6GLESkbLw","C40C9.2")</f>
        <v>C40C9.2</v>
      </c>
      <c t="s" s="28" r="D57">
        <v>823</v>
      </c>
      <c t="s" s="56" r="E57">
        <v>783</v>
      </c>
      <c t="s" s="28" r="F57">
        <v>14</v>
      </c>
      <c s="167" r="G57"/>
      <c s="167" r="H57"/>
      <c s="167" r="I57"/>
      <c s="79" r="J57"/>
      <c s="4" r="K57"/>
      <c s="4" r="L57"/>
      <c s="4" r="M57"/>
      <c s="4" r="N57"/>
      <c s="4" r="O57"/>
      <c s="4" r="P57"/>
      <c s="4" r="Q57"/>
    </row>
    <row customHeight="1" r="58" ht="51.75">
      <c s="167" r="A58"/>
      <c t="str" s="78" r="B58">
        <f>HYPERLINK("http://www.google.com/url?q=http://www.wormbase.org/db/gene/gene%3Fname%3DWBGene00000049%3Bclass%3DGene&amp;usd=2&amp;usg=ALhdy28MV2FPe_saEN5qm2-xwuagax4D0A","acr-10")</f>
        <v>acr-10</v>
      </c>
      <c t="str" s="78" r="C58">
        <f>HYPERLINK("http://www.google.com/url?q=http://www.wormbase.org/db/gene/gene%3Fname%3DWBGene00000049%3Bclass%3DGene&amp;usd=2&amp;usg=ALhdy28MV2FPe_saEN5qm2-xwuagax4D0A","R02E12.8")</f>
        <v>R02E12.8</v>
      </c>
      <c t="s" s="28" r="D58">
        <v>820</v>
      </c>
      <c t="s" s="56" r="E58">
        <v>783</v>
      </c>
      <c t="s" s="28" r="F58">
        <v>14</v>
      </c>
      <c t="s" s="28" r="G58">
        <v>822</v>
      </c>
      <c s="167" r="H58"/>
      <c s="167" r="I58"/>
      <c s="79" r="J58"/>
      <c s="4" r="K58"/>
      <c s="4" r="L58"/>
      <c s="4" r="M58"/>
      <c s="4" r="N58"/>
      <c s="4" r="O58"/>
      <c s="4" r="P58"/>
      <c s="4" r="Q58"/>
    </row>
    <row customHeight="1" r="59" ht="15.75">
      <c s="167" r="A59"/>
      <c t="str" s="78" r="B59">
        <f>HYPERLINK("http://www.google.com/url?q=http://www.wormbase.org/db/gene/gene%3Fname%3DWBGene00000050%3Bclass%3DGene&amp;usd=2&amp;usg=ALhdy28niwgGvQO2wGmiCFK_bLIoDkfAsA","acr-11")</f>
        <v>acr-11</v>
      </c>
      <c t="str" s="78" r="C59">
        <f>HYPERLINK("http://www.google.com/url?q=http://www.wormbase.org/db/gene/gene%3Fname%3DWBGene00000050%3Bclass%3DGene&amp;usd=2&amp;usg=ALhdy28niwgGvQO2wGmiCFK_bLIoDkfAsA","D2092.3")</f>
        <v>D2092.3</v>
      </c>
      <c t="s" s="28" r="D59">
        <v>820</v>
      </c>
      <c t="s" s="56" r="E59">
        <v>783</v>
      </c>
      <c t="s" s="28" r="F59">
        <v>14</v>
      </c>
      <c s="167" r="G59"/>
      <c s="167" r="H59"/>
      <c s="167" r="I59"/>
      <c s="79" r="J59"/>
      <c s="4" r="K59"/>
      <c s="4" r="L59"/>
      <c s="4" r="M59"/>
      <c s="4" r="N59"/>
      <c s="4" r="O59"/>
      <c s="4" r="P59"/>
      <c s="4" r="Q59"/>
    </row>
    <row customHeight="1" r="60" ht="26.25">
      <c s="167" r="A60"/>
      <c t="str" s="78" r="B60">
        <f>HYPERLINK("http://www.google.com/url?q=http://www.wormbase.org/db/gene/gene%3Fname%3DWBGene00000053%3Bclass%3DGene&amp;usd=2&amp;usg=ALhdy29bqEfJjjidIn_FbHK7TLhMaQnDnQ","acr-14")</f>
        <v>acr-14</v>
      </c>
      <c t="str" s="78" r="C60">
        <f>HYPERLINK("http://www.google.com/url?q=http://www.wormbase.org/db/gene/gene%3Fname%3DWBGene00000053%3Bclass%3DGene&amp;usd=2&amp;usg=ALhdy29bqEfJjjidIn_FbHK7TLhMaQnDnQ","T05C12.2")</f>
        <v>T05C12.2</v>
      </c>
      <c t="s" s="28" r="D60">
        <v>823</v>
      </c>
      <c t="s" s="56" r="E60">
        <v>783</v>
      </c>
      <c t="s" s="28" r="F60">
        <v>824</v>
      </c>
      <c s="167" r="G60"/>
      <c s="167" r="H60"/>
      <c t="s" s="28" r="I60">
        <v>825</v>
      </c>
      <c s="79" r="J60"/>
      <c s="4" r="K60"/>
      <c s="4" r="L60"/>
      <c s="4" r="M60"/>
      <c s="4" r="N60"/>
      <c s="4" r="O60"/>
      <c s="4" r="P60"/>
      <c s="4" r="Q60"/>
    </row>
    <row customHeight="1" r="61" ht="39.0">
      <c s="167" r="A61"/>
      <c t="str" s="78" r="B61">
        <f>HYPERLINK("http://www.google.com/url?q=http://www.wormbase.org/db/gene/gene%3Fname%3DWBGene00000054%3Bclass%3DGene&amp;usd=2&amp;usg=ALhdy2_EG2fivu0_aLK6Yty1H8Yl4EGl2Q","acr-15")</f>
        <v>acr-15</v>
      </c>
      <c t="str" s="78" r="C61">
        <f>HYPERLINK("http://www.google.com/url?q=http://www.wormbase.org/db/gene/gene%3Fname%3DWBGene00000054%3Bclass%3DGene&amp;usd=2&amp;usg=ALhdy2_EG2fivu0_aLK6Yty1H8Yl4EGl2Q","F25G6.4")</f>
        <v>F25G6.4</v>
      </c>
      <c t="s" s="28" r="D61">
        <v>820</v>
      </c>
      <c t="s" s="56" r="E61">
        <v>783</v>
      </c>
      <c t="s" s="28" r="F61">
        <v>826</v>
      </c>
      <c s="167" r="G61"/>
      <c s="167" r="H61"/>
      <c t="s" s="28" r="I61">
        <v>827</v>
      </c>
      <c s="79" r="J61"/>
      <c s="4" r="K61"/>
      <c s="4" r="L61"/>
      <c s="4" r="M61"/>
      <c s="4" r="N61"/>
      <c s="4" r="O61"/>
      <c s="4" r="P61"/>
      <c s="4" r="Q61"/>
    </row>
    <row customHeight="1" r="62" ht="51.75">
      <c t="s" s="28" r="A62">
        <v>828</v>
      </c>
      <c t="str" s="78" r="B62">
        <f>HYPERLINK("http://www.google.com/url?q=http://www.wormbase.org/db/gene/gene%3Fname%3DWBGene00000055%3Bclass%3DGene&amp;usd=2&amp;usg=ALhdy28CxnIBIrKIlQTLKyhFd1ruqMAXqA","acr-16")</f>
        <v>acr-16</v>
      </c>
      <c t="str" s="78" r="C62">
        <f>HYPERLINK("http://www.google.com/url?q=http://www.wormbase.org/db/gene/gene%3Fname%3DWBGene00000055%3Bclass%3DGene&amp;usd=2&amp;usg=ALhdy28CxnIBIrKIlQTLKyhFd1ruqMAXqA","F25G6.3")</f>
        <v>F25G6.3</v>
      </c>
      <c t="s" s="28" r="D62">
        <v>829</v>
      </c>
      <c t="s" s="56" r="E62">
        <v>783</v>
      </c>
      <c t="s" s="28" r="F62">
        <v>830</v>
      </c>
      <c s="167" r="G62"/>
      <c t="s" s="28" r="H62">
        <v>831</v>
      </c>
      <c t="s" s="28" r="I62">
        <v>832</v>
      </c>
      <c s="79" r="J62"/>
      <c s="4" r="K62"/>
      <c s="4" r="L62"/>
      <c s="4" r="M62"/>
      <c s="4" r="N62"/>
      <c s="4" r="O62"/>
      <c s="4" r="P62"/>
      <c s="4" r="Q62"/>
    </row>
    <row customHeight="1" r="63" ht="15.75">
      <c s="167" r="A63"/>
      <c t="str" s="78" r="B63">
        <f>HYPERLINK("http://www.google.com/url?q=http://www.wormbase.org/db/gene/gene%3Fname%3DWBGene00000058%3Bclass%3DGene&amp;usd=2&amp;usg=ALhdy2-c7TOaJDoe-zpGjLf5Vs5c1t7Ibg","acr-19")</f>
        <v>acr-19</v>
      </c>
      <c t="str" s="78" r="C63">
        <f>HYPERLINK("http://www.google.com/url?q=http://www.wormbase.org/db/gene/gene%3Fname%3DWBGene00000058%3Bclass%3DGene&amp;usd=2&amp;usg=ALhdy2-c7TOaJDoe-zpGjLf5Vs5c1t7Ibg","C31H5.3")</f>
        <v>C31H5.3</v>
      </c>
      <c t="s" s="28" r="D63">
        <v>820</v>
      </c>
      <c t="s" s="56" r="E63">
        <v>783</v>
      </c>
      <c t="s" s="28" r="F63">
        <v>14</v>
      </c>
      <c s="167" r="G63"/>
      <c s="167" r="H63"/>
      <c s="167" r="I63"/>
      <c s="79" r="J63"/>
      <c s="4" r="K63"/>
      <c s="4" r="L63"/>
      <c s="4" r="M63"/>
      <c s="4" r="N63"/>
      <c s="4" r="O63"/>
      <c s="4" r="P63"/>
      <c s="4" r="Q63"/>
    </row>
    <row customHeight="1" r="64" ht="39.0">
      <c s="167" r="A64"/>
      <c t="str" s="78" r="B64">
        <f>HYPERLINK("http://www.google.com/url?q=http://www.wormbase.org/db/gene/gene%3Fname%3DWBGene00000058%3Bclass%3DGene&amp;usd=2&amp;usg=ALhdy2-c7TOaJDoe-zpGjLf5Vs5c1t7Ibg","acr-21")</f>
        <v>acr-21</v>
      </c>
      <c t="str" s="78" r="C64">
        <f>HYPERLINK("http://www.google.com/url?q=http://www.wormbase.org/db/gene/gene%3Fname%3DWBGene00000058%3Bclass%3DGene&amp;usd=2&amp;usg=ALhdy2-c7TOaJDoe-zpGjLf5Vs5c1t7Ibg","F27B3.2")</f>
        <v>F27B3.2</v>
      </c>
      <c t="s" s="28" r="D64">
        <v>820</v>
      </c>
      <c t="s" s="56" r="E64">
        <v>783</v>
      </c>
      <c t="s" s="28" r="F64">
        <v>14</v>
      </c>
      <c t="s" s="28" r="G64">
        <v>833</v>
      </c>
      <c s="167" r="H64"/>
      <c s="167" r="I64"/>
      <c s="79" r="J64"/>
      <c s="4" r="K64"/>
      <c s="4" r="L64"/>
      <c s="4" r="M64"/>
      <c s="4" r="N64"/>
      <c s="4" r="O64"/>
      <c s="4" r="P64"/>
      <c s="4" r="Q64"/>
    </row>
    <row customHeight="1" r="65" ht="26.25">
      <c s="167" r="A65"/>
      <c t="str" s="78" r="B65">
        <f>HYPERLINK("http://www.google.com/url?q=http://www.wormbase.org/db/gene/gene%3Fname%3DWBGene00043066%3Bclass%3DGene&amp;usd=2&amp;usg=ALhdy2_ywYLIq3EdhelghQ-xcxZm0GWS9A","acr-25")</f>
        <v>acr-25</v>
      </c>
      <c t="str" s="78" r="C65">
        <f>HYPERLINK("http://www.google.com/url?q=http://www.wormbase.org/db/gene/gene%3Fname%3DWBGene00043066%3Bclass%3DGene&amp;usd=2&amp;usg=ALhdy2_ywYLIq3EdhelghQ-xcxZm0GWS9A","Y73B6BL.42")</f>
        <v>Y73B6BL.42</v>
      </c>
      <c t="s" s="28" r="D65">
        <v>823</v>
      </c>
      <c t="s" s="56" r="E65">
        <v>783</v>
      </c>
      <c t="s" s="28" r="F65">
        <v>14</v>
      </c>
      <c s="167" r="G65"/>
      <c s="167" r="H65"/>
      <c t="s" s="28" r="I65">
        <v>834</v>
      </c>
      <c s="79" r="J65"/>
      <c s="4" r="K65"/>
      <c s="4" r="L65"/>
      <c s="4" r="M65"/>
      <c s="4" r="N65"/>
      <c s="4" r="O65"/>
      <c s="4" r="P65"/>
      <c s="4" r="Q65"/>
    </row>
    <row customHeight="1" r="66" ht="51.75">
      <c s="167" r="A66"/>
      <c t="str" s="78" r="B66">
        <f>HYPERLINK("http://www.google.com/url?q=http://www.wormbase.org/db/gene/gene%3Fname%3DWBGene00001133%3Bclass%3DGene&amp;usd=2&amp;usg=ALhdy28txX9zKWTPoYYaL1DYAbsUuXp19w","eat-2")</f>
        <v>eat-2</v>
      </c>
      <c t="str" s="78" r="C66">
        <f>HYPERLINK("http://www.google.com/url?q=http://www.wormbase.org/db/gene/gene%3Fname%3DWBGene00001133%3Bclass%3DGene&amp;usd=2&amp;usg=ALhdy28txX9zKWTPoYYaL1DYAbsUuXp19w","Y48B6A.4")</f>
        <v>Y48B6A.4</v>
      </c>
      <c t="s" s="28" r="D66">
        <v>823</v>
      </c>
      <c t="s" s="56" r="E66">
        <v>783</v>
      </c>
      <c t="s" s="28" r="F66">
        <v>835</v>
      </c>
      <c t="s" s="28" r="G66">
        <v>836</v>
      </c>
      <c t="s" s="28" r="H66">
        <v>837</v>
      </c>
      <c t="s" s="28" r="I66">
        <v>838</v>
      </c>
      <c s="79" r="J66"/>
      <c s="4" r="K66"/>
      <c s="4" r="L66"/>
      <c s="4" r="M66"/>
      <c s="4" r="N66"/>
      <c s="4" r="O66"/>
      <c s="4" r="P66"/>
      <c s="4" r="Q66"/>
    </row>
    <row customHeight="1" r="67" ht="26.25">
      <c t="s" s="76" r="A67">
        <v>839</v>
      </c>
      <c t="str" s="78" r="B67">
        <f>HYPERLINK("http://www.google.com/url?q=http://www.wormbase.org/db/gene/gene%3Fname%3DWBGene00000047%3Bclass%3DGene&amp;usd=2&amp;usg=ALhdy29fdCnz13Vi8-v_fJ7bduIrkXHxUA","acr-8")</f>
        <v>acr-8</v>
      </c>
      <c t="str" s="78" r="C67">
        <f>HYPERLINK("http://www.google.com/url?q=http://www.wormbase.org/db/gene/gene%3Fname%3DWBGene00000047%3Bclass%3DGene&amp;usd=2&amp;usg=ALhdy29fdCnz13Vi8-v_fJ7bduIrkXHxUA","ZC504.2")</f>
        <v>ZC504.2</v>
      </c>
      <c t="s" s="28" r="D67">
        <v>840</v>
      </c>
      <c t="s" s="56" r="E67">
        <v>783</v>
      </c>
      <c t="s" s="28" r="F67">
        <v>841</v>
      </c>
      <c s="167" r="G67"/>
      <c s="167" r="H67"/>
      <c s="167" r="I67"/>
      <c s="79" r="J67"/>
      <c s="4" r="K67"/>
      <c s="4" r="L67"/>
      <c s="4" r="M67"/>
      <c s="4" r="N67"/>
      <c s="4" r="O67"/>
      <c s="4" r="P67"/>
      <c s="4" r="Q67"/>
    </row>
    <row customHeight="1" r="68" ht="26.25">
      <c s="167" r="A68"/>
      <c t="str" s="78" r="B68">
        <f>HYPERLINK("http://www.google.com/url?q=http://www.wormbase.org/db/gene/gene%3Fname%3DWBGene00000051%3Bclass%3DGene&amp;usd=2&amp;usg=ALhdy28iiltBg2wFNcdM5o0EqbV5hPBVBg","acr-12")</f>
        <v>acr-12</v>
      </c>
      <c t="str" s="78" r="C68">
        <f>HYPERLINK("http://www.google.com/url?q=http://www.wormbase.org/db/gene/gene%3Fname%3DWBGene00000051%3Bclass%3DGene&amp;usd=2&amp;usg=ALhdy28iiltBg2wFNcdM5o0EqbV5hPBVBg","R01E6.4")</f>
        <v>R01E6.4</v>
      </c>
      <c t="s" s="28" r="D68">
        <v>840</v>
      </c>
      <c t="s" s="56" r="E68">
        <v>783</v>
      </c>
      <c t="str" s="78" r="F68">
        <f>HYPERLINK("http://www.google.com/url?q=http://www.wormatlas.org/neurons/Individual%2520Neurons/Neuronframeset.html&amp;usd=2&amp;usg=ALhdy2_OIz5gY07K9vr5knfGd_eIwp9JUw","Ventral cord motor neurons, multiple neurons in the head, and tail neurons (exclusively in neurons)")</f>
        <v>Ventral cord motor neurons, multiple neurons in the head, and tail neurons (exclusively in neurons)</v>
      </c>
      <c s="167" r="G68"/>
      <c t="s" s="28" r="H68">
        <v>842</v>
      </c>
      <c t="s" s="28" r="I68">
        <v>843</v>
      </c>
      <c s="79" r="J68"/>
      <c s="4" r="K68"/>
      <c s="4" r="L68"/>
      <c s="4" r="M68"/>
      <c s="4" r="N68"/>
      <c s="4" r="O68"/>
      <c s="4" r="P68"/>
      <c s="4" r="Q68"/>
    </row>
    <row customHeight="1" r="69" ht="39.0">
      <c s="167" r="A69"/>
      <c t="str" s="78" r="B69">
        <f>HYPERLINK("http://www.google.com/url?q=http://www.wormbase.org/db/gene/gene%3Fname%3DWBGene00002975%3Bclass%3DGene&amp;usd=2&amp;usg=ALhdy2-SppLa47LabyNgrysv3nWofWT1ng","acr-13 (lev-8)")</f>
        <v>acr-13 (lev-8)</v>
      </c>
      <c t="str" s="78" r="C69">
        <f>HYPERLINK("http://www.google.com/url?q=http://www.wormbase.org/db/gene/gene%3Fname%3DWBGene00002975%3Bclass%3DGene&amp;usd=2&amp;usg=ALhdy2-SppLa47LabyNgrysv3nWofWT1ng","C35C5.5")</f>
        <v>C35C5.5</v>
      </c>
      <c t="s" s="28" r="D69">
        <v>840</v>
      </c>
      <c t="s" s="56" r="E69">
        <v>783</v>
      </c>
      <c t="s" s="28" r="F69">
        <v>844</v>
      </c>
      <c s="167" r="G69"/>
      <c t="s" s="28" r="H69">
        <v>845</v>
      </c>
      <c t="s" s="28" r="I69">
        <v>846</v>
      </c>
      <c s="79" r="J69"/>
      <c s="4" r="K69"/>
      <c s="4" r="L69"/>
      <c s="4" r="M69"/>
      <c s="4" r="N69"/>
      <c s="4" r="O69"/>
      <c s="4" r="P69"/>
      <c s="4" r="Q69"/>
    </row>
    <row customHeight="1" r="70" ht="141.0">
      <c t="s" s="76" r="A70">
        <v>847</v>
      </c>
      <c t="str" s="78" r="B70">
        <f>HYPERLINK("http://www.google.com/url?q=http://www.wormbase.org/db/gene/gene%3Fname%3DWBGene00000951%3Bclass%3DGene&amp;usd=2&amp;usg=ALhdy2-q52C2L0pyqfIgIuPnGCm8gBCfFA","deg-3")</f>
        <v>deg-3</v>
      </c>
      <c t="str" s="78" r="C70">
        <f>HYPERLINK("http://www.google.com/url?q=http://www.wormbase.org/db/gene/gene%3Fname%3DWBGene00000951%3Bclass%3DGene&amp;usd=2&amp;usg=ALhdy2-q52C2L0pyqfIgIuPnGCm8gBCfFA","K03B8.9")</f>
        <v>K03B8.9</v>
      </c>
      <c t="s" s="28" r="D70">
        <v>848</v>
      </c>
      <c t="s" s="56" r="E70">
        <v>787</v>
      </c>
      <c t="s" s="28" r="F70">
        <v>849</v>
      </c>
      <c t="s" s="28" r="G70">
        <v>850</v>
      </c>
      <c t="s" s="28" r="H70">
        <v>851</v>
      </c>
      <c t="s" s="28" r="I70">
        <v>852</v>
      </c>
      <c s="79" r="J70"/>
      <c s="4" r="K70"/>
      <c s="4" r="L70"/>
      <c s="4" r="M70"/>
      <c s="4" r="N70"/>
      <c s="4" r="O70"/>
      <c s="4" r="P70"/>
      <c s="4" r="Q70"/>
    </row>
    <row customHeight="1" r="71" ht="141.0">
      <c s="167" r="A71"/>
      <c t="str" s="78" r="B71">
        <f>HYPERLINK("http://www.google.com/url?q=http://www.wormbase.org/db/gene/gene%3Fname%3DWBGene00000955%3Bclass%3DGene&amp;usd=2&amp;usg=ALhdy29MWZtI8lsGTP2qxfWHbuKA3tQirg","acr-4 (des-2)")</f>
        <v>acr-4 (des-2)</v>
      </c>
      <c t="str" s="78" r="C71">
        <f>HYPERLINK("http://www.google.com/url?q=http://www.wormbase.org/db/gene/gene%3Fname%3DWBGene00000955%3Bclass%3DGene&amp;usd=2&amp;usg=ALhdy29MWZtI8lsGTP2qxfWHbuKA3tQirg","T26H10.1")</f>
        <v>T26H10.1</v>
      </c>
      <c t="s" s="28" r="D71">
        <v>848</v>
      </c>
      <c t="s" s="56" r="E71">
        <v>783</v>
      </c>
      <c t="s" s="28" r="F71">
        <v>853</v>
      </c>
      <c t="s" s="28" r="G71">
        <v>850</v>
      </c>
      <c s="167" r="H71"/>
      <c t="s" s="28" r="I71">
        <v>854</v>
      </c>
      <c s="79" r="J71"/>
      <c s="4" r="K71"/>
      <c s="4" r="L71"/>
      <c s="4" r="M71"/>
      <c s="4" r="N71"/>
      <c s="4" r="O71"/>
      <c s="4" r="P71"/>
      <c s="4" r="Q71"/>
    </row>
    <row customHeight="1" r="72" ht="39.0">
      <c s="167" r="A72"/>
      <c t="str" s="78" r="B72">
        <f>HYPERLINK("http://www.google.com/url?q=http://www.wormbase.org/db/gene/gene%3Fname%3DWBGene00000044%3Bclass%3DGene&amp;usd=2&amp;usg=ALhdy2-pdkFOLhPG0lmovwGVPFrVN9J-Iw","acr-5")</f>
        <v>acr-5</v>
      </c>
      <c t="str" s="78" r="C72">
        <f>HYPERLINK("http://www.google.com/url?q=http://www.wormbase.org/db/gene/gene%3Fname%3DWBGene00000044%3Bclass%3DGene&amp;usd=2&amp;usg=ALhdy2-pdkFOLhPG0lmovwGVPFrVN9J-Iw","K03F8.2")</f>
        <v>K03F8.2</v>
      </c>
      <c t="s" s="28" r="D72">
        <v>848</v>
      </c>
      <c t="s" s="56" r="E72">
        <v>783</v>
      </c>
      <c t="str" s="78" r="F72">
        <f>HYPERLINK("http://www.google.com/url?q=http://www.wormatlas.org/neurons/Individual%2520Neurons/Neuronframeset.html&amp;usd=2&amp;usg=ALhdy2_OIz5gY07K9vr5knfGd_eIwp9JUw","Expressed exclusively in the nervous system. Expression is initiated in the embryo and persists throughout adult life. Expressed in DB, VB neurons and unidentified neurons in the head and tail .")</f>
        <v>Expressed exclusively in the nervous system. Expression is initiated in the embryo and persists throughout adult life. Expressed in DB, VB neurons and unidentified neurons in the head and tail .</v>
      </c>
      <c s="167" r="G72"/>
      <c s="167" r="H72"/>
      <c t="s" s="28" r="I72">
        <v>855</v>
      </c>
      <c s="79" r="J72"/>
      <c s="4" r="K72"/>
      <c s="4" r="L72"/>
      <c s="4" r="M72"/>
      <c s="4" r="N72"/>
      <c s="4" r="O72"/>
      <c s="4" r="P72"/>
      <c s="4" r="Q72"/>
    </row>
    <row customHeight="1" r="73" ht="15.75">
      <c s="167" r="A73"/>
      <c t="str" s="78" r="B73">
        <f>HYPERLINK("http://www.google.com/url?q=http://www.wormbase.org/db/gene/gene%3Fname%3DWBGene00000056%3Bclass%3DGene&amp;usd=2&amp;usg=ALhdy2_jjdwMk8A93T-ssEFMoA47grT1Vw","acr-17")</f>
        <v>acr-17</v>
      </c>
      <c t="str" s="78" r="C73">
        <f>HYPERLINK("http://www.google.com/url?q=http://www.wormbase.org/db/gene/gene%3Fname%3DWBGene00000056%3Bclass%3DGene&amp;usd=2&amp;usg=ALhdy2_jjdwMk8A93T-ssEFMoA47grT1Vw","F53E10.2")</f>
        <v>F53E10.2</v>
      </c>
      <c t="s" s="28" r="D73">
        <v>848</v>
      </c>
      <c t="s" s="56" r="E73">
        <v>787</v>
      </c>
      <c t="s" s="28" r="F73">
        <v>14</v>
      </c>
      <c s="167" r="G73"/>
      <c s="167" r="H73"/>
      <c t="s" s="28" r="I73">
        <v>856</v>
      </c>
      <c s="79" r="J73"/>
      <c s="4" r="K73"/>
      <c s="4" r="L73"/>
      <c s="4" r="M73"/>
      <c s="4" r="N73"/>
      <c s="4" r="O73"/>
      <c s="4" r="P73"/>
      <c s="4" r="Q73"/>
    </row>
    <row customHeight="1" r="74" ht="15.75">
      <c s="167" r="A74"/>
      <c t="str" s="78" r="B74">
        <f>HYPERLINK("http://www.google.com/url?q=http://www.wormbase.org/db/gene/gene%3Fname%3DWBGene00000057%3Bclass%3DGene&amp;usd=2&amp;usg=ALhdy29XaENbdHJmiFwxrORSmzcl8G37sA","acr-18")</f>
        <v>acr-18</v>
      </c>
      <c t="str" s="78" r="C74">
        <f>HYPERLINK("http://www.google.com/url?q=http://www.wormbase.org/db/gene/gene%3Fname%3DWBGene00000057%3Bclass%3DGene&amp;usd=2&amp;usg=ALhdy29XaENbdHJmiFwxrORSmzcl8G37sA","F28F8.1")</f>
        <v>F28F8.1</v>
      </c>
      <c t="s" s="28" r="D74">
        <v>848</v>
      </c>
      <c t="s" s="56" r="E74">
        <v>787</v>
      </c>
      <c t="s" s="28" r="F74">
        <v>14</v>
      </c>
      <c s="167" r="G74"/>
      <c s="167" r="H74"/>
      <c t="s" s="28" r="I74">
        <v>856</v>
      </c>
      <c s="79" r="J74"/>
      <c s="4" r="K74"/>
      <c s="4" r="L74"/>
      <c s="4" r="M74"/>
      <c s="4" r="N74"/>
      <c s="4" r="O74"/>
      <c s="4" r="P74"/>
      <c s="4" r="Q74"/>
    </row>
    <row customHeight="1" r="75" ht="15.75">
      <c s="167" r="A75"/>
      <c t="str" s="78" r="B75">
        <f>HYPERLINK("http://www.google.com/url?q=http://www.wormbase.org/db/gene/gene%3Fname%3DWBGene00000059%3Bclass%3DGene&amp;usd=2&amp;usg=ALhdy2-kgxn41sXQT2mVk3uGIGMBIiwBTA","acr-20")</f>
        <v>acr-20</v>
      </c>
      <c t="str" s="78" r="C75">
        <f>HYPERLINK("http://www.google.com/url?q=http://www.wormbase.org/db/gene/gene%3Fname%3DWBGene00000059%3Bclass%3DGene&amp;usd=2&amp;usg=ALhdy2-kgxn41sXQT2mVk3uGIGMBIiwBTA","R06A4.10")</f>
        <v>R06A4.10</v>
      </c>
      <c t="s" s="28" r="D75">
        <v>848</v>
      </c>
      <c t="s" s="56" r="E75">
        <v>787</v>
      </c>
      <c t="s" s="28" r="F75">
        <v>14</v>
      </c>
      <c s="167" r="G75"/>
      <c s="167" r="H75"/>
      <c s="167" r="I75"/>
      <c s="79" r="J75"/>
      <c s="4" r="K75"/>
      <c s="4" r="L75"/>
      <c s="4" r="M75"/>
      <c s="4" r="N75"/>
      <c s="4" r="O75"/>
      <c s="4" r="P75"/>
      <c s="4" r="Q75"/>
    </row>
    <row customHeight="1" r="76" ht="15.75">
      <c s="167" r="A76"/>
      <c t="str" s="78" r="B76">
        <f>HYPERLINK("http://www.google.com/url?q=http://www.wormbase.org/db/gene/gene%3Fname%3DWBGene00000062%3Bclass%3DGene&amp;usd=2&amp;usg=ALhdy28z51DWxPxxICZlbj76csteRjjl2g","acr-23")</f>
        <v>acr-23</v>
      </c>
      <c t="str" s="78" r="C76">
        <f>HYPERLINK("http://www.google.com/url?q=http://www.wormbase.org/db/gene/gene%3Fname%3DWBGene00000062%3Bclass%3DGene&amp;usd=2&amp;usg=ALhdy28z51DWxPxxICZlbj76csteRjjl2g","F59B1.9")</f>
        <v>F59B1.9</v>
      </c>
      <c t="s" s="28" r="D76">
        <v>848</v>
      </c>
      <c t="s" s="56" r="E76">
        <v>787</v>
      </c>
      <c t="s" s="28" r="F76">
        <v>14</v>
      </c>
      <c s="167" r="G76"/>
      <c s="167" r="H76"/>
      <c s="167" r="I76"/>
      <c s="79" r="J76"/>
      <c s="4" r="K76"/>
      <c s="4" r="L76"/>
      <c s="4" r="M76"/>
      <c s="4" r="N76"/>
      <c s="4" r="O76"/>
      <c s="4" r="P76"/>
      <c s="4" r="Q76"/>
    </row>
    <row customHeight="1" r="77" ht="15.75">
      <c s="167" r="A77"/>
      <c t="str" s="78" r="B77">
        <f>HYPERLINK("http://www.google.com/url?q=http://www.wormbase.org/db/gene/gene%3Fname%3DWBGene00013534%3Bclass%3DGene&amp;usd=2&amp;usg=ALhdy2-6P2U8n-UYH3cYfaz9TnGAi7QkYg","acr-24")</f>
        <v>acr-24</v>
      </c>
      <c t="str" s="78" r="C77">
        <f>HYPERLINK("http://www.google.com/url?q=http://www.wormbase.org/db/gene/gene%3Fname%3DWBGene00013534%3Bclass%3DGene&amp;usd=2&amp;usg=ALhdy2-6P2U8n-UYH3cYfaz9TnGAi7QkYg","Y73F8A.30")</f>
        <v>Y73F8A.30</v>
      </c>
      <c t="s" s="28" r="D77">
        <v>848</v>
      </c>
      <c t="s" s="56" r="E77">
        <v>783</v>
      </c>
      <c t="s" s="28" r="F77">
        <v>14</v>
      </c>
      <c s="167" r="G77"/>
      <c s="167" r="H77"/>
      <c t="s" s="28" r="I77">
        <v>834</v>
      </c>
      <c s="79" r="J77"/>
      <c s="4" r="K77"/>
      <c s="4" r="L77"/>
      <c s="4" r="M77"/>
      <c s="4" r="N77"/>
      <c s="4" r="O77"/>
      <c s="4" r="P77"/>
      <c s="4" r="Q77"/>
    </row>
    <row customHeight="1" r="78" ht="77.25">
      <c t="s" s="28" r="A78">
        <v>857</v>
      </c>
      <c t="str" s="78" r="B78">
        <f>HYPERLINK("http://www.google.com/url?q=http://www.wormbase.org/db/gene/gene%3Fname%3DWBGene00000061%3Bclass%3DGene&amp;usd=2&amp;usg=ALhdy2-VpHW_0FqHsAwOkFCR9lIgdzu82w","lgc-11 (acr-22)")</f>
        <v>lgc-11 (acr-22)</v>
      </c>
      <c t="str" s="78" r="C78">
        <f>HYPERLINK("http://www.google.com/url?q=http://www.wormbase.org/db/gene/gene%3Fname%3DWBGene00000061%3Bclass%3DGene&amp;usd=2&amp;usg=ALhdy2-VpHW_0FqHsAwOkFCR9lIgdzu82w","F48E3.7")</f>
        <v>F48E3.7</v>
      </c>
      <c t="s" s="28" r="D78">
        <v>858</v>
      </c>
      <c t="s" s="56" r="E78">
        <v>783</v>
      </c>
      <c t="s" s="28" r="F78">
        <v>14</v>
      </c>
      <c t="s" s="95" r="G78">
        <v>859</v>
      </c>
      <c s="167" r="H78"/>
      <c t="s" s="28" r="I78">
        <v>860</v>
      </c>
      <c s="79" r="J78"/>
      <c s="4" r="K78"/>
      <c s="4" r="L78"/>
      <c s="4" r="M78"/>
      <c s="4" r="N78"/>
      <c s="4" r="O78"/>
      <c s="4" r="P78"/>
      <c s="4" r="Q78"/>
    </row>
    <row customHeight="1" r="79" ht="26.25">
      <c s="167" r="A79"/>
      <c t="str" s="78" r="B79">
        <f>HYPERLINK("http://www.google.com/url?q=http://www.wormbase.org/db/gene/gene%3Fname%3DWBGene00010275%3Bclass%3DGene&amp;usd=2&amp;usg=ALhdy294EDTawmsy5lXH-tOD8A5BvCqrfA","acc-1")</f>
        <v>acc-1</v>
      </c>
      <c t="str" s="78" r="C79">
        <f>HYPERLINK("http://www.google.com/url?q=http://www.wormbase.org/db/gene/gene%3Fname%3DWBGene00010275%3Bclass%3DGene&amp;usd=2&amp;usg=ALhdy294EDTawmsy5lXH-tOD8A5BvCqrfA","F58G6.4")</f>
        <v>F58G6.4</v>
      </c>
      <c t="s" s="28" r="D79">
        <v>861</v>
      </c>
      <c t="s" s="56" r="E79">
        <v>783</v>
      </c>
      <c t="s" s="28" r="F79">
        <v>14</v>
      </c>
      <c s="167" r="G79"/>
      <c s="167" r="H79"/>
      <c t="s" s="28" r="I79">
        <v>862</v>
      </c>
      <c s="79" r="J79"/>
      <c s="4" r="K79"/>
      <c s="4" r="L79"/>
      <c s="4" r="M79"/>
      <c s="4" r="N79"/>
      <c s="4" r="O79"/>
      <c s="4" r="P79"/>
      <c s="4" r="Q79"/>
    </row>
    <row customHeight="1" r="80" ht="26.25">
      <c s="167" r="A80"/>
      <c t="str" s="78" r="B80">
        <f>HYPERLINK("http://www.google.com/url?q=http://www.wormbase.org/db/gene/gene%3Fname%3DWBGene00008280%3Bclass%3DGene&amp;usd=2&amp;usg=ALhdy2-jJoPTFFRDYdLFACVJy0M2hP6nBw","acc-2")</f>
        <v>acc-2</v>
      </c>
      <c t="str" s="78" r="C80">
        <f>HYPERLINK("http://www.google.com/url?q=http://www.wormbase.org/db/gene/gene%3Fname%3DWBGene00008280%3Bclass%3DGene&amp;usd=2&amp;usg=ALhdy2-jJoPTFFRDYdLFACVJy0M2hP6nBw","C53D6.3")</f>
        <v>C53D6.3</v>
      </c>
      <c t="s" s="28" r="D80">
        <v>861</v>
      </c>
      <c t="s" s="56" r="E80">
        <v>783</v>
      </c>
      <c t="s" s="28" r="F80">
        <v>14</v>
      </c>
      <c s="167" r="G80"/>
      <c s="167" r="H80"/>
      <c t="s" s="28" r="I80">
        <v>862</v>
      </c>
      <c s="79" r="J80"/>
      <c s="4" r="K80"/>
      <c s="4" r="L80"/>
      <c s="4" r="M80"/>
      <c s="4" r="N80"/>
      <c s="4" r="O80"/>
      <c s="4" r="P80"/>
      <c s="4" r="Q80"/>
    </row>
    <row customHeight="1" r="81" ht="26.25">
      <c s="167" r="A81"/>
      <c t="str" s="78" r="B81">
        <f>HYPERLINK("http://www.google.com/url?q=http://www.wormbase.org/db/gene/gene%3Fname%3DWBGene00018880%3Bclass%3DGene&amp;usd=2&amp;usg=ALhdy29CGZvDAzsxaB2SYY9wv0kXeeOBsw","acc-3")</f>
        <v>acc-3</v>
      </c>
      <c t="str" s="78" r="C81">
        <f>HYPERLINK("http://www.google.com/url?q=http://www.wormbase.org/db/gene/gene%3Fname%3DWBGene00018880%3Bclass%3DGene&amp;usd=2&amp;usg=ALhdy29CGZvDAzsxaB2SYY9wv0kXeeOBsw","F55D10.5")</f>
        <v>F55D10.5</v>
      </c>
      <c t="s" s="28" r="D81">
        <v>861</v>
      </c>
      <c t="s" s="56" r="E81">
        <v>783</v>
      </c>
      <c t="s" s="28" r="F81">
        <v>14</v>
      </c>
      <c s="167" r="G81"/>
      <c s="167" r="H81"/>
      <c t="s" s="28" r="I81">
        <v>862</v>
      </c>
      <c s="79" r="J81"/>
      <c s="4" r="K81"/>
      <c s="4" r="L81"/>
      <c s="4" r="M81"/>
      <c s="4" r="N81"/>
      <c s="4" r="O81"/>
      <c s="4" r="P81"/>
      <c s="4" r="Q81"/>
    </row>
    <row customHeight="1" r="82" ht="26.25">
      <c s="167" r="A82"/>
      <c t="str" s="78" r="B82">
        <f>HYPERLINK("http://www.google.com/url?q=http://www.wormbase.org/db/gene/gene%3Fname%3DWBGene00012099%3Bclass%3DGene&amp;usd=2&amp;usg=ALhdy2-NK2GgzkPuR0HDkqeKJUHOSy7Caw","acc-4")</f>
        <v>acc-4</v>
      </c>
      <c t="str" s="78" r="C82">
        <f>HYPERLINK("http://www.google.com/url?q=http://www.wormbase.org/db/gene/gene%3Fname%3DWBGene00012099%3Bclass%3DGene&amp;usd=2&amp;usg=ALhdy2-NK2GgzkPuR0HDkqeKJUHOSy7Caw","T27E9.9")</f>
        <v>T27E9.9</v>
      </c>
      <c t="s" s="28" r="D82">
        <v>861</v>
      </c>
      <c t="s" s="56" r="E82">
        <v>783</v>
      </c>
      <c t="s" s="28" r="F82">
        <v>14</v>
      </c>
      <c s="167" r="G82"/>
      <c s="167" r="H82"/>
      <c t="s" s="28" r="I82">
        <v>862</v>
      </c>
      <c s="79" r="J82"/>
      <c s="4" r="K82"/>
      <c s="4" r="L82"/>
      <c s="4" r="M82"/>
      <c s="4" r="N82"/>
      <c s="4" r="O82"/>
      <c s="4" r="P82"/>
      <c s="4" r="Q82"/>
    </row>
    <row customHeight="1" r="83" ht="26.25">
      <c s="167" r="A83"/>
      <c t="str" s="78" r="B83">
        <f>HYPERLINK("http://www.google.com/url?q=http://www.wormbase.org/db/gene/gene%3Fname%3DWBGene00022106%3Bclass%3DGene&amp;usd=2&amp;usg=ALhdy2_BW0rE3RqyKVfprJ2yBxVOAAx-9A","lgc-46")</f>
        <v>lgc-46</v>
      </c>
      <c t="str" s="78" r="C83">
        <f>HYPERLINK("http://www.google.com/url?q=http://www.wormbase.org/db/gene/gene%3Fname%3DWBGene00022106%3Bclass%3DGene&amp;usd=2&amp;usg=ALhdy2_BW0rE3RqyKVfprJ2yBxVOAAx-9A","Y71D11A.5")</f>
        <v>Y71D11A.5</v>
      </c>
      <c t="s" s="28" r="D83">
        <v>863</v>
      </c>
      <c s="88" r="E83"/>
      <c s="167" r="F83"/>
      <c s="167" r="G83"/>
      <c s="167" r="H83"/>
      <c t="s" s="28" r="I83">
        <v>700</v>
      </c>
      <c s="79" r="J83"/>
      <c s="4" r="K83"/>
      <c s="4" r="L83"/>
      <c s="4" r="M83"/>
      <c s="4" r="N83"/>
      <c s="4" r="O83"/>
      <c s="4" r="P83"/>
      <c s="4" r="Q83"/>
    </row>
    <row customHeight="1" r="84" ht="26.25">
      <c s="167" r="A84"/>
      <c t="str" s="78" r="B84">
        <f>HYPERLINK("http://www.google.com/url?q=http://www.wormbase.org/db/gene/gene%3Fname%3DWBGene00009799%3Bclass%3DGene&amp;usd=2&amp;usg=ALhdy2912KYT7DsyKvHCyxSO4kgbfDta4w","lgc-47")</f>
        <v>lgc-47</v>
      </c>
      <c t="str" s="78" r="C84">
        <f>HYPERLINK("http://www.google.com/url?q=http://www.wormbase.org/db/gene/gene%3Fname%3DWBGene00009799%3Bclass%3DGene&amp;usd=2&amp;usg=ALhdy2912KYT7DsyKvHCyxSO4kgbfDta4w","F47A4.1")</f>
        <v>F47A4.1</v>
      </c>
      <c t="s" s="28" r="D84">
        <v>863</v>
      </c>
      <c s="88" r="E84"/>
      <c s="167" r="F84"/>
      <c s="167" r="G84"/>
      <c s="167" r="H84"/>
      <c t="s" s="28" r="I84">
        <v>700</v>
      </c>
      <c s="79" r="J84"/>
      <c s="4" r="K84"/>
      <c s="4" r="L84"/>
      <c s="4" r="M84"/>
      <c s="4" r="N84"/>
      <c s="4" r="O84"/>
      <c s="4" r="P84"/>
      <c s="4" r="Q84"/>
    </row>
    <row customHeight="1" r="85" ht="26.25">
      <c s="167" r="A85"/>
      <c t="str" s="78" r="B85">
        <f>HYPERLINK("http://www.google.com/url?q=http://www.wormbase.org/db/gene/gene%3Fname%3DWBGene00008223%3Bclass%3DGene&amp;usd=2&amp;usg=ALhdy2-ncBUEqKYTreJMwShGCgErrp_ymw","lgc-48")</f>
        <v>lgc-48</v>
      </c>
      <c t="str" s="78" r="C85">
        <f>HYPERLINK("http://www.google.com/url?q=http://www.wormbase.org/db/gene/gene%3Fname%3DWBGene00008223%3Bclass%3DGene&amp;usd=2&amp;usg=ALhdy2-ncBUEqKYTreJMwShGCgErrp_ymw","C50B6.11")</f>
        <v>C50B6.11</v>
      </c>
      <c t="s" s="28" r="D85">
        <v>863</v>
      </c>
      <c s="88" r="E85"/>
      <c s="167" r="F85"/>
      <c s="167" r="G85"/>
      <c s="167" r="H85"/>
      <c t="s" s="28" r="I85">
        <v>700</v>
      </c>
      <c s="79" r="J85"/>
      <c s="4" r="K85"/>
      <c s="4" r="L85"/>
      <c s="4" r="M85"/>
      <c s="4" r="N85"/>
      <c s="4" r="O85"/>
      <c s="4" r="P85"/>
      <c s="4" r="Q85"/>
    </row>
    <row customHeight="1" r="86" ht="26.25">
      <c s="167" r="A86"/>
      <c t="str" s="78" r="B86">
        <f>HYPERLINK("http://www.google.com/url?q=http://www.wormbase.org/db/gene/gene%3Fname%3DWBGene00010741%3Bclass%3DGene&amp;usd=2&amp;usg=ALhdy2_UCv3IkPuaYuVdNw0lNfl35oCzjw","lgc-49")</f>
        <v>lgc-49</v>
      </c>
      <c t="str" s="78" r="C86">
        <f>HYPERLINK("http://www.google.com/url?q=http://www.wormbase.org/db/gene/gene%3Fname%3DWBGene00010741%3Bclass%3DGene&amp;usd=2&amp;usg=ALhdy2_UCv3IkPuaYuVdNw0lNfl35oCzjw","K10D6.1")</f>
        <v>K10D6.1</v>
      </c>
      <c t="s" s="28" r="D86">
        <v>863</v>
      </c>
      <c s="88" r="E86"/>
      <c s="167" r="F86"/>
      <c s="167" r="G86"/>
      <c s="167" r="H86"/>
      <c t="s" s="28" r="I86">
        <v>700</v>
      </c>
      <c s="79" r="J86"/>
      <c s="4" r="K86"/>
      <c s="4" r="L86"/>
      <c s="4" r="M86"/>
      <c s="4" r="N86"/>
      <c s="4" r="O86"/>
      <c s="4" r="P86"/>
      <c s="4" r="Q86"/>
    </row>
    <row customHeight="1" r="87" ht="64.5">
      <c s="167" r="A87"/>
      <c t="str" s="78" r="B87">
        <f>HYPERLINK("http://www.google.com/url?q=http://www.wormbase.org/db/gene/gene%3Fname%3DWBGene00000845%3Bclass%3DGene&amp;usd=2&amp;usg=ALhdy29juygjNVKoEnuUPVS2niMwOQpY_Q","cup-4")</f>
        <v>cup-4</v>
      </c>
      <c t="str" s="78" r="C87">
        <f>HYPERLINK("http://www.google.com/url?q=http://www.wormbase.org/db/gene/gene%3Fname%3DWBGene00000845%3Bclass%3DGene&amp;usd=2&amp;usg=ALhdy29juygjNVKoEnuUPVS2niMwOQpY_Q","C02C2.3")</f>
        <v>C02C2.3</v>
      </c>
      <c t="s" s="28" r="D87">
        <v>864</v>
      </c>
      <c t="s" s="56" r="E87">
        <v>865</v>
      </c>
      <c t="s" s="28" r="F87">
        <v>866</v>
      </c>
      <c s="167" r="G87"/>
      <c t="s" s="28" r="H87">
        <v>867</v>
      </c>
      <c t="s" s="28" r="I87">
        <v>868</v>
      </c>
      <c s="79" r="J87"/>
      <c s="4" r="K87"/>
      <c s="4" r="L87"/>
      <c s="4" r="M87"/>
      <c s="4" r="N87"/>
      <c s="4" r="O87"/>
      <c s="4" r="P87"/>
      <c s="4" r="Q87"/>
    </row>
    <row customHeight="1" r="88" ht="15.75">
      <c s="101" r="A88"/>
      <c t="str" s="150" r="B88">
        <f>HYPERLINK("http://www.google.com/url?q=http://www.wormbase.org/db/gene/gene%3Fname%3DWBGene00008997%3Bclass%3DGene&amp;usd=2&amp;usg=ALhdy28VEDmXfEZC8FkS4wwI9bdSEiDAiw","lgc-31")</f>
        <v>lgc-31</v>
      </c>
      <c t="str" s="150" r="C88">
        <f>HYPERLINK("http://www.google.com/url?q=http://www.wormbase.org/db/gene/gene%3Fname%3DWBGene00008997%3Bclass%3DGene&amp;usd=2&amp;usg=ALhdy28VEDmXfEZC8FkS4wwI9bdSEiDAiw","F21A3.7")</f>
        <v>F21A3.7</v>
      </c>
      <c t="s" s="181" r="D88">
        <v>869</v>
      </c>
      <c t="s" s="8" r="E88">
        <v>865</v>
      </c>
      <c s="101" r="F88"/>
      <c s="101" r="G88"/>
      <c s="101" r="H88"/>
      <c t="s" s="181" r="I88">
        <v>870</v>
      </c>
      <c s="79" r="J88"/>
      <c s="4" r="K88"/>
      <c s="4" r="L88"/>
      <c s="4" r="M88"/>
      <c s="4" r="N88"/>
      <c s="4" r="O88"/>
      <c s="4" r="P88"/>
      <c s="4" r="Q88"/>
    </row>
    <row customHeight="1" r="89" ht="15.75">
      <c t="s" s="118" r="A89">
        <v>660</v>
      </c>
      <c t="s" s="60" r="B89">
        <v>661</v>
      </c>
      <c t="s" s="60" r="C89">
        <v>662</v>
      </c>
      <c t="s" s="60" r="D89">
        <v>1</v>
      </c>
      <c t="s" s="60" r="E89">
        <v>663</v>
      </c>
      <c t="s" s="60" r="F89">
        <v>702</v>
      </c>
      <c t="s" s="60" r="G89">
        <v>664</v>
      </c>
      <c t="s" s="60" r="H89">
        <v>665</v>
      </c>
      <c t="s" s="60" r="I89">
        <v>703</v>
      </c>
      <c s="79" r="J89"/>
      <c s="4" r="K89"/>
      <c s="4" r="L89"/>
      <c s="4" r="M89"/>
      <c s="4" r="N89"/>
      <c s="4" r="O89"/>
      <c s="4" r="P89"/>
      <c s="4" r="Q89"/>
    </row>
    <row customHeight="1" r="90" ht="26.25">
      <c t="s" s="153" r="A90">
        <v>871</v>
      </c>
      <c s="47" r="B90"/>
      <c s="47" r="C90"/>
      <c s="47" r="D90"/>
      <c s="47" r="E90"/>
      <c s="47" r="F90"/>
      <c s="47" r="G90"/>
      <c s="47" r="H90"/>
      <c s="47" r="I90"/>
      <c s="79" r="J90"/>
      <c s="4" r="K90"/>
      <c s="4" r="L90"/>
      <c s="4" r="M90"/>
      <c s="4" r="N90"/>
      <c s="4" r="O90"/>
      <c s="4" r="P90"/>
      <c s="4" r="Q90"/>
    </row>
    <row customHeight="1" r="91" ht="15.75">
      <c t="s" s="38" r="A91">
        <v>668</v>
      </c>
      <c s="167" r="B91"/>
      <c s="167" r="C91"/>
      <c s="167" r="D91"/>
      <c s="167" r="E91"/>
      <c s="167" r="F91"/>
      <c s="167" r="G91"/>
      <c s="167" r="H91"/>
      <c s="167" r="I91"/>
      <c s="79" r="J91"/>
      <c s="4" r="K91"/>
      <c s="4" r="L91"/>
      <c s="4" r="M91"/>
      <c s="4" r="N91"/>
      <c s="4" r="O91"/>
      <c s="4" r="P91"/>
      <c s="4" r="Q91"/>
    </row>
    <row customHeight="1" r="92" ht="39.0">
      <c t="s" s="38" r="A92">
        <v>872</v>
      </c>
      <c t="str" s="78" r="B92">
        <f>HYPERLINK("http://www.google.com/url?q=http://www.wormbase.org/db/gene/gene%3Fname%3DWBGene00006784%3Bclass%3DGene&amp;usd=2&amp;usg=ALhdy2_V6ZKy1NmtbYtjvhCxYabp1z2wUQ","unc-49")</f>
        <v>unc-49</v>
      </c>
      <c t="str" s="78" r="C92">
        <f>HYPERLINK("http://www.google.com/url?q=http://www.wormbase.org/db/gene/gene%3Fname%3DWBGene00006784%3Bclass%3DGene&amp;usd=2&amp;usg=ALhdy2_V6ZKy1NmtbYtjvhCxYabp1z2wUQ","T21C12.1")</f>
        <v>T21C12.1</v>
      </c>
      <c t="s" s="28" r="D92">
        <v>873</v>
      </c>
      <c t="s" s="56" r="E92">
        <v>874</v>
      </c>
      <c t="s" s="28" r="F92">
        <v>875</v>
      </c>
      <c s="167" r="G92"/>
      <c t="s" s="28" r="H92">
        <v>876</v>
      </c>
      <c t="s" s="28" r="I92">
        <v>877</v>
      </c>
      <c s="79" r="J92"/>
      <c s="4" r="K92"/>
      <c s="4" r="L92"/>
      <c s="4" r="M92"/>
      <c s="4" r="N92"/>
      <c s="4" r="O92"/>
      <c s="4" r="P92"/>
      <c s="4" r="Q92"/>
    </row>
    <row customHeight="1" r="93" ht="26.25">
      <c s="167" r="A93"/>
      <c t="str" s="78" r="B93">
        <f>HYPERLINK("http://www.google.com/url?q=http://www.wormbase.org/db/gene/gene%3Fname%3DWBGene00008551%3Bclass%3DGene&amp;usd=2&amp;usg=ALhdy29UfZfGr4QNQy6klJEPU7kTZtS9ng","lgc-36")</f>
        <v>lgc-36</v>
      </c>
      <c t="str" s="78" r="C93">
        <f>HYPERLINK("http://www.google.com/url?q=http://www.wormbase.org/db/gene/gene%3Fname%3DWBGene00017389%3Bclass%3DGene&amp;usd=2&amp;usg=ALhdy289u-2xc3TzQaAnwtnnG7UwAv5C9Q","F07B10.5")</f>
        <v>F07B10.5</v>
      </c>
      <c t="s" s="28" r="D93">
        <v>878</v>
      </c>
      <c s="88" r="E93"/>
      <c s="167" r="F93"/>
      <c s="167" r="G93"/>
      <c s="167" r="H93"/>
      <c t="s" s="28" r="I93">
        <v>870</v>
      </c>
      <c s="79" r="J93"/>
      <c s="4" r="K93"/>
      <c s="4" r="L93"/>
      <c s="4" r="M93"/>
      <c s="4" r="N93"/>
      <c s="4" r="O93"/>
      <c s="4" r="P93"/>
      <c s="4" r="Q93"/>
    </row>
    <row customHeight="1" r="94" ht="26.25">
      <c t="s" s="28" r="A94">
        <v>879</v>
      </c>
      <c t="str" s="78" r="B94">
        <f>HYPERLINK("http://www.google.com/url?q=http://www.wormbase.org/db/gene/gene%3Fname%3DWBGene00013914%3Bclass%3DGene&amp;usd=2&amp;usg=ALhdy29sXfp2NzxXwpsGBgKpjgbW-cBajA","lgc-37")</f>
        <v>lgc-37</v>
      </c>
      <c t="str" s="78" r="C94">
        <f>HYPERLINK("http://www.google.com/url?q=http://www.wormbase.org/db/gene/gene%3Fname%3DWBGene00017389%3Bclass%3DGene&amp;usd=2&amp;usg=ALhdy289u-2xc3TzQaAnwtnnG7UwAv5C9Q","ZC482.5")</f>
        <v>ZC482.5</v>
      </c>
      <c t="s" s="28" r="D94">
        <v>878</v>
      </c>
      <c s="88" r="E94"/>
      <c t="s" s="28" r="F94">
        <v>880</v>
      </c>
      <c s="167" r="G94"/>
      <c s="167" r="H94"/>
      <c t="s" s="28" r="I94">
        <v>881</v>
      </c>
      <c s="79" r="J94"/>
      <c s="4" r="K94"/>
      <c s="4" r="L94"/>
      <c s="4" r="M94"/>
      <c s="4" r="N94"/>
      <c s="4" r="O94"/>
      <c s="4" r="P94"/>
      <c s="4" r="Q94"/>
    </row>
    <row customHeight="1" r="95" ht="15.75">
      <c s="167" r="A95"/>
      <c t="str" s="78" r="B95">
        <f>HYPERLINK("http://www.google.com/url?q=http://www.wormbase.org/db/gene/gene%3Fname%3DWBGene00017389%3Bclass%3DGene&amp;usd=2&amp;usg=ALhdy289u-2xc3TzQaAnwtnnG7UwAv5C9Q","lgc-38")</f>
        <v>lgc-38</v>
      </c>
      <c t="str" s="78" r="C95">
        <f>HYPERLINK("http://www.google.com/url?q=http://www.wormbase.org/db/gene/gene%3Fname%3DWBGene00017389%3Bclass%3DGene&amp;usd=2&amp;usg=ALhdy289u-2xc3TzQaAnwtnnG7UwAv5C9Q","F11H8.2")</f>
        <v>F11H8.2</v>
      </c>
      <c t="s" s="28" r="D95">
        <v>882</v>
      </c>
      <c t="s" s="56" r="E95">
        <v>874</v>
      </c>
      <c t="s" s="28" r="F95">
        <v>883</v>
      </c>
      <c s="167" r="G95"/>
      <c s="167" r="H95"/>
      <c t="s" s="28" r="I95">
        <v>884</v>
      </c>
      <c s="79" r="J95"/>
      <c s="4" r="K95"/>
      <c s="4" r="L95"/>
      <c s="4" r="M95"/>
      <c s="4" r="N95"/>
      <c s="4" r="O95"/>
      <c s="4" r="P95"/>
      <c s="4" r="Q95"/>
    </row>
    <row customHeight="1" r="96" ht="64.5">
      <c s="167" r="A96"/>
      <c t="str" s="78" r="B96">
        <f>HYPERLINK("http://www.google.com/url?q=http://www.wormbase.org/db/gene/gene%3Fname%3DWBGene00001512%3Bclass%3DGene&amp;usd=2&amp;usg=ALhdy2-k6itTkRVNhpYKAc3WhJIOi8WPBQ","gab-1 (gbr-1)")</f>
        <v>gab-1 (gbr-1)</v>
      </c>
      <c t="str" s="78" r="C96">
        <f>HYPERLINK("http://www.google.com/url?q=http://www.wormbase.org/db/gene/gene%3Fname%3DWBGene00001512%3Bclass%3DGene&amp;usd=2&amp;usg=ALhdy2-k6itTkRVNhpYKAc3WhJIOi8WPBQ","ZC482.1")</f>
        <v>ZC482.1</v>
      </c>
      <c t="s" s="28" r="D96">
        <v>885</v>
      </c>
      <c t="s" s="56" r="E96">
        <v>874</v>
      </c>
      <c t="s" s="28" r="F96">
        <v>886</v>
      </c>
      <c t="s" s="28" r="G96">
        <v>887</v>
      </c>
      <c t="s" s="28" r="H96">
        <v>888</v>
      </c>
      <c t="s" s="28" r="I96">
        <v>889</v>
      </c>
      <c s="79" r="J96"/>
      <c s="4" r="K96"/>
      <c s="4" r="L96"/>
      <c s="4" r="M96"/>
      <c s="4" r="N96"/>
      <c s="4" r="O96"/>
      <c s="4" r="P96"/>
      <c s="4" r="Q96"/>
    </row>
    <row customHeight="1" r="97" ht="51.75">
      <c s="167" r="A97"/>
      <c t="str" s="78" r="B97">
        <f>HYPERLINK("http://www.google.com/url?q=http://www.wormbase.org/db/gene/gene%3Fname%3DWBGene00001586%3Bclass%3DGene&amp;usd=2&amp;usg=ALhdy29xdYzOtJoz43ur1WQpt5DtbJiY9w","ggr-1 (gbr-4)")</f>
        <v>ggr-1 (gbr-4)</v>
      </c>
      <c t="str" s="78" r="C97">
        <f>HYPERLINK("http://www.google.com/url?q=http://www.wormbase.org/db/gene/gene%3Fname%3DWBGene00001586%3Bclass%3DGene&amp;usd=2&amp;usg=ALhdy29xdYzOtJoz43ur1WQpt5DtbJiY9w","C09G5.1")</f>
        <v>C09G5.1</v>
      </c>
      <c t="s" s="28" r="D97">
        <v>890</v>
      </c>
      <c t="s" s="56" r="E97">
        <v>874</v>
      </c>
      <c t="s" s="28" r="F97">
        <v>891</v>
      </c>
      <c s="167" r="G97"/>
      <c t="s" s="28" r="H97">
        <v>892</v>
      </c>
      <c s="167" r="I97"/>
      <c s="79" r="J97"/>
      <c s="4" r="K97"/>
      <c s="4" r="L97"/>
      <c s="4" r="M97"/>
      <c s="4" r="N97"/>
      <c s="4" r="O97"/>
      <c s="4" r="P97"/>
      <c s="4" r="Q97"/>
    </row>
    <row customHeight="1" r="98" ht="51.75">
      <c s="167" r="A98"/>
      <c t="str" s="78" r="B98">
        <f>HYPERLINK("http://www.google.com/url?q=http://www.wormbase.org/db/gene/gene%3Fname%3DWBGene00001587%3Bclass%3DGene&amp;usd=2&amp;usg=ALhdy2-zII02_5Zxqdx9FtT8Im1PQl0gpg","ggr-2 (gbr-5)")</f>
        <v>ggr-2 (gbr-5)</v>
      </c>
      <c t="str" s="78" r="C98">
        <f>HYPERLINK("http://www.google.com/url?q=http://www.wormbase.org/db/gene/gene%3Fname%3DWBGene00001587%3Bclass%3DGene&amp;usd=2&amp;usg=ALhdy2-zII02_5Zxqdx9FtT8Im1PQl0gpg","C45B2.4")</f>
        <v>C45B2.4</v>
      </c>
      <c t="s" s="28" r="D98">
        <v>890</v>
      </c>
      <c t="s" s="56" r="E98">
        <v>874</v>
      </c>
      <c t="s" s="28" r="F98">
        <v>893</v>
      </c>
      <c s="167" r="G98"/>
      <c t="s" s="28" r="H98">
        <v>892</v>
      </c>
      <c s="167" r="I98"/>
      <c s="79" r="J98"/>
      <c s="4" r="K98"/>
      <c s="4" r="L98"/>
      <c s="4" r="M98"/>
      <c s="4" r="N98"/>
      <c s="4" r="O98"/>
      <c s="4" r="P98"/>
      <c s="4" r="Q98"/>
    </row>
    <row customHeight="1" r="99" ht="51.75">
      <c s="167" r="A99"/>
      <c t="str" s="78" r="B99">
        <f>HYPERLINK("http://www.google.com/url?q=http://www.wormbase.org/db/gene/gene%3Fname%3DWBGene00001588%3Bclass%3DGene&amp;usd=2&amp;usg=ALhdy28ax3HUYOdZOpKE4XUlu8hpFi3ytg","ggr-3 (gbr-6)")</f>
        <v>ggr-3 (gbr-6)</v>
      </c>
      <c t="str" s="78" r="C99">
        <f>HYPERLINK("http://www.google.com/url?q=http://www.wormbase.org/db/gene/gene%3Fname%3DWBGene00001588%3Bclass%3DGene&amp;usd=2&amp;usg=ALhdy28ax3HUYOdZOpKE4XUlu8hpFi3ytg","F09C12.1")</f>
        <v>F09C12.1</v>
      </c>
      <c t="s" s="28" r="D99">
        <v>890</v>
      </c>
      <c t="s" s="56" r="E99">
        <v>874</v>
      </c>
      <c t="str" s="78" r="F99">
        <f>HYPERLINK("http://www.google.com/url?q=http://www.wormatlas.org/neurons/Individual%2520Neurons/Neuronframeset.html&amp;usd=2&amp;usg=ALhdy2_OIz5gY07K9vr5knfGd_eIwp9JUw","AVA, AVB, DVA, SIAD, SMDD, and in some other neurons of the nerve ring")</f>
        <v>AVA, AVB, DVA, SIAD, SMDD, and in some other neurons of the nerve ring</v>
      </c>
      <c s="167" r="G99"/>
      <c s="167" r="H99"/>
      <c s="167" r="I99"/>
      <c s="79" r="J99"/>
      <c s="4" r="K99"/>
      <c s="4" r="L99"/>
      <c s="4" r="M99"/>
      <c s="4" r="N99"/>
      <c s="4" r="O99"/>
      <c s="4" r="P99"/>
      <c s="4" r="Q99"/>
    </row>
    <row customHeight="1" r="100" ht="26.25">
      <c s="167" r="A100"/>
      <c t="str" s="78" r="B100">
        <f>HYPERLINK("http://www.google.com/url?q=http://www.wormbase.org/db/gene/gene%3Fname%3DWBGene00017314%3Bclass%3DGene&amp;usd=2&amp;usg=ALhdy290saNCpWEXIvHAV8_g1ons2dhV2A","lgc-39")</f>
        <v>lgc-39</v>
      </c>
      <c t="str" s="78" r="C100">
        <f>HYPERLINK("http://www.google.com/url?q=http://www.wormbase.org/db/gene/gene%3Fname%3DWBGene00017314%3Bclass%3DGene&amp;usd=2&amp;usg=ALhdy290saNCpWEXIvHAV8_g1ons2dhV2A","F09G2.5")</f>
        <v>F09G2.5</v>
      </c>
      <c t="s" s="28" r="D100">
        <v>894</v>
      </c>
      <c s="88" r="E100"/>
      <c s="167" r="F100"/>
      <c s="167" r="G100"/>
      <c s="167" r="H100"/>
      <c t="s" s="28" r="I100">
        <v>870</v>
      </c>
      <c s="79" r="J100"/>
      <c s="4" r="K100"/>
      <c s="4" r="L100"/>
      <c s="4" r="M100"/>
      <c s="4" r="N100"/>
      <c s="4" r="O100"/>
      <c s="4" r="P100"/>
      <c s="4" r="Q100"/>
    </row>
    <row customHeight="1" r="101" ht="26.25">
      <c s="167" r="A101"/>
      <c t="str" s="78" r="B101">
        <f>HYPERLINK("http://www.google.com/url?q=http://www.wormbase.org/db/gene/gene%3Fname%3DWBGene00020767%3Bclass%3DGene&amp;usd=2&amp;usg=ALhdy2_DQqWUVu_Qz29LwLRNCU7VMoe7zg","lgc-40")</f>
        <v>lgc-40</v>
      </c>
      <c t="str" s="78" r="C101">
        <f>HYPERLINK("http://www.google.com/url?q=http://www.wormbase.org/db/gene/gene%3Fname%3DWBGene00020767%3Bclass%3DGene&amp;usd=2&amp;usg=ALhdy2_DQqWUVu_Qz29LwLRNCU7VMoe7zg","T24D8.1")</f>
        <v>T24D8.1</v>
      </c>
      <c t="s" s="28" r="D101">
        <v>894</v>
      </c>
      <c s="88" r="E101"/>
      <c s="167" r="F101"/>
      <c s="167" r="G101"/>
      <c s="167" r="H101"/>
      <c t="s" s="28" r="I101">
        <v>870</v>
      </c>
      <c s="79" r="J101"/>
      <c s="4" r="K101"/>
      <c s="4" r="L101"/>
      <c s="4" r="M101"/>
      <c s="4" r="N101"/>
      <c s="4" r="O101"/>
      <c s="4" r="P101"/>
      <c s="4" r="Q101"/>
    </row>
    <row customHeight="1" r="102" ht="26.25">
      <c s="167" r="A102"/>
      <c t="str" s="78" r="B102">
        <f>HYPERLINK("http://www.google.com/url?q=http://www.wormbase.org/db/gene/gene%3Fname%3DWBGene00008022%3Bclass%3DGene&amp;usd=2&amp;usg=ALhdy29qSm6EiEJCaPy0L5C2KHegNSW1wg","lgc-41")</f>
        <v>lgc-41</v>
      </c>
      <c t="str" s="78" r="C102">
        <f>HYPERLINK("http://www.google.com/url?q=http://www.wormbase.org/db/gene/gene%3Fname%3DWBGene00008022%3Bclass%3DGene&amp;usd=2&amp;usg=ALhdy29qSm6EiEJCaPy0L5C2KHegNSW1wg","C39B10.2")</f>
        <v>C39B10.2</v>
      </c>
      <c t="s" s="28" r="D102">
        <v>894</v>
      </c>
      <c s="88" r="E102"/>
      <c s="167" r="F102"/>
      <c s="167" r="G102"/>
      <c s="167" r="H102"/>
      <c t="s" s="28" r="I102">
        <v>870</v>
      </c>
      <c s="79" r="J102"/>
      <c s="4" r="K102"/>
      <c s="4" r="L102"/>
      <c s="4" r="M102"/>
      <c s="4" r="N102"/>
      <c s="4" r="O102"/>
      <c s="4" r="P102"/>
      <c s="4" r="Q102"/>
    </row>
    <row customHeight="1" r="103" ht="26.25">
      <c s="167" r="A103"/>
      <c t="str" s="78" r="B103">
        <f>HYPERLINK("http://www.google.com/url?q=http://www.wormbase.org/db/gene/gene%3Fname%3DWBGene00021437%3Bclass%3DGene&amp;usd=2&amp;usg=ALhdy2_zLOqMl7PJfLHAG4ip5KGxVSnV6w","lgc-42")</f>
        <v>lgc-42</v>
      </c>
      <c t="str" s="78" r="C103">
        <f>HYPERLINK("http://www.google.com/url?q=http://www.wormbase.org/db/gene/gene%3Fname%3DWBGene00021437%3Bclass%3DGene&amp;usd=2&amp;usg=ALhdy2_zLOqMl7PJfLHAG4ip5KGxVSnV6w","Y39A3B.2")</f>
        <v>Y39A3B.2</v>
      </c>
      <c t="s" s="28" r="D103">
        <v>894</v>
      </c>
      <c s="88" r="E103"/>
      <c s="167" r="F103"/>
      <c s="167" r="G103"/>
      <c s="167" r="H103"/>
      <c t="s" s="28" r="I103">
        <v>870</v>
      </c>
      <c s="79" r="J103"/>
      <c s="4" r="K103"/>
      <c s="4" r="L103"/>
      <c s="4" r="M103"/>
      <c s="4" r="N103"/>
      <c s="4" r="O103"/>
      <c s="4" r="P103"/>
      <c s="4" r="Q103"/>
    </row>
    <row customHeight="1" r="104" ht="26.25">
      <c s="167" r="A104"/>
      <c t="str" s="78" r="B104">
        <f>HYPERLINK("http://www.google.com/url?q=http://www.wormbase.org/db/gene/gene%3Fname%3DWBGene00017399%3Bclass%3DGene&amp;usd=2&amp;usg=ALhdy2-qBaMJO-FTvKtpeNBYHuLYoQ6Tvw","lgc-51")</f>
        <v>lgc-51</v>
      </c>
      <c t="str" s="78" r="C104">
        <f>HYPERLINK("http://www.google.com/url?q=http://www.wormbase.org/db/gene/gene%3Fname%3DWBGene00017399%3Bclass%3DGene&amp;usd=2&amp;usg=ALhdy2-qBaMJO-FTvKtpeNBYHuLYoQ6Tvw","F12B6.3")</f>
        <v>F12B6.3</v>
      </c>
      <c t="s" s="28" r="D104">
        <v>895</v>
      </c>
      <c s="88" r="E104"/>
      <c s="167" r="F104"/>
      <c s="167" r="G104"/>
      <c s="167" r="H104"/>
      <c t="s" s="28" r="I104">
        <v>870</v>
      </c>
      <c s="79" r="J104"/>
      <c s="4" r="K104"/>
      <c s="4" r="L104"/>
      <c s="4" r="M104"/>
      <c s="4" r="N104"/>
      <c s="4" r="O104"/>
      <c s="4" r="P104"/>
      <c s="4" r="Q104"/>
    </row>
    <row customHeight="1" r="105" ht="26.25">
      <c s="167" r="A105"/>
      <c t="str" s="78" r="B105">
        <f>HYPERLINK("http://www.google.com/url?q=http://www.wormbase.org/db/gene/gene%3Fname%3DWBGene00013517%3Bclass%3DGene&amp;usd=2&amp;usg=ALhdy2-wvZya_NBGSG5U-1vHa36TpvQ-ZQ","lgc-52")</f>
        <v>lgc-52</v>
      </c>
      <c t="str" s="78" r="C105">
        <f>HYPERLINK("http://www.google.com/url?q=http://www.wormbase.org/db/gene/gene%3Fname%3DWBGene00013517%3Bclass%3DGene&amp;usd=2&amp;usg=ALhdy2-wvZya_NBGSG5U-1vHa36TpvQ-ZQ","Y73F8A.2")</f>
        <v>Y73F8A.2</v>
      </c>
      <c t="s" s="28" r="D105">
        <v>895</v>
      </c>
      <c s="88" r="E105"/>
      <c s="167" r="F105"/>
      <c s="167" r="G105"/>
      <c s="167" r="H105"/>
      <c t="s" s="28" r="I105">
        <v>870</v>
      </c>
      <c s="79" r="J105"/>
      <c s="4" r="K105"/>
      <c s="4" r="L105"/>
      <c s="4" r="M105"/>
      <c s="4" r="N105"/>
      <c s="4" r="O105"/>
      <c s="4" r="P105"/>
      <c s="4" r="Q105"/>
    </row>
    <row customHeight="1" r="106" ht="26.25">
      <c s="167" r="A106"/>
      <c t="str" s="78" r="B106">
        <f>HYPERLINK("http://www.google.com/url?q=http://www.wormbase.org/db/gene/gene%3Fname%3DWBGene00020657%3Bclass%3DGene&amp;usd=2&amp;usg=ALhdy2-BpPlEg1mB5usSgrt56Lz53ck_Jg","lgc-53")</f>
        <v>lgc-53</v>
      </c>
      <c t="str" s="78" r="C106">
        <f>HYPERLINK("http://www.google.com/url?q=http://www.wormbase.org/db/gene/gene%3Fname%3DWBGene00020657%3Bclass%3DGene&amp;usd=2&amp;usg=ALhdy2-BpPlEg1mB5usSgrt56Lz53ck_Jg","T21F2.1")</f>
        <v>T21F2.1</v>
      </c>
      <c t="s" s="28" r="D106">
        <v>895</v>
      </c>
      <c s="88" r="E106"/>
      <c s="167" r="F106"/>
      <c s="167" r="G106"/>
      <c s="167" r="H106"/>
      <c t="s" s="28" r="I106">
        <v>870</v>
      </c>
      <c s="79" r="J106"/>
      <c s="4" r="K106"/>
      <c s="4" r="L106"/>
      <c s="4" r="M106"/>
      <c s="4" r="N106"/>
      <c s="4" r="O106"/>
      <c s="4" r="P106"/>
      <c s="4" r="Q106"/>
    </row>
    <row customHeight="1" r="107" ht="26.25">
      <c s="167" r="A107"/>
      <c t="str" s="78" r="B107">
        <f>HYPERLINK("http://www.google.com/url?q=http://www.wormbase.org/db/gene/gene%3Fname%3DWBGene00020528%3Bclass%3DGene&amp;usd=2&amp;usg=ALhdy2-7ofPRdn38HMiLkDrKT2oWgdJbIg","lgc-54")</f>
        <v>lgc-54</v>
      </c>
      <c t="str" s="78" r="C107">
        <f>HYPERLINK("http://www.google.com/url?q=http://www.wormbase.org/db/gene/gene%3Fname%3DWBGene00020528%3Bclass%3DGene&amp;usd=2&amp;usg=ALhdy2-7ofPRdn38HMiLkDrKT2oWgdJbIg","T15B7.16")</f>
        <v>T15B7.16</v>
      </c>
      <c t="s" s="28" r="D107">
        <v>895</v>
      </c>
      <c s="88" r="E107"/>
      <c s="167" r="F107"/>
      <c s="167" r="G107"/>
      <c s="167" r="H107"/>
      <c t="s" s="28" r="I107">
        <v>870</v>
      </c>
      <c s="79" r="J107"/>
      <c s="4" r="K107"/>
      <c s="4" r="L107"/>
      <c s="4" r="M107"/>
      <c s="4" r="N107"/>
      <c s="4" r="O107"/>
      <c s="4" r="P107"/>
      <c s="4" r="Q107"/>
    </row>
    <row customHeight="1" r="108" ht="51.75">
      <c s="167" r="A108"/>
      <c t="str" s="78" r="B108">
        <f>HYPERLINK("http://www.google.com/url?q=http://www.wormbase.org/db/gene/gene%3Fname%3DWBGene00001373%3Bclass%3DGene&amp;usd=2&amp;usg=ALhdy28nkmyPJ_-BjQVzAqvsgrfIIC46_Q","exp-1")</f>
        <v>exp-1</v>
      </c>
      <c t="str" s="78" r="C108">
        <f>HYPERLINK("http://www.google.com/url?q=http://www.wormbase.org/db/gene/gene%3Fname%3DWBGene00001373%3Bclass%3DGene&amp;usd=2&amp;usg=ALhdy28nkmyPJ_-BjQVzAqvsgrfIIC46_Q","H35N03.1")</f>
        <v>H35N03.1</v>
      </c>
      <c t="s" s="28" r="D108">
        <v>896</v>
      </c>
      <c t="s" s="56" r="E108">
        <v>874</v>
      </c>
      <c t="s" s="28" r="F108">
        <v>897</v>
      </c>
      <c t="s" s="28" r="G108">
        <v>898</v>
      </c>
      <c t="s" s="28" r="H108">
        <v>899</v>
      </c>
      <c t="s" s="28" r="I108">
        <v>900</v>
      </c>
      <c s="79" r="J108"/>
      <c s="4" r="K108"/>
      <c s="4" r="L108"/>
      <c s="4" r="M108"/>
      <c s="4" r="N108"/>
      <c s="4" r="O108"/>
      <c s="4" r="P108"/>
      <c s="4" r="Q108"/>
    </row>
    <row customHeight="1" r="109" ht="26.25">
      <c s="167" r="A109"/>
      <c t="str" s="78" r="B109">
        <f>HYPERLINK("http://www.google.com/url?q=http://www.wormbase.org/db/gene/gene%3Fname%3DWBGene00012915%3Bclass%3DGene&amp;usd=2&amp;usg=ALhdy290doLLLP6vsvlygtyGr75U6ybwAQ","lgc-35")</f>
        <v>lgc-35</v>
      </c>
      <c t="str" s="78" r="C109">
        <f>HYPERLINK("http://www.google.com/url?q=http://www.wormbase.org/db/gene/gene%3Fname%3DWBGene00012915%3Bclass%3DGene&amp;usd=2&amp;usg=ALhdy290doLLLP6vsvlygtyGr75U6ybwAQ","Y46G5A.26")</f>
        <v>Y46G5A.26</v>
      </c>
      <c t="s" s="28" r="D109">
        <v>901</v>
      </c>
      <c t="s" s="56" r="E109">
        <v>874</v>
      </c>
      <c t="s" s="28" r="F109">
        <v>14</v>
      </c>
      <c s="167" r="G109"/>
      <c s="167" r="H109"/>
      <c t="s" s="28" r="I109">
        <v>870</v>
      </c>
      <c s="79" r="J109"/>
      <c s="4" r="K109"/>
      <c s="4" r="L109"/>
      <c s="4" r="M109"/>
      <c s="4" r="N109"/>
      <c s="4" r="O109"/>
      <c s="4" r="P109"/>
      <c s="4" r="Q109"/>
    </row>
    <row customHeight="1" r="110" ht="15.75">
      <c t="s" s="38" r="A110">
        <v>902</v>
      </c>
      <c s="167" r="B110"/>
      <c s="167" r="C110"/>
      <c s="167" r="D110"/>
      <c s="167" r="E110"/>
      <c s="167" r="F110"/>
      <c s="167" r="G110"/>
      <c s="167" r="H110"/>
      <c s="167" r="I110"/>
      <c s="79" r="J110"/>
      <c s="4" r="K110"/>
      <c s="4" r="L110"/>
      <c s="4" r="M110"/>
      <c s="4" r="N110"/>
      <c s="4" r="O110"/>
      <c s="4" r="P110"/>
      <c s="4" r="Q110"/>
    </row>
    <row customHeight="1" r="111" ht="64.5">
      <c t="s" s="28" r="A111">
        <v>903</v>
      </c>
      <c t="str" s="78" r="B111">
        <f>HYPERLINK("http://www.google.com/url?q=http://www.wormbase.org/db/gene/gene%3Fname%3DWBGene00021528%3Bclass%3DGene&amp;usd=2&amp;usg=ALhdy2-3p2KqEbrqVU9c0fVjQShaddE02w","gbb-1")</f>
        <v>gbb-1</v>
      </c>
      <c t="str" s="78" r="C111">
        <f>HYPERLINK("http://www.google.com/url?q=http://www.wormbase.org/db/gene/gene%3Fname%3DWBGene00021528%3Bclass%3DGene&amp;usd=2&amp;usg=ALhdy2-3p2KqEbrqVU9c0fVjQShaddE02w","Y41G9A.4")</f>
        <v>Y41G9A.4</v>
      </c>
      <c t="s" s="28" r="D111">
        <v>904</v>
      </c>
      <c t="s" s="56" r="E111">
        <v>874</v>
      </c>
      <c t="s" s="28" r="F111">
        <v>14</v>
      </c>
      <c s="167" r="G111"/>
      <c t="s" s="28" r="H111">
        <v>905</v>
      </c>
      <c t="s" s="28" r="I111">
        <v>906</v>
      </c>
      <c s="79" r="J111"/>
      <c s="4" r="K111"/>
      <c s="4" r="L111"/>
      <c s="4" r="M111"/>
      <c s="4" r="N111"/>
      <c s="4" r="O111"/>
      <c s="4" r="P111"/>
      <c s="4" r="Q111"/>
    </row>
    <row customHeight="1" r="112" ht="64.5">
      <c s="101" r="A112"/>
      <c t="str" s="150" r="B112">
        <f>HYPERLINK("http://www.google.com/url?q=http://www.wormbase.org/db/gene/gene%3Fname%3DWBGene00022675%3Bclass%3DGene&amp;usd=2&amp;usg=ALhdy2-TTmbS19-mDFMjIqRPx9n021FdRQ","gbb-2")</f>
        <v>gbb-2</v>
      </c>
      <c t="str" s="150" r="C112">
        <f>HYPERLINK("http://www.google.com/url?q=http://www.wormbase.org/db/gene/gene%3Fname%3DWBGene00022675%3Bclass%3DGene&amp;usd=2&amp;usg=ALhdy2-TTmbS19-mDFMjIqRPx9n021FdRQ","ZK180.1")</f>
        <v>ZK180.1</v>
      </c>
      <c t="s" s="181" r="D112">
        <v>907</v>
      </c>
      <c t="s" s="8" r="E112">
        <v>874</v>
      </c>
      <c t="s" s="181" r="F112">
        <v>14</v>
      </c>
      <c s="101" r="G112"/>
      <c t="s" s="181" r="H112">
        <v>908</v>
      </c>
      <c t="s" s="181" r="I112">
        <v>906</v>
      </c>
      <c s="79" r="J112"/>
      <c s="4" r="K112"/>
      <c s="4" r="L112"/>
      <c s="4" r="M112"/>
      <c s="4" r="N112"/>
      <c s="4" r="O112"/>
      <c s="4" r="P112"/>
      <c s="4" r="Q112"/>
    </row>
    <row customHeight="1" r="113" ht="15.75">
      <c t="s" s="118" r="A113">
        <v>660</v>
      </c>
      <c t="s" s="104" r="B113">
        <v>661</v>
      </c>
      <c t="s" s="60" r="C113">
        <v>662</v>
      </c>
      <c t="s" s="60" r="D113">
        <v>1</v>
      </c>
      <c t="s" s="60" r="E113">
        <v>663</v>
      </c>
      <c t="s" s="60" r="F113">
        <v>702</v>
      </c>
      <c t="s" s="60" r="G113">
        <v>664</v>
      </c>
      <c t="s" s="60" r="H113">
        <v>665</v>
      </c>
      <c t="s" s="60" r="I113">
        <v>703</v>
      </c>
      <c s="79" r="J113"/>
      <c s="4" r="K113"/>
      <c s="4" r="L113"/>
      <c s="4" r="M113"/>
      <c s="4" r="N113"/>
      <c s="4" r="O113"/>
      <c s="4" r="P113"/>
      <c s="4" r="Q113"/>
    </row>
    <row customHeight="1" r="114" ht="15.75">
      <c t="s" s="153" r="A114">
        <v>909</v>
      </c>
      <c s="47" r="B114"/>
      <c s="47" r="C114"/>
      <c s="47" r="D114"/>
      <c s="47" r="E114"/>
      <c s="47" r="F114"/>
      <c s="47" r="G114"/>
      <c s="47" r="H114"/>
      <c s="47" r="I114"/>
      <c s="79" r="J114"/>
      <c s="4" r="K114"/>
      <c s="4" r="L114"/>
      <c s="4" r="M114"/>
      <c s="4" r="N114"/>
      <c s="4" r="O114"/>
      <c s="4" r="P114"/>
      <c s="4" r="Q114"/>
    </row>
    <row customHeight="1" r="115" ht="15.75">
      <c t="s" s="38" r="A115">
        <v>668</v>
      </c>
      <c s="167" r="B115"/>
      <c s="167" r="C115"/>
      <c s="167" r="D115"/>
      <c s="167" r="E115"/>
      <c s="167" r="F115"/>
      <c s="167" r="G115"/>
      <c s="167" r="H115"/>
      <c s="167" r="I115"/>
      <c s="79" r="J115"/>
      <c s="4" r="K115"/>
      <c s="4" r="L115"/>
      <c s="4" r="M115"/>
      <c s="4" r="N115"/>
      <c s="4" r="O115"/>
      <c s="4" r="P115"/>
      <c s="4" r="Q115"/>
    </row>
    <row customHeight="1" r="116" ht="26.25">
      <c s="101" r="A116"/>
      <c t="str" s="150" r="B116">
        <f>HYPERLINK("http://www.google.com/url?q=http://www.wormbase.org/db/gene/gene%3Fname%3DWBGene00020836%3Bclass%3DGene&amp;usd=2&amp;usg=ALhdy2-QDZOyvx4pigK48g6tKC-6N6hkFA","lgc-34")</f>
        <v>lgc-34</v>
      </c>
      <c t="str" s="150" r="C116">
        <f>HYPERLINK("http://www.google.com/url?q=http://www.wormbase.org/db/gene/gene%3Fname%3DWBGene00020836%3Bclass%3DGene&amp;usd=2&amp;usg=ALhdy2-QDZOyvx4pigK48g6tKC-6N6hkFA","T27A1.4")</f>
        <v>T27A1.4</v>
      </c>
      <c t="s" s="181" r="D116">
        <v>873</v>
      </c>
      <c t="s" s="8" r="E116">
        <v>910</v>
      </c>
      <c s="101" r="F116"/>
      <c s="101" r="G116"/>
      <c s="101" r="H116"/>
      <c t="s" s="181" r="I116">
        <v>911</v>
      </c>
      <c s="79" r="J116"/>
      <c s="4" r="K116"/>
      <c s="4" r="L116"/>
      <c s="4" r="M116"/>
      <c s="4" r="N116"/>
      <c s="4" r="O116"/>
      <c s="4" r="P116"/>
      <c s="4" r="Q116"/>
    </row>
    <row customHeight="1" r="117" ht="15.75">
      <c t="s" s="153" r="A117">
        <v>912</v>
      </c>
      <c s="47" r="B117"/>
      <c s="47" r="C117"/>
      <c s="47" r="D117"/>
      <c s="47" r="E117"/>
      <c s="47" r="F117"/>
      <c s="47" r="G117"/>
      <c s="47" r="H117"/>
      <c s="47" r="I117"/>
      <c s="79" r="J117"/>
      <c s="4" r="K117"/>
      <c s="4" r="L117"/>
      <c s="4" r="M117"/>
      <c s="4" r="N117"/>
      <c s="4" r="O117"/>
      <c s="4" r="P117"/>
      <c s="4" r="Q117"/>
    </row>
    <row customHeight="1" r="118" ht="15.75">
      <c t="s" s="38" r="A118">
        <v>668</v>
      </c>
      <c s="167" r="B118"/>
      <c s="167" r="C118"/>
      <c s="167" r="D118"/>
      <c s="167" r="E118"/>
      <c s="167" r="F118"/>
      <c s="167" r="G118"/>
      <c s="167" r="H118"/>
      <c s="167" r="I118"/>
      <c s="79" r="J118"/>
      <c s="4" r="K118"/>
      <c s="4" r="L118"/>
      <c s="4" r="M118"/>
      <c s="4" r="N118"/>
      <c s="4" r="O118"/>
      <c s="4" r="P118"/>
      <c s="4" r="Q118"/>
    </row>
    <row customHeight="1" r="119" ht="26.25">
      <c t="s" s="56" r="A119">
        <v>913</v>
      </c>
      <c s="167" r="B119"/>
      <c s="167" r="C119"/>
      <c s="167" r="D119"/>
      <c s="167" r="E119"/>
      <c s="167" r="F119"/>
      <c s="167" r="G119"/>
      <c t="s" s="28" r="H119">
        <v>914</v>
      </c>
      <c t="s" s="28" r="I119">
        <v>915</v>
      </c>
      <c s="79" r="J119"/>
      <c s="4" r="K119"/>
      <c s="4" r="L119"/>
      <c s="4" r="M119"/>
      <c s="4" r="N119"/>
      <c s="4" r="O119"/>
      <c s="4" r="P119"/>
      <c s="4" r="Q119"/>
    </row>
    <row customHeight="1" r="120" ht="39.0">
      <c s="167" r="A120"/>
      <c t="str" s="78" r="B120">
        <f>HYPERLINK("http://www.google.com/url?q=http://www.wormbase.org/db/gene/gene%3Fname%3DWBGene00003232%3Bclass%3DGene&amp;usd=2&amp;usg=ALhdy2-auH5nD1_Lbqsgb82tmKIksOF62Q","mgl-1")</f>
        <v>mgl-1</v>
      </c>
      <c t="str" s="78" r="C120">
        <f>HYPERLINK("http://www.google.com/url?q=http://www.wormbase.org/db/gene/gene%3Fname%3DWBGene00003232%3Bclass%3DGene&amp;usd=2&amp;usg=ALhdy2-auH5nD1_Lbqsgb82tmKIksOF62Q","ZC506.4")</f>
        <v>ZC506.4</v>
      </c>
      <c t="s" s="28" r="D120">
        <v>916</v>
      </c>
      <c t="s" s="56" r="E120">
        <v>917</v>
      </c>
      <c t="str" s="78" r="F120">
        <f>HYPERLINK("http://www.google.com/url?q=http://www.wormatlas.org/neurons/Individual%2520Neurons/Neuronframeset.html&amp;usd=2&amp;usg=ALhdy2_OIz5gY07K9vr5knfGd_eIwp9JUw","AIA, AIY, RMDV, RMDD and NSM")</f>
        <v>AIA, AIY, RMDV, RMDD and NSM</v>
      </c>
      <c s="167" r="G120"/>
      <c t="s" s="28" r="H120">
        <v>918</v>
      </c>
      <c t="s" s="28" r="I120">
        <v>919</v>
      </c>
      <c s="79" r="J120"/>
      <c s="4" r="K120"/>
      <c s="4" r="L120"/>
      <c s="4" r="M120"/>
      <c s="4" r="N120"/>
      <c s="4" r="O120"/>
      <c s="4" r="P120"/>
      <c s="4" r="Q120"/>
    </row>
    <row customHeight="1" r="121" ht="39.0">
      <c s="167" r="A121"/>
      <c t="str" s="78" r="B121">
        <f>HYPERLINK("http://www.google.com/url?q=http://www.wormbase.org/db/gene/gene%3Fname%3DWBGene00003233%3Bclass%3DGene&amp;usd=2&amp;usg=ALhdy2_YRGczQ9Ec4luRS_BQub90xJ6b0w","mgl-2")</f>
        <v>mgl-2</v>
      </c>
      <c t="str" s="78" r="C121">
        <f>HYPERLINK("http://www.google.com/url?q=http://www.wormbase.org/db/gene/gene%3Fname%3DWBGene00003233%3Bclass%3DGene&amp;usd=2&amp;usg=ALhdy2_YRGczQ9Ec4luRS_BQub90xJ6b0w","F45H11.4")</f>
        <v>F45H11.4</v>
      </c>
      <c t="s" s="28" r="D121">
        <v>920</v>
      </c>
      <c t="s" s="56" r="E121">
        <v>917</v>
      </c>
      <c t="str" s="78" r="F121">
        <f>HYPERLINK("http://www.google.com/url?q=http://www.wormatlas.org/neurons/Individual%2520Neurons/Neuronframeset.html&amp;usd=2&amp;usg=ALhdy2_OIz5gY07K9vr5knfGd_eIwp9JUw","Interneurons")</f>
        <v>Interneurons</v>
      </c>
      <c s="167" r="G121"/>
      <c t="s" s="28" r="H121">
        <v>921</v>
      </c>
      <c s="167" r="I121"/>
      <c s="79" r="J121"/>
      <c s="4" r="K121"/>
      <c s="4" r="L121"/>
      <c s="4" r="M121"/>
      <c s="4" r="N121"/>
      <c s="4" r="O121"/>
      <c s="4" r="P121"/>
      <c s="4" r="Q121"/>
    </row>
    <row customHeight="1" r="122" ht="51.75">
      <c s="167" r="A122"/>
      <c t="str" s="78" r="B122">
        <f>HYPERLINK("http://www.google.com/url?q=http://www.wormbase.org/db/gene/gene%3Fname%3DWBGene00021152%3Bclass%3DGene&amp;usd=2&amp;usg=ALhdy285IdwyhdAIbtqLaI-yRKMLoAnydQ","mgl-3")</f>
        <v>mgl-3</v>
      </c>
      <c t="str" s="78" r="C122">
        <f>HYPERLINK("http://www.google.com/url?q=http://www.wormbase.org/db/gene/gene%3Fname%3DWBGene00021152%3Bclass%3DGene&amp;usd=2&amp;usg=ALhdy285IdwyhdAIbtqLaI-yRKMLoAnydQ","Y4C6A.2")</f>
        <v>Y4C6A.2</v>
      </c>
      <c t="s" s="28" r="D122">
        <v>922</v>
      </c>
      <c t="s" s="56" r="E122">
        <v>917</v>
      </c>
      <c t="s" s="28" r="F122">
        <v>14</v>
      </c>
      <c t="str" s="78" r="G122">
        <f>HYPERLINK("http://www.google.com/url?q=http://www.ncbi.nlm.nih.gov/gene/2912&amp;usd=2&amp;usg=ALhdy29vU54XpM5ok9FTfpuTPLF4rC35gg","Related to glutamate-gated metabotropic ion channel receptor subunit GRM2 and related subunits")</f>
        <v>Related to glutamate-gated metabotropic ion channel receptor subunit GRM2 and related subunits</v>
      </c>
      <c s="167" r="H122"/>
      <c s="167" r="I122"/>
      <c s="79" r="J122"/>
      <c s="4" r="K122"/>
      <c s="4" r="L122"/>
      <c s="4" r="M122"/>
      <c s="4" r="N122"/>
      <c s="4" r="O122"/>
      <c s="4" r="P122"/>
      <c s="4" r="Q122"/>
    </row>
    <row customHeight="1" r="123" ht="51.75">
      <c s="167" r="A123"/>
      <c s="167" r="B123"/>
      <c t="str" s="78" r="C123">
        <f>HYPERLINK("http://www.google.com/url?q=http://www.wormbase.org/db/gene/gene%3Fname%3DWBGene00010873%3Bclass%3DGene&amp;usd=2&amp;usg=ALhdy2-rYKVgn2tpgZE1R7LN34MB83P-wQ","F35H10.10")</f>
        <v>F35H10.10</v>
      </c>
      <c t="s" s="28" r="D123">
        <v>923</v>
      </c>
      <c t="s" s="56" r="E123">
        <v>924</v>
      </c>
      <c t="s" s="28" r="F123">
        <v>14</v>
      </c>
      <c t="str" s="78" r="G123">
        <f>HYPERLINK("http://www.google.com/url?q=http://www.ncbi.nlm.nih.gov/gene/2912&amp;usd=2&amp;usg=ALhdy29vU54XpM5ok9FTfpuTPLF4rC35gg","Related to glutamate-gated metabotropic ion channel receptor subunit GRM2 and related subunits")</f>
        <v>Related to glutamate-gated metabotropic ion channel receptor subunit GRM2 and related subunits</v>
      </c>
      <c s="167" r="H123"/>
      <c s="167" r="I123"/>
      <c s="79" r="J123"/>
      <c s="4" r="K123"/>
      <c s="4" r="L123"/>
      <c s="4" r="M123"/>
      <c s="4" r="N123"/>
      <c s="4" r="O123"/>
      <c s="4" r="P123"/>
      <c s="4" r="Q123"/>
    </row>
    <row customHeight="1" r="124" ht="26.25">
      <c t="s" s="56" r="A124">
        <v>925</v>
      </c>
      <c s="167" r="B124"/>
      <c s="74" r="C124"/>
      <c s="167" r="D124"/>
      <c s="88" r="E124"/>
      <c s="167" r="F124"/>
      <c s="167" r="G124"/>
      <c s="95" r="H124"/>
      <c t="s" s="28" r="I124">
        <v>915</v>
      </c>
      <c s="79" r="J124"/>
      <c s="4" r="K124"/>
      <c s="4" r="L124"/>
      <c s="4" r="M124"/>
      <c s="4" r="N124"/>
      <c s="4" r="O124"/>
      <c s="4" r="P124"/>
      <c s="4" r="Q124"/>
    </row>
    <row customHeight="1" r="125" ht="26.25">
      <c t="s" s="28" r="A125">
        <v>926</v>
      </c>
      <c s="167" r="B125"/>
      <c s="74" r="C125"/>
      <c s="167" r="D125"/>
      <c s="88" r="E125"/>
      <c s="167" r="F125"/>
      <c s="167" r="G125"/>
      <c s="167" r="H125"/>
      <c s="167" r="I125"/>
      <c s="79" r="J125"/>
      <c s="4" r="K125"/>
      <c s="4" r="L125"/>
      <c s="4" r="M125"/>
      <c s="4" r="N125"/>
      <c s="4" r="O125"/>
      <c s="4" r="P125"/>
      <c s="4" r="Q125"/>
    </row>
    <row customHeight="1" r="126" ht="51.75">
      <c s="167" r="A126"/>
      <c t="str" s="78" r="B126">
        <f>HYPERLINK("http://www.google.com/url?q=http://www.wormbase.org/db/gene/gene%3Fname%3DWBGene00001591%3Bclass%3DGene&amp;usd=2&amp;usg=ALhdy29Ki7Q6Bhlh7kzBWvHPELePLZ0HBg","glc-1")</f>
        <v>glc-1</v>
      </c>
      <c t="str" s="78" r="C126">
        <f>HYPERLINK("http://www.google.com/url?q=http://www.wormbase.org/db/gene/gene%3Fname%3DWBGene00001591%3Bclass%3DGene&amp;usd=2&amp;usg=ALhdy29Ki7Q6Bhlh7kzBWvHPELePLZ0HBg","F11A5.10")</f>
        <v>F11A5.10</v>
      </c>
      <c t="s" s="28" r="D126">
        <v>927</v>
      </c>
      <c t="s" s="56" r="E126">
        <v>917</v>
      </c>
      <c t="s" s="28" r="F126">
        <v>14</v>
      </c>
      <c t="s" s="28" r="G126">
        <v>928</v>
      </c>
      <c s="167" r="H126"/>
      <c t="s" s="28" r="I126">
        <v>929</v>
      </c>
      <c s="79" r="J126"/>
      <c s="4" r="K126"/>
      <c s="4" r="L126"/>
      <c s="4" r="M126"/>
      <c s="4" r="N126"/>
      <c s="4" r="O126"/>
      <c s="4" r="P126"/>
      <c s="4" r="Q126"/>
    </row>
    <row customHeight="1" r="127" ht="90.0">
      <c s="167" r="A127"/>
      <c t="str" s="78" r="B127">
        <f>HYPERLINK("http://www.google.com/url?q=http://www.wormbase.org/db/gene/gene%3Fname%3DWBGene00001592%3Bclass%3DGene&amp;usd=2&amp;usg=ALhdy2_biBkAs2f78g9LA35QGDU1x1x-3w","glc-2 (avm-2)")</f>
        <v>glc-2 (avm-2)</v>
      </c>
      <c t="str" s="78" r="C127">
        <f>HYPERLINK("http://www.google.com/url?q=http://www.wormbase.org/db/gene/gene%3Fname%3DWBGene00001592%3Bclass%3DGene&amp;usd=2&amp;usg=ALhdy2_biBkAs2f78g9LA35QGDU1x1x-3w","F25F8.2")</f>
        <v>F25F8.2</v>
      </c>
      <c t="s" s="28" r="D127">
        <v>930</v>
      </c>
      <c t="s" s="56" r="E127">
        <v>917</v>
      </c>
      <c t="s" s="28" r="F127">
        <v>931</v>
      </c>
      <c t="s" s="28" r="G127">
        <v>932</v>
      </c>
      <c t="s" s="28" r="H127">
        <v>933</v>
      </c>
      <c t="s" s="28" r="I127">
        <v>934</v>
      </c>
      <c s="79" r="J127"/>
      <c s="4" r="K127"/>
      <c s="4" r="L127"/>
      <c s="4" r="M127"/>
      <c s="4" r="N127"/>
      <c s="4" r="O127"/>
      <c s="4" r="P127"/>
      <c s="4" r="Q127"/>
    </row>
    <row customHeight="1" r="128" ht="51.75">
      <c s="167" r="A128"/>
      <c t="str" s="78" r="B128">
        <f>HYPERLINK("http://www.google.com/url?q=http://www.wormbase.org/db/gene/gene%3Fname%3DWBGene00001593%3Bclass%3DGene&amp;usd=2&amp;usg=ALhdy29vuvaLt7Nt8wSsZmKNjbQTHF2TOQ","glc-3")</f>
        <v>glc-3</v>
      </c>
      <c t="str" s="78" r="C128">
        <f>HYPERLINK("http://www.google.com/url?q=http://www.wormbase.org/db/gene/gene%3Fname%3DWBGene00001593%3Bclass%3DGene&amp;usd=2&amp;usg=ALhdy29vuvaLt7Nt8wSsZmKNjbQTHF2TOQ","ZC317.3")</f>
        <v>ZC317.3</v>
      </c>
      <c t="s" s="28" r="D128">
        <v>935</v>
      </c>
      <c t="s" s="56" r="E128">
        <v>917</v>
      </c>
      <c t="str" s="78" r="F128">
        <f>HYPERLINK("http://www.google.com/url?q=http://www.wormatlas.org/neurons/Individual%2520Neurons/Neuronframeset.html&amp;usd=2&amp;usg=ALhdy2_OIz5gY07K9vr5knfGd_eIwp9JUw","AIY and other head neurons")</f>
        <v>AIY and other head neurons</v>
      </c>
      <c s="167" r="G128"/>
      <c t="s" s="28" r="H128">
        <v>936</v>
      </c>
      <c t="s" s="28" r="I128">
        <v>937</v>
      </c>
      <c s="79" r="J128"/>
      <c s="4" r="K128"/>
      <c s="4" r="L128"/>
      <c s="4" r="M128"/>
      <c s="4" r="N128"/>
      <c s="4" r="O128"/>
      <c s="4" r="P128"/>
      <c s="4" r="Q128"/>
    </row>
    <row customHeight="1" r="129" ht="26.25">
      <c s="167" r="A129"/>
      <c t="str" s="78" r="B129">
        <f>HYPERLINK("http://www.google.com/url?q=http://www.wormbase.org/db/gene/gene%3Fname%3DWBGene00001594%3Bclass%3DGene&amp;usd=2&amp;usg=ALhdy2-VSk3gsh8h-D-dCEtC39Oo12n0LQ","glc-4")</f>
        <v>glc-4</v>
      </c>
      <c t="str" s="78" r="C129">
        <f>HYPERLINK("http://www.google.com/url?q=http://www.wormbase.org/db/gene/gene%3Fname%3DWBGene00001594%3Bclass%3DGene&amp;usd=2&amp;usg=ALhdy2-VSk3gsh8h-D-dCEtC39Oo12n0LQ","C27H5.8")</f>
        <v>C27H5.8</v>
      </c>
      <c t="s" s="28" r="D129">
        <v>938</v>
      </c>
      <c t="s" s="56" r="E129">
        <v>917</v>
      </c>
      <c t="s" s="28" r="F129">
        <v>14</v>
      </c>
      <c s="167" r="G129"/>
      <c t="s" s="28" r="H129">
        <v>939</v>
      </c>
      <c s="167" r="I129"/>
      <c s="79" r="J129"/>
      <c s="4" r="K129"/>
      <c s="4" r="L129"/>
      <c s="4" r="M129"/>
      <c s="4" r="N129"/>
      <c s="4" r="O129"/>
      <c s="4" r="P129"/>
      <c s="4" r="Q129"/>
    </row>
    <row customHeight="1" r="130" ht="39.0">
      <c t="s" s="28" r="A130">
        <v>940</v>
      </c>
      <c t="str" s="78" r="B130">
        <f>HYPERLINK("http://www.google.com/url?q=http://www.wormbase.org/db/gene/gene%3Fname%3DWBGene00000232%3Bclass%3DGene&amp;usd=2&amp;usg=ALhdy29MMTnzXKMInCPW01RkBc5cNvG42w","avr-14 (gbr-2)")</f>
        <v>avr-14 (gbr-2)</v>
      </c>
      <c t="str" s="78" r="C130">
        <f>HYPERLINK("http://www.google.com/url?q=http://www.wormbase.org/db/gene/gene%3Fname%3DWBGene00000232%3Bclass%3DGene&amp;usd=2&amp;usg=ALhdy29MMTnzXKMInCPW01RkBc5cNvG42w","B0207.12")</f>
        <v>B0207.12</v>
      </c>
      <c t="s" s="28" r="D130">
        <v>941</v>
      </c>
      <c t="s" s="56" r="E130">
        <v>917</v>
      </c>
      <c t="str" s="78" r="F130">
        <f>HYPERLINK("http://www.google.com/url?q=http://www.wormatlas.org/neurons/Individual%2520Neurons/Neuronframeset.html&amp;usd=2&amp;usg=ALhdy2_OIz5gY07K9vr5knfGd_eIwp9JUw","Expressed exclusively in a subset of 40 somatic (extrapharyngeal) neurons. Most of the neurons are in the ring ganglia of the head, but some motor neurons in the ventral cord, mechanosensory neurons")</f>
        <v>Expressed exclusively in a subset of 40 somatic (extrapharyngeal) neurons. Most of the neurons are in the ring ganglia of the head, but some motor neurons in the ventral cord, mechanosensory neurons</v>
      </c>
      <c t="s" s="28" r="G130">
        <v>942</v>
      </c>
      <c t="s" s="28" r="H130">
        <v>943</v>
      </c>
      <c t="s" s="28" r="I130">
        <v>944</v>
      </c>
      <c s="79" r="J130"/>
      <c s="4" r="K130"/>
      <c s="4" r="L130"/>
      <c s="4" r="M130"/>
      <c s="4" r="N130"/>
      <c s="4" r="O130"/>
      <c s="4" r="P130"/>
      <c s="4" r="Q130"/>
    </row>
    <row customHeight="1" r="131" ht="115.5">
      <c s="167" r="A131"/>
      <c t="str" s="78" r="B131">
        <f>HYPERLINK("http://www.google.com/url?q=http://www.wormbase.org/db/gene/gene%3Fname%3DWBGene00000233%3Bclass%3DGene&amp;usd=2&amp;usg=ALhdy2-z22ycz4Py6yXFLnEW_HsaorlNtA","avr-15")</f>
        <v>avr-15</v>
      </c>
      <c t="str" s="78" r="C131">
        <f>HYPERLINK("http://www.google.com/url?q=http://www.wormbase.org/db/gene/gene%3Fname%3DWBGene00000233%3Bclass%3DGene&amp;usd=2&amp;usg=ALhdy2-z22ycz4Py6yXFLnEW_HsaorlNtA","R11G10.1")</f>
        <v>R11G10.1</v>
      </c>
      <c t="s" s="28" r="D131">
        <v>941</v>
      </c>
      <c t="s" s="56" r="E131">
        <v>917</v>
      </c>
      <c t="s" s="28" r="F131">
        <v>945</v>
      </c>
      <c t="s" s="28" r="G131">
        <v>946</v>
      </c>
      <c t="s" s="28" r="H131">
        <v>947</v>
      </c>
      <c t="s" s="28" r="I131">
        <v>948</v>
      </c>
      <c s="79" r="J131"/>
      <c s="4" r="K131"/>
      <c s="4" r="L131"/>
      <c s="4" r="M131"/>
      <c s="4" r="N131"/>
      <c s="4" r="O131"/>
      <c s="4" r="P131"/>
      <c s="4" r="Q131"/>
    </row>
    <row customHeight="1" r="132" ht="26.25">
      <c t="s" s="28" r="A132">
        <v>949</v>
      </c>
      <c s="74" r="B132"/>
      <c s="74" r="C132"/>
      <c s="167" r="D132"/>
      <c s="88" r="E132"/>
      <c s="167" r="F132"/>
      <c s="167" r="G132"/>
      <c t="s" s="28" r="H132">
        <v>950</v>
      </c>
      <c t="str" s="78" r="I132">
        <f>HYPERLINK("http://www.google.com/url?q=http://www.wormbook.org/chapters/www_ionotropicglutatmaterecep/ionotropicglutatmaterecep.html&amp;usd=2&amp;usg=ALhdy2-dEte-YS9Rg6JLjfgHqRS2uEIERQ","Brockie and Maricq, 2006")</f>
        <v>Brockie and Maricq, 2006</v>
      </c>
      <c s="79" r="J132"/>
      <c s="4" r="K132"/>
      <c s="4" r="L132"/>
      <c s="4" r="M132"/>
      <c s="4" r="N132"/>
      <c s="4" r="O132"/>
      <c s="4" r="P132"/>
      <c s="4" r="Q132"/>
    </row>
    <row customHeight="1" r="133" ht="39.0">
      <c s="167" r="A133"/>
      <c t="str" s="78" r="B133">
        <f>HYPERLINK("http://www.google.com/url?q=http://www.wormbase.org/db/gene/gene%3Fname%3DWBGene00001612%3Bclass%3DGene&amp;usd=2&amp;usg=ALhdy2_BZ0xE0fkm_PmbYTedH_x3GKWX7w","glr-1 (not-3)")</f>
        <v>glr-1 (not-3)</v>
      </c>
      <c t="str" s="78" r="C133">
        <f>HYPERLINK("http://www.google.com/url?q=http://www.wormbase.org/db/gene/gene%3Fname%3DWBGene00001612%3Bclass%3DGene&amp;usd=2&amp;usg=ALhdy2_BZ0xE0fkm_PmbYTedH_x3GKWX7w","C06E1.4")</f>
        <v>C06E1.4</v>
      </c>
      <c t="s" s="28" r="D133">
        <v>951</v>
      </c>
      <c t="s" s="56" r="E133">
        <v>917</v>
      </c>
      <c t="str" s="78" r="F133">
        <f>HYPERLINK("http://www.google.com/url?q=http://www.wormatlas.org/neurons/Individual%2520Neurons/Neuronframeset.html&amp;usd=2&amp;usg=ALhdy2_OIz5gY07K9vr5knfGd_eIwp9JUw","Motor neurons and command interneurons AVA, AVB, AVD, AVE, and PVC. Also AIB, AVG, PVQ, RMD, RIM, SMD, URY")</f>
        <v>Motor neurons and command interneurons AVA, AVB, AVD, AVE, and PVC. Also AIB, AVG, PVQ, RMD, RIM, SMD, URY</v>
      </c>
      <c s="167" r="G133"/>
      <c t="s" s="28" r="H133">
        <v>952</v>
      </c>
      <c t="s" s="28" r="I133">
        <v>953</v>
      </c>
      <c s="79" r="J133"/>
      <c s="4" r="K133"/>
      <c s="4" r="L133"/>
      <c s="4" r="M133"/>
      <c s="4" r="N133"/>
      <c s="4" r="O133"/>
      <c s="4" r="P133"/>
      <c s="4" r="Q133"/>
    </row>
    <row customHeight="1" r="134" ht="39.0">
      <c s="167" r="A134"/>
      <c t="str" s="78" r="B134">
        <f>HYPERLINK("http://www.google.com/url?q=http://www.wormbase.org/db/gene/gene%3Fname%3DWBGene00001613%3Bclass%3DGene&amp;usd=2&amp;usg=ALhdy28gTNRhoxxI2mdFhs9a_wLvP5iXjw","glr-2")</f>
        <v>glr-2</v>
      </c>
      <c t="str" s="78" r="C134">
        <f>HYPERLINK("http://www.google.com/url?q=http://www.wormbase.org/db/gene/gene%3Fname%3DWBGene00001613%3Bclass%3DGene&amp;usd=2&amp;usg=ALhdy28gTNRhoxxI2mdFhs9a_wLvP5iXjw","B0280.12")</f>
        <v>B0280.12</v>
      </c>
      <c t="s" s="28" r="D134">
        <v>951</v>
      </c>
      <c t="s" s="56" r="E134">
        <v>917</v>
      </c>
      <c t="str" s="78" r="F134">
        <f>HYPERLINK("http://www.google.com/url?q=http://www.wormatlas.org/neurons/Individual%2520Neurons/Neuronframeset.html&amp;usd=2&amp;usg=ALhdy2_OIz5gY07K9vr5knfGd_eIwp9JUw","Command interneurons AVA, AVD, AVE, PVC. Also in AIA, AIB, AVG, DVA, M1, RIA, RIG, RIR(?), RMDV, RMDD ")</f>
        <v>Command interneurons AVA, AVD, AVE, PVC. Also in AIA, AIB, AVG, DVA, M1, RIA, RIG, RIR(?), RMDV, RMDD </v>
      </c>
      <c s="167" r="G134"/>
      <c t="s" s="28" r="H134">
        <v>954</v>
      </c>
      <c t="s" s="28" r="I134">
        <v>955</v>
      </c>
      <c s="79" r="J134"/>
      <c s="4" r="K134"/>
      <c s="4" r="L134"/>
      <c s="4" r="M134"/>
      <c s="4" r="N134"/>
      <c s="4" r="O134"/>
      <c s="4" r="P134"/>
      <c s="4" r="Q134"/>
    </row>
    <row customHeight="1" r="135" ht="51.75">
      <c t="s" s="28" r="A135">
        <v>956</v>
      </c>
      <c t="str" s="78" r="B135">
        <f>HYPERLINK("http://www.google.com/url?q=http://www.wormbase.org/db/gene/gene%3Fname%3DWBGene00001614%3Bclass%3DGene&amp;usd=2&amp;usg=ALhdy28G3FPCVrY4DX3yYpXOf9oQuOVuGg","glr-3")</f>
        <v>glr-3</v>
      </c>
      <c t="str" s="78" r="C135">
        <f>HYPERLINK("http://www.google.com/url?q=http://www.wormbase.org/db/gene/gene%3Fname%3DWBGene00001614%3Bclass%3DGene&amp;usd=2&amp;usg=ALhdy28G3FPCVrY4DX3yYpXOf9oQuOVuGg","K10D3.1")</f>
        <v>K10D3.1</v>
      </c>
      <c t="s" s="28" r="D135">
        <v>957</v>
      </c>
      <c t="s" s="56" r="E135">
        <v>917</v>
      </c>
      <c t="str" s="78" r="F135">
        <f>HYPERLINK("http://www.google.com/url?q=http://www.wormatlas.org/neurons/Individual%2520Neurons/Neuronframeset.html&amp;usd=2&amp;usg=ALhdy2_OIz5gY07K9vr5knfGd_eIwp9JUw","RIA (thermosensory interneron)")</f>
        <v>RIA (thermosensory interneron)</v>
      </c>
      <c s="167" r="G135"/>
      <c s="167" r="H135"/>
      <c t="s" s="28" r="I135">
        <v>958</v>
      </c>
      <c s="79" r="J135"/>
      <c s="4" r="K135"/>
      <c s="4" r="L135"/>
      <c s="4" r="M135"/>
      <c s="4" r="N135"/>
      <c s="4" r="O135"/>
      <c s="4" r="P135"/>
      <c s="4" r="Q135"/>
    </row>
    <row customHeight="1" r="136" ht="64.5">
      <c s="167" r="A136"/>
      <c t="str" s="78" r="B136">
        <f>HYPERLINK("http://www.google.com/url?q=http://www.wormbase.org/db/gene/gene%3Fname%3DWBGene00001615%3Bclass%3DGene&amp;usd=2&amp;usg=ALhdy28869sqPFMds4JeJHkwINi2F8oBDg","glr-4")</f>
        <v>glr-4</v>
      </c>
      <c t="str" s="78" r="C136">
        <f>HYPERLINK("http://www.google.com/url?q=http://www.wormbase.org/db/gene/gene%3Fname%3DWBGene00001615%3Bclass%3DGene&amp;usd=2&amp;usg=ALhdy28869sqPFMds4JeJHkwINi2F8oBDg","C06A8.9")</f>
        <v>C06A8.9</v>
      </c>
      <c t="s" s="28" r="D136">
        <v>959</v>
      </c>
      <c t="s" s="56" r="E136">
        <v>917</v>
      </c>
      <c t="str" s="78" r="F136">
        <f>HYPERLINK("http://www.google.com/url?q=http://www.wormatlas.org/neurons/Individual%2520Neurons/Neuronframeset.html&amp;usd=2&amp;usg=ALhdy2_OIz5gY07K9vr5knfGd_eIwp9JUw","AUA, AVA (faint), AVH, DVA, DB(?), FLP, PVD, PVU (?), RIB, RIF, RIM, RMD (all), RMG, SAA (all), SAB, SIB (all), SMD (all), URA, URY")</f>
        <v>AUA, AVA (faint), AVH, DVA, DB(?), FLP, PVD, PVU (?), RIB, RIF, RIM, RMD (all), RMG, SAA (all), SAB, SIB (all), SMD (all), URA, URY</v>
      </c>
      <c t="s" s="28" r="G136">
        <v>960</v>
      </c>
      <c t="s" s="76" r="H136">
        <v>961</v>
      </c>
      <c t="s" s="28" r="I136">
        <v>962</v>
      </c>
      <c s="79" r="J136"/>
      <c s="4" r="K136"/>
      <c s="4" r="L136"/>
      <c s="4" r="M136"/>
      <c s="4" r="N136"/>
      <c s="4" r="O136"/>
      <c s="4" r="P136"/>
      <c s="4" r="Q136"/>
    </row>
    <row customHeight="1" r="137" ht="26.25">
      <c s="167" r="A137"/>
      <c t="str" s="78" r="B137">
        <f>HYPERLINK("http://www.google.com/url?q=http://www.wormbase.org/db/gene/gene%3Fname%3DWBGene00001616%3Bclass%3DGene&amp;usd=2&amp;usg=ALhdy2-LszyP1tRycIuQnjGM-R5aokSoXQ","glr-5")</f>
        <v>glr-5</v>
      </c>
      <c t="str" s="78" r="C137">
        <f>HYPERLINK("http://www.google.com/url?q=http://www.wormbase.org/db/gene/gene%3Fname%3DWBGene00001616%3Bclass%3DGene&amp;usd=2&amp;usg=ALhdy2-LszyP1tRycIuQnjGM-R5aokSoXQ","ZC196.7")</f>
        <v>ZC196.7</v>
      </c>
      <c t="s" s="28" r="D137">
        <v>963</v>
      </c>
      <c t="s" s="56" r="E137">
        <v>917</v>
      </c>
      <c t="str" s="78" r="F137">
        <f>HYPERLINK("http://www.google.com/url?q=http://www.wormatlas.org/neurons/Individual%2520Neurons/Neuronframeset.html&amp;usd=2&amp;usg=ALhdy2_OIz5gY07K9vr5knfGd_eIwp9JUw","AIB (?), AVA, AVB, AVD, AVE, AVK, DVA (?), HSN (?), LUA, PVC (?), PVQ, RIM, RIC, RIF, RME (all), RMD (all), RMG, SABVL, SABVR, SABD, SIB (all), SMD (all), URA (?), URB, URY, VC")</f>
        <v>AIB (?), AVA, AVB, AVD, AVE, AVK, DVA (?), HSN (?), LUA, PVC (?), PVQ, RIM, RIC, RIF, RME (all), RMD (all), RMG, SABVL, SABVR, SABD, SIB (all), SMD (all), URA (?), URB, URY, VC</v>
      </c>
      <c s="167" r="G137"/>
      <c t="s" s="28" r="H137">
        <v>964</v>
      </c>
      <c t="s" s="28" r="I137">
        <v>958</v>
      </c>
      <c s="79" r="J137"/>
      <c s="4" r="K137"/>
      <c s="4" r="L137"/>
      <c s="4" r="M137"/>
      <c s="4" r="N137"/>
      <c s="4" r="O137"/>
      <c s="4" r="P137"/>
      <c s="4" r="Q137"/>
    </row>
    <row customHeight="1" r="138" ht="64.5">
      <c s="167" r="A138"/>
      <c t="str" s="78" r="B138">
        <f>HYPERLINK("http://www.google.com/url?q=http://www.wormbase.org/db/gene/gene%3Fname%3DWBGene00001617%3Bclass%3DGene&amp;usd=2&amp;usg=ALhdy28nT_v9cAtXRAUuMTtrkzitLaFpwg","glr-6")</f>
        <v>glr-6</v>
      </c>
      <c t="str" s="78" r="C138">
        <f>HYPERLINK("http://www.google.com/url?q=http://www.wormbase.org/db/gene/gene%3Fname%3DWBGene00001617%3Bclass%3DGene&amp;usd=2&amp;usg=ALhdy28nT_v9cAtXRAUuMTtrkzitLaFpwg","F14B4.4")</f>
        <v>F14B4.4</v>
      </c>
      <c t="s" s="28" r="D138">
        <v>959</v>
      </c>
      <c t="s" s="56" r="E138">
        <v>917</v>
      </c>
      <c t="str" s="78" r="F138">
        <f>HYPERLINK("http://www.google.com/url?q=http://www.wormatlas.org/neurons/Individual%2520Neurons/Neuronframeset.html&amp;usd=2&amp;usg=ALhdy2_OIz5gY07K9vr5knfGd_eIwp9JUw","RIA (thermosensory interneron)")</f>
        <v>RIA (thermosensory interneron)</v>
      </c>
      <c t="s" s="28" r="G138">
        <v>965</v>
      </c>
      <c s="167" r="H138"/>
      <c t="s" s="28" r="I138">
        <v>966</v>
      </c>
      <c s="79" r="J138"/>
      <c s="4" r="K138"/>
      <c s="4" r="L138"/>
      <c s="4" r="M138"/>
      <c s="4" r="N138"/>
      <c s="4" r="O138"/>
      <c s="4" r="P138"/>
      <c s="4" r="Q138"/>
    </row>
    <row customHeight="1" r="139" ht="15.75">
      <c s="167" r="A139"/>
      <c t="str" s="78" r="B139">
        <f>HYPERLINK("http://www.google.com/url?q=http://www.wormbase.org/db/gene/gene%3Fname%3DWBGene00001618%3Bclass%3DGene&amp;usd=2&amp;usg=ALhdy2_zR6Hxxn6QzLnCY5-4yTSdMWs5VQ","glr-7")</f>
        <v>glr-7</v>
      </c>
      <c t="str" s="78" r="C139">
        <f>HYPERLINK("http://www.google.com/url?q=http://www.wormbase.org/db/gene/gene%3Fname%3DWBGene00001618%3Bclass%3DGene&amp;usd=2&amp;usg=ALhdy2_zR6Hxxn6QzLnCY5-4yTSdMWs5VQ","C43H6.9")</f>
        <v>C43H6.9</v>
      </c>
      <c t="s" s="28" r="D139">
        <v>959</v>
      </c>
      <c t="s" s="56" r="E139">
        <v>917</v>
      </c>
      <c t="str" s="78" r="F139">
        <f>HYPERLINK("http://www.google.com/url?q=http://www.wormatlas.org/neurons/Individual%2520Neurons/Neuronframeset.html&amp;usd=2&amp;usg=ALhdy2_OIz5gY07K9vr5knfGd_eIwp9JUw","I1(?), I2, I3, I6, MI, NSM ")</f>
        <v>I1(?), I2, I3, I6, MI, NSM </v>
      </c>
      <c s="167" r="G139"/>
      <c s="167" r="H139"/>
      <c t="s" s="28" r="I139">
        <v>958</v>
      </c>
      <c s="79" r="J139"/>
      <c s="4" r="K139"/>
      <c s="4" r="L139"/>
      <c s="4" r="M139"/>
      <c s="4" r="N139"/>
      <c s="4" r="O139"/>
      <c s="4" r="P139"/>
      <c s="4" r="Q139"/>
    </row>
    <row customHeight="1" r="140" ht="90.0">
      <c s="167" r="A140"/>
      <c t="str" s="78" r="B140">
        <f>HYPERLINK("http://www.google.com/url?q=http://www.wormbase.org/db/gene/gene%3Fname%3DWBGene00001619%3Bclass%3DGene&amp;usd=2&amp;usg=ALhdy2-aXLAkt0Hur8qR6zX2hmK_yxPHZw","glr-8")</f>
        <v>glr-8</v>
      </c>
      <c t="str" s="78" r="C140">
        <f>HYPERLINK("http://www.google.com/url?q=http://www.wormbase.org/db/gene/gene%3Fname%3DWBGene00001619%3Bclass%3DGene&amp;usd=2&amp;usg=ALhdy2-aXLAkt0Hur8qR6zX2hmK_yxPHZw","F22A3.3")</f>
        <v>F22A3.3</v>
      </c>
      <c t="s" s="28" r="D140">
        <v>967</v>
      </c>
      <c t="s" s="56" r="E140">
        <v>917</v>
      </c>
      <c t="str" s="78" r="F140">
        <f>HYPERLINK("http://www.google.com/url?q=http://www.wormatlas.org/neurons/Individual%2520Neurons/Neuronframeset.html&amp;usd=2&amp;usg=ALhdy2_OIz5gY07K9vr5knfGd_eIwp9JUw","ALM, BDU, I1, I2, I3, I6, MI, M3, M4, M5, MC, NSM, PLM, URB")</f>
        <v>ALM, BDU, I1, I2, I3, I6, MI, M3, M4, M5, MC, NSM, PLM, URB</v>
      </c>
      <c t="s" s="28" r="G140">
        <v>968</v>
      </c>
      <c s="167" r="H140"/>
      <c t="s" s="28" r="I140">
        <v>966</v>
      </c>
      <c s="79" r="J140"/>
      <c s="4" r="K140"/>
      <c s="4" r="L140"/>
      <c s="4" r="M140"/>
      <c s="4" r="N140"/>
      <c s="4" r="O140"/>
      <c s="4" r="P140"/>
      <c s="4" r="Q140"/>
    </row>
    <row customHeight="1" r="141" ht="26.25">
      <c s="167" r="A141"/>
      <c t="str" s="78" r="B141">
        <f>HYPERLINK("http://www.google.com/url?q=http://www.wormbase.org/db/gene/gene%3Fname%3DWBGene00003774%3Bclass%3DGene&amp;usd=2&amp;usg=ALhdy2_K_AyCkoQTa8DbZD5G4V0p8T4SNw","nmr-1")</f>
        <v>nmr-1</v>
      </c>
      <c t="str" s="78" r="C141">
        <f>HYPERLINK("http://www.google.com/url?q=http://www.wormbase.org/db/gene/gene%3Fname%3DWBGene00003774%3Bclass%3DGene&amp;usd=2&amp;usg=ALhdy2_K_AyCkoQTa8DbZD5G4V0p8T4SNw","F07F6.6")</f>
        <v>F07F6.6</v>
      </c>
      <c t="s" s="28" r="D141">
        <v>969</v>
      </c>
      <c t="s" s="56" r="E141">
        <v>917</v>
      </c>
      <c t="s" s="28" r="F141">
        <v>970</v>
      </c>
      <c s="167" r="G141"/>
      <c t="s" s="28" r="H141">
        <v>971</v>
      </c>
      <c t="s" s="28" r="I141">
        <v>972</v>
      </c>
      <c s="79" r="J141"/>
      <c s="4" r="K141"/>
      <c s="4" r="L141"/>
      <c s="4" r="M141"/>
      <c s="4" r="N141"/>
      <c s="4" r="O141"/>
      <c s="4" r="P141"/>
      <c s="4" r="Q141"/>
    </row>
    <row customHeight="1" r="142" ht="64.5">
      <c s="167" r="A142"/>
      <c t="str" s="78" r="B142">
        <f>HYPERLINK("http://www.google.com/url?q=http://www.wormbase.org/db/gene/gene%3Fname%3DWBGene00003775%3Bclass%3DGene&amp;usd=2&amp;usg=ALhdy29HNKrpDe_LH0QZzahVKppZZsZVOw","nmr-2")</f>
        <v>nmr-2</v>
      </c>
      <c t="str" s="78" r="C142">
        <f>HYPERLINK("http://www.google.com/url?q=http://www.wormbase.org/db/gene/gene%3Fname%3DWBGene00003775%3Bclass%3DGene&amp;usd=2&amp;usg=ALhdy29HNKrpDe_LH0QZzahVKppZZsZVOw","T01C3.10")</f>
        <v>T01C3.10</v>
      </c>
      <c t="s" s="28" r="D142">
        <v>973</v>
      </c>
      <c t="s" s="56" r="E142">
        <v>917</v>
      </c>
      <c t="str" s="78" r="F142">
        <f>HYPERLINK("http://www.google.com/url?q=http://www.wormatlas.org/neurons/Individual%2520Neurons/Neuronframeset.html&amp;usd=2&amp;usg=ALhdy2_OIz5gY07K9vr5knfGd_eIwp9JUw","AVA, AVD, AVE, AVG, PVC and RIM interneurons beginning at the three-fold stage of embryogenesis")</f>
        <v>AVA, AVD, AVE, AVG, PVC and RIM interneurons beginning at the three-fold stage of embryogenesis</v>
      </c>
      <c s="167" r="G142"/>
      <c t="s" s="28" r="H142">
        <v>974</v>
      </c>
      <c t="s" s="28" r="I142">
        <v>975</v>
      </c>
      <c s="79" r="J142"/>
      <c s="4" r="K142"/>
      <c s="4" r="L142"/>
      <c s="4" r="M142"/>
      <c s="4" r="N142"/>
      <c s="4" r="O142"/>
      <c s="4" r="P142"/>
      <c s="4" r="Q142"/>
    </row>
    <row customHeight="1" r="143" ht="15.75">
      <c t="s" s="38" r="A143">
        <v>976</v>
      </c>
      <c s="167" r="B143"/>
      <c s="167" r="C143"/>
      <c s="167" r="D143"/>
      <c s="88" r="E143"/>
      <c s="167" r="F143"/>
      <c s="167" r="G143"/>
      <c s="167" r="H143"/>
      <c s="167" r="I143"/>
      <c s="79" r="J143"/>
      <c s="4" r="K143"/>
      <c s="4" r="L143"/>
      <c s="4" r="M143"/>
      <c s="4" r="N143"/>
      <c s="4" r="O143"/>
      <c s="4" r="P143"/>
      <c s="4" r="Q143"/>
    </row>
    <row customHeight="1" r="144" ht="166.5">
      <c t="s" s="28" r="A144">
        <v>977</v>
      </c>
      <c t="str" s="78" r="B144">
        <f>HYPERLINK("http://www.google.com/url?q=http://www.wormbase.org/db/gene/gene%3Fname%3DWBGene00007670%3Bclass%3DGene&amp;usd=2&amp;usg=ALhdy29USRsnwT1AvZ2AxXOg32jhTjtMBQ","stg-1")</f>
        <v>stg-1</v>
      </c>
      <c t="str" s="78" r="C144">
        <f>HYPERLINK("http://www.google.com/url?q=http://www.wormbase.org/db/gene/gene%3Fname%3DWBGene00007670%3Bclass%3DGene&amp;usd=2&amp;usg=ALhdy29USRsnwT1AvZ2AxXOg32jhTjtMBQ","C18D1.4")</f>
        <v>C18D1.4</v>
      </c>
      <c t="s" s="28" r="D144">
        <v>978</v>
      </c>
      <c s="88" r="E144"/>
      <c t="s" s="28" r="F144">
        <v>979</v>
      </c>
      <c t="s" s="28" r="G144">
        <v>980</v>
      </c>
      <c t="s" s="28" r="H144">
        <v>981</v>
      </c>
      <c t="s" s="28" r="I144">
        <v>982</v>
      </c>
      <c s="79" r="J144"/>
      <c s="4" r="K144"/>
      <c s="4" r="L144"/>
      <c s="4" r="M144"/>
      <c s="4" r="N144"/>
      <c s="4" r="O144"/>
      <c s="4" r="P144"/>
      <c s="4" r="Q144"/>
    </row>
    <row customHeight="1" r="145" ht="39.0">
      <c s="167" r="A145"/>
      <c t="str" s="78" r="B145">
        <f>HYPERLINK("http://www.google.com/url?q=http://www.wormbase.org/db/gene/gene%3Fname%3DWBGene00017400%3Bclass%3DGene&amp;usd=2&amp;usg=ALhdy2_k_MIYoJ5mMBgKbIV-QRBK1wHTGw","stg-2")</f>
        <v>stg-2</v>
      </c>
      <c t="str" s="78" r="C145">
        <f>HYPERLINK("http://www.google.com/url?q=http://www.wormbase.org/db/gene/gene%3Fname%3DWBGene00017400%3Bclass%3DGene&amp;usd=2&amp;usg=ALhdy2_k_MIYoJ5mMBgKbIV-QRBK1wHTGw","F12D9.1")</f>
        <v>F12D9.1</v>
      </c>
      <c t="s" s="28" r="D145">
        <v>983</v>
      </c>
      <c s="88" r="E145"/>
      <c t="s" s="28" r="F145">
        <v>984</v>
      </c>
      <c s="167" r="G145"/>
      <c s="167" r="H145"/>
      <c t="s" s="28" r="I145">
        <v>982</v>
      </c>
      <c s="79" r="J145"/>
      <c s="4" r="K145"/>
      <c s="4" r="L145"/>
      <c s="4" r="M145"/>
      <c s="4" r="N145"/>
      <c s="4" r="O145"/>
      <c s="4" r="P145"/>
      <c s="4" r="Q145"/>
    </row>
    <row customHeight="1" r="146" ht="16.5">
      <c t="s" s="38" r="A146">
        <v>985</v>
      </c>
      <c s="135" r="B146"/>
      <c s="135" r="C146"/>
      <c s="135" r="D146"/>
      <c s="135" r="E146"/>
      <c s="135" r="F146"/>
      <c s="135" r="G146"/>
      <c s="135" r="H146"/>
      <c s="135" r="I146"/>
      <c s="79" r="J146"/>
      <c s="4" r="K146"/>
      <c s="4" r="L146"/>
      <c s="4" r="M146"/>
      <c s="4" r="N146"/>
      <c s="4" r="O146"/>
      <c s="4" r="P146"/>
      <c s="4" r="Q146"/>
    </row>
    <row customHeight="1" r="147" ht="51.75">
      <c s="167" r="A147"/>
      <c t="str" s="78" r="B147">
        <f>HYPERLINK("http://www.google.com/url?q=http://www.wormbase.org/db/gene/gene%3Fname%3DWBGene00020569%3Bclass%3DGene&amp;usd=2&amp;usg=ALhdy29EkRHl-bBvRzPJCwQJIz8BSPOymA","lgc-32")</f>
        <v>lgc-32</v>
      </c>
      <c t="str" s="78" r="C147">
        <f>HYPERLINK("http://www.google.com/url?q=http://www.wormbase.org/db/gene/gene%3Fname%3DWBGene00020569%3Bclass%3DGene&amp;usd=2&amp;usg=ALhdy29EkRHl-bBvRzPJCwQJIz8BSPOymA","T19D7.1")</f>
        <v>T19D7.1</v>
      </c>
      <c t="s" s="28" r="D147">
        <v>986</v>
      </c>
      <c s="88" r="E147"/>
      <c s="167" r="F147"/>
      <c t="s" s="28" r="G147">
        <v>987</v>
      </c>
      <c s="167" r="H147"/>
      <c t="s" s="28" r="I147">
        <v>870</v>
      </c>
      <c s="79" r="J147"/>
      <c s="4" r="K147"/>
      <c s="4" r="L147"/>
      <c s="4" r="M147"/>
      <c s="4" r="N147"/>
      <c s="4" r="O147"/>
      <c s="4" r="P147"/>
      <c s="4" r="Q147"/>
    </row>
    <row customHeight="1" r="148" ht="15.75">
      <c s="167" r="A148"/>
      <c t="str" s="78" r="B148">
        <f>HYPERLINK("http://www.google.com/url?q=http://www.wormbase.org/db/gene/gene%3Fname%3DWBGene00021941%3Bclass%3DGene&amp;usd=2&amp;usg=ALhdy2_pNQ6kPAQK31N2Bc6RPW9Oe7GDwA","lgc-33")</f>
        <v>lgc-33</v>
      </c>
      <c t="str" s="78" r="C148">
        <f>HYPERLINK("http://www.google.com/url?q=http://www.wormbase.org/db/gene/gene%3Fname%3DWBGene00021941%3Bclass%3DGene&amp;usd=2&amp;usg=ALhdy2_pNQ6kPAQK31N2Bc6RPW9Oe7GDwA","Y55F3BR.4")</f>
        <v>Y55F3BR.4</v>
      </c>
      <c t="s" s="28" r="D148">
        <v>986</v>
      </c>
      <c s="88" r="E148"/>
      <c s="167" r="F148"/>
      <c s="167" r="G148"/>
      <c s="167" r="H148"/>
      <c t="s" s="28" r="I148">
        <v>870</v>
      </c>
      <c s="79" r="J148"/>
      <c s="4" r="K148"/>
      <c s="4" r="L148"/>
      <c s="4" r="M148"/>
      <c s="4" r="N148"/>
      <c s="4" r="O148"/>
      <c s="4" r="P148"/>
      <c s="4" r="Q148"/>
    </row>
    <row customHeight="1" r="149" ht="26.25">
      <c s="167" r="A149"/>
      <c t="str" s="78" r="B149">
        <f>HYPERLINK("http://www.google.com/url?q=http://www.wormbase.org/db/gene/gene%3Fname%3DWBGene00008076%3Bclass%3DGene&amp;usd=2&amp;usg=ALhdy2-OKakqQRXQz3IUw2Ubsly-xRY3EQ","lgc-43")</f>
        <v>lgc-43</v>
      </c>
      <c t="str" s="78" r="C149">
        <f>HYPERLINK("http://www.google.com/url?q=http://www.wormbase.org/db/gene/gene%3Fname%3DWBGene00008076%3Bclass%3DGene&amp;usd=2&amp;usg=ALhdy2-OKakqQRXQz3IUw2Ubsly-xRY3EQ","C43F9.9")</f>
        <v>C43F9.9</v>
      </c>
      <c t="s" s="28" r="D149">
        <v>988</v>
      </c>
      <c s="88" r="E149"/>
      <c s="167" r="F149"/>
      <c s="167" r="G149"/>
      <c s="167" r="H149"/>
      <c t="s" s="28" r="I149">
        <v>870</v>
      </c>
      <c s="79" r="J149"/>
      <c s="4" r="K149"/>
      <c s="4" r="L149"/>
      <c s="4" r="M149"/>
      <c s="4" r="N149"/>
      <c s="4" r="O149"/>
      <c s="4" r="P149"/>
      <c s="4" r="Q149"/>
    </row>
    <row customHeight="1" r="150" ht="26.25">
      <c s="167" r="A150"/>
      <c t="str" s="78" r="B150">
        <f>HYPERLINK("http://www.google.com/url?q=http://www.wormbase.org/db/gene/gene%3Fname%3DWBGene00009790%3Bclass%3DGene&amp;usd=2&amp;usg=ALhdy2_w5Vobwtj5SgFJvFT_2bDZYpE3wQ","lgc-44")</f>
        <v>lgc-44</v>
      </c>
      <c t="str" s="78" r="C150">
        <f>HYPERLINK("http://www.google.com/url?q=http://www.wormbase.org/db/gene/gene%3Fname%3DWBGene00009790%3Bclass%3DGene&amp;usd=2&amp;usg=ALhdy2_w5Vobwtj5SgFJvFT_2bDZYpE3wQ","F46F3.2")</f>
        <v>F46F3.2</v>
      </c>
      <c t="s" s="28" r="D150">
        <v>988</v>
      </c>
      <c s="88" r="E150"/>
      <c s="167" r="F150"/>
      <c s="167" r="G150"/>
      <c s="167" r="H150"/>
      <c t="s" s="28" r="I150">
        <v>870</v>
      </c>
      <c s="79" r="J150"/>
      <c s="4" r="K150"/>
      <c s="4" r="L150"/>
      <c s="4" r="M150"/>
      <c s="4" r="N150"/>
      <c s="4" r="O150"/>
      <c s="4" r="P150"/>
      <c s="4" r="Q150"/>
    </row>
    <row customHeight="1" r="151" ht="26.25">
      <c s="167" r="A151"/>
      <c t="str" s="78" r="B151">
        <f>HYPERLINK("http://www.google.com/url?q=http://www.wormbase.org/db/gene/gene%3Fname%3DWBGene00021146%3Bclass%3DGene&amp;usd=2&amp;usg=ALhdy281ZNDWNDRiPZjSyuYGu0wJYr3hKg","lgc-45")</f>
        <v>lgc-45</v>
      </c>
      <c t="str" s="78" r="C151">
        <f>HYPERLINK("http://www.google.com/url?q=http://www.wormbase.org/db/gene/gene%3Fname%3DWBGene00021146%3Bclass%3DGene&amp;usd=2&amp;usg=ALhdy281ZNDWNDRiPZjSyuYGu0wJYr3hKg","W10G11.16")</f>
        <v>W10G11.16</v>
      </c>
      <c t="s" s="28" r="D151">
        <v>988</v>
      </c>
      <c s="88" r="E151"/>
      <c s="167" r="F151"/>
      <c s="167" r="G151"/>
      <c s="167" r="H151"/>
      <c t="s" s="28" r="I151">
        <v>870</v>
      </c>
      <c s="79" r="J151"/>
      <c s="4" r="K151"/>
      <c s="4" r="L151"/>
      <c s="4" r="M151"/>
      <c s="4" r="N151"/>
      <c s="4" r="O151"/>
      <c s="4" r="P151"/>
      <c s="4" r="Q151"/>
    </row>
    <row customHeight="1" r="152" ht="15.75">
      <c s="155" r="A152"/>
      <c t="str" s="78" r="B152">
        <f>HYPERLINK("http://www.google.com/url?q=http://www.wormbase.org/db/gene/gene%3Fname%3DWBGene00019765%3Bclass%3DGene&amp;usd=2&amp;usg=ALhdy28sd8tb5OYJX07TP6slRpQaeFBkZA","M03F8.6")</f>
        <v>M03F8.6</v>
      </c>
      <c t="str" s="78" r="C152">
        <f>HYPERLINK("http://www.google.com/url?q=http://www.wormbase.org/db/gene/gene%3Fname%3DWBGene00019765%3Bclass%3DGene&amp;usd=2&amp;usg=ALhdy28sd8tb5OYJX07TP6slRpQaeFBkZA","M03F8.6")</f>
        <v>M03F8.6</v>
      </c>
      <c t="s" s="28" r="D152">
        <v>989</v>
      </c>
      <c s="88" r="E152"/>
      <c s="167" r="F152"/>
      <c s="167" r="G152"/>
      <c s="167" r="H152"/>
      <c s="167" r="I152"/>
      <c s="79" r="J152"/>
      <c s="4" r="K152"/>
      <c s="4" r="L152"/>
      <c s="4" r="M152"/>
      <c s="4" r="N152"/>
      <c s="4" r="O152"/>
      <c s="4" r="P152"/>
      <c s="4" r="Q152"/>
    </row>
    <row customHeight="1" r="153" ht="15.75">
      <c t="s" s="50" r="A153">
        <v>990</v>
      </c>
      <c s="74" r="B153"/>
      <c s="167" r="C153"/>
      <c s="167" r="D153"/>
      <c s="88" r="E153"/>
      <c s="167" r="F153"/>
      <c s="167" r="G153"/>
      <c s="167" r="H153"/>
      <c s="167" r="I153"/>
      <c s="79" r="J153"/>
      <c s="4" r="K153"/>
      <c s="4" r="L153"/>
      <c s="4" r="M153"/>
      <c s="4" r="N153"/>
      <c s="4" r="O153"/>
      <c s="4" r="P153"/>
      <c s="4" r="Q153"/>
    </row>
    <row customHeight="1" r="154" ht="26.25">
      <c t="s" s="38" r="A154">
        <v>991</v>
      </c>
      <c s="74" r="B154"/>
      <c s="167" r="C154"/>
      <c s="167" r="D154"/>
      <c s="88" r="E154"/>
      <c s="167" r="F154"/>
      <c s="167" r="G154"/>
      <c t="s" s="28" r="H154">
        <v>992</v>
      </c>
      <c t="s" s="28" r="I154">
        <v>993</v>
      </c>
      <c s="79" r="J154"/>
      <c s="4" r="K154"/>
      <c s="4" r="L154"/>
      <c s="4" r="M154"/>
      <c s="4" r="N154"/>
      <c s="4" r="O154"/>
      <c s="4" r="P154"/>
      <c s="4" r="Q154"/>
    </row>
    <row customHeight="1" r="155" ht="15.75">
      <c t="s" s="159" r="A155">
        <v>660</v>
      </c>
      <c t="s" s="159" r="B155">
        <v>661</v>
      </c>
      <c t="s" s="159" r="C155">
        <v>662</v>
      </c>
      <c t="s" s="159" r="D155">
        <v>1</v>
      </c>
      <c t="s" s="159" r="E155">
        <v>663</v>
      </c>
      <c t="s" s="159" r="F155">
        <v>702</v>
      </c>
      <c t="s" s="159" r="G155">
        <v>664</v>
      </c>
      <c t="s" s="159" r="H155">
        <v>665</v>
      </c>
      <c t="s" s="159" r="I155">
        <v>703</v>
      </c>
      <c s="79" r="J155"/>
      <c s="4" r="K155"/>
      <c s="4" r="L155"/>
      <c s="4" r="M155"/>
      <c s="4" r="N155"/>
      <c s="4" r="O155"/>
      <c s="4" r="P155"/>
      <c s="4" r="Q155"/>
    </row>
    <row customHeight="1" r="156" ht="15.75">
      <c t="s" s="105" r="A156">
        <v>994</v>
      </c>
      <c s="178" r="B156"/>
      <c s="178" r="C156"/>
      <c s="130" r="D156"/>
      <c s="141" r="E156"/>
      <c s="141" r="F156"/>
      <c s="141" r="G156"/>
      <c t="str" s="78" r="H156">
        <f>HYPERLINK("http://www.google.com/url?q=http://www.wormbook.org/chapters/www_neuropeptides/neuropeptides.html&amp;usd=2&amp;usg=ALhdy2-p-nodeOixDX3-qhZ7mko2G-DU5Q","See (Li and Kim, 2008) for ligand peptide sequences")</f>
        <v>See (Li and Kim, 2008) for ligand peptide sequences</v>
      </c>
      <c s="167" r="I156"/>
      <c s="6" r="J156"/>
      <c s="6" r="K156"/>
      <c t="str" s="175" r="L156">
        <f>HYPERLINK("http://www.google.com/url?q=http://www.wormbook.org/chapters/www_neuropeptides/neuropeptides.html&amp;usd=2&amp;usg=ALhdy2-p-nodeOixDX3-qhZ7mko2G-DU5Q","Li and Kim, 2008")</f>
        <v>Li and Kim, 2008</v>
      </c>
      <c s="79" r="M156"/>
      <c s="4" r="N156"/>
      <c s="4" r="O156"/>
      <c s="4" r="P156"/>
      <c s="4" r="Q156"/>
    </row>
    <row customHeight="1" r="157" ht="15.75">
      <c t="s" s="105" r="A157">
        <v>995</v>
      </c>
      <c s="178" r="B157"/>
      <c s="178" r="C157"/>
      <c s="178" r="D157"/>
      <c s="178" r="E157"/>
      <c s="178" r="F157"/>
      <c s="178" r="G157"/>
      <c s="178" r="H157"/>
      <c s="130" r="I157"/>
      <c s="141" r="J157"/>
      <c s="141" r="K157"/>
      <c s="141" r="L157"/>
      <c s="93" r="M157"/>
      <c s="93" r="N157"/>
      <c s="93" r="O157"/>
      <c s="93" r="P157"/>
      <c s="16" r="Q157"/>
    </row>
    <row customHeight="1" r="158" ht="26.25">
      <c t="s" s="56" r="A158">
        <v>996</v>
      </c>
      <c s="167" r="B158"/>
      <c s="167" r="C158"/>
      <c s="167" r="D158"/>
      <c s="88" r="E158"/>
      <c s="167" r="F158"/>
      <c t="s" s="28" r="G158">
        <v>997</v>
      </c>
      <c s="167" r="H158"/>
      <c t="s" s="28" r="I158">
        <v>998</v>
      </c>
      <c s="115" r="J158"/>
      <c s="109" r="K158"/>
      <c s="109" r="L158"/>
      <c s="109" r="M158"/>
      <c s="109" r="N158"/>
      <c s="109" r="O158"/>
      <c s="109" r="P158"/>
      <c s="109" r="Q158"/>
    </row>
    <row customHeight="1" r="159" ht="90.0">
      <c t="s" s="28" r="A159">
        <v>999</v>
      </c>
      <c t="str" s="78" r="B159">
        <f>HYPERLINK("http://www.google.com/url?q=http://www.wormbase.org/db/gene/gene%3Fname%3DWBGene00003807%3Bclass%3DGene&amp;usd=2&amp;usg=ALhdy291pBYyJRhE36f8TOeDE4iA9w4qBg","npr-1")</f>
        <v>npr-1</v>
      </c>
      <c t="str" s="78" r="C159">
        <f>HYPERLINK("http://www.google.com/url?q=http://www.wormbase.org/db/gene/gene%3Fname%3DWBGene00003807%3Bclass%3DGene&amp;usd=2&amp;usg=ALhdy291pBYyJRhE36f8TOeDE4iA9w4qBg","C39E6.6")</f>
        <v>C39E6.6</v>
      </c>
      <c t="s" s="28" r="D159">
        <v>1000</v>
      </c>
      <c t="s" s="56" r="E159">
        <v>1001</v>
      </c>
      <c t="s" s="28" r="F159">
        <v>1002</v>
      </c>
      <c t="s" s="28" r="G159">
        <v>1003</v>
      </c>
      <c t="s" s="28" r="H159">
        <v>1004</v>
      </c>
      <c t="s" s="28" r="I159">
        <v>1005</v>
      </c>
      <c s="79" r="J159"/>
      <c s="4" r="K159"/>
      <c s="4" r="L159"/>
      <c s="4" r="M159"/>
      <c s="4" r="N159"/>
      <c s="4" r="O159"/>
      <c s="4" r="P159"/>
      <c s="4" r="Q159"/>
    </row>
    <row customHeight="1" r="160" ht="15.75">
      <c s="155" r="A160"/>
      <c t="str" s="78" r="B160">
        <f>HYPERLINK("http://www.google.com/url?q=http://www.wormbase.org/db/gene/gene%3Fname%3DWBGene00003808%3Bclass%3DGene&amp;usd=2&amp;usg=ALhdy2_Lr0snR0v0P9jjaFV-WP7X9Wt5Sg","npr-2")</f>
        <v>npr-2</v>
      </c>
      <c t="str" s="78" r="C160">
        <f>HYPERLINK("http://www.google.com/url?q=http://www.wormbase.org/db/gene/gene%3Fname%3DWBGene00003808%3Bclass%3DGene&amp;usd=2&amp;usg=ALhdy2_Lr0snR0v0P9jjaFV-WP7X9Wt5Sg","T05A1.1")</f>
        <v>T05A1.1</v>
      </c>
      <c s="167" r="D160"/>
      <c s="88" r="E160"/>
      <c s="167" r="F160"/>
      <c s="167" r="G160"/>
      <c t="s" s="28" r="H160">
        <v>1006</v>
      </c>
      <c t="s" s="28" r="I160">
        <v>998</v>
      </c>
      <c s="79" r="J160"/>
      <c s="4" r="K160"/>
      <c s="4" r="L160"/>
      <c s="4" r="M160"/>
      <c s="4" r="N160"/>
      <c s="4" r="O160"/>
      <c s="4" r="P160"/>
      <c s="4" r="Q160"/>
    </row>
    <row customHeight="1" r="161" ht="51.75">
      <c t="s" s="28" r="A161">
        <v>1007</v>
      </c>
      <c t="str" s="78" r="B161">
        <f>HYPERLINK("http://www.google.com/url?q=http://www.wormbase.org/db/gene/gene%3Fname%3DWBGene00007006%3Bclass%3DGene&amp;usd=2&amp;usg=ALhdy29dK5OZ2tr47FZeG3QD06nIpKK3Qw","npr-3")</f>
        <v>npr-3</v>
      </c>
      <c t="str" s="78" r="C161">
        <f>HYPERLINK("http://www.google.com/url?q=http://www.wormbase.org/db/gene/gene%3Fname%3DWBGene00007006%3Bclass%3DGene&amp;usd=2&amp;usg=ALhdy29dK5OZ2tr47FZeG3QD06nIpKK3Qw","C10C6.2")</f>
        <v>C10C6.2</v>
      </c>
      <c t="s" s="28" r="D161">
        <v>1008</v>
      </c>
      <c t="s" s="56" r="E161">
        <v>1009</v>
      </c>
      <c t="s" s="28" r="F161">
        <v>1010</v>
      </c>
      <c s="167" r="G161"/>
      <c t="s" s="28" r="H161">
        <v>1011</v>
      </c>
      <c t="s" s="28" r="I161">
        <v>1012</v>
      </c>
      <c s="79" r="J161"/>
      <c s="4" r="K161"/>
      <c s="4" r="L161"/>
      <c s="4" r="M161"/>
      <c s="4" r="N161"/>
      <c s="4" r="O161"/>
      <c s="4" r="P161"/>
      <c s="4" r="Q161"/>
    </row>
    <row customHeight="1" r="162" ht="15.75">
      <c s="155" r="A162"/>
      <c t="str" s="78" r="B162">
        <f>HYPERLINK("http://www.google.com/url?q=http://wormbase.org/db/gene/gene%3Fname%3DWBGene00008278%3Bclass%3DGene&amp;usd=2&amp;usg=ALhdy2_8Mv0bQBZuyeg_6tCbNykevjbJkQ","npr-10")</f>
        <v>npr-10</v>
      </c>
      <c t="str" s="78" r="C162">
        <f>HYPERLINK("http://www.google.com/url?q=http://wormbase.org/db/gene/gene%3Fname%3DWBGene00008278%3Bclass%3DGene&amp;usd=2&amp;usg=ALhdy2_8Mv0bQBZuyeg_6tCbNykevjbJkQ","C53C7.1")</f>
        <v>C53C7.1</v>
      </c>
      <c s="167" r="D162"/>
      <c s="88" r="E162"/>
      <c s="167" r="F162"/>
      <c s="167" r="G162"/>
      <c s="167" r="H162"/>
      <c s="167" r="I162"/>
      <c s="79" r="J162"/>
      <c s="4" r="K162"/>
      <c s="4" r="L162"/>
      <c s="4" r="M162"/>
      <c s="4" r="N162"/>
      <c s="4" r="O162"/>
      <c s="4" r="P162"/>
      <c s="4" r="Q162"/>
    </row>
    <row customHeight="1" r="163" ht="15.75">
      <c s="155" r="A163"/>
      <c t="str" s="78" r="B163">
        <f>HYPERLINK("http://www.google.com/url?q=http://wormbase.org/db/gene/gene%3Fname%3DWBGene00016110%3Bclass%3DGene&amp;usd=2&amp;usg=ALhdy2_m3QU1gkPPtm46UenwDV-cgKHd0Q","npr-11")</f>
        <v>npr-11</v>
      </c>
      <c t="str" s="78" r="C163">
        <f>HYPERLINK("http://www.google.com/url?q=http://wormbase.org/db/gene/gene%3Fname%3DWBGene00016110%3Bclass%3DGene&amp;usd=2&amp;usg=ALhdy2_m3QU1gkPPtm46UenwDV-cgKHd0Q","C25G6.5")</f>
        <v>C25G6.5</v>
      </c>
      <c s="167" r="D163"/>
      <c t="s" s="56" r="E163">
        <v>1013</v>
      </c>
      <c t="str" s="78" r="F163">
        <f>HYPERLINK("http://www.google.com/url?q=http://www.wormatlas.org/neurons/Individual%2520Neurons/Neuronframeset.html&amp;usd=2&amp;usg=ALhdy2_OIz5gY07K9vr5knfGd_eIwp9JUw","AIA, AIY")</f>
        <v>AIA, AIY</v>
      </c>
      <c s="167" r="G163"/>
      <c t="s" s="28" r="H163">
        <v>1014</v>
      </c>
      <c t="s" s="28" r="I163">
        <v>1015</v>
      </c>
      <c s="79" r="J163"/>
      <c s="4" r="K163"/>
      <c s="4" r="L163"/>
      <c s="4" r="M163"/>
      <c s="4" r="N163"/>
      <c s="4" r="O163"/>
      <c s="4" r="P163"/>
      <c s="4" r="Q163"/>
    </row>
    <row customHeight="1" r="164" ht="15.75">
      <c s="155" r="A164"/>
      <c t="str" s="78" r="B164">
        <f>HYPERLINK("http://www.google.com/url?q=http://wormbase.org/db/gene/gene%3Fname%3DWBGene00020689%3Bclass%3DGene&amp;usd=2&amp;usg=ALhdy2-nd6QYOr_ML5HjSWWS1hZJkNeXrQ","npr-12")</f>
        <v>npr-12</v>
      </c>
      <c t="str" s="78" r="C164">
        <f>HYPERLINK("http://www.google.com/url?q=http://wormbase.org/db/gene/gene%3Fname%3DWBGene00020689%3Bclass%3DGene&amp;usd=2&amp;usg=ALhdy2-nd6QYOr_ML5HjSWWS1hZJkNeXrQ","T22D1.12")</f>
        <v>T22D1.12</v>
      </c>
      <c s="167" r="D164"/>
      <c s="88" r="E164"/>
      <c s="167" r="F164"/>
      <c s="167" r="G164"/>
      <c s="167" r="H164"/>
      <c s="167" r="I164"/>
      <c s="79" r="J164"/>
      <c s="4" r="K164"/>
      <c s="4" r="L164"/>
      <c s="4" r="M164"/>
      <c s="4" r="N164"/>
      <c s="4" r="O164"/>
      <c s="4" r="P164"/>
      <c s="4" r="Q164"/>
    </row>
    <row customHeight="1" r="165" ht="15.75">
      <c s="155" r="A165"/>
      <c t="str" s="78" r="B165">
        <f>HYPERLINK("http://www.google.com/url?q=http://wormbase.org/db/gene/gene%3Fname%3DWBGene00013883%3Bclass%3DGene&amp;usd=2&amp;usg=ALhdy2--qnlPh5abdx_1YwzxboDenvkktw","npr-13")</f>
        <v>npr-13</v>
      </c>
      <c t="str" s="78" r="C165">
        <f>HYPERLINK("http://www.google.com/url?q=http://wormbase.org/db/gene/gene%3Fname%3DWBGene00013883%3Bclass%3DGene&amp;usd=2&amp;usg=ALhdy2--qnlPh5abdx_1YwzxboDenvkktw","ZC412.1")</f>
        <v>ZC412.1</v>
      </c>
      <c s="167" r="D165"/>
      <c s="88" r="E165"/>
      <c s="167" r="F165"/>
      <c s="167" r="G165"/>
      <c s="167" r="H165"/>
      <c s="167" r="I165"/>
      <c s="79" r="J165"/>
      <c s="4" r="K165"/>
      <c s="4" r="L165"/>
      <c s="4" r="M165"/>
      <c s="4" r="N165"/>
      <c s="4" r="O165"/>
      <c s="4" r="P165"/>
      <c s="4" r="Q165"/>
    </row>
    <row customHeight="1" r="166" ht="15.75">
      <c s="155" r="A166"/>
      <c t="str" s="78" r="B166">
        <f>HYPERLINK("http://www.google.com/url?q=http://wormbase.org/db/gene/gene%3Fname%3DWBGene00018067%3Bclass%3DGene&amp;usd=2&amp;usg=ALhdy2_tDFT2feE-9Ur4RN6GTqmTYJZ75Q","aka npr-7")</f>
        <v>aka npr-7</v>
      </c>
      <c t="str" s="78" r="C166">
        <f>HYPERLINK("http://www.google.com/url?q=http://wormbase.org/db/gene/gene%3Fname%3DWBGene00018067%3Bclass%3DGene&amp;usd=2&amp;usg=ALhdy2_tDFT2feE-9Ur4RN6GTqmTYJZ75Q","F35G8.1")</f>
        <v>F35G8.1</v>
      </c>
      <c s="167" r="D166"/>
      <c s="88" r="E166"/>
      <c s="167" r="F166"/>
      <c s="167" r="G166"/>
      <c t="s" s="28" r="H166">
        <v>1016</v>
      </c>
      <c t="s" s="28" r="I166">
        <v>1017</v>
      </c>
      <c s="79" r="J166"/>
      <c s="4" r="K166"/>
      <c s="4" r="L166"/>
      <c s="4" r="M166"/>
      <c s="4" r="N166"/>
      <c s="4" r="O166"/>
      <c s="4" r="P166"/>
      <c s="4" r="Q166"/>
    </row>
    <row customHeight="1" r="167" ht="15.75">
      <c s="155" r="A167"/>
      <c t="str" s="78" r="B167">
        <f>HYPERLINK("http://www.google.com/url?q=http://wormbase.org/db/gene/gene%3Fname%3DWBGene00016984%3Bclass%3DGene&amp;usd=2&amp;usg=ALhdy29MkBHAcBM6eNGoB7yltL4KWIwbfg","aka npr-8")</f>
        <v>aka npr-8</v>
      </c>
      <c t="str" s="78" r="C167">
        <f>HYPERLINK("http://www.google.com/url?q=http://wormbase.org/db/gene/gene%3Fname%3DWBGene00016984%3Bclass%3DGene&amp;usd=2&amp;usg=ALhdy29MkBHAcBM6eNGoB7yltL4KWIwbfg","C56G3.1")</f>
        <v>C56G3.1</v>
      </c>
      <c s="167" r="D167"/>
      <c s="88" r="E167"/>
      <c s="167" r="F167"/>
      <c s="167" r="G167"/>
      <c s="167" r="H167"/>
      <c t="s" s="28" r="I167">
        <v>1018</v>
      </c>
      <c s="79" r="J167"/>
      <c s="4" r="K167"/>
      <c s="4" r="L167"/>
      <c s="4" r="M167"/>
      <c s="4" r="N167"/>
      <c s="4" r="O167"/>
      <c s="4" r="P167"/>
      <c s="4" r="Q167"/>
    </row>
    <row customHeight="1" r="168" ht="15.75">
      <c t="s" s="28" r="A168">
        <v>1019</v>
      </c>
      <c s="74" r="B168"/>
      <c t="str" s="78" r="C168">
        <f>HYPERLINK("http://www.google.com/url?q=http://wormbase.org/db/gene/gene%3Fname%3DWBGene00013187%3Bclass%3DGene&amp;usd=2&amp;usg=ALhdy2-WHk9xYEnZifD-C6y850b2cVYjCQ","Y54E2A.1")</f>
        <v>Y54E2A.1</v>
      </c>
      <c s="167" r="D168"/>
      <c s="88" r="E168"/>
      <c s="167" r="F168"/>
      <c s="167" r="G168"/>
      <c s="167" r="H168"/>
      <c t="s" s="28" r="I168">
        <v>1018</v>
      </c>
      <c s="79" r="J168"/>
      <c s="4" r="K168"/>
      <c s="4" r="L168"/>
      <c s="4" r="M168"/>
      <c s="4" r="N168"/>
      <c s="4" r="O168"/>
      <c s="4" r="P168"/>
      <c s="4" r="Q168"/>
    </row>
    <row customHeight="1" r="169" ht="15.75">
      <c s="155" r="A169"/>
      <c t="str" s="78" r="B169">
        <f>HYPERLINK("http://www.google.com/url?q=http://wormbase.org/db/gene/gene%3Fname%3DWBGene00009619%3Bclass%3DGene&amp;usd=2&amp;usg=ALhdy28RBMkbfx6ren1CfNB_7mfUPk_QEA","aka npr-6")</f>
        <v>aka npr-6</v>
      </c>
      <c t="str" s="78" r="C169">
        <f>HYPERLINK("http://www.google.com/url?q=http://wormbase.org/db/gene/gene%3Fname%3DWBGene00009619%3Bclass%3DGene&amp;usd=2&amp;usg=ALhdy28RBMkbfx6ren1CfNB_7mfUPk_QEA","F41E7.3")</f>
        <v>F41E7.3</v>
      </c>
      <c s="167" r="D169"/>
      <c s="88" r="E169"/>
      <c s="167" r="F169"/>
      <c s="167" r="G169"/>
      <c t="s" s="28" r="H169">
        <v>1020</v>
      </c>
      <c t="s" s="28" r="I169">
        <v>998</v>
      </c>
      <c s="79" r="J169"/>
      <c s="4" r="K169"/>
      <c s="4" r="L169"/>
      <c s="4" r="M169"/>
      <c s="4" r="N169"/>
      <c s="4" r="O169"/>
      <c s="4" r="P169"/>
      <c s="4" r="Q169"/>
    </row>
    <row customHeight="1" r="170" ht="39.0">
      <c s="155" r="A170"/>
      <c t="str" s="78" r="B170">
        <f>HYPERLINK("http://www.google.com/url?q=http://wormbase.org/db/gene/gene%3Fname%3DWBGene00007635%3Bclass%3DGene&amp;usd=2&amp;usg=ALhdy28xQSjYYS5Wrw-TgXdCm7j-GZDDJw","aka npr-4")</f>
        <v>aka npr-4</v>
      </c>
      <c t="str" s="78" r="C170">
        <f>HYPERLINK("http://www.google.com/url?q=http://wormbase.org/db/gene/gene%3Fname%3DWBGene00007635%3Bclass%3DGene&amp;usd=2&amp;usg=ALhdy28xQSjYYS5Wrw-TgXdCm7j-GZDDJw","C16D6.2")</f>
        <v>C16D6.2</v>
      </c>
      <c t="s" s="28" r="D170">
        <v>1021</v>
      </c>
      <c t="s" s="56" r="E170">
        <v>1022</v>
      </c>
      <c s="167" r="F170"/>
      <c s="167" r="G170"/>
      <c t="s" s="28" r="H170">
        <v>1023</v>
      </c>
      <c t="s" s="28" r="I170">
        <v>1017</v>
      </c>
      <c s="79" r="J170"/>
      <c s="4" r="K170"/>
      <c s="4" r="L170"/>
      <c s="4" r="M170"/>
      <c s="4" r="N170"/>
      <c s="4" r="O170"/>
      <c s="4" r="P170"/>
      <c s="4" r="Q170"/>
    </row>
    <row customHeight="1" r="171" ht="51.75">
      <c s="155" r="A171"/>
      <c t="str" s="78" r="B171">
        <f>HYPERLINK("http://www.google.com/url?q=http://wormbase.org/db/gene/gene%3Fname%3DWBGene00021983%3Bclass%3DGene&amp;usd=2&amp;usg=ALhdy2-K4G0IeDgzK2rT78RKlJqRLz_DTg","aka npr-5")</f>
        <v>aka npr-5</v>
      </c>
      <c t="str" s="78" r="C171">
        <f>HYPERLINK("http://www.google.com/url?q=http://wormbase.org/db/gene/gene%3Fname%3DWBGene00021983%3Bclass%3DGene&amp;usd=2&amp;usg=ALhdy2-K4G0IeDgzK2rT78RKlJqRLz_DTg","Y58G8A.4")</f>
        <v>Y58G8A.4</v>
      </c>
      <c t="s" s="28" r="D171">
        <v>1024</v>
      </c>
      <c t="s" s="56" r="E171">
        <v>1022</v>
      </c>
      <c s="167" r="F171"/>
      <c s="167" r="G171"/>
      <c t="s" s="28" r="H171">
        <v>1025</v>
      </c>
      <c t="s" s="28" r="I171">
        <v>1026</v>
      </c>
      <c s="79" r="J171"/>
      <c s="4" r="K171"/>
      <c s="4" r="L171"/>
      <c s="4" r="M171"/>
      <c s="4" r="N171"/>
      <c s="4" r="O171"/>
      <c s="4" r="P171"/>
      <c s="4" r="Q171"/>
    </row>
    <row customHeight="1" r="172" ht="15.75">
      <c s="155" r="A172"/>
      <c s="74" r="B172"/>
      <c t="str" s="78" r="C172">
        <f>HYPERLINK("http://www.google.com/url?q=http://wormbase.org/db/gene/gene%3Fname%3DWBGene00019183%3Bclass%3DGene&amp;usd=2&amp;usg=ALhdy2_kjQBiO_ou366qMqcnDJZXklecPQ","H10E21.2")</f>
        <v>H10E21.2</v>
      </c>
      <c s="167" r="D172"/>
      <c s="88" r="E172"/>
      <c s="167" r="F172"/>
      <c s="167" r="G172"/>
      <c s="167" r="H172"/>
      <c s="167" r="I172"/>
      <c s="79" r="J172"/>
      <c s="4" r="K172"/>
      <c s="4" r="L172"/>
      <c s="4" r="M172"/>
      <c s="4" r="N172"/>
      <c s="4" r="O172"/>
      <c s="4" r="P172"/>
      <c s="4" r="Q172"/>
    </row>
    <row customHeight="1" r="173" ht="15.75">
      <c s="155" r="A173"/>
      <c s="74" r="B173"/>
      <c t="str" s="78" r="C173">
        <f>HYPERLINK("http://www.google.com/url?q=http://wormbase.org/db/gene/gene%3Fname%3DWBGene00018344%3Bclass%3DGene&amp;usd=2&amp;usg=ALhdy2-gHVuBtuoXRacHn9pMzv5IAcs5pQ","F42C5.2")</f>
        <v>F42C5.2</v>
      </c>
      <c s="167" r="D173"/>
      <c s="88" r="E173"/>
      <c s="167" r="F173"/>
      <c s="167" r="G173"/>
      <c s="167" r="H173"/>
      <c s="167" r="I173"/>
      <c s="79" r="J173"/>
      <c s="4" r="K173"/>
      <c s="4" r="L173"/>
      <c s="4" r="M173"/>
      <c s="4" r="N173"/>
      <c s="4" r="O173"/>
      <c s="4" r="P173"/>
      <c s="4" r="Q173"/>
    </row>
    <row customHeight="1" r="174" ht="39.0">
      <c s="155" r="A174"/>
      <c s="74" r="B174"/>
      <c t="str" s="78" r="C174">
        <f>HYPERLINK("http://www.google.com/url?q=http://wormbase.org/db/gene/gene%3Fname%3DWBGene00016149%3Bclass%3DGene&amp;usd=2&amp;usg=ALhdy2__HP9eLkEkvNVpYGY7jr5yp90goQ","C26F1.6")</f>
        <v>C26F1.6</v>
      </c>
      <c t="s" s="28" r="D174">
        <v>1027</v>
      </c>
      <c t="s" s="56" r="E174">
        <v>1028</v>
      </c>
      <c s="167" r="F174"/>
      <c t="s" s="28" r="G174">
        <v>1029</v>
      </c>
      <c t="s" s="28" r="H174">
        <v>1020</v>
      </c>
      <c t="s" s="28" r="I174">
        <v>1030</v>
      </c>
      <c s="79" r="J174"/>
      <c s="4" r="K174"/>
      <c s="4" r="L174"/>
      <c s="4" r="M174"/>
      <c s="4" r="N174"/>
      <c s="4" r="O174"/>
      <c s="4" r="P174"/>
      <c s="4" r="Q174"/>
    </row>
    <row customHeight="1" r="175" ht="39.0">
      <c s="155" r="A175"/>
      <c s="74" r="B175"/>
      <c t="str" s="78" r="C175">
        <f>HYPERLINK("http://www.google.com/url?q=http://wormbase.org/db/gene/gene%3Fname%3DWBGene00020586%3Bclass%3DGene&amp;usd=2&amp;usg=ALhdy2_USyBYli4rqZEMaHXB6gqgB_01bA","T19F4.1")</f>
        <v>T19F4.1</v>
      </c>
      <c t="s" s="28" r="D175">
        <v>1031</v>
      </c>
      <c t="s" s="56" r="E175">
        <v>1032</v>
      </c>
      <c s="167" r="F175"/>
      <c t="s" s="28" r="G175">
        <v>1033</v>
      </c>
      <c t="s" s="28" r="H175">
        <v>1034</v>
      </c>
      <c t="s" s="28" r="I175">
        <v>1035</v>
      </c>
      <c s="79" r="J175"/>
      <c s="4" r="K175"/>
      <c s="4" r="L175"/>
      <c s="4" r="M175"/>
      <c s="4" r="N175"/>
      <c s="4" r="O175"/>
      <c s="4" r="P175"/>
      <c s="4" r="Q175"/>
    </row>
    <row customHeight="1" r="176" ht="90.0">
      <c s="155" r="A176"/>
      <c s="74" r="B176"/>
      <c t="str" s="78" r="C176">
        <f>HYPERLINK("http://www.google.com/url?q=http://wormbase.org/db/gene/gene%3Fname%3DWBGene00019496%3Bclass%3DGene&amp;usd=2&amp;usg=ALhdy2_fwB-cFmhzuB78KDVxMwB3kN1_7w","K07E8.5")</f>
        <v>K07E8.5</v>
      </c>
      <c s="167" r="D176"/>
      <c s="88" r="E176"/>
      <c s="167" r="F176"/>
      <c t="s" s="28" r="G176">
        <v>1036</v>
      </c>
      <c s="167" r="H176"/>
      <c s="167" r="I176"/>
      <c s="79" r="J176"/>
      <c s="4" r="K176"/>
      <c s="4" r="L176"/>
      <c s="4" r="M176"/>
      <c s="4" r="N176"/>
      <c s="4" r="O176"/>
      <c s="4" r="P176"/>
      <c s="4" r="Q176"/>
    </row>
    <row customHeight="1" r="177" ht="90.0">
      <c s="155" r="A177"/>
      <c s="74" r="B177"/>
      <c t="str" s="78" r="C177">
        <f>HYPERLINK("http://www.google.com/url?q=http://wormbase.org/db/gene/gene%3Fname%3DWBGene00021510%3Bclass%3DGene&amp;usd=2&amp;usg=ALhdy2-1UOaPnhJYaTpjNspp2H4_BjBbLQ","Y41D4A.8")</f>
        <v>Y41D4A.8</v>
      </c>
      <c s="167" r="D177"/>
      <c s="88" r="E177"/>
      <c s="167" r="F177"/>
      <c t="s" s="28" r="G177">
        <v>1037</v>
      </c>
      <c s="167" r="H177"/>
      <c s="167" r="I177"/>
      <c s="79" r="J177"/>
      <c s="4" r="K177"/>
      <c s="4" r="L177"/>
      <c s="4" r="M177"/>
      <c s="4" r="N177"/>
      <c s="4" r="O177"/>
      <c s="4" r="P177"/>
      <c s="4" r="Q177"/>
    </row>
    <row customHeight="1" r="178" ht="90.0">
      <c s="155" r="A178"/>
      <c s="74" r="B178"/>
      <c t="str" s="78" r="C178">
        <f>HYPERLINK("http://www.google.com/url?q=http://wormbase.org/db/gene/gene%3Fname%3DWBGene00010735%3Bclass%3DGene&amp;usd=2&amp;usg=ALhdy290X-r7GuOS7cDEIhWMXzqhAiw1Pg","K10C8.2")</f>
        <v>K10C8.2</v>
      </c>
      <c s="167" r="D178"/>
      <c s="88" r="E178"/>
      <c s="167" r="F178"/>
      <c t="s" s="28" r="G178">
        <v>1038</v>
      </c>
      <c s="167" r="H178"/>
      <c s="167" r="I178"/>
      <c s="79" r="J178"/>
      <c s="4" r="K178"/>
      <c s="4" r="L178"/>
      <c s="4" r="M178"/>
      <c s="4" r="N178"/>
      <c s="4" r="O178"/>
      <c s="4" r="P178"/>
      <c s="4" r="Q178"/>
    </row>
    <row customHeight="1" r="179" ht="15.75">
      <c s="155" r="A179"/>
      <c s="74" r="B179"/>
      <c t="str" s="78" r="C179">
        <f>HYPERLINK("http://www.google.com/url?q=http://wormbase.org/db/gene/gene%3Fname%3DWBGene00017661%3Bclass%3DGene&amp;usd=2&amp;usg=ALhdy2_SL3Om8S-dSGxhrS3Pcyo4EXXKPA","F21C10.12")</f>
        <v>F21C10.12</v>
      </c>
      <c s="167" r="D179"/>
      <c s="88" r="E179"/>
      <c s="167" r="F179"/>
      <c s="167" r="G179"/>
      <c s="167" r="H179"/>
      <c s="167" r="I179"/>
      <c s="79" r="J179"/>
      <c s="4" r="K179"/>
      <c s="4" r="L179"/>
      <c s="4" r="M179"/>
      <c s="4" r="N179"/>
      <c s="4" r="O179"/>
      <c s="4" r="P179"/>
      <c s="4" r="Q179"/>
    </row>
    <row customHeight="1" r="180" ht="90.0">
      <c s="155" r="A180"/>
      <c s="74" r="B180"/>
      <c t="str" s="78" r="C180">
        <f>HYPERLINK("http://www.google.com/url?q=http://wormbase.org/db/gene/gene%3Fname%3DWBGene00009965%3Bclass%3DGene&amp;usd=2&amp;usg=ALhdy29mADp03nDew50Ito89T01ysFbihw","F53B7.2")</f>
        <v>F53B7.2</v>
      </c>
      <c s="167" r="D180"/>
      <c s="88" r="E180"/>
      <c s="167" r="F180"/>
      <c t="s" s="28" r="G180">
        <v>1039</v>
      </c>
      <c s="167" r="H180"/>
      <c s="167" r="I180"/>
      <c s="79" r="J180"/>
      <c s="4" r="K180"/>
      <c s="4" r="L180"/>
      <c s="4" r="M180"/>
      <c s="4" r="N180"/>
      <c s="4" r="O180"/>
      <c s="4" r="P180"/>
      <c s="4" r="Q180"/>
    </row>
    <row customHeight="1" r="181" ht="15.75">
      <c s="155" r="A181"/>
      <c s="74" r="B181"/>
      <c t="str" s="78" r="C181">
        <f>HYPERLINK("http://www.google.com/url?q=http://wormbase.org/db/gene/gene%3Fname%3DWBGene00016909%3Bclass%3DGene&amp;usd=2&amp;usg=ALhdy2_vEzZamJCcW08JAj_IrLAIhoMQ2w","C54A12.2")</f>
        <v>C54A12.2</v>
      </c>
      <c s="167" r="D181"/>
      <c s="88" r="E181"/>
      <c s="167" r="F181"/>
      <c s="167" r="G181"/>
      <c s="167" r="H181"/>
      <c s="167" r="I181"/>
      <c s="79" r="J181"/>
      <c s="4" r="K181"/>
      <c s="4" r="L181"/>
      <c s="4" r="M181"/>
      <c s="4" r="N181"/>
      <c s="4" r="O181"/>
      <c s="4" r="P181"/>
      <c s="4" r="Q181"/>
    </row>
    <row customHeight="1" r="182" ht="15.75">
      <c s="155" r="A182"/>
      <c s="74" r="B182"/>
      <c t="str" s="78" r="C182">
        <f>HYPERLINK("http://www.google.com/url?q=http://wormbase.org/db/gene/gene%3Fname%3DWBGene00019444%3Bclass%3DGene&amp;usd=2&amp;usg=ALhdy2_3TIA_QOVQE7qM8TDHHNh8gg5qgA","K06C4.8")</f>
        <v>K06C4.8</v>
      </c>
      <c s="167" r="D182"/>
      <c s="88" r="E182"/>
      <c s="167" r="F182"/>
      <c s="167" r="G182"/>
      <c s="167" r="H182"/>
      <c s="167" r="I182"/>
      <c s="79" r="J182"/>
      <c s="4" r="K182"/>
      <c s="4" r="L182"/>
      <c s="4" r="M182"/>
      <c s="4" r="N182"/>
      <c s="4" r="O182"/>
      <c s="4" r="P182"/>
      <c s="4" r="Q182"/>
    </row>
    <row customHeight="1" r="183" ht="90.0">
      <c s="155" r="A183"/>
      <c s="74" r="B183"/>
      <c t="str" s="78" r="C183">
        <f>HYPERLINK("http://www.google.com/url?q=http://wormbase.org/db/gene/gene%3Fname%3DWBGene00008342%3Bclass%3DGene&amp;usd=2&amp;usg=ALhdy2-ceSQanAFLKK1WCiEmsf5UKRlhUQ","C56A3.3")</f>
        <v>C56A3.3</v>
      </c>
      <c s="167" r="D183"/>
      <c s="88" r="E183"/>
      <c s="167" r="F183"/>
      <c t="s" s="28" r="G183">
        <v>1040</v>
      </c>
      <c s="167" r="H183"/>
      <c s="167" r="I183"/>
      <c s="79" r="J183"/>
      <c s="4" r="K183"/>
      <c s="4" r="L183"/>
      <c s="4" r="M183"/>
      <c s="4" r="N183"/>
      <c s="4" r="O183"/>
      <c s="4" r="P183"/>
      <c s="4" r="Q183"/>
    </row>
    <row customHeight="1" r="184" ht="15.75">
      <c s="155" r="A184"/>
      <c s="74" r="B184"/>
      <c t="str" s="78" r="C184">
        <f>HYPERLINK("http://www.google.com/url?q=http://wormbase.org/db/gene/gene%3Fname%3DWBGene00007346%3Bclass%3DGene&amp;usd=2&amp;usg=ALhdy2-nzxZw9YBGH4bwMvP5C3Hf5ngt7w","C05E7.4")</f>
        <v>C05E7.4</v>
      </c>
      <c s="167" r="D184"/>
      <c s="88" r="E184"/>
      <c s="167" r="F184"/>
      <c s="167" r="G184"/>
      <c s="167" r="H184"/>
      <c s="167" r="I184"/>
      <c s="79" r="J184"/>
      <c s="4" r="K184"/>
      <c s="4" r="L184"/>
      <c s="4" r="M184"/>
      <c s="4" r="N184"/>
      <c s="4" r="O184"/>
      <c s="4" r="P184"/>
      <c s="4" r="Q184"/>
    </row>
    <row customHeight="1" r="185" ht="15.75">
      <c s="155" r="A185"/>
      <c s="74" r="B185"/>
      <c t="str" s="78" r="C185">
        <f>HYPERLINK("http://www.google.com/url?q=http://wormbase.org/db/gene/gene%3Fname%3DWBGene00020023%3Bclass%3DGene&amp;usd=2&amp;usg=ALhdy29Q2UEEXnMG2a2jhYY02E0yWF-igQ","R12C12.3")</f>
        <v>R12C12.3</v>
      </c>
      <c s="167" r="D185"/>
      <c s="88" r="E185"/>
      <c s="167" r="F185"/>
      <c s="167" r="G185"/>
      <c s="167" r="H185"/>
      <c s="167" r="I185"/>
      <c s="79" r="J185"/>
      <c s="4" r="K185"/>
      <c s="4" r="L185"/>
      <c s="4" r="M185"/>
      <c s="4" r="N185"/>
      <c s="4" r="O185"/>
      <c s="4" r="P185"/>
      <c s="4" r="Q185"/>
    </row>
    <row customHeight="1" r="186" ht="15.75">
      <c s="155" r="A186"/>
      <c s="74" r="B186"/>
      <c t="str" s="78" r="C186">
        <f>HYPERLINK("http://www.google.com/url?q=http://wormbase.org/db/gene/gene%3Fname%3DWBGene00019445%3Bclass%3DGene&amp;usd=2&amp;usg=ALhdy28Q41t9rqh0v6q2oi5xFdp_qiETog","K06C4.9")</f>
        <v>K06C4.9</v>
      </c>
      <c s="167" r="D186"/>
      <c s="88" r="E186"/>
      <c s="167" r="F186"/>
      <c s="167" r="G186"/>
      <c s="167" r="H186"/>
      <c s="167" r="I186"/>
      <c s="79" r="J186"/>
      <c s="4" r="K186"/>
      <c s="4" r="L186"/>
      <c s="4" r="M186"/>
      <c s="4" r="N186"/>
      <c s="4" r="O186"/>
      <c s="4" r="P186"/>
      <c s="4" r="Q186"/>
    </row>
    <row customHeight="1" r="187" ht="90.0">
      <c s="155" r="A187"/>
      <c s="74" r="B187"/>
      <c t="str" s="78" r="C187">
        <f>HYPERLINK("http://www.google.com/url?q=http://wormbase.org/db/gene/gene%3Fname%3DWBGene00011765%3Bclass%3DGene&amp;usd=2&amp;usg=ALhdy2_Gp18L0H46NCOsu8FBRHzTZkrMQA","T14C1.1")</f>
        <v>T14C1.1</v>
      </c>
      <c s="167" r="D187"/>
      <c s="88" r="E187"/>
      <c s="167" r="F187"/>
      <c t="s" s="28" r="G187">
        <v>1041</v>
      </c>
      <c s="167" r="H187"/>
      <c s="167" r="I187"/>
      <c s="79" r="J187"/>
      <c s="4" r="K187"/>
      <c s="4" r="L187"/>
      <c s="4" r="M187"/>
      <c s="4" r="N187"/>
      <c s="4" r="O187"/>
      <c s="4" r="P187"/>
      <c s="4" r="Q187"/>
    </row>
    <row customHeight="1" r="188" ht="90.0">
      <c s="155" r="A188"/>
      <c s="74" r="B188"/>
      <c t="str" s="78" r="C188">
        <f>HYPERLINK("http://www.google.com/url?q=http://wormbase.org/db/gene/gene%3Fname%3DWBGene00015323%3Bclass%3DGene&amp;usd=2&amp;usg=ALhdy29y_7BXqKc4aIWj61E2BKDY206mbQ","C02B8.5")</f>
        <v>C02B8.5</v>
      </c>
      <c s="167" r="D188"/>
      <c s="88" r="E188"/>
      <c s="167" r="F188"/>
      <c t="s" s="28" r="G188">
        <v>1042</v>
      </c>
      <c s="167" r="H188"/>
      <c s="167" r="I188"/>
      <c s="79" r="J188"/>
      <c s="4" r="K188"/>
      <c s="4" r="L188"/>
      <c s="4" r="M188"/>
      <c s="4" r="N188"/>
      <c s="4" r="O188"/>
      <c s="4" r="P188"/>
      <c s="4" r="Q188"/>
    </row>
    <row customHeight="1" r="189" ht="26.25">
      <c t="s" s="56" r="A189">
        <v>1043</v>
      </c>
      <c s="74" r="B189"/>
      <c s="74" r="C189"/>
      <c s="167" r="D189"/>
      <c s="88" r="E189"/>
      <c s="167" r="F189"/>
      <c t="s" s="28" r="G189">
        <v>1044</v>
      </c>
      <c s="167" r="H189"/>
      <c t="s" s="28" r="I189">
        <v>998</v>
      </c>
      <c s="79" r="J189"/>
      <c s="4" r="K189"/>
      <c s="4" r="L189"/>
      <c s="4" r="M189"/>
      <c s="4" r="N189"/>
      <c s="4" r="O189"/>
      <c s="4" r="P189"/>
      <c s="4" r="Q189"/>
    </row>
    <row customHeight="1" r="190" ht="26.25">
      <c s="167" r="A190"/>
      <c t="str" s="78" r="B190">
        <f>HYPERLINK("http://www.google.com/url?q=http://wormbase.org/db/gene/gene%3Fname%3DWBGene00006864%3Bclass%3DGene&amp;usd=2&amp;usg=ALhdy2_e8csIDLSjNv4GwtIYiWq3QCg-7A","npr-16")</f>
        <v>npr-16</v>
      </c>
      <c t="str" s="78" r="C190">
        <f>HYPERLINK("http://www.google.com/url?q=http://wormbase.org/db/gene/gene%3Fname%3DWBGene00006864%3Bclass%3DGene&amp;usd=2&amp;usg=ALhdy2_e8csIDLSjNv4GwtIYiWq3QCg-7A","F56B6.5")</f>
        <v>F56B6.5</v>
      </c>
      <c t="s" s="28" r="D190">
        <v>1045</v>
      </c>
      <c s="88" r="E190"/>
      <c t="s" s="28" r="F190">
        <v>1046</v>
      </c>
      <c s="167" r="G190"/>
      <c s="167" r="H190"/>
      <c t="s" s="28" r="I190">
        <v>1047</v>
      </c>
      <c s="79" r="J190"/>
      <c s="4" r="K190"/>
      <c s="4" r="L190"/>
      <c s="4" r="M190"/>
      <c s="4" r="N190"/>
      <c s="4" r="O190"/>
      <c s="4" r="P190"/>
      <c s="4" r="Q190"/>
    </row>
    <row customHeight="1" r="191" ht="15.75">
      <c s="167" r="A191"/>
      <c t="str" s="78" r="B191">
        <f>HYPERLINK("http://www.google.com/url?q=http://wormbase.org/db/gene/gene%3Fname%3DWBGene00015559%3Bclass%3DGene&amp;usd=2&amp;usg=ALhdy29RCWmNc0bsDcwP23viPBidxXUMFg","npr-17")</f>
        <v>npr-17</v>
      </c>
      <c t="str" s="78" r="C191">
        <f>HYPERLINK("http://www.google.com/url?q=http://wormbase.org/db/gene/gene%3Fname%3DWBGene00015559%3Bclass%3DGene&amp;usd=2&amp;usg=ALhdy29RCWmNc0bsDcwP23viPBidxXUMFg","C06G4.5")</f>
        <v>C06G4.5</v>
      </c>
      <c s="167" r="D191"/>
      <c s="88" r="E191"/>
      <c s="167" r="F191"/>
      <c s="167" r="G191"/>
      <c s="167" r="H191"/>
      <c s="167" r="I191"/>
      <c s="79" r="J191"/>
      <c s="4" r="K191"/>
      <c s="4" r="L191"/>
      <c s="4" r="M191"/>
      <c s="4" r="N191"/>
      <c s="4" r="O191"/>
      <c s="4" r="P191"/>
      <c s="4" r="Q191"/>
    </row>
    <row customHeight="1" r="192" ht="15.75">
      <c s="167" r="A192"/>
      <c t="str" s="78" r="B192">
        <f>HYPERLINK("http://www.google.com/url?q=http://wormbase.org/db/gene/gene%3Fname%3DWBGene00015559%3Bclass%3DGene&amp;usd=2&amp;usg=ALhdy29RCWmNc0bsDcwP23viPBidxXUMFg","npr-18")</f>
        <v>npr-18</v>
      </c>
      <c t="str" s="78" r="C192">
        <f>HYPERLINK("http://www.google.com/url?q=http://wormbase.org/db/gene/gene%3Fname%3DWBGene00015559%3Bclass%3DGene&amp;usd=2&amp;usg=ALhdy29RCWmNc0bsDcwP23viPBidxXUMFg","C43C3.2")</f>
        <v>C43C3.2</v>
      </c>
      <c s="167" r="D192"/>
      <c s="88" r="E192"/>
      <c s="167" r="F192"/>
      <c s="167" r="G192"/>
      <c s="167" r="H192"/>
      <c s="167" r="I192"/>
      <c s="79" r="J192"/>
      <c s="4" r="K192"/>
      <c s="4" r="L192"/>
      <c s="4" r="M192"/>
      <c s="4" r="N192"/>
      <c s="4" r="O192"/>
      <c s="4" r="P192"/>
      <c s="4" r="Q192"/>
    </row>
    <row customHeight="1" r="193" ht="15.75">
      <c s="95" r="A193"/>
      <c t="str" s="78" r="B193">
        <f>HYPERLINK("http://www.google.com/url?q=http://wormbase.org/db/gene/gene%3Fname%3DWBGene00013974%3Bclass%3DGene&amp;usd=2&amp;usg=ALhdy28orEGyQTi6ZpbvxLwhHOXCAqhsaQ","npr-9")</f>
        <v>npr-9</v>
      </c>
      <c t="str" s="78" r="C193">
        <f>HYPERLINK("http://www.google.com/url?q=http://wormbase.org/db/gene/gene%3Fname%3DWBGene00013974%3Bclass%3DGene&amp;usd=2&amp;usg=ALhdy28orEGyQTi6ZpbvxLwhHOXCAqhsaQ","ZK455.3")</f>
        <v>ZK455.3</v>
      </c>
      <c s="167" r="D193"/>
      <c s="88" r="E193"/>
      <c t="s" s="28" r="F193">
        <v>1048</v>
      </c>
      <c s="167" r="G193"/>
      <c s="167" r="H193"/>
      <c t="s" s="28" r="I193">
        <v>1049</v>
      </c>
      <c s="79" r="J193"/>
      <c s="4" r="K193"/>
      <c s="4" r="L193"/>
      <c s="4" r="M193"/>
      <c s="4" r="N193"/>
      <c s="4" r="O193"/>
      <c s="4" r="P193"/>
      <c s="4" r="Q193"/>
    </row>
    <row customHeight="1" r="194" ht="15.75">
      <c s="167" r="A194"/>
      <c s="74" r="B194"/>
      <c t="str" s="78" r="C194">
        <f>HYPERLINK("http://www.google.com/url?q=http://wormbase.org/db/gene/gene%3Fname%3DWBGene00013782%3Bclass%3DGene&amp;usd=2&amp;usg=ALhdy28ifAiA6QSH_2SIQZDFuZFyw0VCCQ","Y116A8B.5")</f>
        <v>Y116A8B.5</v>
      </c>
      <c s="167" r="D194"/>
      <c s="88" r="E194"/>
      <c s="167" r="F194"/>
      <c s="167" r="G194"/>
      <c s="167" r="H194"/>
      <c s="167" r="I194"/>
      <c s="79" r="J194"/>
      <c s="4" r="K194"/>
      <c s="4" r="L194"/>
      <c s="4" r="M194"/>
      <c s="4" r="N194"/>
      <c s="4" r="O194"/>
      <c s="4" r="P194"/>
      <c s="4" r="Q194"/>
    </row>
    <row customHeight="1" r="195" ht="15.75">
      <c s="155" r="A195"/>
      <c s="74" r="B195"/>
      <c t="str" s="78" r="C195">
        <f>HYPERLINK("http://www.google.com/url?q=http://wormbase.org/db/gene/gene%3Fname%3DWBGene00020086%3Bclass%3DGene&amp;usd=2&amp;usg=ALhdy28R0drm0JiKk2trXIbzGy1ZzwbvGQ","R106.2")</f>
        <v>R106.2</v>
      </c>
      <c s="167" r="D195"/>
      <c s="88" r="E195"/>
      <c s="167" r="F195"/>
      <c s="167" r="G195"/>
      <c s="167" r="H195"/>
      <c s="167" r="I195"/>
      <c s="79" r="J195"/>
      <c s="4" r="K195"/>
      <c s="4" r="L195"/>
      <c s="4" r="M195"/>
      <c s="4" r="N195"/>
      <c s="4" r="O195"/>
      <c s="4" r="P195"/>
      <c s="4" r="Q195"/>
    </row>
    <row customHeight="1" r="196" ht="128.25">
      <c s="155" r="A196"/>
      <c s="74" r="B196"/>
      <c t="str" s="78" r="C196">
        <f>HYPERLINK("http://www.google.com/url?q=http://wormbase.org/db/gene/gene%3Fname%3DWBGene00013848%3Bclass%3DGene&amp;usd=2&amp;usg=ALhdy2-2PcYFvRolVQXEeEG4-5xqh4bHzg","ZC84.4")</f>
        <v>ZC84.4</v>
      </c>
      <c s="167" r="D196"/>
      <c s="88" r="E196"/>
      <c s="167" r="F196"/>
      <c t="s" s="28" r="G196">
        <v>1050</v>
      </c>
      <c s="167" r="H196"/>
      <c t="s" s="28" r="I196">
        <v>1051</v>
      </c>
      <c s="79" r="J196"/>
      <c s="4" r="K196"/>
      <c s="4" r="L196"/>
      <c s="4" r="M196"/>
      <c s="4" r="N196"/>
      <c s="4" r="O196"/>
      <c s="4" r="P196"/>
      <c s="4" r="Q196"/>
    </row>
    <row customHeight="1" r="197" ht="15.75">
      <c s="155" r="A197"/>
      <c s="74" r="B197"/>
      <c t="str" s="78" r="C197">
        <f>HYPERLINK("http://www.google.com/url?q=http://wormbase.org/db/gene/gene%3Fname%3DWBGene00011381%3Bclass%3DGene&amp;usd=2&amp;usg=ALhdy2-TQRbqSKoQOhGcYR7QMtWbsgmBaw","T02E9.1")</f>
        <v>T02E9.1</v>
      </c>
      <c s="167" r="D197"/>
      <c s="88" r="E197"/>
      <c s="167" r="F197"/>
      <c s="167" r="G197"/>
      <c t="s" s="28" r="H197">
        <v>1052</v>
      </c>
      <c t="s" s="28" r="I197">
        <v>998</v>
      </c>
      <c s="79" r="J197"/>
      <c s="4" r="K197"/>
      <c s="4" r="L197"/>
      <c s="4" r="M197"/>
      <c s="4" r="N197"/>
      <c s="4" r="O197"/>
      <c s="4" r="P197"/>
      <c s="4" r="Q197"/>
    </row>
    <row customHeight="1" r="198" ht="15.75">
      <c s="155" r="A198"/>
      <c s="74" r="B198"/>
      <c t="str" s="78" r="C198">
        <f>HYPERLINK("http://www.google.com/url?q=http://wormbase.org/db/gene/gene%3Fname%3DWBGene00011372%3Bclass%3DGene&amp;usd=2&amp;usg=ALhdy2-B0h5DwEJMdxWL9iVYLEaaxGvsbw","T02D1.6")</f>
        <v>T02D1.6</v>
      </c>
      <c s="167" r="D198"/>
      <c s="88" r="E198"/>
      <c s="167" r="F198"/>
      <c s="167" r="G198"/>
      <c s="167" r="H198"/>
      <c s="167" r="I198"/>
      <c s="79" r="J198"/>
      <c s="4" r="K198"/>
      <c s="4" r="L198"/>
      <c s="4" r="M198"/>
      <c s="4" r="N198"/>
      <c s="4" r="O198"/>
      <c s="4" r="P198"/>
      <c s="4" r="Q198"/>
    </row>
    <row customHeight="1" r="199" ht="15.75">
      <c s="155" r="A199"/>
      <c s="74" r="B199"/>
      <c t="str" s="78" r="C199">
        <f>HYPERLINK("http://www.google.com/url?q=http://wormbase.org/db/gene/gene%3Fname%3DWBGene00018886%3Bclass%3DGene&amp;usd=2&amp;usg=ALhdy28EXc72hy6rp4HEhubJj--pXZ2kXA","F55E10.7")</f>
        <v>F55E10.7</v>
      </c>
      <c s="167" r="D199"/>
      <c s="88" r="E199"/>
      <c s="167" r="F199"/>
      <c s="167" r="G199"/>
      <c s="167" r="H199"/>
      <c s="167" r="I199"/>
      <c s="79" r="J199"/>
      <c s="4" r="K199"/>
      <c s="4" r="L199"/>
      <c s="4" r="M199"/>
      <c s="4" r="N199"/>
      <c s="4" r="O199"/>
      <c s="4" r="P199"/>
      <c s="4" r="Q199"/>
    </row>
    <row customHeight="1" r="200" ht="26.25">
      <c t="s" s="56" r="A200">
        <v>1053</v>
      </c>
      <c s="74" r="B200"/>
      <c s="74" r="C200"/>
      <c s="167" r="D200"/>
      <c s="88" r="E200"/>
      <c s="167" r="F200"/>
      <c t="s" s="28" r="G200">
        <v>997</v>
      </c>
      <c s="167" r="H200"/>
      <c t="s" s="28" r="I200">
        <v>998</v>
      </c>
      <c s="79" r="J200"/>
      <c s="4" r="K200"/>
      <c s="4" r="L200"/>
      <c s="4" r="M200"/>
      <c s="4" r="N200"/>
      <c s="4" r="O200"/>
      <c s="4" r="P200"/>
      <c s="4" r="Q200"/>
    </row>
    <row customHeight="1" r="201" ht="26.25">
      <c s="155" r="A201"/>
      <c t="str" s="78" r="B201">
        <f>HYPERLINK("http://www.google.com/url?q=http://wormbase.org/db/gene/gene%3Fname%3DWBGene00006576%3Bclass%3DGene&amp;usd=2&amp;usg=ALhdy28wcfcfCeDNkqB_sUPB2nv3iLZ8vw","tkr-1")</f>
        <v>tkr-1</v>
      </c>
      <c t="str" s="78" r="C201">
        <f>HYPERLINK("http://www.google.com/url?q=http://wormbase.org/db/gene/gene%3Fname%3DWBGene00006576%3Bclass%3DGene&amp;usd=2&amp;usg=ALhdy28wcfcfCeDNkqB_sUPB2nv3iLZ8vw","C38C10.1")</f>
        <v>C38C10.1</v>
      </c>
      <c t="s" s="28" r="D201">
        <v>1054</v>
      </c>
      <c s="88" r="E201"/>
      <c t="s" s="28" r="F201">
        <v>1055</v>
      </c>
      <c s="167" r="G201"/>
      <c t="s" s="28" r="H201">
        <v>1056</v>
      </c>
      <c t="s" s="28" r="I201">
        <v>1057</v>
      </c>
      <c s="79" r="J201"/>
      <c s="4" r="K201"/>
      <c s="4" r="L201"/>
      <c s="4" r="M201"/>
      <c s="4" r="N201"/>
      <c s="4" r="O201"/>
      <c s="4" r="P201"/>
      <c s="4" r="Q201"/>
    </row>
    <row customHeight="1" r="202" ht="15.75">
      <c s="155" r="A202"/>
      <c t="str" s="78" r="B202">
        <f>HYPERLINK("http://www.google.com/url?q=http://wormbase.org/db/gene/gene%3Fname%3DWBGene00012275%3Bclass%3DGene&amp;usd=2&amp;usg=ALhdy2_NMG6Nja0jYirR2xH4O4gPwH5ySQ","npr-14")</f>
        <v>npr-14</v>
      </c>
      <c t="str" s="78" r="C202">
        <f>HYPERLINK("http://www.google.com/url?q=http://wormbase.org/db/gene/gene%3Fname%3DWBGene00012275%3Bclass%3DGene&amp;usd=2&amp;usg=ALhdy2_NMG6Nja0jYirR2xH4O4gPwH5ySQ","W05B5.2")</f>
        <v>W05B5.2</v>
      </c>
      <c s="167" r="D202"/>
      <c s="88" r="E202"/>
      <c t="str" s="78" r="F202">
        <f>HYPERLINK("http://www.google.com/url?q=http://www.wormatlas.org/neurons/Individual%2520Neurons/Neuronframeset.html&amp;usd=2&amp;usg=ALhdy2_OIz5gY07K9vr5knfGd_eIwp9JUw","AIY")</f>
        <v>AIY</v>
      </c>
      <c s="167" r="G202"/>
      <c s="167" r="H202"/>
      <c t="s" s="28" r="I202">
        <v>1058</v>
      </c>
      <c s="79" r="J202"/>
      <c s="4" r="K202"/>
      <c s="4" r="L202"/>
      <c s="4" r="M202"/>
      <c s="4" r="N202"/>
      <c s="4" r="O202"/>
      <c s="4" r="P202"/>
      <c s="4" r="Q202"/>
    </row>
    <row customHeight="1" r="203" ht="15.75">
      <c s="155" r="A203"/>
      <c t="str" s="78" r="B203">
        <f>HYPERLINK("http://www.google.com/url?q=http://wormbase.org/db/gene/gene%3Fname%3DWBGene00012084%3Bclass%3DGene&amp;usd=2&amp;usg=ALhdy29Q0Cawav2QbNTo85gpui53_QFuHg","npr-15")</f>
        <v>npr-15</v>
      </c>
      <c t="str" s="78" r="C203">
        <f>HYPERLINK("http://www.google.com/url?q=http://wormbase.org/db/gene/gene%3Fname%3DWBGene00012084%3Bclass%3DGene&amp;usd=2&amp;usg=ALhdy29Q0Cawav2QbNTo85gpui53_QFuHg","T27D1.3")</f>
        <v>T27D1.3</v>
      </c>
      <c s="167" r="D203"/>
      <c s="88" r="E203"/>
      <c s="167" r="F203"/>
      <c s="167" r="G203"/>
      <c s="167" r="H203"/>
      <c s="167" r="I203"/>
      <c s="79" r="J203"/>
      <c s="4" r="K203"/>
      <c s="4" r="L203"/>
      <c s="4" r="M203"/>
      <c s="4" r="N203"/>
      <c s="4" r="O203"/>
      <c s="4" r="P203"/>
      <c s="4" r="Q203"/>
    </row>
    <row customHeight="1" r="204" ht="15.75">
      <c s="155" r="A204"/>
      <c t="str" s="78" r="B204">
        <f>HYPERLINK("http://www.google.com/url?q=http://wormbase.org/db/gene/gene%3Fname%3DWBGene00006428%3Bclass%3DGene&amp;usd=2&amp;usg=ALhdy2_tQsu07BuUDaMWRJO-AqA6SmO6ag","tag-49")</f>
        <v>tag-49</v>
      </c>
      <c t="str" s="78" r="C204">
        <f>HYPERLINK("http://www.google.com/url?q=http://wormbase.org/db/gene/gene%3Fname%3DWBGene00006428%3Bclass%3DGene&amp;usd=2&amp;usg=ALhdy2_tQsu07BuUDaMWRJO-AqA6SmO6ag","AC7.1")</f>
        <v>AC7.1</v>
      </c>
      <c s="167" r="D204"/>
      <c s="88" r="E204"/>
      <c s="167" r="F204"/>
      <c s="167" r="G204"/>
      <c s="167" r="H204"/>
      <c s="167" r="I204"/>
      <c s="79" r="J204"/>
      <c s="4" r="K204"/>
      <c s="4" r="L204"/>
      <c s="4" r="M204"/>
      <c s="4" r="N204"/>
      <c s="4" r="O204"/>
      <c s="4" r="P204"/>
      <c s="4" r="Q204"/>
    </row>
    <row customHeight="1" r="205" ht="26.25">
      <c s="155" r="A205"/>
      <c s="74" r="B205"/>
      <c t="str" s="78" r="C205">
        <f>HYPERLINK("http://www.google.com/url?q=http://wormbase.org/db/gene/gene%3Fname%3DWBGene00022004%3Bclass%3DGene&amp;usd=2&amp;usg=ALhdy2993oWXQvzbSLUIdNGLVXZCGLop-A","Y59H11AL.1")</f>
        <v>Y59H11AL.1</v>
      </c>
      <c s="167" r="D205"/>
      <c t="s" s="56" r="E205">
        <v>1059</v>
      </c>
      <c s="167" r="F205"/>
      <c s="167" r="G205"/>
      <c s="167" r="H205"/>
      <c t="s" s="28" r="I205">
        <v>1060</v>
      </c>
      <c s="79" r="J205"/>
      <c s="4" r="K205"/>
      <c s="4" r="L205"/>
      <c s="4" r="M205"/>
      <c s="4" r="N205"/>
      <c s="4" r="O205"/>
      <c s="4" r="P205"/>
      <c s="4" r="Q205"/>
    </row>
    <row customHeight="1" r="206" ht="15.75">
      <c s="155" r="A206"/>
      <c s="74" r="B206"/>
      <c t="str" s="78" r="C206">
        <f>HYPERLINK("http://www.google.com/url?q=http://wormbase.org/db/gene/gene%3Fname%3DWBGene00016761%3Bclass%3DGene&amp;usd=2&amp;usg=ALhdy2-yjfUDQpuojM8S14H77g6WInhKAg","C49A9.7")</f>
        <v>C49A9.7</v>
      </c>
      <c s="167" r="D206"/>
      <c s="88" r="E206"/>
      <c s="167" r="F206"/>
      <c s="167" r="G206"/>
      <c s="167" r="H206"/>
      <c s="167" r="I206"/>
      <c s="79" r="J206"/>
      <c s="4" r="K206"/>
      <c s="4" r="L206"/>
      <c s="4" r="M206"/>
      <c s="4" r="N206"/>
      <c s="4" r="O206"/>
      <c s="4" r="P206"/>
      <c s="4" r="Q206"/>
    </row>
    <row customHeight="1" r="207" ht="15.75">
      <c s="155" r="A207"/>
      <c s="74" r="B207"/>
      <c t="str" s="78" r="C207">
        <f>HYPERLINK("http://www.google.com/url?q=http://wormbase.org/db/gene/gene%3Fname%3DWBGene00016842%3Bclass%3DGene&amp;usd=2&amp;usg=ALhdy2_WPvVGNEPvVlX0XC-yQ8rZ7CNAJw","C50F7.1")</f>
        <v>C50F7.1</v>
      </c>
      <c s="167" r="D207"/>
      <c s="88" r="E207"/>
      <c t="str" s="78" r="F207">
        <f>HYPERLINK("http://www.google.com/url?q=http://www.wormatlas.org/neurons/Individual%2520Neurons/Neuronframeset.html&amp;usd=2&amp;usg=ALhdy2_OIz5gY07K9vr5knfGd_eIwp9JUw","AIY")</f>
        <v>AIY</v>
      </c>
      <c s="167" r="G207"/>
      <c s="167" r="H207"/>
      <c t="s" s="28" r="I207">
        <v>1058</v>
      </c>
      <c s="79" r="J207"/>
      <c s="4" r="K207"/>
      <c s="4" r="L207"/>
      <c s="4" r="M207"/>
      <c s="4" r="N207"/>
      <c s="4" r="O207"/>
      <c s="4" r="P207"/>
      <c s="4" r="Q207"/>
    </row>
    <row customHeight="1" r="208" ht="15.75">
      <c s="155" r="A208"/>
      <c s="74" r="B208"/>
      <c t="str" s="78" r="C208">
        <f>HYPERLINK("http://www.google.com/url?q=http://wormbase.org/db/gene/gene%3Fname%3DWBGene00009278%3Bclass%3DGene&amp;usd=2&amp;usg=ALhdy29-7w38Df9GHnE4OGvEImdoeiSQ-Q","F31B9.1")</f>
        <v>F31B9.1</v>
      </c>
      <c s="167" r="D208"/>
      <c s="88" r="E208"/>
      <c s="167" r="F208"/>
      <c s="167" r="G208"/>
      <c s="167" r="H208"/>
      <c s="167" r="I208"/>
      <c s="79" r="J208"/>
      <c s="4" r="K208"/>
      <c s="4" r="L208"/>
      <c s="4" r="M208"/>
      <c s="4" r="N208"/>
      <c s="4" r="O208"/>
      <c s="4" r="P208"/>
      <c s="4" r="Q208"/>
    </row>
    <row customHeight="1" r="209" ht="15.75">
      <c s="155" r="A209"/>
      <c s="74" r="B209"/>
      <c t="str" s="78" r="C209">
        <f>HYPERLINK("http://www.google.com/url?q=http://wormbase.org/db/gene/gene%3Fname%3DWBGene00020727%3Bclass%3DGene&amp;usd=2&amp;usg=ALhdy28xpyiHMIrzy0i5tbfeKvdzsgOz3Q","T23C6.5")</f>
        <v>T23C6.5</v>
      </c>
      <c s="167" r="D209"/>
      <c s="88" r="E209"/>
      <c s="167" r="F209"/>
      <c s="167" r="G209"/>
      <c s="167" r="H209"/>
      <c s="167" r="I209"/>
      <c s="79" r="J209"/>
      <c s="4" r="K209"/>
      <c s="4" r="L209"/>
      <c s="4" r="M209"/>
      <c s="4" r="N209"/>
      <c s="4" r="O209"/>
      <c s="4" r="P209"/>
      <c s="4" r="Q209"/>
    </row>
    <row customHeight="1" r="210" ht="26.25">
      <c t="s" s="56" r="A210">
        <v>1061</v>
      </c>
      <c s="74" r="B210"/>
      <c s="74" r="C210"/>
      <c s="167" r="D210"/>
      <c s="88" r="E210"/>
      <c s="167" r="F210"/>
      <c t="s" s="28" r="G210">
        <v>997</v>
      </c>
      <c s="167" r="H210"/>
      <c t="s" s="28" r="I210">
        <v>998</v>
      </c>
      <c s="79" r="J210"/>
      <c s="4" r="K210"/>
      <c s="4" r="L210"/>
      <c s="4" r="M210"/>
      <c s="4" r="N210"/>
      <c s="4" r="O210"/>
      <c s="4" r="P210"/>
      <c s="4" r="Q210"/>
    </row>
    <row customHeight="1" r="211" ht="51.75">
      <c s="167" r="A211"/>
      <c t="str" s="78" r="B211">
        <f>HYPERLINK("http://www.google.com/url?q=http://wormbase.org/db/gene/gene%3Fname%3DWBGene00020712%3Bclass%3DGene&amp;usd=2&amp;usg=ALhdy28yVh-21eYuik1KWTodcciqtIyF7w","ckr-1")</f>
        <v>ckr-1</v>
      </c>
      <c t="str" s="78" r="C211">
        <f>HYPERLINK("http://www.google.com/url?q=http://wormbase.org/db/gene/gene%3Fname%3DWBGene00020712%3Bclass%3DGene&amp;usd=2&amp;usg=ALhdy28yVh-21eYuik1KWTodcciqtIyF7w","T23B3.4")</f>
        <v>T23B3.4</v>
      </c>
      <c s="167" r="D211"/>
      <c s="88" r="E211"/>
      <c s="167" r="F211"/>
      <c t="s" s="28" r="G211">
        <v>1062</v>
      </c>
      <c t="s" s="28" r="H211">
        <v>1063</v>
      </c>
      <c s="167" r="I211"/>
      <c s="79" r="J211"/>
      <c s="4" r="K211"/>
      <c s="4" r="L211"/>
      <c s="4" r="M211"/>
      <c s="4" r="N211"/>
      <c s="4" r="O211"/>
      <c s="4" r="P211"/>
      <c s="4" r="Q211"/>
    </row>
    <row customHeight="1" r="212" ht="15.75">
      <c s="155" r="A212"/>
      <c t="str" s="78" r="B212">
        <f>HYPERLINK("http://www.google.com/url?q=http://wormbase.org/db/gene/gene%3Fname%3DWBGene00021439%3Bclass%3DGene&amp;usd=2&amp;usg=ALhdy2-iU31511HOg9jNp8XqURw8s7DNgw","ckr-2")</f>
        <v>ckr-2</v>
      </c>
      <c t="str" s="78" r="C212">
        <f>HYPERLINK("http://www.google.com/url?q=http://wormbase.org/db/gene/gene%3Fname%3DWBGene00021439%3Bclass%3DGene&amp;usd=2&amp;usg=ALhdy2-iU31511HOg9jNp8XqURw8s7DNgw","Y39A3B.5")</f>
        <v>Y39A3B.5</v>
      </c>
      <c s="167" r="D212"/>
      <c s="88" r="E212"/>
      <c t="str" s="78" r="F212">
        <f>HYPERLINK("http://www.google.com/url?q=http://www.wormatlas.org/neurons/Individual%2520Neurons/Neuronframeset.html&amp;usd=2&amp;usg=ALhdy2_OIz5gY07K9vr5knfGd_eIwp9JUw","AIY")</f>
        <v>AIY</v>
      </c>
      <c s="167" r="G212"/>
      <c s="167" r="H212"/>
      <c t="s" s="28" r="I212">
        <v>1064</v>
      </c>
      <c s="79" r="J212"/>
      <c s="4" r="K212"/>
      <c s="4" r="L212"/>
      <c s="4" r="M212"/>
      <c s="4" r="N212"/>
      <c s="4" r="O212"/>
      <c s="4" r="P212"/>
      <c s="4" r="Q212"/>
    </row>
    <row customHeight="1" r="213" ht="15.75">
      <c s="155" r="A213"/>
      <c t="str" s="78" r="B213">
        <f>HYPERLINK("http://www.google.com/url?q=http://wormbase.org/db/gene/gene%3Fname%3DWBGene00011578%3Bclass%3DGene&amp;usd=2&amp;usg=ALhdy2-NZ2MgEwPTbvKL69s_YvbTRGMc-w","npr-20")</f>
        <v>npr-20</v>
      </c>
      <c t="str" s="78" r="C213">
        <f>HYPERLINK("http://www.google.com/url?q=http://wormbase.org/db/gene/gene%3Fname%3DWBGene00011578%3Bclass%3DGene&amp;usd=2&amp;usg=ALhdy2-NZ2MgEwPTbvKL69s_YvbTRGMc-w","T07D4.1")</f>
        <v>T07D4.1</v>
      </c>
      <c s="167" r="D213"/>
      <c s="88" r="E213"/>
      <c s="167" r="F213"/>
      <c s="167" r="G213"/>
      <c s="167" r="H213"/>
      <c s="167" r="I213"/>
      <c s="79" r="J213"/>
      <c s="4" r="K213"/>
      <c s="4" r="L213"/>
      <c s="4" r="M213"/>
      <c s="4" r="N213"/>
      <c s="4" r="O213"/>
      <c s="4" r="P213"/>
      <c s="4" r="Q213"/>
    </row>
    <row customHeight="1" r="214" ht="39.0">
      <c t="s" s="56" r="A214">
        <v>1065</v>
      </c>
      <c s="74" r="B214"/>
      <c s="74" r="C214"/>
      <c s="167" r="D214"/>
      <c s="88" r="E214"/>
      <c s="167" r="F214"/>
      <c t="s" s="28" r="G214">
        <v>1044</v>
      </c>
      <c s="167" r="H214"/>
      <c t="s" s="28" r="I214">
        <v>998</v>
      </c>
      <c s="79" r="J214"/>
      <c s="4" r="K214"/>
      <c s="4" r="L214"/>
      <c s="4" r="M214"/>
      <c s="4" r="N214"/>
      <c s="4" r="O214"/>
      <c s="4" r="P214"/>
      <c s="4" r="Q214"/>
    </row>
    <row customHeight="1" r="215" ht="26.25">
      <c t="s" s="28" r="A215">
        <v>1066</v>
      </c>
      <c t="str" s="78" r="B215">
        <f>HYPERLINK("http://www.google.com/url?q=http://wormbase.org/db/gene/gene%3Fname%3DWBGene00018798%3Bclass%3DGene&amp;usd=2&amp;usg=ALhdy28170Wfaj5opmrSvsJpMcS3btGG7w","gnrr-1")</f>
        <v>gnrr-1</v>
      </c>
      <c t="str" s="78" r="C215">
        <f>HYPERLINK("http://www.google.com/url?q=http://wormbase.org/db/gene/gene%3Fname%3DWBGene00018798%3Bclass%3DGene&amp;usd=2&amp;usg=ALhdy28170Wfaj5opmrSvsJpMcS3btGG7w","F54D7.3")</f>
        <v>F54D7.3</v>
      </c>
      <c t="s" s="28" r="D215">
        <v>1067</v>
      </c>
      <c s="88" r="E215"/>
      <c s="167" r="F215"/>
      <c s="167" r="G215"/>
      <c s="167" r="H215"/>
      <c s="167" r="I215"/>
      <c s="79" r="J215"/>
      <c s="4" r="K215"/>
      <c s="4" r="L215"/>
      <c s="4" r="M215"/>
      <c s="4" r="N215"/>
      <c s="4" r="O215"/>
      <c s="4" r="P215"/>
      <c s="4" r="Q215"/>
    </row>
    <row customHeight="1" r="216" ht="15.75">
      <c s="155" r="A216"/>
      <c t="str" s="78" r="B216">
        <f>HYPERLINK("http://www.google.com/url?q=http://wormbase.org/db/gene/gene%3Fname%3DWBGene00007614%3Bclass%3DGene&amp;usd=2&amp;usg=ALhdy2_sbikB7KqOmQYbwGMSY7Asz449ew","gnrr-2")</f>
        <v>gnrr-2</v>
      </c>
      <c t="str" s="78" r="C216">
        <f>HYPERLINK("http://www.google.com/url?q=http://wormbase.org/db/gene/gene%3Fname%3DWBGene00007614%3Bclass%3DGene&amp;usd=2&amp;usg=ALhdy2_sbikB7KqOmQYbwGMSY7Asz449ew","C15H11.2")</f>
        <v>C15H11.2</v>
      </c>
      <c s="167" r="D216"/>
      <c s="88" r="E216"/>
      <c s="167" r="F216"/>
      <c s="167" r="G216"/>
      <c s="167" r="H216"/>
      <c s="167" r="I216"/>
      <c s="79" r="J216"/>
      <c s="4" r="K216"/>
      <c s="4" r="L216"/>
      <c s="4" r="M216"/>
      <c s="4" r="N216"/>
      <c s="4" r="O216"/>
      <c s="4" r="P216"/>
      <c s="4" r="Q216"/>
    </row>
    <row customHeight="1" r="217" ht="15.75">
      <c s="167" r="A217"/>
      <c t="str" s="78" r="B217">
        <f>HYPERLINK("http://www.google.com/url?q=http://wormbase.org/db/gene/gene%3Fname%3DWBGene00013871%3Bclass%3DGene&amp;usd=2&amp;usg=ALhdy2_FyG5MopmYvvyvEzOknVTz5YJtRw","gnrr-3")</f>
        <v>gnrr-3</v>
      </c>
      <c t="str" s="78" r="C217">
        <f>HYPERLINK("http://www.google.com/url?q=http://wormbase.org/db/gene/gene%3Fname%3DWBGene00013871%3Bclass%3DGene&amp;usd=2&amp;usg=ALhdy2_FyG5MopmYvvyvEzOknVTz5YJtRw","ZC374.1")</f>
        <v>ZC374.1</v>
      </c>
      <c s="167" r="D217"/>
      <c s="88" r="E217"/>
      <c s="167" r="F217"/>
      <c s="167" r="G217"/>
      <c s="167" r="H217"/>
      <c s="167" r="I217"/>
      <c s="79" r="J217"/>
      <c s="4" r="K217"/>
      <c s="4" r="L217"/>
      <c s="4" r="M217"/>
      <c s="4" r="N217"/>
      <c s="4" r="O217"/>
      <c s="4" r="P217"/>
      <c s="4" r="Q217"/>
    </row>
    <row customHeight="1" r="218" ht="15.75">
      <c s="167" r="A218"/>
      <c t="str" s="78" r="B218">
        <f>HYPERLINK("http://www.google.com/url?q=http://wormbase.org/db/gene/gene%3Fname%3DWBGene00016570%3Bclass%3DGene&amp;usd=2&amp;usg=ALhdy29xXty0pVn3nQFQidCZZM7Vym4REg","gnrr-4")</f>
        <v>gnrr-4</v>
      </c>
      <c t="str" s="78" r="C218">
        <f>HYPERLINK("http://www.google.com/url?q=http://wormbase.org/db/gene/gene%3Fname%3DWBGene00016570%3Bclass%3DGene&amp;usd=2&amp;usg=ALhdy29xXty0pVn3nQFQidCZZM7Vym4REg","C41G11.4")</f>
        <v>C41G11.4</v>
      </c>
      <c s="167" r="D218"/>
      <c s="88" r="E218"/>
      <c s="167" r="F218"/>
      <c s="167" r="G218"/>
      <c s="167" r="H218"/>
      <c s="167" r="I218"/>
      <c s="79" r="J218"/>
      <c s="4" r="K218"/>
      <c s="4" r="L218"/>
      <c s="4" r="M218"/>
      <c s="4" r="N218"/>
      <c s="4" r="O218"/>
      <c s="4" r="P218"/>
      <c s="4" r="Q218"/>
    </row>
    <row customHeight="1" r="219" ht="15.75">
      <c s="167" r="A219"/>
      <c t="str" s="78" r="B219">
        <f>HYPERLINK("http://www.google.com/url?q=http://wormbase.org/db/gene/gene%3Fname%3DWBGene00019224%3Bclass%3DGene&amp;usd=2&amp;usg=ALhdy28jk66rH534_U_FmLnhiTflkEFKFQ","gnrr-5")</f>
        <v>gnrr-5</v>
      </c>
      <c t="str" s="78" r="C219">
        <f>HYPERLINK("http://www.google.com/url?q=http://wormbase.org/db/gene/gene%3Fname%3DWBGene00019224%3Bclass%3DGene&amp;usd=2&amp;usg=ALhdy28jk66rH534_U_FmLnhiTflkEFKFQ","H22D07.1")</f>
        <v>H22D07.1</v>
      </c>
      <c s="167" r="D219"/>
      <c s="88" r="E219"/>
      <c s="167" r="F219"/>
      <c s="167" r="G219"/>
      <c s="167" r="H219"/>
      <c s="167" r="I219"/>
      <c s="79" r="J219"/>
      <c s="4" r="K219"/>
      <c s="4" r="L219"/>
      <c s="4" r="M219"/>
      <c s="4" r="N219"/>
      <c s="4" r="O219"/>
      <c s="4" r="P219"/>
      <c s="4" r="Q219"/>
    </row>
    <row customHeight="1" r="220" ht="15.75">
      <c s="167" r="A220"/>
      <c t="str" s="78" r="B220">
        <f>HYPERLINK("http://www.google.com/url?q=http://wormbase.org/db/gene/gene%3Fname%3DWBGene00008736%3Bclass%3DGene&amp;usd=2&amp;usg=ALhdy285oBuLTaAXCcGFvCNoGrKmqbKevQ","gnrr-6")</f>
        <v>gnrr-6</v>
      </c>
      <c t="str" s="78" r="C220">
        <f>HYPERLINK("http://www.google.com/url?q=http://wormbase.org/db/gene/gene%3Fname%3DWBGene00008736%3Bclass%3DGene&amp;usd=2&amp;usg=ALhdy285oBuLTaAXCcGFvCNoGrKmqbKevQ","F13D2.2")</f>
        <v>F13D2.2</v>
      </c>
      <c s="167" r="D220"/>
      <c s="88" r="E220"/>
      <c s="167" r="F220"/>
      <c s="167" r="G220"/>
      <c s="167" r="H220"/>
      <c s="167" r="I220"/>
      <c s="79" r="J220"/>
      <c s="4" r="K220"/>
      <c s="4" r="L220"/>
      <c s="4" r="M220"/>
      <c s="4" r="N220"/>
      <c s="4" r="O220"/>
      <c s="4" r="P220"/>
      <c s="4" r="Q220"/>
    </row>
    <row customHeight="1" r="221" ht="15.75">
      <c s="167" r="A221"/>
      <c t="str" s="78" r="B221">
        <f>HYPERLINK("http://www.google.com/url?q=http://wormbase.org/db/gene/gene%3Fname%3DWBGene00008737%3Bclass%3DGene&amp;usd=2&amp;usg=ALhdy2_CZBRA7hgzk0CqjRuZh8N8AfDHmA","gnrr-7")</f>
        <v>gnrr-7</v>
      </c>
      <c t="str" s="78" r="C221">
        <f>HYPERLINK("http://www.google.com/url?q=http://wormbase.org/db/gene/gene%3Fname%3DWBGene00008737%3Bclass%3DGene&amp;usd=2&amp;usg=ALhdy2_CZBRA7hgzk0CqjRuZh8N8AfDHmA","F13D2.3")</f>
        <v>F13D2.3</v>
      </c>
      <c s="167" r="D221"/>
      <c s="88" r="E221"/>
      <c s="167" r="F221"/>
      <c s="167" r="G221"/>
      <c s="167" r="H221"/>
      <c s="167" r="I221"/>
      <c s="79" r="J221"/>
      <c s="4" r="K221"/>
      <c s="4" r="L221"/>
      <c s="4" r="M221"/>
      <c s="4" r="N221"/>
      <c s="4" r="O221"/>
      <c s="4" r="P221"/>
      <c s="4" r="Q221"/>
    </row>
    <row customHeight="1" r="222" ht="15.75">
      <c s="167" r="A222"/>
      <c t="str" s="78" r="B222">
        <f>HYPERLINK("http://www.google.com/url?q=http://wormbase.org/db/gene/gene%3Fname%3DWBGene00008737%3Bclass%3DGene&amp;usd=2&amp;usg=ALhdy2_CZBRA7hgzk0CqjRuZh8N8AfDHmA","gnrr-8")</f>
        <v>gnrr-8</v>
      </c>
      <c t="str" s="78" r="C222">
        <f>HYPERLINK("http://www.google.com/url?q=http://wormbase.org/db/gene/gene%3Fname%3DWBGene00008737%3Bclass%3DGene&amp;usd=2&amp;usg=ALhdy2_CZBRA7hgzk0CqjRuZh8N8AfDHmA","Y105C5A.23")</f>
        <v>Y105C5A.23</v>
      </c>
      <c s="167" r="D222"/>
      <c s="88" r="E222"/>
      <c s="167" r="F222"/>
      <c s="167" r="G222"/>
      <c s="167" r="H222"/>
      <c s="167" r="I222"/>
      <c s="79" r="J222"/>
      <c s="4" r="K222"/>
      <c s="4" r="L222"/>
      <c s="4" r="M222"/>
      <c s="4" r="N222"/>
      <c s="4" r="O222"/>
      <c s="4" r="P222"/>
      <c s="4" r="Q222"/>
    </row>
    <row customHeight="1" r="223" ht="26.25">
      <c t="s" s="28" r="A223">
        <v>1068</v>
      </c>
      <c s="74" r="B223"/>
      <c t="str" s="78" r="C223">
        <f>HYPERLINK("http://www.google.com/url?q=http://wormbase.org/db/gene/gene%3Fname%3DWBGene00011582%3Bclass%3DGene&amp;usd=2&amp;usg=ALhdy2_ir8fj1pm3BVVOOJgCsxZhkJyczA","T07D10.2")</f>
        <v>T07D10.2</v>
      </c>
      <c s="167" r="D223"/>
      <c s="88" r="E223"/>
      <c s="167" r="F223"/>
      <c s="167" r="G223"/>
      <c s="167" r="H223"/>
      <c s="167" r="I223"/>
      <c s="79" r="J223"/>
      <c s="4" r="K223"/>
      <c s="4" r="L223"/>
      <c s="4" r="M223"/>
      <c s="4" r="N223"/>
      <c s="4" r="O223"/>
      <c s="4" r="P223"/>
      <c s="4" r="Q223"/>
    </row>
    <row customHeight="1" r="224" ht="15.75">
      <c s="167" r="A224"/>
      <c s="74" r="B224"/>
      <c t="str" s="78" r="C224">
        <f>HYPERLINK("http://www.google.com/url?q=http://wormbase.org/db/gene/gene%3Fname%3DWBGene00008808%3Bclass%3DGene&amp;usd=2&amp;usg=ALhdy28rWVtafiWHpyHsNsGt4fruqnR3FA","F14F4.1")</f>
        <v>F14F4.1</v>
      </c>
      <c s="167" r="D224"/>
      <c s="88" r="E224"/>
      <c s="167" r="F224"/>
      <c s="167" r="G224"/>
      <c s="167" r="H224"/>
      <c s="167" r="I224"/>
      <c s="79" r="J224"/>
      <c s="4" r="K224"/>
      <c s="4" r="L224"/>
      <c s="4" r="M224"/>
      <c s="4" r="N224"/>
      <c s="4" r="O224"/>
      <c s="4" r="P224"/>
      <c s="4" r="Q224"/>
    </row>
    <row customHeight="1" r="225" ht="51.75">
      <c t="s" s="56" r="A225">
        <v>1069</v>
      </c>
      <c s="74" r="B225"/>
      <c s="74" r="C225"/>
      <c s="167" r="D225"/>
      <c s="88" r="E225"/>
      <c s="167" r="F225"/>
      <c t="s" s="28" r="G225">
        <v>997</v>
      </c>
      <c s="167" r="H225"/>
      <c t="s" s="28" r="I225">
        <v>1070</v>
      </c>
      <c s="79" r="J225"/>
      <c s="4" r="K225"/>
      <c s="4" r="L225"/>
      <c s="4" r="M225"/>
      <c s="4" r="N225"/>
      <c s="4" r="O225"/>
      <c s="4" r="P225"/>
      <c s="4" r="Q225"/>
    </row>
    <row customHeight="1" r="226" ht="15.75">
      <c s="155" r="A226"/>
      <c t="str" s="78" r="B226">
        <f>HYPERLINK("http://www.google.com/url?q=http://wormbase.org/db/gene/gene%3Fname%3DWBGene00016265%3Bclass%3DGene&amp;usd=2&amp;usg=ALhdy2_dmb22zDif1bGk7YiQmEllOZLgOA","nmur-1")</f>
        <v>nmur-1</v>
      </c>
      <c t="str" s="78" r="C226">
        <f>HYPERLINK("http://www.google.com/url?q=http://wormbase.org/db/gene/gene%3Fname%3DWBGene00016265%3Bclass%3DGene&amp;usd=2&amp;usg=ALhdy2_dmb22zDif1bGk7YiQmEllOZLgOA","C48C5.1")</f>
        <v>C48C5.1</v>
      </c>
      <c s="167" r="D226"/>
      <c s="88" r="E226"/>
      <c s="167" r="F226"/>
      <c s="167" r="G226"/>
      <c s="167" r="H226"/>
      <c s="167" r="I226"/>
      <c s="79" r="J226"/>
      <c s="4" r="K226"/>
      <c s="4" r="L226"/>
      <c s="4" r="M226"/>
      <c s="4" r="N226"/>
      <c s="4" r="O226"/>
      <c s="4" r="P226"/>
      <c s="4" r="Q226"/>
    </row>
    <row customHeight="1" r="227" ht="64.5">
      <c t="s" s="28" r="A227">
        <v>1071</v>
      </c>
      <c t="str" s="78" r="B227">
        <f>HYPERLINK("http://www.google.com/url?q=http://wormbase.org/db/gene/gene%3Fname%3DWBGene00019616%3Bclass%3DGene&amp;usd=2&amp;usg=ALhdy29u2MJQNhK6rqSRj0ZZIF2oNqP4jA","nmur-2")</f>
        <v>nmur-2</v>
      </c>
      <c t="str" s="78" r="C227">
        <f>HYPERLINK("http://www.google.com/url?q=http://wormbase.org/db/gene/gene%3Fname%3DWBGene00019616%3Bclass%3DGene&amp;usd=2&amp;usg=ALhdy29u2MJQNhK6rqSRj0ZZIF2oNqP4jA","K10B4.4")</f>
        <v>K10B4.4</v>
      </c>
      <c s="167" r="D227"/>
      <c t="s" s="56" r="E227">
        <v>1072</v>
      </c>
      <c s="167" r="F227"/>
      <c t="s" s="28" r="G227">
        <v>1073</v>
      </c>
      <c t="s" s="28" r="H227">
        <v>1074</v>
      </c>
      <c t="s" s="28" r="I227">
        <v>1075</v>
      </c>
      <c s="79" r="J227"/>
      <c s="4" r="K227"/>
      <c s="4" r="L227"/>
      <c s="4" r="M227"/>
      <c s="4" r="N227"/>
      <c s="4" r="O227"/>
      <c s="4" r="P227"/>
      <c s="4" r="Q227"/>
    </row>
    <row customHeight="1" r="228" ht="15.75">
      <c s="167" r="A228"/>
      <c t="str" s="78" r="B228">
        <f>HYPERLINK("http://www.google.com/url?q=http://wormbase.org/db/gene/gene%3Fname%3DWBGene00017176%3Bclass%3DGene&amp;usd=2&amp;usg=ALhdy29NIA4tyFXGf2qyf5OBvdxmoEV8gQ","nmur-3")</f>
        <v>nmur-3</v>
      </c>
      <c t="str" s="78" r="C228">
        <f>HYPERLINK("http://www.google.com/url?q=http://wormbase.org/db/gene/gene%3Fname%3DWBGene00017176%3Bclass%3DGene&amp;usd=2&amp;usg=ALhdy29NIA4tyFXGf2qyf5OBvdxmoEV8gQ","F02E8.2")</f>
        <v>F02E8.2</v>
      </c>
      <c s="167" r="D228"/>
      <c s="88" r="E228"/>
      <c s="167" r="F228"/>
      <c s="167" r="G228"/>
      <c s="167" r="H228"/>
      <c s="167" r="I228"/>
      <c s="79" r="J228"/>
      <c s="4" r="K228"/>
      <c s="4" r="L228"/>
      <c s="4" r="M228"/>
      <c s="4" r="N228"/>
      <c s="4" r="O228"/>
      <c s="4" r="P228"/>
      <c s="4" r="Q228"/>
    </row>
    <row customHeight="1" r="229" ht="15.75">
      <c s="155" r="A229"/>
      <c t="str" s="78" r="B229">
        <f>HYPERLINK("http://www.google.com/url?q=http://wormbase.org/db/gene/gene%3Fname%3DWBGene00016265%3Bclass%3DGene&amp;usd=2&amp;usg=ALhdy2_dmb22zDif1bGk7YiQmEllOZLgOA","nmur-4")</f>
        <v>nmur-4</v>
      </c>
      <c t="str" s="78" r="C229">
        <f>HYPERLINK("http://www.google.com/url?q=http://wormbase.org/db/gene/gene%3Fname%3DWBGene00016265%3Bclass%3DGene&amp;usd=2&amp;usg=ALhdy2_dmb22zDif1bGk7YiQmEllOZLgOA","C30F12.6")</f>
        <v>C30F12.6</v>
      </c>
      <c s="167" r="D229"/>
      <c s="88" r="E229"/>
      <c s="167" r="F229"/>
      <c s="167" r="G229"/>
      <c s="167" r="H229"/>
      <c s="167" r="I229"/>
      <c s="79" r="J229"/>
      <c s="4" r="K229"/>
      <c s="4" r="L229"/>
      <c s="4" r="M229"/>
      <c s="4" r="N229"/>
      <c s="4" r="O229"/>
      <c s="4" r="P229"/>
      <c s="4" r="Q229"/>
    </row>
    <row customHeight="1" r="230" ht="15.75">
      <c s="155" r="A230"/>
      <c s="74" r="B230"/>
      <c t="str" s="78" r="C230">
        <f>HYPERLINK("http://www.google.com/url?q=http://wormbase.org/db/gene/gene%3Fname%3DWBGene00019019%3Bclass%3DGene&amp;usd=2&amp;usg=ALhdy2-u3CI-ICyJvWgThJ91FF7RI2AG0Q","F57H12.4")</f>
        <v>F57H12.4</v>
      </c>
      <c s="167" r="D230"/>
      <c s="88" r="E230"/>
      <c s="167" r="F230"/>
      <c s="167" r="G230"/>
      <c s="167" r="H230"/>
      <c s="167" r="I230"/>
      <c s="79" r="J230"/>
      <c s="4" r="K230"/>
      <c s="4" r="L230"/>
      <c s="4" r="M230"/>
      <c s="4" r="N230"/>
      <c s="4" r="O230"/>
      <c s="4" r="P230"/>
      <c s="4" r="Q230"/>
    </row>
    <row customHeight="1" r="231" ht="15.75">
      <c s="88" r="A231"/>
      <c s="74" r="B231"/>
      <c t="str" s="78" r="C231">
        <f>HYPERLINK("http://www.google.com/url?q=http://wormbase.org/db/gene/gene%3Fname%3DWBGene00010191%3Bclass%3DGene&amp;usd=2&amp;usg=ALhdy29AfcBdJDDIP42pWyst1uB4uPdQdw","F57B7.1")</f>
        <v>F57B7.1</v>
      </c>
      <c s="167" r="D231"/>
      <c s="88" r="E231"/>
      <c s="167" r="F231"/>
      <c s="167" r="G231"/>
      <c s="167" r="H231"/>
      <c t="s" s="28" r="I231">
        <v>1076</v>
      </c>
      <c s="79" r="J231"/>
      <c s="4" r="K231"/>
      <c s="4" r="L231"/>
      <c s="4" r="M231"/>
      <c s="4" r="N231"/>
      <c s="4" r="O231"/>
      <c s="4" r="P231"/>
      <c s="4" r="Q231"/>
    </row>
    <row customHeight="1" r="232" ht="15.75">
      <c s="155" r="A232"/>
      <c t="str" s="78" r="B232">
        <f>HYPERLINK("http://www.google.com/url?q=http://wormbase.org/db/gene/gene%3Fname%3DWBGene00001175%3Bclass%3DGene&amp;usd=2&amp;usg=ALhdy28pJI_H9OHyC63SUgiFQ9ZkjMNX5A","egl-6")</f>
        <v>egl-6</v>
      </c>
      <c t="str" s="78" r="C232">
        <f>HYPERLINK("http://www.google.com/url?q=http://wormbase.org/db/gene/gene%3Fname%3DWBGene00001175%3Bclass%3DGene&amp;usd=2&amp;usg=ALhdy28pJI_H9OHyC63SUgiFQ9ZkjMNX5A","C46F4.1")</f>
        <v>C46F4.1</v>
      </c>
      <c s="167" r="D232"/>
      <c s="88" r="E232"/>
      <c t="s" s="28" r="F232">
        <v>1077</v>
      </c>
      <c s="167" r="G232"/>
      <c t="s" s="28" r="H232">
        <v>1078</v>
      </c>
      <c t="s" s="28" r="I232">
        <v>1079</v>
      </c>
      <c s="79" r="J232"/>
      <c s="4" r="K232"/>
      <c s="4" r="L232"/>
      <c s="4" r="M232"/>
      <c s="4" r="N232"/>
      <c s="4" r="O232"/>
      <c s="4" r="P232"/>
      <c s="4" r="Q232"/>
    </row>
    <row customHeight="1" r="233" ht="15.75">
      <c s="155" r="A233"/>
      <c s="74" r="B233"/>
      <c t="str" s="78" r="C233">
        <f>HYPERLINK("http://www.google.com/url?q=http://wormbase.org/db/gene/gene%3Fname%3DWBGene00017015%3Bclass%3DGene&amp;usd=2&amp;usg=ALhdy2_rlK9Hn1krz6sPMbVIQ6lNeO6hVw","D1014.2")</f>
        <v>D1014.2</v>
      </c>
      <c s="167" r="D233"/>
      <c s="88" r="E233"/>
      <c s="167" r="F233"/>
      <c s="167" r="G233"/>
      <c s="167" r="H233"/>
      <c t="s" s="28" r="I233">
        <v>1076</v>
      </c>
      <c s="79" r="J233"/>
      <c s="4" r="K233"/>
      <c s="4" r="L233"/>
      <c s="4" r="M233"/>
      <c s="4" r="N233"/>
      <c s="4" r="O233"/>
      <c s="4" r="P233"/>
      <c s="4" r="Q233"/>
    </row>
    <row customHeight="1" r="234" ht="15.75">
      <c s="155" r="A234"/>
      <c s="74" r="B234"/>
      <c t="str" s="78" r="C234">
        <f>HYPERLINK("http://www.google.com/url?q=http://wormbase.org/db/gene/gene%3Fname%3DWBGene00015263%3Bclass%3DGene&amp;usd=2&amp;usg=ALhdy2840ionwGPUpsGMS2ncd9hMrO_VSA","B0563.6")</f>
        <v>B0563.6</v>
      </c>
      <c s="167" r="D234"/>
      <c s="88" r="E234"/>
      <c s="167" r="F234"/>
      <c s="167" r="G234"/>
      <c s="167" r="H234"/>
      <c t="s" s="28" r="I234">
        <v>1076</v>
      </c>
      <c s="79" r="J234"/>
      <c s="4" r="K234"/>
      <c s="4" r="L234"/>
      <c s="4" r="M234"/>
      <c s="4" r="N234"/>
      <c s="4" r="O234"/>
      <c s="4" r="P234"/>
      <c s="4" r="Q234"/>
    </row>
    <row customHeight="1" r="235" ht="15.75">
      <c t="s" s="159" r="A235">
        <v>660</v>
      </c>
      <c t="s" s="159" r="B235">
        <v>661</v>
      </c>
      <c t="s" s="159" r="C235">
        <v>662</v>
      </c>
      <c t="s" s="159" r="D235">
        <v>1</v>
      </c>
      <c t="s" s="159" r="E235">
        <v>663</v>
      </c>
      <c t="s" s="159" r="F235">
        <v>702</v>
      </c>
      <c t="s" s="159" r="G235">
        <v>664</v>
      </c>
      <c t="s" s="159" r="H235">
        <v>1080</v>
      </c>
      <c t="s" s="159" r="I235">
        <v>703</v>
      </c>
      <c s="79" r="J235"/>
      <c s="4" r="K235"/>
      <c s="4" r="L235"/>
      <c s="4" r="M235"/>
      <c s="4" r="N235"/>
      <c s="4" r="O235"/>
      <c s="4" r="P235"/>
      <c s="4" r="Q235"/>
    </row>
    <row customHeight="1" r="236" ht="15.75">
      <c t="s" s="105" r="A236">
        <v>1081</v>
      </c>
      <c s="178" r="B236"/>
      <c s="178" r="C236"/>
      <c s="178" r="D236"/>
      <c s="178" r="E236"/>
      <c s="178" r="F236"/>
      <c s="178" r="G236"/>
      <c s="178" r="H236"/>
      <c s="130" r="I236"/>
      <c s="93" r="J236"/>
      <c s="93" r="K236"/>
      <c s="93" r="L236"/>
      <c s="93" r="M236"/>
      <c s="93" r="N236"/>
      <c s="93" r="O236"/>
      <c s="93" r="P236"/>
      <c s="16" r="Q236"/>
    </row>
    <row customHeight="1" r="237" ht="90.0">
      <c s="155" r="A237"/>
      <c t="str" s="78" r="B237">
        <f>HYPERLINK("http://www.google.com/url?q=http://wormbase.org/db/gene/gene%3Fname%3DWBGene00002252%3Bclass%3DGene&amp;usd=2&amp;usg=ALhdy2-CD7-VTah-LeyJOZypgsG8eFs5kQ","lat-2")</f>
        <v>lat-2</v>
      </c>
      <c t="str" s="78" r="C237">
        <f>HYPERLINK("http://www.google.com/url?q=http://wormbase.org/db/gene/gene%3Fname%3DWBGene00002252%3Bclass%3DGene&amp;usd=2&amp;usg=ALhdy2-CD7-VTah-LeyJOZypgsG8eFs5kQ","B0286.2")</f>
        <v>B0286.2</v>
      </c>
      <c t="s" s="28" r="D237">
        <v>1082</v>
      </c>
      <c s="88" r="E237"/>
      <c t="s" s="28" r="F237">
        <v>1083</v>
      </c>
      <c t="s" s="28" r="G237">
        <v>1084</v>
      </c>
      <c t="s" s="28" r="H237">
        <v>1085</v>
      </c>
      <c t="s" s="28" r="I237">
        <v>1086</v>
      </c>
      <c s="115" r="J237"/>
      <c s="109" r="K237"/>
      <c s="109" r="L237"/>
      <c s="109" r="M237"/>
      <c s="109" r="N237"/>
      <c s="109" r="O237"/>
      <c s="109" r="P237"/>
      <c s="109" r="Q237"/>
    </row>
    <row customHeight="1" r="238" ht="102.75">
      <c s="155" r="A238"/>
      <c t="str" s="78" r="B238">
        <f>HYPERLINK("http://www.google.com/url?q=http://wormbase.org/db/gene/gene%3Fname%3DWBGene00002252%3Bclass%3DGene&amp;usd=2&amp;usg=ALhdy2-CD7-VTah-LeyJOZypgsG8eFs5kQ","seb-2")</f>
        <v>seb-2</v>
      </c>
      <c t="str" s="78" r="C238">
        <f>HYPERLINK("http://www.google.com/url?q=http://wormbase.org/db/gene/gene%3Fname%3DWBGene00002252%3Bclass%3DGene&amp;usd=2&amp;usg=ALhdy2-CD7-VTah-LeyJOZypgsG8eFs5kQ","ZK643.3")</f>
        <v>ZK643.3</v>
      </c>
      <c t="s" s="28" r="D238">
        <v>1087</v>
      </c>
      <c s="88" r="E238"/>
      <c t="s" s="28" r="F238">
        <v>1088</v>
      </c>
      <c t="s" s="28" r="G238">
        <v>1089</v>
      </c>
      <c s="167" r="H238"/>
      <c t="s" s="28" r="I238">
        <v>1090</v>
      </c>
      <c s="79" r="J238"/>
      <c s="4" r="K238"/>
      <c s="4" r="L238"/>
      <c s="4" r="M238"/>
      <c s="4" r="N238"/>
      <c s="4" r="O238"/>
      <c s="4" r="P238"/>
      <c s="4" r="Q238"/>
    </row>
    <row customHeight="1" r="239" ht="51.75">
      <c t="s" s="28" r="A239">
        <v>1091</v>
      </c>
      <c s="74" r="B239"/>
      <c t="str" s="78" r="C239">
        <f>HYPERLINK("http://www.google.com/url?q=http://wormbase.org/db/gene/gene%3Fname%3DWBGene00007664%3Bclass%3DGene&amp;usd=2&amp;usg=ALhdy28YTJQVyng1JwVHQQTUfcyr3pX5fA","C18B12.2")</f>
        <v>C18B12.2</v>
      </c>
      <c t="s" s="28" r="D239">
        <v>1092</v>
      </c>
      <c s="88" r="E239"/>
      <c s="167" r="F239"/>
      <c t="s" s="28" r="G239">
        <v>1093</v>
      </c>
      <c s="167" r="H239"/>
      <c t="s" s="28" r="I239">
        <v>1094</v>
      </c>
      <c s="79" r="J239"/>
      <c s="4" r="K239"/>
      <c s="4" r="L239"/>
      <c s="4" r="M239"/>
      <c s="4" r="N239"/>
      <c s="4" r="O239"/>
      <c s="4" r="P239"/>
      <c s="4" r="Q239"/>
    </row>
    <row customHeight="1" r="240" ht="26.25">
      <c s="155" r="A240"/>
      <c t="str" s="78" r="B240">
        <f>HYPERLINK("http://www.google.com/url?q=http://wormbase.org/db/gene/gene%3Fname%3DWBGene00002251%3Bclass%3DGene&amp;usd=2&amp;usg=ALhdy28eI11ZfbVtSYB8kTs1lAQmPZhKKQ","lat-1")</f>
        <v>lat-1</v>
      </c>
      <c t="str" s="78" r="C240">
        <f>HYPERLINK("http://www.google.com/url?q=http://wormbase.org/db/gene/gene%3Fname%3DWBGene00002251%3Bclass%3DGene&amp;usd=2&amp;usg=ALhdy28eI11ZfbVtSYB8kTs1lAQmPZhKKQ","B0457.1")</f>
        <v>B0457.1</v>
      </c>
      <c t="s" s="28" r="D240">
        <v>1095</v>
      </c>
      <c s="88" r="E240"/>
      <c t="str" s="78" r="F240">
        <f>HYPERLINK("http://www.google.com/url?q=http://www.wormatlas.org/neurons/Individual%2520Neurons/Neuronframeset.html&amp;usd=2&amp;usg=ALhdy2_OIz5gY07K9vr5knfGd_eIwp9JUw","AIY")</f>
        <v>AIY</v>
      </c>
      <c s="167" r="G240"/>
      <c s="167" r="H240"/>
      <c t="s" s="28" r="I240">
        <v>1096</v>
      </c>
      <c s="79" r="J240"/>
      <c s="4" r="K240"/>
      <c s="4" r="L240"/>
      <c s="4" r="M240"/>
      <c s="4" r="N240"/>
      <c s="4" r="O240"/>
      <c s="4" r="P240"/>
      <c s="4" r="Q240"/>
    </row>
    <row customHeight="1" r="241" ht="18.0">
      <c t="s" s="129" r="A241">
        <v>1097</v>
      </c>
      <c t="str" s="147" r="B241">
        <f>HYPERLINK("http://www.google.com/url?q=http://wormbase.org/db/gene/gene%3Fname%3DWBGene00015735%3Bclass%3DGene&amp;usd=2&amp;usg=ALhdy28oazzaThexnX2F_8oYNvDQ5FE61Q","pdfr-1")</f>
        <v>pdfr-1</v>
      </c>
      <c t="str" s="147" r="C241">
        <f>HYPERLINK("http://www.google.com/url?q=http://wormbase.org/db/gene/gene%3Fname%3DWBGene00015735%3Bclass%3DGene&amp;usd=2&amp;usg=ALhdy28oazzaThexnX2F_8oYNvDQ5FE61Q","C13B9.4")</f>
        <v>C13B9.4</v>
      </c>
      <c t="s" s="129" r="D241">
        <v>1098</v>
      </c>
      <c t="s" s="58" r="E241">
        <v>1099</v>
      </c>
      <c t="s" s="129" r="F241">
        <v>1100</v>
      </c>
      <c t="s" s="129" r="G241">
        <v>1101</v>
      </c>
      <c t="s" s="129" r="H241">
        <v>1102</v>
      </c>
      <c t="s" s="129" r="I241">
        <v>1103</v>
      </c>
      <c s="79" r="J241"/>
      <c s="4" r="K241"/>
      <c s="4" r="L241"/>
      <c s="4" r="M241"/>
      <c s="4" r="N241"/>
      <c s="4" r="O241"/>
      <c s="4" r="P241"/>
      <c s="4" r="Q241"/>
    </row>
    <row r="242">
      <c s="128" r="A242"/>
      <c s="12" r="B242"/>
      <c s="12" r="C242"/>
      <c s="128" r="D242"/>
      <c s="138" r="E242"/>
      <c s="128" r="F242"/>
      <c s="128" r="G242"/>
      <c s="128" r="H242"/>
      <c s="128" r="I242"/>
      <c s="79" r="J242"/>
      <c s="4" r="K242"/>
      <c s="4" r="L242"/>
      <c s="4" r="M242"/>
      <c s="4" r="N242"/>
      <c s="4" r="O242"/>
      <c s="4" r="P242"/>
      <c s="4" r="Q242"/>
    </row>
    <row r="243">
      <c s="128" r="A243"/>
      <c s="12" r="B243"/>
      <c s="12" r="C243"/>
      <c s="128" r="D243"/>
      <c s="138" r="E243"/>
      <c s="128" r="F243"/>
      <c s="128" r="G243"/>
      <c s="128" r="H243"/>
      <c s="128" r="I243"/>
      <c s="79" r="J243"/>
      <c s="4" r="K243"/>
      <c s="4" r="L243"/>
      <c s="4" r="M243"/>
      <c s="4" r="N243"/>
      <c s="4" r="O243"/>
      <c s="4" r="P243"/>
      <c s="4" r="Q243"/>
    </row>
    <row customHeight="1" r="244" ht="15.75">
      <c s="124" r="A244"/>
      <c s="175" r="B244"/>
      <c s="175" r="C244"/>
      <c s="124" r="D244"/>
      <c s="7" r="E244"/>
      <c s="124" r="F244"/>
      <c s="124" r="G244"/>
      <c s="124" r="H244"/>
      <c s="124" r="I244"/>
      <c s="79" r="J244"/>
      <c s="4" r="K244"/>
      <c s="4" r="L244"/>
      <c s="4" r="M244"/>
      <c s="4" r="N244"/>
      <c s="4" r="O244"/>
      <c s="4" r="P244"/>
      <c s="4" r="Q244"/>
    </row>
    <row customHeight="1" r="245" ht="15.75">
      <c s="127" r="A245"/>
      <c s="74" r="B245"/>
      <c t="str" s="78" r="C245">
        <f>HYPERLINK("http://www.google.com/url?q=http://wormbase.org/db/gene/gene%3Fname%3DWBGene00017947%3Bclass%3DGene&amp;usd=2&amp;usg=ALhdy2-Ssng8vW368QkHX5Y_T6InDiomow","F31D5.4?")</f>
        <v>F31D5.4?</v>
      </c>
      <c s="167" r="D245"/>
      <c s="88" r="E245"/>
      <c s="167" r="F245"/>
      <c s="167" r="G245"/>
      <c s="94" r="H245"/>
      <c s="94" r="I245"/>
      <c s="79" r="J245"/>
      <c s="4" r="K245"/>
      <c s="4" r="L245"/>
      <c s="4" r="M245"/>
      <c s="4" r="N245"/>
      <c s="4" r="O245"/>
      <c s="4" r="P245"/>
      <c s="4" r="Q245"/>
    </row>
    <row customHeight="1" r="246" ht="15.75">
      <c s="127" r="A246"/>
      <c s="74" r="B246"/>
      <c t="str" s="78" r="C246">
        <f>HYPERLINK("http://www.google.com/url?q=http://wormbase.org/db/gene/gene%3Fname%3DWBGene00017948%3Bclass%3DGene&amp;usd=2&amp;usg=ALhdy2_Ad6xLXAZPikT0V67HbRNl3SMN1w","F31D5.5?")</f>
        <v>F31D5.5?</v>
      </c>
      <c s="167" r="D246"/>
      <c s="88" r="E246"/>
      <c s="167" r="F246"/>
      <c s="167" r="G246"/>
      <c s="94" r="H246"/>
      <c s="94" r="I246"/>
      <c s="79" r="J246"/>
      <c s="4" r="K246"/>
      <c s="4" r="L246"/>
      <c s="4" r="M246"/>
      <c s="4" r="N246"/>
      <c s="4" r="O246"/>
      <c s="4" r="P246"/>
      <c s="4" r="Q246"/>
    </row>
    <row customHeight="1" r="247" ht="15.75">
      <c t="s" s="159" r="A247">
        <v>660</v>
      </c>
      <c t="s" s="159" r="B247">
        <v>661</v>
      </c>
      <c t="s" s="159" r="C247">
        <v>662</v>
      </c>
      <c t="s" s="159" r="D247">
        <v>1</v>
      </c>
      <c t="s" s="159" r="E247">
        <v>663</v>
      </c>
      <c t="s" s="159" r="F247">
        <v>702</v>
      </c>
      <c t="s" s="159" r="G247">
        <v>664</v>
      </c>
      <c t="s" s="159" r="H247">
        <v>1080</v>
      </c>
      <c t="s" s="159" r="I247">
        <v>703</v>
      </c>
      <c s="79" r="J247"/>
      <c s="4" r="K247"/>
      <c s="4" r="L247"/>
      <c s="4" r="M247"/>
      <c s="4" r="N247"/>
      <c s="4" r="O247"/>
      <c s="4" r="P247"/>
      <c s="4" r="Q247"/>
    </row>
    <row customHeight="1" r="248" ht="15.75">
      <c t="s" s="105" r="A248">
        <v>1104</v>
      </c>
      <c s="178" r="B248"/>
      <c s="178" r="C248"/>
      <c s="178" r="D248"/>
      <c s="178" r="E248"/>
      <c s="178" r="F248"/>
      <c s="178" r="G248"/>
      <c s="130" r="H248"/>
      <c s="141" r="I248"/>
      <c s="93" r="J248"/>
      <c s="93" r="K248"/>
      <c s="93" r="L248"/>
      <c s="93" r="M248"/>
      <c s="93" r="N248"/>
      <c s="93" r="O248"/>
      <c t="s" s="124" r="P248">
        <v>1105</v>
      </c>
      <c s="79" r="Q248"/>
    </row>
    <row customHeight="1" r="249" ht="39.0">
      <c t="s" s="66" r="A249">
        <v>1106</v>
      </c>
      <c t="s" s="76" r="B249">
        <v>1107</v>
      </c>
      <c t="str" s="78" r="C249">
        <f>HYPERLINK("http://www.google.com/url?q=http://www.wormbase.org/species/c_elegans/gene/WBGene00000898&amp;usd=2&amp;usg=ALhdy2-UGzL2Tm0aR2yS_u153pX8HU6--Q","Y55D5A.5")</f>
        <v>Y55D5A.5</v>
      </c>
      <c t="s" s="28" r="D249">
        <v>1108</v>
      </c>
      <c t="s" s="56" r="E249">
        <v>1109</v>
      </c>
      <c t="s" s="28" r="F249">
        <v>1110</v>
      </c>
      <c t="s" s="28" r="G249">
        <v>1111</v>
      </c>
      <c t="s" s="66" r="H249">
        <v>1112</v>
      </c>
      <c t="s" s="66" r="I249">
        <v>1113</v>
      </c>
      <c s="115" r="J249"/>
      <c s="109" r="K249"/>
      <c s="109" r="L249"/>
      <c s="109" r="M249"/>
      <c s="109" r="N249"/>
      <c s="109" r="O249"/>
      <c s="109" r="P249"/>
      <c s="4" r="Q249"/>
    </row>
    <row customHeight="1" r="250" ht="39.0">
      <c s="127" r="A250"/>
      <c s="74" r="B250"/>
      <c t="str" s="78" r="C250">
        <f>HYPERLINK("http://www.google.com/url?q=http://www.wormbase.org/species/c_elegans/gene/WBGene00007310&amp;usd=2&amp;usg=ALhdy28aiWawRGDDCy4TYdU7qnvHAkX8Dw","C04G2.11")</f>
        <v>C04G2.11</v>
      </c>
      <c t="s" s="28" r="D250">
        <v>1114</v>
      </c>
      <c s="88" r="E250"/>
      <c s="167" r="F250"/>
      <c s="167" r="G250"/>
      <c s="94" r="H250"/>
      <c s="94" r="I250"/>
      <c s="79" r="J250"/>
      <c s="4" r="K250"/>
      <c s="4" r="L250"/>
      <c s="4" r="M250"/>
      <c s="4" r="N250"/>
      <c s="4" r="O250"/>
      <c s="4" r="P250"/>
      <c s="4" r="Q250"/>
    </row>
    <row customHeight="1" r="251" ht="39.0">
      <c s="127" r="A251"/>
      <c s="74" r="B251"/>
      <c t="str" s="78" r="C251">
        <f>HYPERLINK("http://www.google.com/url?q=http://www.wormbase.org/species/c_elegans/gene/WBGene00007310&amp;usd=2&amp;usg=ALhdy28aiWawRGDDCy4TYdU7qnvHAkX8Dw","C30G4.6")</f>
        <v>C30G4.6</v>
      </c>
      <c t="s" s="28" r="D251">
        <v>1114</v>
      </c>
      <c s="88" r="E251"/>
      <c s="167" r="F251"/>
      <c s="167" r="G251"/>
      <c s="94" r="H251"/>
      <c s="94" r="I251"/>
      <c s="79" r="J251"/>
      <c s="4" r="K251"/>
      <c s="4" r="L251"/>
      <c s="4" r="M251"/>
      <c s="4" r="N251"/>
      <c s="4" r="O251"/>
      <c s="4" r="P251"/>
      <c s="4" r="Q251"/>
    </row>
    <row customHeight="1" r="252" ht="39.0">
      <c s="127" r="A252"/>
      <c s="74" r="B252"/>
      <c t="str" s="78" r="C252">
        <f>HYPERLINK("http://www.google.com/url?q=http://www.wormbase.org/species/c_elegans/gene/WBGene00007844&amp;usd=2&amp;usg=ALhdy29z4_NC9UyTlm5Gw82YrB9ofXbNjQ","C31E10.3")</f>
        <v>C31E10.3</v>
      </c>
      <c t="s" s="28" r="D252">
        <v>1114</v>
      </c>
      <c s="88" r="E252"/>
      <c s="167" r="F252"/>
      <c s="167" r="G252"/>
      <c s="94" r="H252"/>
      <c s="94" r="I252"/>
      <c s="79" r="J252"/>
      <c s="4" r="K252"/>
      <c s="4" r="L252"/>
      <c s="4" r="M252"/>
      <c s="4" r="N252"/>
      <c s="4" r="O252"/>
      <c s="4" r="P252"/>
      <c s="4" r="Q252"/>
    </row>
    <row customHeight="1" r="253" ht="39.0">
      <c s="127" r="A253"/>
      <c s="74" r="B253"/>
      <c t="str" s="78" r="C253">
        <f>HYPERLINK("http://www.google.com/url?q=http://www.wormbase.org/species/c_elegans/gene/WBGene00008057&amp;usd=2&amp;usg=ALhdy28rq-oHyiZUcbrkTed-w1vGmchWQw","C41G6.6")</f>
        <v>C41G6.6</v>
      </c>
      <c t="s" s="28" r="D253">
        <v>1114</v>
      </c>
      <c s="88" r="E253"/>
      <c s="167" r="F253"/>
      <c s="167" r="G253"/>
      <c s="94" r="H253"/>
      <c s="94" r="I253"/>
      <c s="79" r="J253"/>
      <c s="4" r="K253"/>
      <c s="4" r="L253"/>
      <c s="4" r="M253"/>
      <c s="4" r="N253"/>
      <c s="4" r="O253"/>
      <c s="4" r="P253"/>
      <c s="4" r="Q253"/>
    </row>
    <row customHeight="1" r="254" ht="39.0">
      <c s="127" r="A254"/>
      <c s="74" r="B254"/>
      <c t="str" s="78" r="C254">
        <f>HYPERLINK("http://www.google.com/url?q=http://www.wormbase.org/species/c_elegans/gene/WBGene00008518&amp;usd=2&amp;usg=ALhdy28ElDw9u3mb89Dg3JOXGFJFLCFvog","F02C12.4")</f>
        <v>F02C12.4</v>
      </c>
      <c t="s" s="28" r="D254">
        <v>1114</v>
      </c>
      <c s="88" r="E254"/>
      <c s="167" r="F254"/>
      <c s="167" r="G254"/>
      <c s="94" r="H254"/>
      <c s="94" r="I254"/>
      <c s="79" r="J254"/>
      <c s="4" r="K254"/>
      <c s="4" r="L254"/>
      <c s="4" r="M254"/>
      <c s="4" r="N254"/>
      <c s="4" r="O254"/>
      <c s="4" r="P254"/>
      <c s="4" r="Q254"/>
    </row>
    <row customHeight="1" r="255" ht="39.0">
      <c s="127" r="A255"/>
      <c s="74" r="B255"/>
      <c t="str" s="78" r="C255">
        <f>HYPERLINK("http://www.google.com/url?q=http://www.wormbase.org/species/c_elegans/gene/WBGene00008675&amp;usd=2&amp;usg=ALhdy29fIOVbRji2L1Z1m0f8Q0uzA8wCRw","F11A5.7")</f>
        <v>F11A5.7</v>
      </c>
      <c t="s" s="28" r="D255">
        <v>1114</v>
      </c>
      <c s="88" r="E255"/>
      <c s="167" r="F255"/>
      <c s="167" r="G255"/>
      <c s="94" r="H255"/>
      <c s="94" r="I255"/>
      <c s="79" r="J255"/>
      <c s="4" r="K255"/>
      <c s="4" r="L255"/>
      <c s="4" r="M255"/>
      <c s="4" r="N255"/>
      <c s="4" r="O255"/>
      <c s="4" r="P255"/>
      <c s="4" r="Q255"/>
    </row>
    <row customHeight="1" r="256" ht="39.0">
      <c s="127" r="A256"/>
      <c s="74" r="B256"/>
      <c t="str" s="78" r="C256">
        <f>HYPERLINK("http://www.google.com/url?q=http://www.wormbase.org/species/c_elegans/gene/WBGene00077751&amp;usd=2&amp;usg=ALhdy2_lu5LUCAfVwdLU2Ve7lw5AtPKt3Q","F14D2.17")</f>
        <v>F14D2.17</v>
      </c>
      <c t="s" s="28" r="D256">
        <v>1114</v>
      </c>
      <c s="88" r="E256"/>
      <c s="167" r="F256"/>
      <c s="167" r="G256"/>
      <c s="94" r="H256"/>
      <c s="94" r="I256"/>
      <c s="79" r="J256"/>
      <c s="4" r="K256"/>
      <c s="4" r="L256"/>
      <c s="4" r="M256"/>
      <c s="4" r="N256"/>
      <c s="4" r="O256"/>
      <c s="4" r="P256"/>
      <c s="4" r="Q256"/>
    </row>
    <row customHeight="1" r="257" ht="39.0">
      <c s="127" r="A257"/>
      <c s="74" r="B257"/>
      <c t="str" s="78" r="C257">
        <f>HYPERLINK("http://www.google.com/url?q=http://www.wormbase.org/species/c_elegans/gene/WBGene00017454&amp;usd=2&amp;usg=ALhdy2-RInYDMUyrjeuAFZadGCKoflmBBA","F14D2.6")</f>
        <v>F14D2.6</v>
      </c>
      <c t="s" s="28" r="D257">
        <v>1114</v>
      </c>
      <c s="88" r="E257"/>
      <c s="167" r="F257"/>
      <c s="167" r="G257"/>
      <c s="94" r="H257"/>
      <c s="94" r="I257"/>
      <c s="79" r="J257"/>
      <c s="4" r="K257"/>
      <c s="4" r="L257"/>
      <c s="4" r="M257"/>
      <c s="4" r="N257"/>
      <c s="4" r="O257"/>
      <c s="4" r="P257"/>
      <c s="4" r="Q257"/>
    </row>
    <row customHeight="1" r="258" ht="39.0">
      <c s="127" r="A258"/>
      <c s="74" r="B258"/>
      <c t="str" s="78" r="C258">
        <f>HYPERLINK("http://www.google.com/url?q=http://www.wormbase.org/species/c_elegans/gene/WBGene00017497&amp;usd=2&amp;usg=ALhdy28CKlWoUSk9LhgD2e526MKPjQOsCQ","F15E11.11")</f>
        <v>F15E11.11</v>
      </c>
      <c t="s" s="28" r="D258">
        <v>1114</v>
      </c>
      <c s="88" r="E258"/>
      <c s="167" r="F258"/>
      <c s="167" r="G258"/>
      <c s="94" r="H258"/>
      <c s="94" r="I258"/>
      <c s="79" r="J258"/>
      <c s="4" r="K258"/>
      <c s="4" r="L258"/>
      <c s="4" r="M258"/>
      <c s="4" r="N258"/>
      <c s="4" r="O258"/>
      <c s="4" r="P258"/>
      <c s="4" r="Q258"/>
    </row>
    <row customHeight="1" r="259" ht="39.0">
      <c s="127" r="A259"/>
      <c s="74" r="B259"/>
      <c t="str" s="78" r="C259">
        <f>HYPERLINK("http://www.google.com/url?q=http://www.wormbase.org/species/c_elegans/gene/WBGene00017491&amp;usd=2&amp;usg=ALhdy29g4mnizdlbI2mqdVv2viY5a7KJnw","F15E11.2")</f>
        <v>F15E11.2</v>
      </c>
      <c t="s" s="28" r="D259">
        <v>1114</v>
      </c>
      <c s="88" r="E259"/>
      <c s="167" r="F259"/>
      <c s="167" r="G259"/>
      <c s="94" r="H259"/>
      <c s="94" r="I259"/>
      <c s="79" r="J259"/>
      <c s="4" r="K259"/>
      <c s="4" r="L259"/>
      <c s="4" r="M259"/>
      <c s="4" r="N259"/>
      <c s="4" r="O259"/>
      <c s="4" r="P259"/>
      <c s="4" r="Q259"/>
    </row>
    <row customHeight="1" r="260" ht="39.0">
      <c s="127" r="A260"/>
      <c s="74" r="B260"/>
      <c t="str" s="78" r="C260">
        <f>HYPERLINK("http://www.google.com/url?q=http://www.wormbase.org/species/c_elegans/gene/WBGene00008675&amp;usd=2&amp;usg=ALhdy29fIOVbRji2L1Z1m0f8Q0uzA8wCRw","F15E11.3")</f>
        <v>F15E11.3</v>
      </c>
      <c t="s" s="28" r="D260">
        <v>1114</v>
      </c>
      <c s="88" r="E260"/>
      <c s="167" r="F260"/>
      <c s="167" r="G260"/>
      <c s="94" r="H260"/>
      <c s="94" r="I260"/>
      <c s="79" r="J260"/>
      <c s="4" r="K260"/>
      <c s="4" r="L260"/>
      <c s="4" r="M260"/>
      <c s="4" r="N260"/>
      <c s="4" r="O260"/>
      <c s="4" r="P260"/>
      <c s="4" r="Q260"/>
    </row>
    <row customHeight="1" r="261" ht="39.0">
      <c s="127" r="A261"/>
      <c s="74" r="B261"/>
      <c t="str" s="78" r="C261">
        <f>HYPERLINK("http://www.google.com/url?q=http://www.wormbase.org/species/c_elegans/gene/WBGene00017493&amp;usd=2&amp;usg=ALhdy28LweoA8d1UniLnBOt7TIQ4Pyds2Q","F15E11.4")</f>
        <v>F15E11.4</v>
      </c>
      <c t="s" s="28" r="D261">
        <v>1114</v>
      </c>
      <c s="88" r="E261"/>
      <c s="167" r="F261"/>
      <c s="167" r="G261"/>
      <c s="94" r="H261"/>
      <c s="94" r="I261"/>
      <c s="79" r="J261"/>
      <c s="4" r="K261"/>
      <c s="4" r="L261"/>
      <c s="4" r="M261"/>
      <c s="4" r="N261"/>
      <c s="4" r="O261"/>
      <c s="4" r="P261"/>
      <c s="4" r="Q261"/>
    </row>
    <row customHeight="1" r="262" ht="39.0">
      <c s="127" r="A262"/>
      <c s="74" r="B262"/>
      <c t="str" s="78" r="C262">
        <f>HYPERLINK("http://www.google.com/url?q=http://www.wormbase.org/species/c_elegans/gene/WBGene00017494&amp;usd=2&amp;usg=ALhdy2-nuQVGKgrnFm1FwE2nUhXRR4eqhA","F15E11.5")</f>
        <v>F15E11.5</v>
      </c>
      <c t="s" s="28" r="D262">
        <v>1114</v>
      </c>
      <c s="88" r="E262"/>
      <c s="167" r="F262"/>
      <c s="167" r="G262"/>
      <c s="94" r="H262"/>
      <c s="94" r="I262"/>
      <c s="79" r="J262"/>
      <c s="4" r="K262"/>
      <c s="4" r="L262"/>
      <c s="4" r="M262"/>
      <c s="4" r="N262"/>
      <c s="4" r="O262"/>
      <c s="4" r="P262"/>
      <c s="4" r="Q262"/>
    </row>
    <row customHeight="1" r="263" ht="39.0">
      <c s="127" r="A263"/>
      <c s="74" r="B263"/>
      <c t="str" s="78" r="C263">
        <f>HYPERLINK("http://www.google.com/url?q=http://www.wormbase.org/species/c_elegans/gene/WBGene00018168&amp;usd=2&amp;usg=ALhdy28luTAHPOSenccE5XOqCSPHp6-Chg","F38A5.11")</f>
        <v>F38A5.11</v>
      </c>
      <c t="s" s="28" r="D263">
        <v>1114</v>
      </c>
      <c s="88" r="E263"/>
      <c s="167" r="F263"/>
      <c s="167" r="G263"/>
      <c s="94" r="H263"/>
      <c s="94" r="I263"/>
      <c s="79" r="J263"/>
      <c s="4" r="K263"/>
      <c s="4" r="L263"/>
      <c s="4" r="M263"/>
      <c s="4" r="N263"/>
      <c s="4" r="O263"/>
      <c s="4" r="P263"/>
      <c s="4" r="Q263"/>
    </row>
    <row customHeight="1" r="264" ht="39.0">
      <c s="127" r="A264"/>
      <c s="74" r="B264"/>
      <c t="str" s="78" r="C264">
        <f>HYPERLINK("http://www.google.com/url?q=http://www.wormbase.org/species/c_elegans/gene/WBGene00018432&amp;usd=2&amp;usg=ALhdy2_OSrgVo28wiqypicRWyDsDFkBEKQ","F45C12.1")</f>
        <v>F45C12.1</v>
      </c>
      <c t="s" s="28" r="D264">
        <v>1114</v>
      </c>
      <c s="88" r="E264"/>
      <c s="167" r="F264"/>
      <c s="167" r="G264"/>
      <c s="94" r="H264"/>
      <c s="94" r="I264"/>
      <c s="79" r="J264"/>
      <c s="4" r="K264"/>
      <c s="4" r="L264"/>
      <c s="4" r="M264"/>
      <c s="4" r="N264"/>
      <c s="4" r="O264"/>
      <c s="4" r="P264"/>
      <c s="4" r="Q264"/>
    </row>
    <row customHeight="1" r="265" ht="39.0">
      <c s="127" r="A265"/>
      <c s="74" r="B265"/>
      <c t="str" s="78" r="C265">
        <f>HYPERLINK("http://www.google.com/url?q=http://www.wormbase.org/species/c_elegans/gene/WBGene00017493&amp;usd=2&amp;usg=ALhdy28LweoA8d1UniLnBOt7TIQ4Pyds2Q","F45C12.16")</f>
        <v>F45C12.16</v>
      </c>
      <c t="s" s="28" r="D265">
        <v>1114</v>
      </c>
      <c s="88" r="E265"/>
      <c s="167" r="F265"/>
      <c s="167" r="G265"/>
      <c s="94" r="H265"/>
      <c s="94" r="I265"/>
      <c s="79" r="J265"/>
      <c s="4" r="K265"/>
      <c s="4" r="L265"/>
      <c s="4" r="M265"/>
      <c s="4" r="N265"/>
      <c s="4" r="O265"/>
      <c s="4" r="P265"/>
      <c s="4" r="Q265"/>
    </row>
    <row customHeight="1" r="266" ht="39.0">
      <c s="127" r="A266"/>
      <c s="74" r="B266"/>
      <c t="str" s="78" r="C266">
        <f>HYPERLINK("http://www.google.com/url?q=http://www.wormbase.org/species/c_elegans/gene/WBGene00010074&amp;usd=2&amp;usg=ALhdy29taohRRDBv7VnBBerNB35QyI_HOQ","F54G8.1")</f>
        <v>F54G8.1</v>
      </c>
      <c t="s" s="28" r="D266">
        <v>1114</v>
      </c>
      <c s="88" r="E266"/>
      <c s="167" r="F266"/>
      <c s="167" r="G266"/>
      <c s="94" r="H266"/>
      <c s="94" r="I266"/>
      <c s="79" r="J266"/>
      <c s="4" r="K266"/>
      <c s="4" r="L266"/>
      <c s="4" r="M266"/>
      <c s="4" r="N266"/>
      <c s="4" r="O266"/>
      <c s="4" r="P266"/>
      <c s="4" r="Q266"/>
    </row>
    <row customHeight="1" r="267" ht="39.0">
      <c s="127" r="A267"/>
      <c s="74" r="B267"/>
      <c t="str" s="78" r="C267">
        <f>HYPERLINK("http://www.google.com/url?q=http://www.wormbase.org/species/c_elegans/gene/WBGene00018917&amp;usd=2&amp;usg=ALhdy2_uFB_pi2lSZaQjLcNlCldn_OfAhg","F56A4.9")</f>
        <v>F56A4.9</v>
      </c>
      <c t="s" s="28" r="D267">
        <v>1114</v>
      </c>
      <c s="88" r="E267"/>
      <c s="167" r="F267"/>
      <c s="167" r="G267"/>
      <c s="94" r="H267"/>
      <c s="94" r="I267"/>
      <c s="79" r="J267"/>
      <c s="4" r="K267"/>
      <c s="4" r="L267"/>
      <c s="4" r="M267"/>
      <c s="4" r="N267"/>
      <c s="4" r="O267"/>
      <c s="4" r="P267"/>
      <c s="4" r="Q267"/>
    </row>
    <row customHeight="1" r="268" ht="39.0">
      <c s="127" r="A268"/>
      <c s="74" r="B268"/>
      <c t="str" s="78" r="C268">
        <f>HYPERLINK("http://www.google.com/url?q=http://www.wormbase.org/species/c_elegans/gene/WBGene00019036&amp;usd=2&amp;usg=ALhdy2_wDFV6zm5UJFfzLfceCdvXQu0DhQ","F58E1.4")</f>
        <v>F58E1.4</v>
      </c>
      <c t="s" s="28" r="D268">
        <v>1114</v>
      </c>
      <c s="88" r="E268"/>
      <c s="167" r="F268"/>
      <c s="167" r="G268"/>
      <c s="94" r="H268"/>
      <c s="94" r="I268"/>
      <c s="79" r="J268"/>
      <c s="4" r="K268"/>
      <c s="4" r="L268"/>
      <c s="4" r="M268"/>
      <c s="4" r="N268"/>
      <c s="4" r="O268"/>
      <c s="4" r="P268"/>
      <c s="4" r="Q268"/>
    </row>
    <row customHeight="1" r="269" ht="39.0">
      <c s="127" r="A269"/>
      <c s="74" r="B269"/>
      <c t="str" s="78" r="C269">
        <f>HYPERLINK("http://www.google.com/url?q=http://www.wormbase.org/species/c_elegans/gene/WBGene00019038&amp;usd=2&amp;usg=ALhdy2-ngFPXQ-T5SUXghGb4c8jBMpTDsw","F58E1.7")</f>
        <v>F58E1.7</v>
      </c>
      <c t="s" s="28" r="D269">
        <v>1114</v>
      </c>
      <c s="88" r="E269"/>
      <c s="167" r="F269"/>
      <c s="167" r="G269"/>
      <c s="94" r="H269"/>
      <c s="94" r="I269"/>
      <c s="79" r="J269"/>
      <c s="4" r="K269"/>
      <c s="4" r="L269"/>
      <c s="4" r="M269"/>
      <c s="4" r="N269"/>
      <c s="4" r="O269"/>
      <c s="4" r="P269"/>
      <c s="4" r="Q269"/>
    </row>
    <row customHeight="1" r="270" ht="39.0">
      <c s="127" r="A270"/>
      <c s="74" r="B270"/>
      <c t="str" s="78" r="C270">
        <f>HYPERLINK("http://www.google.com/url?q=http://www.wormbase.org/species/c_elegans/gene/WBGene00019106&amp;usd=2&amp;usg=ALhdy28wkhmMgIwNJ8-fiUI8TtUQXcL5FA","F59D6.4")</f>
        <v>F59D6.4</v>
      </c>
      <c t="s" s="28" r="D270">
        <v>1114</v>
      </c>
      <c s="88" r="E270"/>
      <c s="167" r="F270"/>
      <c s="167" r="G270"/>
      <c s="94" r="H270"/>
      <c s="94" r="I270"/>
      <c s="79" r="J270"/>
      <c s="4" r="K270"/>
      <c s="4" r="L270"/>
      <c s="4" r="M270"/>
      <c s="4" r="N270"/>
      <c s="4" r="O270"/>
      <c s="4" r="P270"/>
      <c s="4" r="Q270"/>
    </row>
    <row customHeight="1" r="271" ht="39.0">
      <c s="127" r="A271"/>
      <c s="74" r="B271"/>
      <c t="str" s="78" r="C271">
        <f>HYPERLINK("http://www.google.com/url?q=http://www.wormbase.org/species/c_elegans/gene/WBGene00019107&amp;usd=2&amp;usg=ALhdy2_HdEbuJJrqbeEkmewGwqt7O1EnKw","F59D6.6")</f>
        <v>F59D6.6</v>
      </c>
      <c t="s" s="28" r="D271">
        <v>1114</v>
      </c>
      <c s="88" r="E271"/>
      <c s="167" r="F271"/>
      <c s="167" r="G271"/>
      <c s="94" r="H271"/>
      <c s="94" r="I271"/>
      <c s="79" r="J271"/>
      <c s="4" r="K271"/>
      <c s="4" r="L271"/>
      <c s="4" r="M271"/>
      <c s="4" r="N271"/>
      <c s="4" r="O271"/>
      <c s="4" r="P271"/>
      <c s="4" r="Q271"/>
    </row>
    <row customHeight="1" r="272" ht="102.75">
      <c s="127" r="A272"/>
      <c t="s" s="76" r="B272">
        <v>1115</v>
      </c>
      <c t="str" s="78" r="C272">
        <f>HYPERLINK("http://www.google.com/url?q=http://www.wormbase.org/species/c_elegans/gene/WBGene00010414&amp;usd=2&amp;usg=ALhdy28jkdVHvUwrfVg3Sb_Z8wBwBFIUMA","H25K10.5")</f>
        <v>H25K10.5</v>
      </c>
      <c s="167" r="D272"/>
      <c s="88" r="E272"/>
      <c t="s" s="28" r="F272">
        <v>1116</v>
      </c>
      <c t="s" s="28" r="G272">
        <v>1117</v>
      </c>
      <c t="s" s="66" r="H272">
        <v>1118</v>
      </c>
      <c t="s" s="66" r="I272">
        <v>1119</v>
      </c>
      <c s="79" r="J272"/>
      <c s="4" r="K272"/>
      <c s="4" r="L272"/>
      <c s="4" r="M272"/>
      <c s="4" r="N272"/>
      <c s="4" r="O272"/>
      <c s="4" r="P272"/>
      <c s="4" r="Q272"/>
    </row>
    <row customHeight="1" r="273" ht="39.0">
      <c s="127" r="A273"/>
      <c s="74" r="B273"/>
      <c t="str" s="78" r="C273">
        <f>HYPERLINK("http://www.google.com/url?q=http://www.wormbase.org/species/c_elegans/gene/WBGene00010415&amp;usd=2&amp;usg=ALhdy2_o7xPmzIIOAw2Gsnn2d4ySJln2pw","H25K10.6")</f>
        <v>H25K10.6</v>
      </c>
      <c t="s" s="28" r="D273">
        <v>1114</v>
      </c>
      <c s="88" r="E273"/>
      <c s="167" r="F273"/>
      <c s="167" r="G273"/>
      <c s="94" r="H273"/>
      <c s="94" r="I273"/>
      <c s="79" r="J273"/>
      <c s="4" r="K273"/>
      <c s="4" r="L273"/>
      <c s="4" r="M273"/>
      <c s="4" r="N273"/>
      <c s="4" r="O273"/>
      <c s="4" r="P273"/>
      <c s="4" r="Q273"/>
    </row>
    <row customHeight="1" r="274" ht="39.0">
      <c s="127" r="A274"/>
      <c s="74" r="B274"/>
      <c t="str" s="78" r="C274">
        <f>HYPERLINK("http://www.google.com/url?q=http://www.wormbase.org/species/c_elegans/gene/WBGene00019389&amp;usd=2&amp;usg=ALhdy2_jT83Ef5Z-EB2CAAH2slRLvmVxsA","K04F1.10")</f>
        <v>K04F1.10</v>
      </c>
      <c t="s" s="28" r="D274">
        <v>1114</v>
      </c>
      <c s="88" r="E274"/>
      <c s="167" r="F274"/>
      <c s="167" r="G274"/>
      <c s="94" r="H274"/>
      <c s="94" r="I274"/>
      <c s="79" r="J274"/>
      <c s="4" r="K274"/>
      <c s="4" r="L274"/>
      <c s="4" r="M274"/>
      <c s="4" r="N274"/>
      <c s="4" r="O274"/>
      <c s="4" r="P274"/>
      <c s="4" r="Q274"/>
    </row>
    <row customHeight="1" r="275" ht="39.0">
      <c s="127" r="A275"/>
      <c s="74" r="B275"/>
      <c t="str" s="78" r="C275">
        <f>HYPERLINK("http://www.google.com/url?q=http://www.wormbase.org/species/c_elegans/gene/WBGene00019390&amp;usd=2&amp;usg=ALhdy28sGgHQ0ZDg4wcARTR8cO7FzwOdxw","K04F1.11")</f>
        <v>K04F1.11</v>
      </c>
      <c t="s" s="28" r="D275">
        <v>1114</v>
      </c>
      <c s="88" r="E275"/>
      <c s="167" r="F275"/>
      <c s="167" r="G275"/>
      <c s="94" r="H275"/>
      <c s="94" r="I275"/>
      <c s="79" r="J275"/>
      <c s="4" r="K275"/>
      <c s="4" r="L275"/>
      <c s="4" r="M275"/>
      <c s="4" r="N275"/>
      <c s="4" r="O275"/>
      <c s="4" r="P275"/>
      <c s="4" r="Q275"/>
    </row>
    <row customHeight="1" r="276" ht="39.0">
      <c s="127" r="A276"/>
      <c s="74" r="B276"/>
      <c t="str" s="78" r="C276">
        <f>HYPERLINK("http://www.google.com/url?q=http://www.wormbase.org/species/c_elegans/gene/WBGene00019391&amp;usd=2&amp;usg=ALhdy29P_UiI2K3rKEgQ_Bfcj-npkwZU6A","K04F1.12")</f>
        <v>K04F1.12</v>
      </c>
      <c t="s" s="28" r="D276">
        <v>1114</v>
      </c>
      <c s="88" r="E276"/>
      <c s="167" r="F276"/>
      <c s="167" r="G276"/>
      <c s="94" r="H276"/>
      <c s="94" r="I276"/>
      <c s="79" r="J276"/>
      <c s="4" r="K276"/>
      <c s="4" r="L276"/>
      <c s="4" r="M276"/>
      <c s="4" r="N276"/>
      <c s="4" r="O276"/>
      <c s="4" r="P276"/>
      <c s="4" r="Q276"/>
    </row>
    <row customHeight="1" r="277" ht="39.0">
      <c s="127" r="A277"/>
      <c s="74" r="B277"/>
      <c t="str" s="78" r="C277">
        <f>HYPERLINK("http://www.google.com/url?q=http://www.wormbase.org/species/c_elegans/gene/WBGene00019392&amp;usd=2&amp;usg=ALhdy2_zKjcVxALdLplOdeQNCYQfHYJ9kA","K04F1.13")</f>
        <v>K04F1.13</v>
      </c>
      <c t="s" s="28" r="D277">
        <v>1114</v>
      </c>
      <c s="88" r="E277"/>
      <c s="167" r="F277"/>
      <c s="167" r="G277"/>
      <c s="94" r="H277"/>
      <c s="94" r="I277"/>
      <c s="79" r="J277"/>
      <c s="4" r="K277"/>
      <c s="4" r="L277"/>
      <c s="4" r="M277"/>
      <c s="4" r="N277"/>
      <c s="4" r="O277"/>
      <c s="4" r="P277"/>
      <c s="4" r="Q277"/>
    </row>
    <row customHeight="1" r="278" ht="39.0">
      <c s="127" r="A278"/>
      <c s="74" r="B278"/>
      <c t="str" s="78" r="C278">
        <f>HYPERLINK("http://www.google.com/url?q=http://www.wormbase.org/species/c_elegans/gene/WBGene00019393&amp;usd=2&amp;usg=ALhdy28-HWNgq9gnfj_cqfTZGoTHnVXlUw","K04F1.14")</f>
        <v>K04F1.14</v>
      </c>
      <c t="s" s="28" r="D278">
        <v>1114</v>
      </c>
      <c s="88" r="E278"/>
      <c s="167" r="F278"/>
      <c s="167" r="G278"/>
      <c s="94" r="H278"/>
      <c s="94" r="I278"/>
      <c s="79" r="J278"/>
      <c s="4" r="K278"/>
      <c s="4" r="L278"/>
      <c s="4" r="M278"/>
      <c s="4" r="N278"/>
      <c s="4" r="O278"/>
      <c s="4" r="P278"/>
      <c s="4" r="Q278"/>
    </row>
    <row customHeight="1" r="279" ht="39.0">
      <c s="127" r="A279"/>
      <c s="74" r="B279"/>
      <c t="str" s="78" r="C279">
        <f>HYPERLINK("http://www.google.com/url?q=http://www.wormbase.org/species/c_elegans/gene/WBGene00019385&amp;usd=2&amp;usg=ALhdy2-Vuy5_6nt-9NNymvQpPagQm88ZSA","K04F1.6")</f>
        <v>K04F1.6</v>
      </c>
      <c t="s" s="28" r="D279">
        <v>1114</v>
      </c>
      <c s="88" r="E279"/>
      <c s="167" r="F279"/>
      <c s="167" r="G279"/>
      <c s="94" r="H279"/>
      <c s="94" r="I279"/>
      <c s="79" r="J279"/>
      <c s="4" r="K279"/>
      <c s="4" r="L279"/>
      <c s="4" r="M279"/>
      <c s="4" r="N279"/>
      <c s="4" r="O279"/>
      <c s="4" r="P279"/>
      <c s="4" r="Q279"/>
    </row>
    <row customHeight="1" r="280" ht="39.0">
      <c s="127" r="A280"/>
      <c s="74" r="B280"/>
      <c t="str" s="78" r="C280">
        <f>HYPERLINK("http://www.google.com/url?q=http://www.wormbase.org/species/c_elegans/gene/WBGene00019386&amp;usd=2&amp;usg=ALhdy2-IBWJwzps1rabbfBolRyrIIj06GQ","K04F1.7")</f>
        <v>K04F1.7</v>
      </c>
      <c t="s" s="28" r="D280">
        <v>1114</v>
      </c>
      <c s="88" r="E280"/>
      <c s="167" r="F280"/>
      <c s="167" r="G280"/>
      <c s="94" r="H280"/>
      <c s="94" r="I280"/>
      <c s="79" r="J280"/>
      <c s="4" r="K280"/>
      <c s="4" r="L280"/>
      <c s="4" r="M280"/>
      <c s="4" r="N280"/>
      <c s="4" r="O280"/>
      <c s="4" r="P280"/>
      <c s="4" r="Q280"/>
    </row>
    <row customHeight="1" r="281" ht="39.0">
      <c s="127" r="A281"/>
      <c s="74" r="B281"/>
      <c t="str" s="78" r="C281">
        <f>HYPERLINK("http://www.google.com/url?q=http://www.wormbase.org/species/c_elegans/gene/WBGene00019676&amp;usd=2&amp;usg=ALhdy2890d32ZXD4Z6N8Rah_BXuHE25Tyw","K12D9.12")</f>
        <v>K12D9.12</v>
      </c>
      <c t="s" s="28" r="D281">
        <v>1114</v>
      </c>
      <c s="88" r="E281"/>
      <c s="167" r="F281"/>
      <c s="167" r="G281"/>
      <c s="94" r="H281"/>
      <c s="94" r="I281"/>
      <c s="79" r="J281"/>
      <c s="4" r="K281"/>
      <c s="4" r="L281"/>
      <c s="4" r="M281"/>
      <c s="4" r="N281"/>
      <c s="4" r="O281"/>
      <c s="4" r="P281"/>
      <c s="4" r="Q281"/>
    </row>
    <row customHeight="1" r="282" ht="39.0">
      <c s="127" r="A282"/>
      <c s="74" r="B282"/>
      <c t="str" s="78" r="C282">
        <f>HYPERLINK("http://www.google.com/url?q=http://www.wormbase.org/species/c_elegans/gene/WBGene00077758&amp;usd=2&amp;usg=ALhdy28w53gfdt1_cYP-EC97LWTYHgCkpw","K12D9.14")</f>
        <v>K12D9.14</v>
      </c>
      <c t="s" s="28" r="D282">
        <v>1114</v>
      </c>
      <c s="88" r="E282"/>
      <c s="167" r="F282"/>
      <c s="167" r="G282"/>
      <c s="94" r="H282"/>
      <c s="94" r="I282"/>
      <c s="79" r="J282"/>
      <c s="4" r="K282"/>
      <c s="4" r="L282"/>
      <c s="4" r="M282"/>
      <c s="4" r="N282"/>
      <c s="4" r="O282"/>
      <c s="4" r="P282"/>
      <c s="4" r="Q282"/>
    </row>
    <row customHeight="1" r="283" ht="39.0">
      <c s="127" r="A283"/>
      <c s="74" r="B283"/>
      <c t="str" s="78" r="C283">
        <f>HYPERLINK("http://www.google.com/url?q=http://www.wormbase.org/species/c_elegans/gene/WBGene00019845&amp;usd=2&amp;usg=ALhdy2-sdjXiKnIocIvWnwdIBlHALNd3Yw","R03G5.3")</f>
        <v>R03G5.3</v>
      </c>
      <c t="s" s="28" r="D283">
        <v>1120</v>
      </c>
      <c s="88" r="E283"/>
      <c s="167" r="F283"/>
      <c s="167" r="G283"/>
      <c s="94" r="H283"/>
      <c s="94" r="I283"/>
      <c s="79" r="J283"/>
      <c s="4" r="K283"/>
      <c s="4" r="L283"/>
      <c s="4" r="M283"/>
      <c s="4" r="N283"/>
      <c s="4" r="O283"/>
      <c s="4" r="P283"/>
      <c s="4" r="Q283"/>
    </row>
    <row customHeight="1" r="284" ht="39.0">
      <c s="127" r="A284"/>
      <c s="74" r="B284"/>
      <c t="str" s="78" r="C284">
        <f>HYPERLINK("http://www.google.com/url?q=http://www.wormbase.org/species/c_elegans/gene/WBGene00011322&amp;usd=2&amp;usg=ALhdy2_fH0rwrJ7MdPwbTi4XXxewc_Rpxw","T01C3.5")</f>
        <v>T01C3.5</v>
      </c>
      <c t="s" s="28" r="D284">
        <v>1114</v>
      </c>
      <c s="88" r="E284"/>
      <c s="167" r="F284"/>
      <c s="167" r="G284"/>
      <c s="94" r="H284"/>
      <c s="94" r="I284"/>
      <c s="79" r="J284"/>
      <c s="4" r="K284"/>
      <c s="4" r="L284"/>
      <c s="4" r="M284"/>
      <c s="4" r="N284"/>
      <c s="4" r="O284"/>
      <c s="4" r="P284"/>
      <c s="4" r="Q284"/>
    </row>
    <row customHeight="1" r="285" ht="39.0">
      <c s="127" r="A285"/>
      <c s="74" r="B285"/>
      <c t="str" s="78" r="C285">
        <f>HYPERLINK("http://www.google.com/url?q=http://www.wormbase.org/species/c_elegans/gene/WBGene00011458&amp;usd=2&amp;usg=ALhdy28DiqprdQyMniZ41QeH9TRSXnZzdw","T05A6.4")</f>
        <v>T05A6.4</v>
      </c>
      <c t="s" s="28" r="D285">
        <v>1114</v>
      </c>
      <c s="88" r="E285"/>
      <c s="167" r="F285"/>
      <c s="167" r="G285"/>
      <c s="94" r="H285"/>
      <c s="94" r="I285"/>
      <c s="79" r="J285"/>
      <c s="4" r="K285"/>
      <c s="4" r="L285"/>
      <c s="4" r="M285"/>
      <c s="4" r="N285"/>
      <c s="4" r="O285"/>
      <c s="4" r="P285"/>
      <c s="4" r="Q285"/>
    </row>
    <row customHeight="1" r="286" ht="39.0">
      <c s="127" r="A286"/>
      <c s="74" r="B286"/>
      <c t="str" s="78" r="C286">
        <f>HYPERLINK("http://www.google.com/url?q=http://www.wormbase.org/species/c_elegans/gene/WBGene00011459&amp;usd=2&amp;usg=ALhdy2_wddBYS4vzhZikUbtAzn9yvSBigA","T05A6.5")</f>
        <v>T05A6.5</v>
      </c>
      <c t="s" s="28" r="D286">
        <v>1114</v>
      </c>
      <c s="88" r="E286"/>
      <c s="167" r="F286"/>
      <c s="167" r="G286"/>
      <c s="94" r="H286"/>
      <c s="94" r="I286"/>
      <c s="79" r="J286"/>
      <c s="4" r="K286"/>
      <c s="4" r="L286"/>
      <c s="4" r="M286"/>
      <c s="4" r="N286"/>
      <c s="4" r="O286"/>
      <c s="4" r="P286"/>
      <c s="4" r="Q286"/>
    </row>
    <row customHeight="1" r="287" ht="39.0">
      <c s="127" r="A287"/>
      <c s="74" r="B287"/>
      <c t="str" s="78" r="C287">
        <f>HYPERLINK("http://www.google.com/url?q=http://www.wormbase.org/species/c_elegans/gene/WBGene00020428&amp;usd=2&amp;usg=ALhdy285XFd0CLKg7oSmKNv0jdnFUKrPDQ","T11F1.2")</f>
        <v>T11F1.2</v>
      </c>
      <c t="s" s="28" r="D287">
        <v>1114</v>
      </c>
      <c s="88" r="E287"/>
      <c s="167" r="F287"/>
      <c s="167" r="G287"/>
      <c s="94" r="H287"/>
      <c s="94" r="I287"/>
      <c s="79" r="J287"/>
      <c s="4" r="K287"/>
      <c s="4" r="L287"/>
      <c s="4" r="M287"/>
      <c s="4" r="N287"/>
      <c s="4" r="O287"/>
      <c s="4" r="P287"/>
      <c s="4" r="Q287"/>
    </row>
    <row customHeight="1" r="288" ht="39.0">
      <c s="127" r="A288"/>
      <c s="74" r="B288"/>
      <c t="str" s="78" r="C288">
        <f>HYPERLINK("http://www.google.com/url?q=http://www.wormbase.org/species/c_elegans/gene/WBGene00020430&amp;usd=2&amp;usg=ALhdy2-QcQLyuVqKsy3-9HuhN7Iq1LAf9w","T11F1.6")</f>
        <v>T11F1.6</v>
      </c>
      <c t="s" s="28" r="D288">
        <v>1114</v>
      </c>
      <c s="88" r="E288"/>
      <c s="167" r="F288"/>
      <c s="167" r="G288"/>
      <c s="94" r="H288"/>
      <c s="94" r="I288"/>
      <c s="79" r="J288"/>
      <c s="4" r="K288"/>
      <c s="4" r="L288"/>
      <c s="4" r="M288"/>
      <c s="4" r="N288"/>
      <c s="4" r="O288"/>
      <c s="4" r="P288"/>
      <c s="4" r="Q288"/>
    </row>
    <row customHeight="1" r="289" ht="102.75">
      <c s="127" r="A289"/>
      <c t="s" s="76" r="B289">
        <v>1121</v>
      </c>
      <c t="str" s="78" r="C289">
        <f>HYPERLINK("http://www.google.com/url?q=http://www.wormbase.org/species/c_elegans/gene/WBGene00020432&amp;usd=2&amp;usg=ALhdy28U0rrYO9LBPEbd-Vh4yYK4yzvEcw","T11F1.8")</f>
        <v>T11F1.8</v>
      </c>
      <c s="167" r="D289"/>
      <c s="88" r="E289"/>
      <c t="s" s="28" r="F289">
        <v>1116</v>
      </c>
      <c t="s" s="28" r="G289">
        <v>1117</v>
      </c>
      <c t="s" s="66" r="H289">
        <v>1122</v>
      </c>
      <c t="s" s="66" r="I289">
        <v>1119</v>
      </c>
      <c s="79" r="J289"/>
      <c s="4" r="K289"/>
      <c s="4" r="L289"/>
      <c s="4" r="M289"/>
      <c s="4" r="N289"/>
      <c s="4" r="O289"/>
      <c s="4" r="P289"/>
      <c s="4" r="Q289"/>
    </row>
    <row customHeight="1" r="290" ht="39.0">
      <c s="127" r="A290"/>
      <c s="74" r="B290"/>
      <c t="str" s="78" r="C290">
        <f>HYPERLINK("http://www.google.com/url?q=http://www.wormbase.org/species/c_elegans/gene/WBGene00077759&amp;usd=2&amp;usg=ALhdy28yf4W3jworPIdnRHS5A7bZpQWFEw","T11F1.9")</f>
        <v>T11F1.9</v>
      </c>
      <c t="s" s="28" r="D290">
        <v>1114</v>
      </c>
      <c s="88" r="E290"/>
      <c s="167" r="F290"/>
      <c s="167" r="G290"/>
      <c s="94" r="H290"/>
      <c s="94" r="I290"/>
      <c s="107" r="J290"/>
      <c s="92" r="K290"/>
      <c s="92" r="L290"/>
      <c s="92" r="M290"/>
      <c s="92" r="N290"/>
      <c s="92" r="O290"/>
      <c s="92" r="P290"/>
      <c s="92" r="Q290"/>
    </row>
  </sheetData>
  <mergeCells count="14">
    <mergeCell ref="A2:G2"/>
    <mergeCell ref="A156:D156"/>
    <mergeCell ref="A157:I157"/>
    <mergeCell ref="A236:I236"/>
    <mergeCell ref="A241:A244"/>
    <mergeCell ref="B241:B244"/>
    <mergeCell ref="C241:C244"/>
    <mergeCell ref="D241:D244"/>
    <mergeCell ref="E241:E244"/>
    <mergeCell ref="F241:F244"/>
    <mergeCell ref="G241:G244"/>
    <mergeCell ref="H241:H244"/>
    <mergeCell ref="I241:I244"/>
    <mergeCell ref="A248:H248"/>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27.29"/>
    <col min="2" customWidth="1" max="3" width="21.57"/>
    <col min="4" customWidth="1" max="4" width="20.71"/>
    <col min="5" customWidth="1" max="5" width="39.43"/>
  </cols>
  <sheetData>
    <row customHeight="1" r="1" ht="14.25">
      <c t="s" s="32" r="A1">
        <v>1123</v>
      </c>
      <c s="18" r="B1"/>
      <c s="18" r="C1"/>
      <c s="18" r="D1"/>
      <c s="183" r="E1"/>
      <c s="84" r="F1"/>
    </row>
    <row customHeight="1" r="2" ht="28.5">
      <c t="s" s="97" r="A2">
        <v>1124</v>
      </c>
      <c t="s" s="97" r="B2">
        <v>1125</v>
      </c>
      <c t="s" s="97" r="C2">
        <v>1126</v>
      </c>
      <c t="s" s="97" r="D2">
        <v>1127</v>
      </c>
      <c t="s" s="33" r="E2">
        <v>1128</v>
      </c>
      <c s="84" r="F2"/>
    </row>
    <row customHeight="1" r="3" ht="22.5">
      <c t="s" s="143" r="A3">
        <v>787</v>
      </c>
      <c t="s" s="143" r="B3">
        <v>1129</v>
      </c>
      <c t="s" s="143" r="C3">
        <v>1130</v>
      </c>
      <c t="s" s="63" r="D3">
        <v>1131</v>
      </c>
      <c t="s" s="63" r="E3">
        <v>1132</v>
      </c>
      <c s="84" r="F3"/>
    </row>
    <row r="4">
      <c t="s" s="32" r="A4">
        <v>1133</v>
      </c>
      <c s="18" r="B4"/>
      <c s="18" r="C4"/>
      <c s="18" r="D4"/>
      <c s="183" r="E4"/>
      <c s="84" r="F4"/>
    </row>
    <row r="5">
      <c s="32" r="A5"/>
      <c s="18" r="B5"/>
      <c s="18" r="C5"/>
      <c s="18" r="D5"/>
      <c s="183" r="E5"/>
      <c s="84" r="F5"/>
    </row>
    <row r="6">
      <c t="s" s="14" r="A6">
        <v>1134</v>
      </c>
      <c t="str" s="144" r="B6">
        <f>HYPERLINK("http://www.wormbase.org/db/gene/gene?name=WBGene00000481;class=Gene","cha-11")</f>
        <v>cha-11</v>
      </c>
      <c t="s" s="14" r="C6">
        <v>1135</v>
      </c>
      <c t="s" s="37" r="D6">
        <v>1131</v>
      </c>
      <c t="str" s="64" r="E6">
        <f>HYPERLINK("http://www.wormbase.org/db/misc/paper?name=%20WBPaper00000735;class=Paper","Rand &amp; Russell, 1985 ")</f>
        <v>Rand &amp; Russell, 1985 </v>
      </c>
      <c s="84" r="F6"/>
    </row>
    <row r="7">
      <c s="39" r="A7"/>
      <c s="168" r="B7"/>
      <c s="39" r="C7"/>
      <c s="73" r="D7"/>
      <c s="119" r="E7"/>
      <c s="84" r="F7"/>
    </row>
    <row r="8">
      <c s="39" r="A8"/>
      <c s="168" r="B8"/>
      <c s="39" r="C8"/>
      <c s="73" r="D8"/>
      <c s="119" r="E8"/>
      <c s="84" r="F8"/>
    </row>
    <row r="9">
      <c s="39" r="A9"/>
      <c s="168" r="B9"/>
      <c s="39" r="C9"/>
      <c s="73" r="D9"/>
      <c s="119" r="E9"/>
      <c s="84" r="F9"/>
    </row>
    <row r="10">
      <c s="39" r="A10"/>
      <c s="168" r="B10"/>
      <c s="39" r="C10"/>
      <c s="73" r="D10"/>
      <c s="119" r="E10"/>
      <c s="84" r="F10"/>
    </row>
    <row r="11">
      <c s="39" r="A11"/>
      <c s="168" r="B11"/>
      <c s="39" r="C11"/>
      <c s="73" r="D11"/>
      <c s="119" r="E11"/>
      <c s="84" r="F11"/>
    </row>
    <row customHeight="1" r="12" ht="24.75">
      <c s="39" r="A12"/>
      <c s="168" r="B12"/>
      <c s="39" r="C12"/>
      <c s="73" r="D12"/>
      <c s="119" r="E12"/>
      <c s="84" r="F12"/>
    </row>
    <row r="13">
      <c s="96" r="A13"/>
      <c s="184" r="B13"/>
      <c s="96" r="C13"/>
      <c s="11" r="D13"/>
      <c s="125" r="E13"/>
      <c s="84" r="F13"/>
    </row>
    <row customHeight="1" r="14" ht="78.75">
      <c t="s" s="143" r="A14">
        <v>1134</v>
      </c>
      <c t="str" s="69" r="B14">
        <f>HYPERLINK("http://www.wormbase.org/db/gene/gene?name=WBGene00000481;class=Gene","cha-11")</f>
        <v>cha-11</v>
      </c>
      <c t="s" s="143" r="C14">
        <v>1136</v>
      </c>
      <c t="s" s="63" r="D14">
        <v>1137</v>
      </c>
      <c t="str" s="169" r="E14">
        <f>HYPERLINK("http://www.wormbase.org/db/misc/paper?name=WBPaper00031247;class=Paper","Duerr et al., 2008")</f>
        <v>Duerr et al., 2008</v>
      </c>
      <c s="84" r="F14"/>
    </row>
    <row customHeight="1" r="15" ht="14.25">
      <c t="s" s="32" r="A15">
        <v>1138</v>
      </c>
      <c s="18" r="B15"/>
      <c s="18" r="C15"/>
      <c s="18" r="D15"/>
      <c s="183" r="E15"/>
      <c s="84" r="F15"/>
    </row>
    <row customHeight="1" r="16" ht="22.5">
      <c t="s" s="143" r="A16">
        <v>1139</v>
      </c>
      <c t="str" s="69" r="B16">
        <f>HYPERLINK("http://www.wormbase.org/db/gene/gene?name=WBGene00006756;class=Gene","unc-171")</f>
        <v>unc-171</v>
      </c>
      <c t="s" s="143" r="C16">
        <v>1136</v>
      </c>
      <c t="s" s="63" r="D16">
        <v>1140</v>
      </c>
      <c t="s" s="63" r="E16">
        <v>1141</v>
      </c>
      <c s="84" r="F16"/>
    </row>
    <row customHeight="1" r="17" ht="22.5">
      <c t="s" s="143" r="A17">
        <v>1142</v>
      </c>
      <c t="str" s="69" r="B17">
        <f>HYPERLINK("http://www.wormbase.org/db/gene/gene?name=WBGene00000501;class=Gene","cho-1")</f>
        <v>cho-1</v>
      </c>
      <c t="s" s="143" r="C17">
        <v>1143</v>
      </c>
      <c t="s" s="63" r="D17">
        <v>1144</v>
      </c>
      <c t="str" s="169" r="E17">
        <f>HYPERLINK("http://www.jneurosci.org/cgi/content/full/26/23/6200","Matthies et al., 2006 ")</f>
        <v>Matthies et al., 2006 </v>
      </c>
      <c s="84" r="F17"/>
    </row>
    <row customHeight="1" r="18" ht="33.75">
      <c t="s" s="143" r="A18">
        <v>1145</v>
      </c>
      <c t="str" s="69" r="B18">
        <f>HYPERLINK("http://www.wormbase.org/db/gene/gene?name=WBGene00004905;class=Gene","snf-6")</f>
        <v>snf-6</v>
      </c>
      <c t="s" s="143" r="C18">
        <v>1143</v>
      </c>
      <c t="s" s="63" r="D18">
        <v>1146</v>
      </c>
      <c t="str" s="169" r="E18">
        <f>HYPERLINK("http://www.wormbase.org/db/misc/paper?name=WBPaper00024304;class=Paper","Kim et al., 2004 ")</f>
        <v>Kim et al., 2004 </v>
      </c>
      <c s="84" r="F18"/>
    </row>
    <row customHeight="1" r="19" ht="14.25">
      <c t="s" s="32" r="A19">
        <v>1147</v>
      </c>
      <c s="18" r="B19"/>
      <c s="18" r="C19"/>
      <c s="18" r="D19"/>
      <c s="183" r="E19"/>
      <c s="84" r="F19"/>
    </row>
    <row customHeight="1" r="20" ht="78.75">
      <c t="s" s="143" r="A20">
        <v>1148</v>
      </c>
      <c t="s" s="143" r="B20">
        <v>1129</v>
      </c>
      <c t="s" s="143" r="C20">
        <v>1149</v>
      </c>
      <c t="s" s="63" r="D20">
        <v>1150</v>
      </c>
      <c t="str" s="169" r="E20">
        <f>HYPERLINK("http://www.genetics.org/cgi/reprint/97/2/281","Culotti et al., 1981")</f>
        <v>Culotti et al., 1981</v>
      </c>
      <c s="84" r="F20"/>
    </row>
    <row customHeight="1" r="21" ht="22.5">
      <c t="s" s="143" r="A21">
        <v>1151</v>
      </c>
      <c t="str" s="69" r="B21">
        <f>HYPERLINK("http://www.wormbase.org/db/gene/gene?name=WBGene00000035;class=Gene","ace-1")</f>
        <v>ace-1</v>
      </c>
      <c t="s" s="143" r="C21">
        <v>1135</v>
      </c>
      <c t="s" s="63" r="D21">
        <v>1131</v>
      </c>
      <c t="s" s="63" r="E21">
        <v>1152</v>
      </c>
      <c s="84" r="F21"/>
    </row>
    <row customHeight="1" r="22" ht="22.5">
      <c t="s" s="143" r="A22">
        <v>1153</v>
      </c>
      <c t="str" s="69" r="B22">
        <f>HYPERLINK("http://www.wormbase.org/db/gene/gene?name=WBGene00000036;class=Gene","ace-2")</f>
        <v>ace-2</v>
      </c>
      <c t="s" s="143" r="C22">
        <v>1135</v>
      </c>
      <c t="s" s="63" r="D22">
        <v>1131</v>
      </c>
      <c t="s" s="63" r="E22">
        <v>1152</v>
      </c>
      <c s="84" r="F22"/>
    </row>
    <row customHeight="1" r="23" ht="22.5">
      <c t="s" s="143" r="A23">
        <v>1154</v>
      </c>
      <c t="str" s="69" r="B23">
        <f>HYPERLINK("http://www.wormbase.org/db/gene/gene?name=WBGene00000037;class=Gene","ace-3")</f>
        <v>ace-3</v>
      </c>
      <c t="s" s="143" r="C23">
        <v>1135</v>
      </c>
      <c t="s" s="63" r="D23">
        <v>1131</v>
      </c>
      <c t="s" s="63" r="E23">
        <v>1152</v>
      </c>
      <c s="84" r="F23"/>
    </row>
    <row r="24">
      <c t="s" s="143" r="A24">
        <v>1148</v>
      </c>
      <c t="str" s="69" r="B24">
        <f>HYPERLINK("http://www.wormbase.org/db/gene/gene?name=WBGene00000035;class=Gene","ace-1")</f>
        <v>ace-1</v>
      </c>
      <c t="s" s="143" r="C24">
        <v>1143</v>
      </c>
      <c t="s" s="63" r="D24">
        <v>1155</v>
      </c>
      <c t="s" s="63" r="E24">
        <v>1156</v>
      </c>
      <c s="84" r="F24"/>
    </row>
    <row r="25">
      <c t="s" s="143" r="A25">
        <v>1148</v>
      </c>
      <c t="str" s="69" r="B25">
        <f>HYPERLINK("http://www.wormbase.org/db/gene/gene?name=WBGene00000036;class=Gene","ace-2")</f>
        <v>ace-2</v>
      </c>
      <c t="s" s="143" r="C25">
        <v>1143</v>
      </c>
      <c t="s" s="63" r="D25">
        <v>1155</v>
      </c>
      <c t="s" s="63" r="E25">
        <v>1156</v>
      </c>
      <c s="84" r="F25"/>
    </row>
    <row r="26">
      <c t="s" s="143" r="A26">
        <v>1148</v>
      </c>
      <c t="str" s="69" r="B26">
        <f>HYPERLINK("http://www.wormbase.org/db/gene/gene?name=WBGene00000037;class=Gene","ace-3")</f>
        <v>ace-3</v>
      </c>
      <c t="s" s="143" r="C26">
        <v>1143</v>
      </c>
      <c t="s" s="63" r="D26">
        <v>1155</v>
      </c>
      <c t="s" s="63" r="E26">
        <v>1156</v>
      </c>
      <c s="84" r="F26"/>
    </row>
    <row r="27">
      <c t="s" s="143" r="A27">
        <v>1148</v>
      </c>
      <c t="str" s="69" r="B27">
        <f>HYPERLINK("http://www.wormbase.org/db/gene/gene?name=WBGene00000038;class=Gene","ace-4")</f>
        <v>ace-4</v>
      </c>
      <c t="s" s="143" r="C27">
        <v>1143</v>
      </c>
      <c t="s" s="63" r="D27">
        <v>1155</v>
      </c>
      <c t="s" s="63" r="E27">
        <v>1156</v>
      </c>
      <c s="84" r="F27"/>
    </row>
    <row customHeight="1" r="28" ht="14.25">
      <c t="s" s="32" r="A28">
        <v>1157</v>
      </c>
      <c s="18" r="B28"/>
      <c s="18" r="C28"/>
      <c s="18" r="D28"/>
      <c s="183" r="E28"/>
      <c s="84" r="F28"/>
    </row>
    <row r="29">
      <c t="s" s="143" r="A29">
        <v>787</v>
      </c>
      <c t="str" s="69" r="B29">
        <f>HYPERLINK("http://www.wormbase.org/db/gene/gene?name=WBGene00000481;class=Gene","cha-1")</f>
        <v>cha-1</v>
      </c>
      <c t="s" s="137" r="C29">
        <v>1158</v>
      </c>
      <c s="41" r="D29"/>
      <c t="str" s="169" r="E29">
        <f>HYPERLINK("http://www.wormbase.org/db/misc/paper?name=WBPaper00001004;class=Paper","Hosono et al., 1987")</f>
        <v>Hosono et al., 1987</v>
      </c>
      <c s="84" r="F29"/>
    </row>
    <row r="30">
      <c t="s" s="143" r="A30">
        <v>787</v>
      </c>
      <c t="str" s="69" r="B30">
        <f>HYPERLINK("http://www.wormbase.org/db/gene/gene?name=WBGene00000481;class=Gene","unc-17")</f>
        <v>unc-17</v>
      </c>
      <c t="s" s="137" r="C30">
        <v>1159</v>
      </c>
      <c s="41" r="D30"/>
      <c t="str" s="169" r="E30">
        <f>HYPERLINK("http://www.wormbase.org/db/misc/paper?name=WBPaper00001004;class=Paper","Hosono et al., 1987")</f>
        <v>Hosono et al., 1987</v>
      </c>
      <c s="84" r="F30"/>
    </row>
    <row r="31">
      <c t="s" s="143" r="A31">
        <v>1160</v>
      </c>
      <c t="str" s="69" r="B31">
        <f>HYPERLINK("http://www.wormbase.org/db/gene/gene?name=WBGene00000481;class=Gene","cha-1")</f>
        <v>cha-1</v>
      </c>
      <c t="s" s="137" r="C31">
        <v>1161</v>
      </c>
      <c s="41" r="D31"/>
      <c t="s" s="63" r="E31">
        <v>1162</v>
      </c>
      <c s="84" r="F31"/>
    </row>
    <row r="32">
      <c t="s" s="143" r="A32">
        <v>1148</v>
      </c>
      <c t="s" s="59" r="B32">
        <v>1163</v>
      </c>
      <c t="s" s="137" r="C32">
        <v>1164</v>
      </c>
      <c s="41" r="D32"/>
      <c t="str" s="169" r="E32">
        <f>HYPERLINK("http://www.genetics.org/cgi/reprint/97/2/281","Culotti et al., 1981")</f>
        <v>Culotti et al., 1981</v>
      </c>
      <c s="84" r="F32"/>
    </row>
    <row customHeight="1" r="33" ht="14.25">
      <c t="s" s="51" r="A33">
        <v>1165</v>
      </c>
      <c s="77" r="B33"/>
      <c s="77" r="C33"/>
      <c s="77" r="D33"/>
      <c s="77" r="E33"/>
      <c s="87" r="F33"/>
    </row>
    <row r="34">
      <c s="87" r="A34"/>
      <c s="87" r="B34"/>
      <c s="87" r="C34"/>
      <c s="87" r="D34"/>
      <c s="87" r="E34"/>
      <c s="87" r="F34"/>
    </row>
    <row r="35">
      <c t="s" s="91" r="A35">
        <v>1166</v>
      </c>
      <c s="87" r="B35"/>
      <c s="87" r="C35"/>
      <c s="87" r="D35"/>
      <c s="87" r="E35"/>
      <c s="87" r="F35"/>
    </row>
    <row r="36">
      <c t="str" s="174" r="A36">
        <f>HYPERLINK("http://www.ncbi.nlm.nih.gov/pubmed/14187330","2 Staining with acetylthiocholine (Method: Karnovsky &amp; Roots, 1964)")</f>
        <v>2 Staining with acetylthiocholine (Method: Karnovsky &amp; Roots, 1964)</v>
      </c>
      <c s="87" r="B36"/>
      <c s="87" r="C36"/>
      <c s="87" r="D36"/>
      <c s="87" r="E36"/>
      <c s="87" r="F36"/>
    </row>
  </sheetData>
  <mergeCells count="14">
    <mergeCell ref="A1:E1"/>
    <mergeCell ref="A4:E5"/>
    <mergeCell ref="A6:A13"/>
    <mergeCell ref="B6:B13"/>
    <mergeCell ref="C6:C13"/>
    <mergeCell ref="D6:D13"/>
    <mergeCell ref="E6:E13"/>
    <mergeCell ref="A15:E15"/>
    <mergeCell ref="A19:E19"/>
    <mergeCell ref="A28:E28"/>
    <mergeCell ref="C29:D29"/>
    <mergeCell ref="C30:D30"/>
    <mergeCell ref="C31:D31"/>
    <mergeCell ref="C32:D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9.14"/>
    <col min="2" customWidth="1" max="2" width="17.0"/>
    <col min="3" customWidth="1" max="3" width="19.57"/>
    <col min="4" customWidth="1" max="4" width="20.0"/>
    <col min="5" customWidth="1" max="5" width="50.86"/>
  </cols>
  <sheetData>
    <row customHeight="1" r="1" ht="14.25">
      <c t="s" s="32" r="A1">
        <v>1167</v>
      </c>
      <c s="18" r="B1"/>
      <c s="18" r="C1"/>
      <c s="18" r="D1"/>
      <c s="183" r="E1"/>
      <c s="84" r="F1"/>
    </row>
    <row customHeight="1" r="2" ht="28.5">
      <c t="s" s="97" r="A2">
        <v>1124</v>
      </c>
      <c t="s" s="97" r="B2">
        <v>1125</v>
      </c>
      <c t="s" s="97" r="C2">
        <v>1126</v>
      </c>
      <c t="s" s="97" r="D2">
        <v>1127</v>
      </c>
      <c t="s" s="33" r="E2">
        <v>1128</v>
      </c>
      <c s="84" r="F2"/>
    </row>
    <row r="3">
      <c t="s" s="143" r="A3">
        <v>1168</v>
      </c>
      <c t="s" s="143" r="B3">
        <v>1129</v>
      </c>
      <c t="s" s="143" r="C3">
        <v>1169</v>
      </c>
      <c t="s" s="63" r="D3">
        <v>1131</v>
      </c>
      <c t="str" s="169" r="E3">
        <f>HYPERLINK("http://www.wormbase.org/db/misc/paper?name=WBPaper00006389;class=Paper","Sanyal et al., 2004")</f>
        <v>Sanyal et al., 2004</v>
      </c>
      <c s="84" r="F3"/>
    </row>
    <row customHeight="1" r="4" ht="22.5">
      <c t="s" s="143" r="A4">
        <v>1168</v>
      </c>
      <c t="s" s="143" r="B4">
        <v>1129</v>
      </c>
      <c t="s" s="143" r="C4">
        <v>1170</v>
      </c>
      <c t="str" s="169" r="D4">
        <f>HYPERLINK("http://wormatlas.org/neurons/Individual%20Neurons/NSMframeset.html","NSM")</f>
        <v>NSM</v>
      </c>
      <c t="str" s="169" r="E4">
        <f>HYPERLINK("http://www.wormbase.org/db/misc/paper?name=WBPaper00000552;class=Paper","Horvitz et al., 1982")</f>
        <v>Horvitz et al., 1982</v>
      </c>
      <c s="84" r="F4"/>
    </row>
    <row customHeight="1" r="5" ht="46.5">
      <c t="s" s="143" r="A5">
        <v>1168</v>
      </c>
      <c t="s" s="143" r="B5">
        <v>1129</v>
      </c>
      <c t="s" s="143" r="C5">
        <v>1136</v>
      </c>
      <c t="s" s="63" r="D5">
        <v>1171</v>
      </c>
      <c t="s" s="63" r="E5">
        <v>1172</v>
      </c>
      <c s="84" r="F5"/>
    </row>
    <row customHeight="1" r="6" ht="17.25">
      <c t="s" s="32" r="A6">
        <v>1133</v>
      </c>
      <c s="18" r="B6"/>
      <c s="18" r="C6"/>
      <c s="18" r="D6"/>
      <c s="183" r="E6"/>
      <c s="84" r="F6"/>
    </row>
    <row customHeight="1" r="7" ht="125.25">
      <c s="32" r="A7"/>
      <c s="18" r="B7"/>
      <c s="18" r="C7"/>
      <c s="18" r="D7"/>
      <c s="183" r="E7"/>
      <c s="84" r="F7"/>
    </row>
    <row customHeight="1" r="8" ht="29.25">
      <c t="s" s="143" r="A8">
        <v>1173</v>
      </c>
      <c t="str" s="69" r="B8">
        <f>HYPERLINK("http://www.wormbase.org/db/gene/gene?name=WBGene00006600;class=Gene","tph-1")</f>
        <v>tph-1</v>
      </c>
      <c t="s" s="143" r="C8">
        <v>1143</v>
      </c>
      <c t="s" s="63" r="D8">
        <v>1174</v>
      </c>
      <c t="str" s="169" r="E8">
        <f>HYPERLINK("http://www.wormbase.org/db/misc/paper?name=WBPaper00003903;class=Paper","Sze et al., 2000 ")</f>
        <v>Sze et al., 2000 </v>
      </c>
      <c s="84" r="F8"/>
    </row>
    <row customHeight="1" r="9" ht="45.0">
      <c t="s" s="143" r="A9">
        <v>1175</v>
      </c>
      <c t="str" s="69" r="B9">
        <f>HYPERLINK("http://www.wormbase.org/db/gene/gene?name=WBGene00000298;class=Gene","cat-4")</f>
        <v>cat-4</v>
      </c>
      <c t="s" s="143" r="C9">
        <v>1143</v>
      </c>
      <c t="s" s="63" r="D9">
        <v>1176</v>
      </c>
      <c t="s" s="63" r="E9">
        <v>1177</v>
      </c>
      <c s="84" r="F9"/>
    </row>
    <row customHeight="1" r="10" ht="48.0">
      <c t="s" s="14" r="A10">
        <v>1178</v>
      </c>
      <c t="str" s="144" r="B10">
        <f>HYPERLINK("http://www.wormbase.org/db/gene/gene?name=WBGene00000239;class=Gene","bas-1")</f>
        <v>bas-1</v>
      </c>
      <c t="s" s="14" r="C10">
        <v>1143</v>
      </c>
      <c t="s" s="37" r="D10">
        <v>1174</v>
      </c>
      <c t="s" s="37" r="E10">
        <v>1179</v>
      </c>
      <c s="84" r="F10"/>
    </row>
    <row customHeight="1" r="11" ht="22.5">
      <c s="96" r="A11"/>
      <c s="184" r="B11"/>
      <c s="96" r="C11"/>
      <c t="s" s="11" r="D11">
        <v>1180</v>
      </c>
      <c s="11" r="E11"/>
      <c s="84" r="F11"/>
    </row>
    <row customHeight="1" r="12" ht="25.5">
      <c t="s" s="32" r="A12">
        <v>1138</v>
      </c>
      <c s="18" r="B12"/>
      <c s="18" r="C12"/>
      <c s="18" r="D12"/>
      <c s="183" r="E12"/>
      <c s="84" r="F12"/>
    </row>
    <row customHeight="1" r="13" ht="46.5">
      <c t="s" s="14" r="A13">
        <v>1181</v>
      </c>
      <c t="str" s="144" r="B13">
        <f>HYPERLINK("http://www.wormbase.org/db/gene/gene?name=WBGene00000295;class=Gene","cat-1")</f>
        <v>cat-1</v>
      </c>
      <c t="s" s="14" r="C13">
        <v>1143</v>
      </c>
      <c t="s" s="37" r="D13">
        <v>1171</v>
      </c>
      <c t="s" s="37" r="E13">
        <v>1182</v>
      </c>
      <c s="84" r="F13"/>
    </row>
    <row customHeight="1" r="14" ht="38.25">
      <c s="96" r="A14"/>
      <c s="184" r="B14"/>
      <c s="96" r="C14"/>
      <c t="s" s="11" r="D14">
        <v>1180</v>
      </c>
      <c s="11" r="E14"/>
      <c s="84" r="F14"/>
    </row>
    <row customHeight="1" r="15" ht="30.75">
      <c t="s" s="143" r="A15">
        <v>1183</v>
      </c>
      <c t="str" s="69" r="B15">
        <f>HYPERLINK("http://www.wormbase.org/db/gene/gene?name=WBGene00003387;class=Gene","mod-5")</f>
        <v>mod-5</v>
      </c>
      <c t="s" s="143" r="C15">
        <v>1155</v>
      </c>
      <c t="s" s="63" r="D15">
        <v>1155</v>
      </c>
      <c t="str" s="169" r="E15">
        <f>HYPERLINK("http://www.jneurosci.org/cgi/content/full/21/16/5871","Ranganathan et al., 2001 ")</f>
        <v>Ranganathan et al., 2001 </v>
      </c>
      <c s="84" r="F15"/>
    </row>
    <row customHeight="1" r="16" ht="14.25">
      <c t="s" s="32" r="A16">
        <v>1147</v>
      </c>
      <c s="18" r="B16"/>
      <c s="18" r="C16"/>
      <c s="18" r="D16"/>
      <c s="183" r="E16"/>
      <c s="84" r="F16"/>
    </row>
    <row customHeight="1" r="17" ht="30.0">
      <c t="s" s="143" r="A17">
        <v>1184</v>
      </c>
      <c t="str" s="69" r="B17">
        <f>HYPERLINK("http://www.wormbase.org/db/gene/gene?name=WBGene00000137;class=Gene","amx-1")</f>
        <v>amx-1</v>
      </c>
      <c t="s" s="143" r="C17">
        <v>1143</v>
      </c>
      <c t="s" s="63" r="D17">
        <v>1185</v>
      </c>
      <c t="str" s="169" r="E17">
        <f>HYPERLINK("http://www.wormbase.org/db/misc/paper?name=WBPaper00030371;class=Paper","Filkin et al., 2007")</f>
        <v>Filkin et al., 2007</v>
      </c>
      <c s="84" r="F17"/>
    </row>
    <row customHeight="1" r="18" ht="26.25">
      <c t="s" s="143" r="A18">
        <v>1186</v>
      </c>
      <c t="str" s="69" r="B18">
        <f>HYPERLINK("http://www.wormbase.org/db/gene/gene?name=WBGene00000138;class=Gene","amx-2")</f>
        <v>amx-2</v>
      </c>
      <c t="s" s="143" r="C18">
        <v>1143</v>
      </c>
      <c t="str" s="169" r="D18">
        <f>HYPERLINK("http://wormatlas.org/hermaphrodite/intestine/Intframeset.html","Intestine, neurons")</f>
        <v>Intestine, neurons</v>
      </c>
      <c t="str" s="169" r="E18">
        <f>HYPERLINK("http://www.wormbase.org/db/misc/paper?name=WBPaper00030371;class=Paper","Filkin et al., 2007")</f>
        <v>Filkin et al., 2007</v>
      </c>
      <c s="84" r="F18"/>
    </row>
    <row customHeight="1" r="19" ht="24.75">
      <c t="s" s="143" r="A19">
        <v>1186</v>
      </c>
      <c t="str" s="69" r="B19">
        <f>HYPERLINK("http://www.wormbase.org/db/gene/gene?name=WBGene00000139;class=Gene","amx-3")</f>
        <v>amx-3</v>
      </c>
      <c t="s" s="143" r="C19">
        <v>1155</v>
      </c>
      <c t="s" s="63" r="D19">
        <v>1155</v>
      </c>
      <c t="str" s="169" r="E19">
        <f>HYPERLINK("http://www.wormbase.org/db/misc/paper?name=WBPaper00030371;class=Paper","Filkin et al., 2007")</f>
        <v>Filkin et al., 2007</v>
      </c>
      <c s="84" r="F19"/>
    </row>
    <row customHeight="1" r="20" ht="33.75">
      <c t="s" s="143" r="A20">
        <v>1187</v>
      </c>
      <c t="s" s="143" r="B20">
        <v>1155</v>
      </c>
      <c t="s" s="143" r="C20">
        <v>1135</v>
      </c>
      <c t="s" s="63" r="D20">
        <v>1131</v>
      </c>
      <c t="str" s="169" r="E20">
        <f>HYPERLINK("http://www.wormbase.org/db/misc/paper?name=WBPaper00002213;class=Paper","Muimo &amp; Isaacs, 1993")</f>
        <v>Muimo &amp; Isaacs, 1993</v>
      </c>
      <c s="84" r="F20"/>
    </row>
    <row customHeight="1" r="21" ht="14.25">
      <c t="s" s="32" r="A21">
        <v>1157</v>
      </c>
      <c s="18" r="B21"/>
      <c s="18" r="C21"/>
      <c s="18" r="D21"/>
      <c s="183" r="E21"/>
      <c s="84" r="F21"/>
    </row>
    <row customHeight="1" r="22" ht="27.0">
      <c t="s" s="143" r="A22">
        <v>1188</v>
      </c>
      <c t="str" s="69" r="B22">
        <f>HYPERLINK("http://www.wormbase.org/db/gene/gene?name=WBGene00006600;class=Gene","tph-1")</f>
        <v>tph-1</v>
      </c>
      <c t="s" s="137" r="C22">
        <v>1189</v>
      </c>
      <c s="41" r="D22"/>
      <c t="str" s="169" r="E22">
        <f>HYPERLINK("http://www.wormbase.org/db/misc/paper?name=WBPaper00003903;class=Paper","Sze et al., 2000")</f>
        <v>Sze et al., 2000</v>
      </c>
      <c s="84" r="F22"/>
    </row>
    <row customHeight="1" r="23" ht="47.25">
      <c t="s" s="143" r="A23">
        <v>1190</v>
      </c>
      <c t="str" s="69" r="B23">
        <f>HYPERLINK("http://www.wormbase.org/db/gene/gene?name=WBGene00000298;class=Gene","cat-4")</f>
        <v>cat-4</v>
      </c>
      <c t="s" s="137" r="C23">
        <v>1191</v>
      </c>
      <c s="41" r="D23"/>
      <c t="s" s="63" r="E23">
        <v>1192</v>
      </c>
      <c s="84" r="F23"/>
    </row>
    <row customHeight="1" r="24" ht="72.75">
      <c t="s" s="143" r="A24">
        <v>1193</v>
      </c>
      <c t="str" s="69" r="B24">
        <f>HYPERLINK("http://www.wormbase.org/db/gene/gene?name=WBGene00000239;class=Gene","bas-1")</f>
        <v>bas-1</v>
      </c>
      <c t="s" s="137" r="C24">
        <v>1194</v>
      </c>
      <c s="41" r="D24"/>
      <c t="s" s="63" r="E24">
        <v>1195</v>
      </c>
      <c s="84" r="F24"/>
    </row>
    <row customHeight="1" r="25" ht="57.0">
      <c t="s" s="143" r="A25">
        <v>1196</v>
      </c>
      <c t="str" s="69" r="B25">
        <f>HYPERLINK("http://www.wormbase.org/db/gene/gene?name=WBGene00000295;class=Gene","cat-1")</f>
        <v>cat-1</v>
      </c>
      <c t="str" s="173" r="C25">
        <f>HYPERLINK("http://wormatlas.org/neurons/Individual%20Neurons/NSMframeset.html","Mutant lacks serotonin FIF in NSM processes, but shows increased FIF in somas; reduced serotonin immunoreactivity; see also dopamine-related phenotypes below")</f>
        <v>Mutant lacks serotonin FIF in NSM processes, but shows increased FIF in somas; reduced serotonin immunoreactivity; see also dopamine-related phenotypes below</v>
      </c>
      <c s="108" r="D25"/>
      <c t="s" s="63" r="E25">
        <v>1197</v>
      </c>
      <c s="84" r="F25"/>
    </row>
    <row customHeight="1" r="26" ht="105.0">
      <c t="s" s="143" r="A26">
        <v>1198</v>
      </c>
      <c t="str" s="69" r="B26">
        <f>HYPERLINK("http://www.wormbase.org/db/gene/gene?name=WBGene00003387;class=Gene","mod-5")</f>
        <v>mod-5</v>
      </c>
      <c t="s" s="137" r="C26">
        <v>1199</v>
      </c>
      <c s="41" r="D26"/>
      <c t="s" s="63" r="E26">
        <v>1200</v>
      </c>
      <c s="84" r="F26"/>
    </row>
    <row customHeight="1" r="27" ht="14.25">
      <c t="s" s="61" r="A27">
        <v>1165</v>
      </c>
      <c s="34" r="B27"/>
      <c s="34" r="C27"/>
      <c s="34" r="D27"/>
      <c s="176" r="E27"/>
      <c s="84" r="F27"/>
    </row>
    <row r="28">
      <c s="134" r="A28"/>
      <c s="103" r="B28"/>
      <c s="103" r="C28"/>
      <c s="103" r="D28"/>
      <c s="55" r="E28"/>
      <c s="84" r="F28"/>
    </row>
    <row r="29">
      <c t="s" s="164" r="A29">
        <v>1201</v>
      </c>
      <c s="133" r="B29"/>
      <c s="133" r="C29"/>
      <c s="133" r="D29"/>
      <c s="100" r="E29"/>
      <c s="84" r="F29"/>
    </row>
    <row r="30">
      <c t="s" s="164" r="A30">
        <v>1202</v>
      </c>
      <c s="133" r="B30"/>
      <c s="133" r="C30"/>
      <c s="133" r="D30"/>
      <c s="100" r="E30"/>
      <c s="84" r="F30"/>
    </row>
    <row r="31">
      <c t="s" s="164" r="A31">
        <v>1203</v>
      </c>
      <c s="133" r="B31"/>
      <c s="133" r="C31"/>
      <c s="133" r="D31"/>
      <c s="100" r="E31"/>
      <c s="84" r="F31"/>
    </row>
    <row r="32">
      <c t="s" s="164" r="A32">
        <v>1204</v>
      </c>
      <c s="133" r="B32"/>
      <c s="133" r="C32"/>
      <c s="133" r="D32"/>
      <c s="100" r="E32"/>
      <c s="84" r="F32"/>
    </row>
    <row r="33">
      <c s="83" r="A33"/>
      <c s="67" r="B33"/>
      <c s="67" r="C33"/>
      <c s="67" r="D33"/>
      <c s="21" r="E33"/>
      <c s="84" r="F33"/>
    </row>
  </sheetData>
  <mergeCells count="25">
    <mergeCell ref="A1:E1"/>
    <mergeCell ref="A6:E7"/>
    <mergeCell ref="A10:A11"/>
    <mergeCell ref="B10:B11"/>
    <mergeCell ref="C10:C11"/>
    <mergeCell ref="E10:E11"/>
    <mergeCell ref="A12:E12"/>
    <mergeCell ref="A13:A14"/>
    <mergeCell ref="B13:B14"/>
    <mergeCell ref="C13:C14"/>
    <mergeCell ref="E13:E14"/>
    <mergeCell ref="A16:E16"/>
    <mergeCell ref="A21:E21"/>
    <mergeCell ref="C22:D22"/>
    <mergeCell ref="C23:D23"/>
    <mergeCell ref="C24:D24"/>
    <mergeCell ref="C25:D25"/>
    <mergeCell ref="C26:D26"/>
    <mergeCell ref="A27:E27"/>
    <mergeCell ref="A28:E28"/>
    <mergeCell ref="A29:E29"/>
    <mergeCell ref="A30:E30"/>
    <mergeCell ref="A31:E31"/>
    <mergeCell ref="A32:E32"/>
    <mergeCell ref="A33:E3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7.71"/>
    <col min="2" customWidth="1" max="2" width="14.86"/>
    <col min="3" customWidth="1" max="3" width="20.86"/>
    <col min="4" customWidth="1" max="4" width="20.0"/>
    <col min="5" customWidth="1" max="5" width="52.0"/>
  </cols>
  <sheetData>
    <row customHeight="1" r="1" ht="14.25">
      <c t="s" s="32" r="A1">
        <v>1205</v>
      </c>
      <c s="18" r="B1"/>
      <c s="18" r="C1"/>
      <c s="18" r="D1"/>
      <c s="183" r="E1"/>
      <c s="84" r="F1"/>
    </row>
    <row customHeight="1" r="2" ht="28.5">
      <c t="s" s="97" r="A2">
        <v>1124</v>
      </c>
      <c t="s" s="97" r="B2">
        <v>1125</v>
      </c>
      <c t="s" s="97" r="C2">
        <v>1126</v>
      </c>
      <c t="s" s="97" r="D2">
        <v>1127</v>
      </c>
      <c t="s" s="33" r="E2">
        <v>1128</v>
      </c>
      <c s="84" r="F2"/>
    </row>
    <row customHeight="1" r="3" ht="19.5">
      <c t="s" s="143" r="A3">
        <v>1206</v>
      </c>
      <c t="s" s="143" r="B3">
        <v>1129</v>
      </c>
      <c t="s" s="143" r="C3">
        <v>1169</v>
      </c>
      <c t="s" s="63" r="D3">
        <v>1131</v>
      </c>
      <c t="str" s="169" r="E3">
        <f>HYPERLINK("http://www.wormbase.org/db/misc/paper?name=WBPaper00006389;class=Paper","Sanyal et al., 2004")</f>
        <v>Sanyal et al., 2004</v>
      </c>
      <c s="84" r="F3"/>
    </row>
    <row customHeight="1" r="4" ht="22.5">
      <c t="s" s="143" r="A4">
        <v>1206</v>
      </c>
      <c t="s" s="143" r="B4">
        <v>1129</v>
      </c>
      <c t="s" s="143" r="C4">
        <v>1170</v>
      </c>
      <c t="s" s="63" r="D4">
        <v>1207</v>
      </c>
      <c t="str" s="169" r="E4">
        <f>HYPERLINK("http://www.wormbase.org/db/misc/paper?name=WBPaper00000365;class=Paper","Sulston et al., 1975")</f>
        <v>Sulston et al., 1975</v>
      </c>
      <c s="84" r="F4"/>
    </row>
    <row customHeight="1" r="5" ht="31.5">
      <c t="s" s="32" r="A5">
        <v>1133</v>
      </c>
      <c s="18" r="B5"/>
      <c s="18" r="C5"/>
      <c s="18" r="D5"/>
      <c s="183" r="E5"/>
      <c s="84" r="F5"/>
    </row>
    <row customHeight="1" r="6" ht="112.5">
      <c s="32" r="A6"/>
      <c s="18" r="B6"/>
      <c s="18" r="C6"/>
      <c s="18" r="D6"/>
      <c s="183" r="E6"/>
      <c s="84" r="F6"/>
    </row>
    <row customHeight="1" r="7" ht="22.5">
      <c t="s" s="143" r="A7">
        <v>1208</v>
      </c>
      <c t="str" s="69" r="B7">
        <f>HYPERLINK("http://www.wormbase.org/db/gene/gene?name=WBGene00000296;class=Gene","cat-2")</f>
        <v>cat-2</v>
      </c>
      <c t="s" s="143" r="C7">
        <v>1143</v>
      </c>
      <c t="s" s="63" r="D7">
        <v>1209</v>
      </c>
      <c t="s" s="63" r="E7">
        <v>1210</v>
      </c>
      <c s="84" r="F7"/>
    </row>
    <row customHeight="1" r="8" ht="67.5">
      <c t="s" s="143" r="A8">
        <v>1211</v>
      </c>
      <c t="str" s="69" r="B8">
        <f>HYPERLINK("http://www.wormbase.org/db/gene/gene?name=WBGene00000298;class=Gene","cat-4")</f>
        <v>cat-4</v>
      </c>
      <c t="s" s="143" r="C8">
        <v>1143</v>
      </c>
      <c t="s" s="63" r="D8">
        <v>1212</v>
      </c>
      <c t="s" s="63" r="E8">
        <v>1177</v>
      </c>
      <c s="84" r="F8"/>
    </row>
    <row customHeight="1" r="9" ht="45.0">
      <c t="s" s="143" r="A9">
        <v>1213</v>
      </c>
      <c t="str" s="69" r="B9">
        <f>HYPERLINK("http://www.wormbase.org/db/gene/gene?name=WBGene00000239;class=Gene","bas-1")</f>
        <v>bas-1</v>
      </c>
      <c t="s" s="143" r="C9">
        <v>1143</v>
      </c>
      <c t="s" s="63" r="D9">
        <v>1212</v>
      </c>
      <c t="s" s="63" r="E9">
        <v>1179</v>
      </c>
      <c s="84" r="F9"/>
    </row>
    <row customHeight="1" r="10" ht="14.25">
      <c t="s" s="32" r="A10">
        <v>1138</v>
      </c>
      <c s="18" r="B10"/>
      <c s="18" r="C10"/>
      <c s="18" r="D10"/>
      <c s="183" r="E10"/>
      <c s="84" r="F10"/>
    </row>
    <row customHeight="1" r="11" ht="58.5">
      <c t="s" s="143" r="A11">
        <v>1181</v>
      </c>
      <c t="str" s="69" r="B11">
        <f>HYPERLINK("http://www.wormbase.org/db/gene/gene?name=WBGene00000295;class=Gene","cat-1")</f>
        <v>cat-1</v>
      </c>
      <c t="s" s="143" r="C11">
        <v>1143</v>
      </c>
      <c t="s" s="63" r="D11">
        <v>1212</v>
      </c>
      <c t="s" s="63" r="E11">
        <v>1182</v>
      </c>
      <c s="84" r="F11"/>
    </row>
    <row customHeight="1" r="12" ht="31.5">
      <c t="s" s="143" r="A12">
        <v>1214</v>
      </c>
      <c t="str" s="69" r="B12">
        <f>HYPERLINK("http://www.wormbase.org/db/gene/gene?name=WBGene00000934;class=Gene","dat-1")</f>
        <v>dat-1</v>
      </c>
      <c t="s" s="143" r="C12">
        <v>1143</v>
      </c>
      <c t="s" s="63" r="D12">
        <v>1209</v>
      </c>
      <c t="s" s="63" r="E12">
        <v>1215</v>
      </c>
      <c s="84" r="F12"/>
    </row>
    <row customHeight="1" r="13" ht="33.0">
      <c t="s" s="143" r="A13">
        <v>1214</v>
      </c>
      <c t="str" s="69" r="B13">
        <f>HYPERLINK("http://www.wormbase.org/db/gene/gene?name=WBGene00000934;class=Gene","dat-1")</f>
        <v>dat-1</v>
      </c>
      <c t="s" s="143" r="C13">
        <v>1136</v>
      </c>
      <c t="s" s="63" r="D13">
        <v>1209</v>
      </c>
      <c t="str" s="169" r="E13">
        <f>HYPERLINK("http://www.wormbase.org/db/misc/paper?name=WBPaper00031346;class=Paper","McDonald et al, 2007")</f>
        <v>McDonald et al, 2007</v>
      </c>
      <c s="84" r="F13"/>
    </row>
    <row customHeight="1" r="14" ht="14.25">
      <c t="s" s="32" r="A14">
        <v>1216</v>
      </c>
      <c s="18" r="B14"/>
      <c s="18" r="C14"/>
      <c s="18" r="D14"/>
      <c s="183" r="E14"/>
      <c s="84" r="F14"/>
    </row>
    <row customHeight="1" r="15" ht="14.25">
      <c t="s" s="32" r="A15">
        <v>1157</v>
      </c>
      <c s="18" r="B15"/>
      <c s="18" r="C15"/>
      <c s="18" r="D15"/>
      <c s="183" r="E15"/>
      <c s="84" r="F15"/>
    </row>
    <row customHeight="1" r="16" ht="39.75">
      <c t="s" s="143" r="A16">
        <v>1206</v>
      </c>
      <c t="s" s="59" r="B16">
        <v>1217</v>
      </c>
      <c t="s" s="137" r="C16">
        <v>1218</v>
      </c>
      <c s="41" r="D16"/>
      <c t="str" s="169" r="E16">
        <f>HYPERLINK("http://www.wormbase.org/db/misc/paper?name=WBPaper00006389;class=Paper","Sanyal et al., 2004")</f>
        <v>Sanyal et al., 2004</v>
      </c>
      <c s="84" r="F16"/>
    </row>
    <row customHeight="1" r="17" ht="33.75">
      <c t="s" s="143" r="A17">
        <v>1190</v>
      </c>
      <c t="str" s="69" r="B17">
        <f>HYPERLINK("http://www.wormbase.org/db/gene/gene?name=WBGene00000298;class=Gene","cat-4")</f>
        <v>cat-4</v>
      </c>
      <c t="s" s="137" r="C17">
        <v>1219</v>
      </c>
      <c s="41" r="D17"/>
      <c t="s" s="63" r="E17">
        <v>1220</v>
      </c>
      <c s="84" r="F17"/>
    </row>
    <row customHeight="1" r="18" ht="21.0">
      <c t="s" s="143" r="A18">
        <v>1221</v>
      </c>
      <c t="str" s="69" r="B18">
        <f>HYPERLINK("http://www.wormbase.org/db/gene/gene?name=WBGene00000296;class=Gene","cat-2")</f>
        <v>cat-2</v>
      </c>
      <c t="s" s="137" r="C18">
        <v>1222</v>
      </c>
      <c s="41" r="D18"/>
      <c t="str" s="169" r="E18">
        <f>HYPERLINK("http://www.wormbase.org/db/misc/paper?name=WBPaper00000365;class=Paper","Sulston et al., 1975")</f>
        <v>Sulston et al., 1975</v>
      </c>
      <c s="84" r="F18"/>
    </row>
    <row customHeight="1" r="19" ht="57.0">
      <c t="s" s="143" r="A19">
        <v>1193</v>
      </c>
      <c t="str" s="69" r="B19">
        <f>HYPERLINK("http://www.wormbase.org/db/gene/gene?name=WBGene00000239;class=Gene","bas-1")</f>
        <v>bas-1</v>
      </c>
      <c t="s" s="137" r="C19">
        <v>1223</v>
      </c>
      <c s="41" r="D19"/>
      <c t="s" s="63" r="E19">
        <v>1224</v>
      </c>
      <c s="84" r="F19"/>
    </row>
    <row customHeight="1" r="20" ht="57.75">
      <c t="s" s="143" r="A20">
        <v>1196</v>
      </c>
      <c t="str" s="69" r="B20">
        <f>HYPERLINK("http://www.wormbase.org/db/gene/gene?name=WBGene00000295;class=Gene","cat-1")</f>
        <v>cat-1</v>
      </c>
      <c t="s" s="137" r="C20">
        <v>1225</v>
      </c>
      <c s="41" r="D20"/>
      <c t="str" s="169" r="E20">
        <f>HYPERLINK("http://www.wormbase.org/db/misc/paper?name=WBPaper00000365;class=Paper","Sulston et al., 1975")</f>
        <v>Sulston et al., 1975</v>
      </c>
      <c s="84" r="F20"/>
    </row>
  </sheetData>
  <mergeCells count="10">
    <mergeCell ref="A1:E1"/>
    <mergeCell ref="A5:E6"/>
    <mergeCell ref="A10:E10"/>
    <mergeCell ref="A14:E14"/>
    <mergeCell ref="A15:E15"/>
    <mergeCell ref="C16:D16"/>
    <mergeCell ref="C17:D17"/>
    <mergeCell ref="C18:D18"/>
    <mergeCell ref="C19:D19"/>
    <mergeCell ref="C20:D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6.86"/>
    <col min="2" customWidth="1" max="2" width="13.71"/>
    <col min="3" customWidth="1" max="3" width="18.0"/>
    <col min="4" customWidth="1" max="4" width="24.71"/>
    <col min="5" customWidth="1" max="5" width="37.29"/>
  </cols>
  <sheetData>
    <row customHeight="1" r="1" ht="14.25">
      <c t="s" s="32" r="A1">
        <v>751</v>
      </c>
      <c s="18" r="B1"/>
      <c s="18" r="C1"/>
      <c s="18" r="D1"/>
      <c s="183" r="E1"/>
      <c s="84" r="F1"/>
    </row>
    <row customHeight="1" r="2" ht="71.25">
      <c t="s" s="97" r="A2">
        <v>1124</v>
      </c>
      <c t="s" s="97" r="B2">
        <v>1125</v>
      </c>
      <c t="s" s="97" r="C2">
        <v>1126</v>
      </c>
      <c t="s" s="97" r="D2">
        <v>1127</v>
      </c>
      <c t="s" s="33" r="E2">
        <v>1128</v>
      </c>
      <c s="84" r="F2"/>
    </row>
    <row customHeight="1" r="3" ht="25.5">
      <c t="s" s="143" r="A3">
        <v>1226</v>
      </c>
      <c t="s" s="143" r="B3">
        <v>1129</v>
      </c>
      <c t="s" s="143" r="C3">
        <v>1227</v>
      </c>
      <c t="s" s="63" r="D3">
        <v>1131</v>
      </c>
      <c t="str" s="169" r="E3">
        <f>HYPERLINK("http://www.wormbase.org/db/misc/paper?name=WBPaper00025096;class=Paper","Alkema et al., 2005 ")</f>
        <v>Alkema et al., 2005 </v>
      </c>
      <c s="84" r="F3"/>
    </row>
    <row customHeight="1" r="4" ht="30.0">
      <c t="s" s="32" r="A4">
        <v>1133</v>
      </c>
      <c s="18" r="B4"/>
      <c s="18" r="C4"/>
      <c s="18" r="D4"/>
      <c s="183" r="E4"/>
      <c s="84" r="F4"/>
    </row>
    <row customHeight="1" r="5" ht="137.25">
      <c s="32" r="A5"/>
      <c s="18" r="B5"/>
      <c s="18" r="C5"/>
      <c s="18" r="D5"/>
      <c s="183" r="E5"/>
      <c s="84" r="F5"/>
    </row>
    <row customHeight="1" r="6" ht="48.75">
      <c t="s" s="143" r="A6">
        <v>1228</v>
      </c>
      <c t="str" s="69" r="B6">
        <f>HYPERLINK("http://www.wormbase.org/db/gene/gene?name=WBGene00006562;class=Gene","tdc-1")</f>
        <v>tdc-1</v>
      </c>
      <c t="s" s="143" r="C6">
        <v>1229</v>
      </c>
      <c t="str" s="169" r="D6">
        <f>HYPERLINK("http://wormatlas.org/neurons/Individual%20Neurons/RICframeset.html","RIM, UV1")</f>
        <v>RIM, UV1</v>
      </c>
      <c t="str" s="169" r="E6">
        <f>HYPERLINK("http://www.wormbase.org/db/misc/paper?name=WBPaper00025096;class=Paper","Alkema et al., 2005 ")</f>
        <v>Alkema et al., 2005 </v>
      </c>
      <c s="84" r="F6"/>
    </row>
    <row customHeight="1" r="7" ht="25.5">
      <c t="s" s="32" r="A7">
        <v>1230</v>
      </c>
      <c s="18" r="B7"/>
      <c s="18" r="C7"/>
      <c s="18" r="D7"/>
      <c s="183" r="E7"/>
      <c s="84" r="F7"/>
    </row>
    <row customHeight="1" r="8" ht="25.5">
      <c t="s" s="32" r="A8">
        <v>1231</v>
      </c>
      <c s="18" r="B8"/>
      <c s="18" r="C8"/>
      <c s="18" r="D8"/>
      <c s="183" r="E8"/>
      <c s="84" r="F8"/>
    </row>
    <row customHeight="1" r="9" ht="14.25">
      <c t="s" s="32" r="A9">
        <v>1157</v>
      </c>
      <c s="18" r="B9"/>
      <c s="18" r="C9"/>
      <c s="18" r="D9"/>
      <c s="183" r="E9"/>
      <c s="84" r="F9"/>
    </row>
    <row customHeight="1" r="10" ht="25.5">
      <c t="s" s="143" r="A10">
        <v>1226</v>
      </c>
      <c t="str" s="69" r="B10">
        <f>HYPERLINK("http://www.wormbase.org/db/gene/gene?name=WBGene00006562;class=Gene","tdc-1")</f>
        <v>tdc-1</v>
      </c>
      <c t="s" s="137" r="C10">
        <v>1232</v>
      </c>
      <c s="41" r="D10"/>
      <c t="str" s="169" r="E10">
        <f>HYPERLINK("http://www.wormbase.org/db/misc/paper?name=WBPaper00025096;class=Paper","Alkema et al., 2005")</f>
        <v>Alkema et al., 2005</v>
      </c>
      <c s="84" r="F10"/>
    </row>
    <row r="11">
      <c s="77" r="A11"/>
      <c s="77" r="B11"/>
      <c s="77" r="C11"/>
      <c s="77" r="D11"/>
      <c s="77" r="E11"/>
      <c s="87" r="F11"/>
    </row>
    <row r="12">
      <c s="87" r="A12"/>
      <c s="87" r="B12"/>
      <c s="87" r="C12"/>
      <c s="87" r="D12"/>
      <c s="87" r="E12"/>
      <c s="87" r="F12"/>
    </row>
    <row r="13">
      <c s="87" r="A13"/>
      <c s="87" r="B13"/>
      <c s="87" r="C13"/>
      <c s="87" r="D13"/>
      <c s="87" r="E13"/>
      <c s="87" r="F13"/>
    </row>
    <row r="14">
      <c s="87" r="A14"/>
      <c s="87" r="B14"/>
      <c s="87" r="C14"/>
      <c s="87" r="D14"/>
      <c s="87" r="E14"/>
      <c s="87" r="F14"/>
    </row>
    <row r="15">
      <c s="87" r="A15"/>
      <c s="87" r="B15"/>
      <c s="87" r="C15"/>
      <c s="87" r="D15"/>
      <c s="87" r="E15"/>
      <c s="87" r="F15"/>
    </row>
    <row r="16">
      <c s="87" r="A16"/>
      <c s="87" r="B16"/>
      <c s="87" r="C16"/>
      <c s="87" r="D16"/>
      <c s="87" r="E16"/>
      <c s="87" r="F16"/>
    </row>
    <row r="17">
      <c s="87" r="A17"/>
      <c s="87" r="B17"/>
      <c s="87" r="C17"/>
      <c s="87" r="D17"/>
      <c s="87" r="E17"/>
      <c s="87" r="F17"/>
    </row>
    <row r="18">
      <c s="87" r="A18"/>
      <c s="87" r="B18"/>
      <c s="87" r="C18"/>
      <c s="87" r="D18"/>
      <c s="87" r="E18"/>
      <c s="87" r="F18"/>
    </row>
    <row r="19">
      <c s="87" r="A19"/>
      <c s="87" r="B19"/>
      <c s="87" r="C19"/>
      <c s="87" r="D19"/>
      <c s="87" r="E19"/>
      <c s="87" r="F19"/>
    </row>
    <row r="20">
      <c s="87" r="A20"/>
      <c s="87" r="B20"/>
      <c s="87" r="C20"/>
      <c s="87" r="D20"/>
      <c s="87" r="E20"/>
      <c s="87" r="F20"/>
    </row>
  </sheetData>
  <mergeCells count="6">
    <mergeCell ref="A1:E1"/>
    <mergeCell ref="A4:E5"/>
    <mergeCell ref="A7:E7"/>
    <mergeCell ref="A8:E8"/>
    <mergeCell ref="A9:E9"/>
    <mergeCell ref="C10:D1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6.43"/>
    <col min="2" customWidth="1" max="2" width="17.86"/>
    <col min="3" customWidth="1" max="3" width="19.57"/>
    <col min="4" customWidth="1" max="4" width="18.0"/>
    <col min="5" customWidth="1" max="5" width="53.57"/>
  </cols>
  <sheetData>
    <row customHeight="1" r="1" ht="14.25">
      <c t="s" s="32" r="A1">
        <v>735</v>
      </c>
      <c s="18" r="B1"/>
      <c s="18" r="C1"/>
      <c s="18" r="D1"/>
      <c s="183" r="E1"/>
      <c s="84" r="F1"/>
    </row>
    <row customHeight="1" r="2" ht="71.25">
      <c t="s" s="97" r="A2">
        <v>1124</v>
      </c>
      <c t="s" s="97" r="B2">
        <v>1125</v>
      </c>
      <c t="s" s="97" r="C2">
        <v>1126</v>
      </c>
      <c t="s" s="97" r="D2">
        <v>1127</v>
      </c>
      <c t="s" s="33" r="E2">
        <v>1128</v>
      </c>
      <c s="84" r="F2"/>
    </row>
    <row customHeight="1" r="3" ht="35.25">
      <c t="s" s="143" r="A3">
        <v>1233</v>
      </c>
      <c t="s" s="143" r="B3">
        <v>1129</v>
      </c>
      <c t="s" s="143" r="C3">
        <v>1234</v>
      </c>
      <c t="s" s="63" r="D3">
        <v>1131</v>
      </c>
      <c t="str" s="169" r="E3">
        <f>HYPERLINK("http://www.wormbase.org/db/misc/paper?name=WBPaper00000552;class=Paper","Horvitz et al., 1982")</f>
        <v>Horvitz et al., 1982</v>
      </c>
      <c s="84" r="F3"/>
    </row>
    <row customHeight="1" r="4" ht="25.5">
      <c t="s" s="143" r="A4">
        <v>1233</v>
      </c>
      <c t="s" s="143" r="B4">
        <v>1129</v>
      </c>
      <c t="s" s="143" r="C4">
        <v>1169</v>
      </c>
      <c t="s" s="63" r="D4">
        <v>1131</v>
      </c>
      <c t="str" s="169" r="E4">
        <f>HYPERLINK("http://www.wormbase.org/db/misc/paper?name=WBPaper00025096;class=Paper","Alkema et al., 2005 ")</f>
        <v>Alkema et al., 2005 </v>
      </c>
      <c s="84" r="F4"/>
    </row>
    <row customHeight="1" r="5" ht="30.0">
      <c t="s" s="32" r="A5">
        <v>1133</v>
      </c>
      <c s="18" r="B5"/>
      <c s="18" r="C5"/>
      <c s="18" r="D5"/>
      <c s="183" r="E5"/>
      <c s="84" r="F5"/>
    </row>
    <row r="6">
      <c s="32" r="A6"/>
      <c s="18" r="B6"/>
      <c s="18" r="C6"/>
      <c s="18" r="D6"/>
      <c s="183" r="E6"/>
      <c s="84" r="F6"/>
    </row>
    <row customHeight="1" r="7" ht="124.5">
      <c t="s" s="143" r="A7">
        <v>1228</v>
      </c>
      <c t="str" s="69" r="B7">
        <f>HYPERLINK("http://www.wormbase.org/db/gene/gene?name=WBGene00006562;class=Gene","tdc-1")</f>
        <v>tdc-1</v>
      </c>
      <c t="s" s="143" r="C7">
        <v>1229</v>
      </c>
      <c t="s" s="63" r="D7">
        <v>1235</v>
      </c>
      <c t="str" s="169" r="E7">
        <f>HYPERLINK("http://www.wormbase.org/db/misc/paper?name=WBPaper00025096;class=Paper","Alkema et al., 2005 ")</f>
        <v>Alkema et al., 2005 </v>
      </c>
      <c s="84" r="F7"/>
    </row>
    <row customHeight="1" r="8" ht="45.0">
      <c t="s" s="143" r="A8">
        <v>1228</v>
      </c>
      <c t="str" s="69" r="B8">
        <f>HYPERLINK("http://www.wormbase.org/db/gene/gene?name=WBGene00006562;class=Gene","tdc-1")</f>
        <v>tdc-1</v>
      </c>
      <c t="s" s="143" r="C8">
        <v>1135</v>
      </c>
      <c t="s" s="63" r="D8">
        <v>1236</v>
      </c>
      <c t="str" s="169" r="E8">
        <f>HYPERLINK("http://www.wormbase.org/db/misc/paper?name=WBPaper00025096;class=Paper","Alkema et al., 2005 ")</f>
        <v>Alkema et al., 2005 </v>
      </c>
      <c s="84" r="F8"/>
    </row>
    <row customHeight="1" r="9" ht="45.0">
      <c t="s" s="143" r="A9">
        <v>1237</v>
      </c>
      <c t="str" s="69" r="B9">
        <f>HYPERLINK("http://www.wormbase.org/db/gene/gene?name=WBGene00006541;class=Gene","tbh-1")</f>
        <v>tbh-1</v>
      </c>
      <c t="s" s="143" r="C9">
        <v>1229</v>
      </c>
      <c t="s" s="63" r="D9">
        <v>1235</v>
      </c>
      <c t="str" s="169" r="E9">
        <f>HYPERLINK("http://www.wormbase.org/db/misc/paper?name=WBPaper00025096;class=Paper","Alkema et al., 2005 ")</f>
        <v>Alkema et al., 2005 </v>
      </c>
      <c s="84" r="F9"/>
    </row>
    <row customHeight="1" r="10" ht="25.5">
      <c t="s" s="32" r="A10">
        <v>1230</v>
      </c>
      <c s="18" r="B10"/>
      <c s="18" r="C10"/>
      <c s="18" r="D10"/>
      <c s="183" r="E10"/>
      <c s="84" r="F10"/>
    </row>
    <row customHeight="1" r="11" ht="25.5">
      <c t="s" s="32" r="A11">
        <v>1231</v>
      </c>
      <c s="18" r="B11"/>
      <c s="18" r="C11"/>
      <c s="18" r="D11"/>
      <c s="183" r="E11"/>
      <c s="84" r="F11"/>
    </row>
    <row customHeight="1" r="12" ht="14.25">
      <c t="s" s="32" r="A12">
        <v>1157</v>
      </c>
      <c s="18" r="B12"/>
      <c s="18" r="C12"/>
      <c s="18" r="D12"/>
      <c s="183" r="E12"/>
      <c s="84" r="F12"/>
    </row>
    <row customHeight="1" r="13" ht="33.75">
      <c t="s" s="143" r="A13">
        <v>1233</v>
      </c>
      <c t="s" s="59" r="B13">
        <v>1238</v>
      </c>
      <c t="s" s="137" r="C13">
        <v>1239</v>
      </c>
      <c s="41" r="D13"/>
      <c t="str" s="169" r="E13">
        <f>HYPERLINK("http://www.wormbase.org/db/misc/paper?name=WBPaper00025096;class=Paper","Alkema et al., 2005")</f>
        <v>Alkema et al., 2005</v>
      </c>
      <c s="84" r="F13"/>
    </row>
    <row customHeight="1" r="14" ht="33.75">
      <c t="s" s="143" r="A14">
        <v>1240</v>
      </c>
      <c t="str" s="69" r="B14">
        <f>HYPERLINK("http://www.wormbase.org/db/gene/gene?name=WBGene00006562;class=Gene","tdc-1")</f>
        <v>tdc-1</v>
      </c>
      <c t="s" s="137" r="C14">
        <v>1241</v>
      </c>
      <c s="41" r="D14"/>
      <c t="str" s="169" r="E14">
        <f>HYPERLINK("http://www.wormbase.org/db/misc/paper?name=WBPaper00025096;class=Paper","Alkema et al., 2005")</f>
        <v>Alkema et al., 2005</v>
      </c>
      <c s="84" r="F14"/>
    </row>
    <row customHeight="1" r="15" ht="25.5">
      <c t="s" s="143" r="A15">
        <v>1240</v>
      </c>
      <c t="str" s="69" r="B15">
        <f>HYPERLINK("http://www.wormbase.org/db/gene/gene?name=WBGene00006562;class=Gene","tdc-1")</f>
        <v>tdc-1</v>
      </c>
      <c t="s" s="137" r="C15">
        <v>1242</v>
      </c>
      <c s="41" r="D15"/>
      <c t="str" s="169" r="E15">
        <f>HYPERLINK("http://www.wormbase.org/db/misc/paper?name=WBPaper00025096;class=Paper","Alkema et al., 2005")</f>
        <v>Alkema et al., 2005</v>
      </c>
      <c s="84" r="F15"/>
    </row>
    <row customHeight="1" r="16" ht="25.5">
      <c t="s" s="143" r="A16">
        <v>1243</v>
      </c>
      <c t="str" s="69" r="B16">
        <f>HYPERLINK("http://www.wormbase.org/db/gene/gene?name=WBGene00006541;class=Gene","tbh-1")</f>
        <v>tbh-1</v>
      </c>
      <c t="s" s="137" r="C16">
        <v>1244</v>
      </c>
      <c s="41" r="D16"/>
      <c t="str" s="169" r="E16">
        <f>HYPERLINK("http://www.wormbase.org/db/misc/paper?name=WBPaper00025096;class=Paper","Alkema et al., 2005")</f>
        <v>Alkema et al., 2005</v>
      </c>
      <c s="84" r="F16"/>
    </row>
    <row customHeight="1" r="17" ht="14.25">
      <c t="s" s="61" r="A17">
        <v>1165</v>
      </c>
      <c s="34" r="B17"/>
      <c s="34" r="C17"/>
      <c s="34" r="D17"/>
      <c s="176" r="E17"/>
      <c s="84" r="F17"/>
    </row>
    <row r="18">
      <c s="134" r="A18"/>
      <c s="103" r="B18"/>
      <c s="103" r="C18"/>
      <c s="103" r="D18"/>
      <c s="55" r="E18"/>
      <c s="84" r="F18"/>
    </row>
    <row r="19">
      <c t="str" s="162" r="A19">
        <f>HYPERLINK("http://dx.doi.org/10.1111/j.1471-4159.1978.tb12393.x","1 Method of P.D. Evans, 1978")</f>
        <v>1 Method of P.D. Evans, 1978</v>
      </c>
      <c s="81" r="B19"/>
      <c s="81" r="C19"/>
      <c s="81" r="D19"/>
      <c s="165" r="E19"/>
      <c s="84" r="F19"/>
    </row>
    <row r="20">
      <c s="36" r="A20"/>
      <c s="163" r="B20"/>
      <c s="163" r="C20"/>
      <c s="163" r="D20"/>
      <c s="70" r="E20"/>
      <c s="84" r="F20"/>
    </row>
  </sheetData>
  <mergeCells count="13">
    <mergeCell ref="A1:E1"/>
    <mergeCell ref="A5:E6"/>
    <mergeCell ref="A10:E10"/>
    <mergeCell ref="A11:E11"/>
    <mergeCell ref="A12:E12"/>
    <mergeCell ref="C13:D13"/>
    <mergeCell ref="C14:D14"/>
    <mergeCell ref="C15:D15"/>
    <mergeCell ref="C16:D16"/>
    <mergeCell ref="A17:E17"/>
    <mergeCell ref="A18:E18"/>
    <mergeCell ref="A19:E19"/>
    <mergeCell ref="A20:E2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18.57"/>
    <col min="2" customWidth="1" max="2" width="14.43"/>
    <col min="3" customWidth="1" max="3" width="20.14"/>
    <col min="4" customWidth="1" max="4" width="20.29"/>
    <col min="5" customWidth="1" max="5" width="20.14"/>
  </cols>
  <sheetData>
    <row customHeight="1" r="1" ht="14.25">
      <c t="s" s="32" r="A1">
        <v>1245</v>
      </c>
      <c s="18" r="B1"/>
      <c s="18" r="C1"/>
      <c s="18" r="D1"/>
      <c s="183" r="E1"/>
      <c s="84" r="F1"/>
    </row>
    <row customHeight="1" r="2" ht="28.5">
      <c t="s" s="97" r="A2">
        <v>1124</v>
      </c>
      <c t="s" s="97" r="B2">
        <v>1125</v>
      </c>
      <c t="s" s="97" r="C2">
        <v>1126</v>
      </c>
      <c t="s" s="97" r="D2">
        <v>1127</v>
      </c>
      <c t="s" s="33" r="E2">
        <v>1128</v>
      </c>
      <c s="84" r="F2"/>
    </row>
    <row customHeight="1" r="3" ht="14.25">
      <c t="s" s="32" r="A3">
        <v>1138</v>
      </c>
      <c s="18" r="B3"/>
      <c s="18" r="C3"/>
      <c s="18" r="D3"/>
      <c s="183" r="E3"/>
      <c s="84" r="F3"/>
    </row>
    <row customHeight="1" r="4" ht="67.5">
      <c t="s" s="143" r="A4">
        <v>1246</v>
      </c>
      <c t="str" s="69" r="B4">
        <f>HYPERLINK("http://www.wormbase.org/db/gene/gene?name=WBGene00001135;class=Gene","eat-4")</f>
        <v>eat-4</v>
      </c>
      <c t="s" s="143" r="C4">
        <v>1143</v>
      </c>
      <c t="s" s="63" r="D4">
        <v>1247</v>
      </c>
      <c t="s" s="63" r="E4">
        <v>1248</v>
      </c>
      <c s="84" r="F4"/>
    </row>
    <row customHeight="1" r="5" ht="33.75">
      <c t="s" s="143" r="A5">
        <v>1249</v>
      </c>
      <c t="str" s="69" r="B5">
        <f>HYPERLINK("http://www.wormbase.org/db/gene/gene?name=WBGene00001620;class=Gene","glt-12")</f>
        <v>glt-12</v>
      </c>
      <c t="s" s="143" r="C5">
        <v>1143</v>
      </c>
      <c t="s" s="63" r="D5">
        <v>1250</v>
      </c>
      <c t="str" s="169" r="E5">
        <f>HYPERLINK("http://www.wormbase.org/db/misc/paper?name=WBPaper00030901;class=Paper","Mano et al., 2007")</f>
        <v>Mano et al., 2007</v>
      </c>
      <c s="84" r="F5"/>
    </row>
    <row customHeight="1" r="6" ht="22.5">
      <c t="s" s="143" r="A6">
        <v>1251</v>
      </c>
      <c t="str" s="69" r="B6">
        <f>HYPERLINK("http://www.wormbase.org/db/gene/gene?name=WBGene00001620;class=Gene","glt-3")</f>
        <v>glt-3</v>
      </c>
      <c t="s" s="143" r="C6">
        <v>1143</v>
      </c>
      <c t="s" s="63" r="D6">
        <v>1252</v>
      </c>
      <c t="str" s="169" r="E6">
        <f>HYPERLINK("http://www.wormbase.org/db/misc/paper?name=WBPaper00030901;class=Paper","Mano et al., 2007")</f>
        <v>Mano et al., 2007</v>
      </c>
      <c s="84" r="F6"/>
    </row>
    <row r="7">
      <c t="s" s="143" r="A7">
        <v>1251</v>
      </c>
      <c t="str" s="69" r="B7">
        <f>HYPERLINK("http://www.wormbase.org/db/gene/gene?name=WBGene00001620;class=Gene","glt-4")</f>
        <v>glt-4</v>
      </c>
      <c t="s" s="143" r="C7">
        <v>1143</v>
      </c>
      <c t="s" s="63" r="D7">
        <v>1253</v>
      </c>
      <c t="str" s="169" r="E7">
        <f>HYPERLINK("http://www.wormbase.org/db/misc/paper?name=WBPaper00030901;class=Paper","Mano et al., 2007")</f>
        <v>Mano et al., 2007</v>
      </c>
      <c s="84" r="F7"/>
    </row>
    <row r="8">
      <c t="s" s="143" r="A8">
        <v>1251</v>
      </c>
      <c t="str" s="69" r="B8">
        <f>HYPERLINK("http://www.wormbase.org/db/gene/gene?name=WBGene00001620;class=Gene","glt-5")</f>
        <v>glt-5</v>
      </c>
      <c t="s" s="143" r="C8">
        <v>1143</v>
      </c>
      <c t="str" s="169" r="D8">
        <f>HYPERLINK("http://wormatlas.org/hermaphrodite/pharynx/Phaframeset.html","Pharynx ")</f>
        <v>Pharynx </v>
      </c>
      <c t="str" s="169" r="E8">
        <f>HYPERLINK("http://www.wormbase.org/db/misc/paper?name=WBPaper00030901;class=Paper","Mano et al., 2007")</f>
        <v>Mano et al., 2007</v>
      </c>
      <c s="84" r="F8"/>
    </row>
    <row customHeight="1" r="9" ht="22.5">
      <c t="s" s="143" r="A9">
        <v>1251</v>
      </c>
      <c t="str" s="69" r="B9">
        <f>HYPERLINK("http://www.wormbase.org/db/gene/gene?name=WBGene00001620;class=Gene","glt-6")</f>
        <v>glt-6</v>
      </c>
      <c t="s" s="143" r="C9">
        <v>1143</v>
      </c>
      <c t="s" s="63" r="D9">
        <v>1252</v>
      </c>
      <c t="str" s="169" r="E9">
        <f>HYPERLINK("http://www.wormbase.org/db/misc/paper?name=WBPaper00030901;class=Paper","Mano et al., 2007")</f>
        <v>Mano et al., 2007</v>
      </c>
      <c s="84" r="F9"/>
    </row>
    <row r="10">
      <c t="s" s="143" r="A10">
        <v>1251</v>
      </c>
      <c t="str" s="69" r="B10">
        <f>HYPERLINK("http://www.wormbase.org/db/gene/gene?name=WBGene00001620;class=Gene","glt-7")</f>
        <v>glt-7</v>
      </c>
      <c t="s" s="143" r="C10">
        <v>1143</v>
      </c>
      <c t="str" s="169" r="D10">
        <f>HYPERLINK("http://wormatlas.org/hermaphrodite/excretory/jump.html?newLink=mainframe.htm&amp;newAnchor=Excretorycell2","Excretory canal cell")</f>
        <v>Excretory canal cell</v>
      </c>
      <c t="str" s="169" r="E10">
        <f>HYPERLINK("http://www.wormbase.org/db/misc/paper?name=WBPaper00030901;class=Paper","Mano et al., 2007")</f>
        <v>Mano et al., 2007</v>
      </c>
      <c s="84" r="F10"/>
    </row>
    <row r="11">
      <c t="s" s="13" r="A11">
        <v>1165</v>
      </c>
      <c s="102" r="B11"/>
      <c s="102" r="C11"/>
      <c s="102" r="D11"/>
      <c s="179" r="E11"/>
      <c s="84" r="F11"/>
    </row>
    <row r="12">
      <c s="134" r="A12"/>
      <c s="103" r="B12"/>
      <c s="103" r="C12"/>
      <c s="103" r="D12"/>
      <c s="55" r="E12"/>
      <c s="84" r="F12"/>
    </row>
    <row r="13">
      <c t="str" s="162" r="A13">
        <f>HYPERLINK("http://www.wormbase.org/db/gene/gene?name=WBGene00001135;class=Gene","1 EAT-4 is similar to mammalian brain-specific, sodium-dependent inorganic phosphate transporter (BNPI), now believed to act as a vesicular glutamate transporter.")</f>
        <v>1 EAT-4 is similar to mammalian brain-specific, sodium-dependent inorganic phosphate transporter (BNPI), now believed to act as a vesicular glutamate transporter.</v>
      </c>
      <c s="81" r="B13"/>
      <c s="81" r="C13"/>
      <c s="81" r="D13"/>
      <c s="165" r="E13"/>
      <c s="84" r="F13"/>
    </row>
    <row r="14">
      <c t="str" s="162" r="A14">
        <f>HYPERLINK("http://www.wormbase.org/db/gene/gene?name=WBGene00001620;class=Gene","2 There is no glt-2 (the sequence originally named glt-2 was found to be a splice variant of glt-1), although all glt genes are listed here, it seems unlikely that all are involved in neuronal glutamate use.")</f>
        <v>2 There is no glt-2 (the sequence originally named glt-2 was found to be a splice variant of glt-1), although all glt genes are listed here, it seems unlikely that all are involved in neuronal glutamate use.</v>
      </c>
      <c s="81" r="B14"/>
      <c s="81" r="C14"/>
      <c s="81" r="D14"/>
      <c s="165" r="E14"/>
      <c s="84" r="F14"/>
    </row>
    <row r="15">
      <c s="36" r="A15"/>
      <c s="163" r="B15"/>
      <c s="163" r="C15"/>
      <c s="163" r="D15"/>
      <c s="70" r="E15"/>
      <c s="84" r="F15"/>
    </row>
    <row r="16">
      <c s="77" r="A16"/>
      <c s="77" r="B16"/>
      <c s="77" r="C16"/>
      <c s="77" r="D16"/>
      <c s="77" r="E16"/>
      <c s="87" r="F16"/>
    </row>
    <row r="17">
      <c s="87" r="A17"/>
      <c s="87" r="B17"/>
      <c s="87" r="C17"/>
      <c s="87" r="D17"/>
      <c s="87" r="E17"/>
      <c s="87" r="F17"/>
    </row>
    <row r="18">
      <c s="87" r="A18"/>
      <c s="87" r="B18"/>
      <c s="87" r="C18"/>
      <c s="87" r="D18"/>
      <c s="87" r="E18"/>
      <c s="87" r="F18"/>
    </row>
    <row r="19">
      <c s="87" r="A19"/>
      <c s="87" r="B19"/>
      <c s="87" r="C19"/>
      <c s="87" r="D19"/>
      <c s="87" r="E19"/>
      <c s="87" r="F19"/>
    </row>
    <row r="20">
      <c s="87" r="A20"/>
      <c s="87" r="B20"/>
      <c s="87" r="C20"/>
      <c s="87" r="D20"/>
      <c s="87" r="E20"/>
      <c s="87" r="F20"/>
    </row>
  </sheetData>
  <mergeCells count="7">
    <mergeCell ref="A1:E1"/>
    <mergeCell ref="A3:E3"/>
    <mergeCell ref="A11:E11"/>
    <mergeCell ref="A12:E12"/>
    <mergeCell ref="A13:E13"/>
    <mergeCell ref="A14:E14"/>
    <mergeCell ref="A15:E15"/>
  </mergeCell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71" defaultRowHeight="12.75"/>
  <cols>
    <col min="1" customWidth="1" max="1" width="26.43"/>
    <col min="2" customWidth="1" max="2" width="17.14"/>
    <col min="3" customWidth="1" max="3" width="36.86"/>
    <col min="4" customWidth="1" max="4" width="24.43"/>
    <col min="5" customWidth="1" max="5" width="20.29"/>
  </cols>
  <sheetData>
    <row customHeight="1" r="1" ht="14.25">
      <c t="s" s="32" r="A1">
        <v>1254</v>
      </c>
      <c s="18" r="B1"/>
      <c s="18" r="C1"/>
      <c s="18" r="D1"/>
      <c s="183" r="E1"/>
      <c s="84" r="F1"/>
    </row>
    <row customHeight="1" r="2" ht="28.5">
      <c t="s" s="97" r="A2">
        <v>1124</v>
      </c>
      <c t="s" s="97" r="B2">
        <v>1125</v>
      </c>
      <c t="s" s="97" r="C2">
        <v>1126</v>
      </c>
      <c t="s" s="97" r="D2">
        <v>1127</v>
      </c>
      <c t="s" s="33" r="E2">
        <v>1128</v>
      </c>
      <c s="84" r="F2"/>
    </row>
    <row r="3">
      <c t="s" s="143" r="A3">
        <v>874</v>
      </c>
      <c t="s" s="143" r="B3">
        <v>1129</v>
      </c>
      <c t="s" s="143" r="C3">
        <v>1136</v>
      </c>
      <c t="s" s="63" r="D3">
        <v>1255</v>
      </c>
      <c t="str" s="169" r="E3">
        <f>HYPERLINK("http://www.wormbase.org/db/misc/paper?name=WBPaper00001760;class=Paper","McIntire et al., 1993b")</f>
        <v>McIntire et al., 1993b</v>
      </c>
      <c s="84" r="F3"/>
    </row>
    <row customHeight="1" r="4" ht="27.0">
      <c t="s" s="32" r="A4">
        <v>1133</v>
      </c>
      <c s="18" r="B4"/>
      <c s="18" r="C4"/>
      <c s="18" r="D4"/>
      <c s="183" r="E4"/>
      <c s="84" r="F4"/>
    </row>
    <row customHeight="1" r="5" ht="140.25">
      <c s="32" r="A5"/>
      <c s="18" r="B5"/>
      <c s="18" r="C5"/>
      <c s="18" r="D5"/>
      <c s="183" r="E5"/>
      <c s="84" r="F5"/>
    </row>
    <row customHeight="1" r="6" ht="25.5">
      <c t="s" s="14" r="A6">
        <v>1256</v>
      </c>
      <c t="str" s="144" r="B6">
        <f>HYPERLINK("http://www.wormbase.org/db/gene/gene?name=WBGene00006762;class=Gene","unc-25")</f>
        <v>unc-25</v>
      </c>
      <c t="s" s="14" r="C6">
        <v>1143</v>
      </c>
      <c t="s" s="37" r="D6">
        <v>1255</v>
      </c>
      <c t="str" s="64" r="E6">
        <f>HYPERLINK("http://www.jneurosci.org/cgi/content/full/19/2/539","Jin et al., 1999 ")</f>
        <v>Jin et al., 1999 </v>
      </c>
      <c s="84" r="F6"/>
    </row>
    <row customHeight="1" r="7" hidden="1" ht="52.5">
      <c s="39" r="A7"/>
      <c s="168" r="B7"/>
      <c s="39" r="C7"/>
      <c s="73" r="D7"/>
      <c s="119" r="E7"/>
      <c s="84" r="F7"/>
    </row>
    <row r="8" hidden="1">
      <c s="39" r="A8"/>
      <c s="168" r="B8"/>
      <c s="39" r="C8"/>
      <c s="73" r="D8"/>
      <c s="119" r="E8"/>
      <c s="84" r="F8"/>
    </row>
    <row customHeight="1" r="9" hidden="1" ht="54.75">
      <c s="39" r="A9"/>
      <c s="168" r="B9"/>
      <c s="39" r="C9"/>
      <c s="73" r="D9"/>
      <c s="119" r="E9"/>
      <c s="84" r="F9"/>
    </row>
    <row r="10" hidden="1">
      <c s="39" r="A10"/>
      <c s="168" r="B10"/>
      <c s="39" r="C10"/>
      <c s="73" r="D10"/>
      <c s="119" r="E10"/>
      <c s="84" r="F10"/>
    </row>
    <row customHeight="1" r="11" hidden="1" ht="44.25">
      <c s="39" r="A11"/>
      <c s="168" r="B11"/>
      <c s="39" r="C11"/>
      <c s="73" r="D11"/>
      <c s="119" r="E11"/>
      <c s="84" r="F11"/>
    </row>
    <row customHeight="1" r="12" hidden="1" ht="35.25">
      <c s="96" r="A12"/>
      <c s="184" r="B12"/>
      <c s="96" r="C12"/>
      <c s="11" r="D12"/>
      <c s="125" r="E12"/>
      <c s="84" r="F12"/>
    </row>
    <row customHeight="1" r="13" ht="14.25">
      <c t="s" s="32" r="A13">
        <v>1138</v>
      </c>
      <c s="18" r="B13"/>
      <c s="18" r="C13"/>
      <c s="18" r="D13"/>
      <c s="183" r="E13"/>
      <c s="84" r="F13"/>
    </row>
    <row customHeight="1" r="14" ht="22.5">
      <c t="s" s="143" r="A14">
        <v>1257</v>
      </c>
      <c t="str" s="69" r="B14">
        <f>HYPERLINK("http://www.wormbase.org/db/gene/gene?name=WBGene00006783;class=Gene","unc-47")</f>
        <v>unc-47</v>
      </c>
      <c t="s" s="143" r="C14">
        <v>1143</v>
      </c>
      <c t="s" s="63" r="D14">
        <v>1255</v>
      </c>
      <c t="str" s="169" r="E14">
        <f>HYPERLINK("http://www.wormbase.org/db/misc/paper?name=WBPaper00002911;class=Paper","McIntire et al., 1997 ")</f>
        <v>McIntire et al., 1997 </v>
      </c>
      <c s="84" r="F14"/>
    </row>
    <row customHeight="1" r="15" ht="33.75">
      <c t="s" s="143" r="A15">
        <v>1258</v>
      </c>
      <c t="str" s="69" r="B15">
        <f>HYPERLINK("http://www.wormbase.org/db/gene/gene?name=WBGene00004910;class=Gene","snf-11")</f>
        <v>snf-11</v>
      </c>
      <c t="s" s="143" r="C15">
        <v>1259</v>
      </c>
      <c t="s" s="63" r="D15">
        <v>1260</v>
      </c>
      <c t="s" s="63" r="E15">
        <v>1261</v>
      </c>
      <c s="84" r="F15"/>
    </row>
    <row customHeight="1" r="16" ht="14.25">
      <c t="s" s="32" r="A16">
        <v>1147</v>
      </c>
      <c s="18" r="B16"/>
      <c s="18" r="C16"/>
      <c s="18" r="D16"/>
      <c s="183" r="E16"/>
      <c s="84" r="F16"/>
    </row>
    <row customHeight="1" r="17" ht="22.5">
      <c t="s" s="143" r="A17">
        <v>1262</v>
      </c>
      <c t="str" s="69" r="B17">
        <f>HYPERLINK("http://www.wormbase.org/db/gene/gene?name=WBGene00001794;class=Gene","gta-1 ")</f>
        <v>gta-1 </v>
      </c>
      <c t="s" s="143" r="C17">
        <v>1143</v>
      </c>
      <c t="s" s="63" r="D17">
        <v>1263</v>
      </c>
      <c t="s" s="63" r="E17">
        <v>1264</v>
      </c>
      <c s="84" r="F17"/>
    </row>
    <row customHeight="1" r="18" ht="33.75">
      <c t="s" s="143" r="A18">
        <v>1265</v>
      </c>
      <c t="str" s="69" r="B18">
        <f>HYPERLINK("http://www.wormbase.org/db/gene/gene?name=WBGene00000113;class=Gene","alh-7 ")</f>
        <v>alh-7 </v>
      </c>
      <c t="s" s="143" r="C18">
        <v>1259</v>
      </c>
      <c t="s" s="63" r="D18">
        <v>1266</v>
      </c>
      <c t="s" s="63" r="E18">
        <v>1264</v>
      </c>
      <c s="84" r="F18"/>
    </row>
    <row customHeight="1" r="19" ht="14.25">
      <c t="s" s="32" r="A19">
        <v>1157</v>
      </c>
      <c s="18" r="B19"/>
      <c s="18" r="C19"/>
      <c s="18" r="D19"/>
      <c s="183" r="E19"/>
      <c s="84" r="F19"/>
    </row>
    <row r="20">
      <c t="s" s="143" r="A20">
        <v>1267</v>
      </c>
      <c t="str" s="69" r="B20">
        <f>HYPERLINK("http://www.wormbase.org/db/gene/gene?name=WBGene00006762;class=Gene","unc-25")</f>
        <v>unc-25</v>
      </c>
      <c t="s" s="137" r="C20">
        <v>1268</v>
      </c>
      <c s="41" r="D20"/>
      <c t="str" s="169" r="E20">
        <f>HYPERLINK("http://www.wormbase.org/db/misc/paper?name=WBPaper00001760;class=Paper","McIntire et al., 1993b")</f>
        <v>McIntire et al., 1993b</v>
      </c>
      <c s="84" r="F20"/>
    </row>
    <row customHeight="1" r="21" ht="14.25">
      <c t="s" s="61" r="A21">
        <v>1165</v>
      </c>
      <c s="34" r="B21"/>
      <c s="34" r="C21"/>
      <c s="34" r="D21"/>
      <c s="176" r="E21"/>
      <c s="84" r="F21"/>
    </row>
    <row r="22">
      <c s="134" r="A22"/>
      <c s="103" r="B22"/>
      <c s="103" r="C22"/>
      <c s="103" r="D22"/>
      <c s="55" r="E22"/>
      <c s="84" r="F22"/>
    </row>
    <row r="23">
      <c t="s" s="164" r="A23">
        <v>1269</v>
      </c>
      <c s="133" r="B23"/>
      <c s="133" r="C23"/>
      <c s="133" r="D23"/>
      <c s="100" r="E23"/>
      <c s="84" r="F23"/>
    </row>
    <row r="24">
      <c s="83" r="A24"/>
      <c s="67" r="B24"/>
      <c s="67" r="C24"/>
      <c s="67" r="D24"/>
      <c s="21" r="E24"/>
      <c s="84" r="F24"/>
    </row>
  </sheetData>
  <mergeCells count="15">
    <mergeCell ref="A1:E1"/>
    <mergeCell ref="A4:E5"/>
    <mergeCell ref="A6:A12"/>
    <mergeCell ref="B6:B12"/>
    <mergeCell ref="C6:C12"/>
    <mergeCell ref="D6:D12"/>
    <mergeCell ref="E6:E12"/>
    <mergeCell ref="A13:E13"/>
    <mergeCell ref="A16:E16"/>
    <mergeCell ref="A19:E19"/>
    <mergeCell ref="C20:D20"/>
    <mergeCell ref="A21:E21"/>
    <mergeCell ref="A22:E22"/>
    <mergeCell ref="A23:E23"/>
    <mergeCell ref="A24:E24"/>
  </mergeCells>
  <drawing r:id="rId1"/>
</worksheet>
</file>