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3365"/>
  </bookViews>
  <sheets>
    <sheet name="Assignment Information" sheetId="1" r:id="rId1"/>
    <sheet name="Equipment Depreciation" sheetId="2" r:id="rId2"/>
    <sheet name="Capital after tax" sheetId="3" r:id="rId3"/>
    <sheet name="Free Cash Flow" sheetId="4" r:id="rId4"/>
    <sheet name="Question 4" sheetId="5" r:id="rId5"/>
    <sheet name="EAA" sheetId="6" r:id="rId6"/>
  </sheets>
  <calcPr calcId="144525"/>
</workbook>
</file>

<file path=xl/calcChain.xml><?xml version="1.0" encoding="utf-8"?>
<calcChain xmlns="http://schemas.openxmlformats.org/spreadsheetml/2006/main">
  <c r="H13" i="6" l="1"/>
  <c r="F13" i="6"/>
  <c r="C10" i="5"/>
  <c r="J7" i="5"/>
  <c r="I7" i="5"/>
  <c r="H7" i="5"/>
  <c r="G7" i="5"/>
  <c r="F7" i="5"/>
  <c r="E7" i="5"/>
  <c r="F17" i="5"/>
  <c r="C11" i="5"/>
  <c r="B39" i="4"/>
  <c r="F15" i="5"/>
  <c r="E15" i="5"/>
  <c r="D15" i="5"/>
  <c r="D7" i="5"/>
  <c r="D29" i="4"/>
  <c r="E29" i="4"/>
  <c r="F29" i="4"/>
  <c r="D23" i="1"/>
  <c r="C29" i="4"/>
  <c r="C17" i="4"/>
  <c r="D18" i="4"/>
  <c r="E18" i="4" s="1"/>
  <c r="F18" i="4" s="1"/>
  <c r="C14" i="4"/>
  <c r="C13" i="4"/>
  <c r="C15" i="4" s="1"/>
  <c r="C31" i="4" s="1"/>
  <c r="C33" i="4" s="1"/>
  <c r="D7" i="4"/>
  <c r="E7" i="4" s="1"/>
  <c r="F7" i="4" s="1"/>
  <c r="F17" i="4" s="1"/>
  <c r="D6" i="4"/>
  <c r="D5" i="4"/>
  <c r="D13" i="4" s="1"/>
  <c r="D11" i="4"/>
  <c r="E11" i="4"/>
  <c r="F11" i="4"/>
  <c r="G11" i="4"/>
  <c r="H11" i="4"/>
  <c r="C11" i="4"/>
  <c r="B9" i="3"/>
  <c r="B10" i="3"/>
  <c r="B8" i="3"/>
  <c r="D19" i="1"/>
  <c r="D20" i="1" s="1"/>
  <c r="C9" i="5" l="1"/>
  <c r="C13" i="5" s="1"/>
  <c r="E5" i="4"/>
  <c r="E13" i="4" s="1"/>
  <c r="C20" i="4"/>
  <c r="C23" i="4" s="1"/>
  <c r="C25" i="4" s="1"/>
  <c r="C27" i="4" s="1"/>
  <c r="C39" i="4" s="1"/>
  <c r="D17" i="4"/>
  <c r="D14" i="4"/>
  <c r="D15" i="4" s="1"/>
  <c r="E17" i="4"/>
  <c r="E6" i="4"/>
  <c r="E14" i="4" s="1"/>
  <c r="E19" i="5"/>
  <c r="F19" i="5" s="1"/>
  <c r="G15" i="5"/>
  <c r="H15" i="5" s="1"/>
  <c r="I15" i="5" s="1"/>
  <c r="J15" i="5" s="1"/>
  <c r="D19" i="5"/>
  <c r="G19" i="5" l="1"/>
  <c r="H19" i="5" s="1"/>
  <c r="I19" i="5" s="1"/>
  <c r="J19" i="5" s="1"/>
  <c r="F21" i="5"/>
  <c r="E15" i="4"/>
  <c r="E31" i="4" s="1"/>
  <c r="E33" i="4" s="1"/>
  <c r="F5" i="4"/>
  <c r="F13" i="4" s="1"/>
  <c r="D20" i="4"/>
  <c r="D23" i="4" s="1"/>
  <c r="D31" i="4"/>
  <c r="D33" i="4" s="1"/>
  <c r="E20" i="4"/>
  <c r="E23" i="4" s="1"/>
  <c r="F6" i="4"/>
  <c r="H6" i="4" l="1"/>
  <c r="H14" i="4" s="1"/>
  <c r="H15" i="4" s="1"/>
  <c r="H20" i="4" s="1"/>
  <c r="H23" i="4" s="1"/>
  <c r="G6" i="4"/>
  <c r="E25" i="4"/>
  <c r="E27" i="4" s="1"/>
  <c r="E39" i="4" s="1"/>
  <c r="F14" i="4"/>
  <c r="F15" i="4" s="1"/>
  <c r="G14" i="4"/>
  <c r="G15" i="4" s="1"/>
  <c r="G20" i="4" s="1"/>
  <c r="G23" i="4" s="1"/>
  <c r="D25" i="4"/>
  <c r="D27" i="4" s="1"/>
  <c r="D39" i="4" s="1"/>
  <c r="G25" i="4" l="1"/>
  <c r="G27" i="4" s="1"/>
  <c r="G39" i="4" s="1"/>
  <c r="F31" i="4"/>
  <c r="F33" i="4" s="1"/>
  <c r="F20" i="4"/>
  <c r="F23" i="4" s="1"/>
  <c r="F25" i="4" s="1"/>
  <c r="F27" i="4" s="1"/>
  <c r="F39" i="4" s="1"/>
  <c r="H25" i="4"/>
  <c r="H27" i="4" s="1"/>
  <c r="H39" i="4" s="1"/>
</calcChain>
</file>

<file path=xl/sharedStrings.xml><?xml version="1.0" encoding="utf-8"?>
<sst xmlns="http://schemas.openxmlformats.org/spreadsheetml/2006/main" count="97" uniqueCount="84">
  <si>
    <t>R&amp;D cost</t>
  </si>
  <si>
    <t>Marketting</t>
  </si>
  <si>
    <t>production of equipment</t>
  </si>
  <si>
    <t>Year 0</t>
  </si>
  <si>
    <t>Year 1</t>
  </si>
  <si>
    <t>Year 2</t>
  </si>
  <si>
    <t>Year 3</t>
  </si>
  <si>
    <t>Year 4</t>
  </si>
  <si>
    <t>Year 5</t>
  </si>
  <si>
    <t>Year 6</t>
  </si>
  <si>
    <t>Sales price per unit</t>
  </si>
  <si>
    <t>Variable cost per unit</t>
  </si>
  <si>
    <t>Lease sale price per year</t>
  </si>
  <si>
    <t>Upfront revenue</t>
  </si>
  <si>
    <t>Remaining revenue</t>
  </si>
  <si>
    <t>Lease period</t>
  </si>
  <si>
    <t>3 years</t>
  </si>
  <si>
    <t>Project period</t>
  </si>
  <si>
    <t>4 years</t>
  </si>
  <si>
    <t>Fixed cost per year</t>
  </si>
  <si>
    <t>General admin cost</t>
  </si>
  <si>
    <t>General admin cost after year 4</t>
  </si>
  <si>
    <t>Tax</t>
  </si>
  <si>
    <t>Total sales</t>
  </si>
  <si>
    <t>Outright sales</t>
  </si>
  <si>
    <t>Lease sales</t>
  </si>
  <si>
    <t>Initial working capital</t>
  </si>
  <si>
    <t>Depreciation</t>
  </si>
  <si>
    <t>Net working capital requirements from year 1 - 4</t>
  </si>
  <si>
    <t>25% of sales</t>
  </si>
  <si>
    <t>Discount Rate</t>
  </si>
  <si>
    <t>Inflation</t>
  </si>
  <si>
    <t>MyFishPooSalad Project Information</t>
  </si>
  <si>
    <t>The production equipment would be depreciated using the straight line depreciation method over 4 years to a 0 balance</t>
  </si>
  <si>
    <t>Equipment</t>
  </si>
  <si>
    <t>After tax capital gain</t>
  </si>
  <si>
    <t>Tax on sales of equipment</t>
  </si>
  <si>
    <t>Equipment Price</t>
  </si>
  <si>
    <t>Cost to sell equipment at year 4 (Market Salvage Value)</t>
  </si>
  <si>
    <t>Market Salvage Value</t>
  </si>
  <si>
    <t>Book Value</t>
  </si>
  <si>
    <t>Capital Gain</t>
  </si>
  <si>
    <t>Reduction of Tax (30%)</t>
  </si>
  <si>
    <t xml:space="preserve">Year 0 </t>
  </si>
  <si>
    <t>Outright Price per unit</t>
  </si>
  <si>
    <t>Leased Price per unit</t>
  </si>
  <si>
    <t>Variable Cost per unit</t>
  </si>
  <si>
    <t>Units sold outright</t>
  </si>
  <si>
    <t>Units leased</t>
  </si>
  <si>
    <t>Total</t>
  </si>
  <si>
    <t>Total outright revenue</t>
  </si>
  <si>
    <t>Total revenue from lease</t>
  </si>
  <si>
    <t>Total revenue</t>
  </si>
  <si>
    <t>Gross Profit</t>
  </si>
  <si>
    <t>Earnings Before Income Tax</t>
  </si>
  <si>
    <t>Capital Budgetting</t>
  </si>
  <si>
    <t>(Eliminate) Total Variable Cost</t>
  </si>
  <si>
    <t>(Eliminate) Fixed Cost</t>
  </si>
  <si>
    <t>(Eliminate) Depreciation</t>
  </si>
  <si>
    <t>(Eliminate) Tax (30%)</t>
  </si>
  <si>
    <t>Incremental Earning</t>
  </si>
  <si>
    <t>(Add) Depreciation</t>
  </si>
  <si>
    <t>Net Working Capital</t>
  </si>
  <si>
    <t>(Eliminate) Change in Net Working Capital</t>
  </si>
  <si>
    <t>Equipment production cost</t>
  </si>
  <si>
    <t>Research and Development cost</t>
  </si>
  <si>
    <t>Free Cash Flow (FCF)</t>
  </si>
  <si>
    <t>Free Cash Flow(FCF)</t>
  </si>
  <si>
    <t xml:space="preserve">Year 5 </t>
  </si>
  <si>
    <t>Discount rate</t>
  </si>
  <si>
    <t>Present Value at Discount rate 14%</t>
  </si>
  <si>
    <t>Net Present Value (NPV)</t>
  </si>
  <si>
    <t>Internal Return Rate (IRR)</t>
  </si>
  <si>
    <t>Profitability Index</t>
  </si>
  <si>
    <t>Cumulative Cash Flow</t>
  </si>
  <si>
    <t>Payback period</t>
  </si>
  <si>
    <t>Cumulative Present Value</t>
  </si>
  <si>
    <t>Discounted Payback Period</t>
  </si>
  <si>
    <t>My Fish Poo Salad</t>
  </si>
  <si>
    <t>My Solarponics</t>
  </si>
  <si>
    <t>NPV</t>
  </si>
  <si>
    <t>Number of periods</t>
  </si>
  <si>
    <t>Equivalent Annual Annuity Cash Flow</t>
  </si>
  <si>
    <t>Ashish Sharma - 20015628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</si>
</sst>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166" formatCode="&quot;$&quot;#,##0.0000_);[Red]\(&quot;$&quot;#,##0.0000\)"/>
    <numFmt numFmtId="167" formatCode="&quot;$&quot;#,##0.00"/>
    <numFmt numFmtId="168" formatCode="&quot;$&quot;#,##0.0000"/>
    <numFmt numFmtId="173" formatCode="0.0000"/>
    <numFmt numFmtId="178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66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right" wrapText="1" indent="1"/>
    </xf>
    <xf numFmtId="0" fontId="0" fillId="0" borderId="9" xfId="0" applyBorder="1" applyAlignment="1">
      <alignment horizontal="right" wrapText="1" indent="1"/>
    </xf>
    <xf numFmtId="0" fontId="0" fillId="0" borderId="8" xfId="0" applyBorder="1" applyAlignment="1">
      <alignment horizontal="left" wrapText="1" indent="1"/>
    </xf>
    <xf numFmtId="6" fontId="0" fillId="0" borderId="8" xfId="0" applyNumberFormat="1" applyBorder="1" applyAlignment="1">
      <alignment horizontal="left" wrapText="1" indent="1"/>
    </xf>
    <xf numFmtId="9" fontId="0" fillId="0" borderId="8" xfId="0" applyNumberFormat="1" applyBorder="1" applyAlignment="1">
      <alignment horizontal="left" wrapText="1" indent="1"/>
    </xf>
    <xf numFmtId="9" fontId="0" fillId="0" borderId="10" xfId="0" applyNumberFormat="1" applyBorder="1" applyAlignment="1">
      <alignment horizontal="left" wrapText="1" indent="1"/>
    </xf>
    <xf numFmtId="9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6" fontId="0" fillId="0" borderId="1" xfId="0" applyNumberFormat="1" applyBorder="1"/>
    <xf numFmtId="0" fontId="0" fillId="0" borderId="2" xfId="0" applyBorder="1"/>
    <xf numFmtId="166" fontId="0" fillId="0" borderId="2" xfId="0" applyNumberFormat="1" applyBorder="1"/>
    <xf numFmtId="0" fontId="0" fillId="0" borderId="2" xfId="0" applyBorder="1" applyAlignment="1">
      <alignment horizontal="right"/>
    </xf>
    <xf numFmtId="166" fontId="0" fillId="0" borderId="2" xfId="0" applyNumberFormat="1" applyBorder="1" applyAlignment="1">
      <alignment horizontal="right"/>
    </xf>
    <xf numFmtId="167" fontId="0" fillId="0" borderId="2" xfId="0" applyNumberFormat="1" applyBorder="1" applyAlignment="1">
      <alignment horizontal="right"/>
    </xf>
    <xf numFmtId="8" fontId="0" fillId="0" borderId="2" xfId="0" applyNumberFormat="1" applyBorder="1" applyAlignment="1">
      <alignment horizontal="right"/>
    </xf>
    <xf numFmtId="173" fontId="0" fillId="0" borderId="2" xfId="0" applyNumberFormat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0" borderId="2" xfId="0" applyBorder="1" applyAlignment="1">
      <alignment horizontal="center" wrapText="1"/>
    </xf>
    <xf numFmtId="6" fontId="0" fillId="0" borderId="2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8" fontId="0" fillId="0" borderId="2" xfId="1" applyNumberFormat="1" applyFont="1" applyBorder="1" applyAlignment="1">
      <alignment horizontal="right"/>
    </xf>
    <xf numFmtId="168" fontId="0" fillId="0" borderId="2" xfId="0" applyNumberFormat="1" applyBorder="1" applyAlignment="1">
      <alignment horizontal="right"/>
    </xf>
    <xf numFmtId="173" fontId="0" fillId="2" borderId="2" xfId="0" applyNumberFormat="1" applyFill="1" applyBorder="1" applyAlignment="1">
      <alignment horizontal="right"/>
    </xf>
    <xf numFmtId="9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5"/>
  <sheetViews>
    <sheetView tabSelected="1" zoomScale="150" zoomScaleNormal="150" workbookViewId="0"/>
  </sheetViews>
  <sheetFormatPr defaultRowHeight="15" x14ac:dyDescent="0.25"/>
  <cols>
    <col min="1" max="1" width="8" style="2" customWidth="1"/>
    <col min="2" max="2" width="7.5703125" style="2" customWidth="1"/>
    <col min="3" max="3" width="56.42578125" style="2" customWidth="1"/>
    <col min="4" max="4" width="35.28515625" style="2" customWidth="1"/>
    <col min="5" max="16384" width="9.140625" style="2"/>
  </cols>
  <sheetData>
    <row r="1" spans="3:4" ht="15.75" thickBot="1" x14ac:dyDescent="0.3">
      <c r="C1" s="7" t="s">
        <v>83</v>
      </c>
      <c r="D1" s="8"/>
    </row>
    <row r="2" spans="3:4" x14ac:dyDescent="0.25">
      <c r="C2" s="5" t="s">
        <v>32</v>
      </c>
      <c r="D2" s="6"/>
    </row>
    <row r="3" spans="3:4" x14ac:dyDescent="0.25">
      <c r="C3" s="9" t="s">
        <v>17</v>
      </c>
      <c r="D3" s="11" t="s">
        <v>18</v>
      </c>
    </row>
    <row r="4" spans="3:4" x14ac:dyDescent="0.25">
      <c r="C4" s="9" t="s">
        <v>0</v>
      </c>
      <c r="D4" s="12">
        <v>-100000</v>
      </c>
    </row>
    <row r="5" spans="3:4" x14ac:dyDescent="0.25">
      <c r="C5" s="9" t="s">
        <v>1</v>
      </c>
      <c r="D5" s="12">
        <v>-50000</v>
      </c>
    </row>
    <row r="6" spans="3:4" x14ac:dyDescent="0.25">
      <c r="C6" s="9" t="s">
        <v>2</v>
      </c>
      <c r="D6" s="12">
        <v>-200000</v>
      </c>
    </row>
    <row r="7" spans="3:4" x14ac:dyDescent="0.25">
      <c r="C7" s="9" t="s">
        <v>38</v>
      </c>
      <c r="D7" s="12">
        <v>25000</v>
      </c>
    </row>
    <row r="8" spans="3:4" x14ac:dyDescent="0.25">
      <c r="C8" s="9" t="s">
        <v>10</v>
      </c>
      <c r="D8" s="12">
        <v>9500</v>
      </c>
    </row>
    <row r="9" spans="3:4" x14ac:dyDescent="0.25">
      <c r="C9" s="9" t="s">
        <v>11</v>
      </c>
      <c r="D9" s="12">
        <v>6000</v>
      </c>
    </row>
    <row r="10" spans="3:4" x14ac:dyDescent="0.25">
      <c r="C10" s="9" t="s">
        <v>12</v>
      </c>
      <c r="D10" s="12">
        <v>4000</v>
      </c>
    </row>
    <row r="11" spans="3:4" x14ac:dyDescent="0.25">
      <c r="C11" s="9" t="s">
        <v>13</v>
      </c>
      <c r="D11" s="12">
        <v>1000</v>
      </c>
    </row>
    <row r="12" spans="3:4" x14ac:dyDescent="0.25">
      <c r="C12" s="9" t="s">
        <v>14</v>
      </c>
      <c r="D12" s="12">
        <v>3000</v>
      </c>
    </row>
    <row r="13" spans="3:4" x14ac:dyDescent="0.25">
      <c r="C13" s="9" t="s">
        <v>15</v>
      </c>
      <c r="D13" s="11" t="s">
        <v>16</v>
      </c>
    </row>
    <row r="14" spans="3:4" x14ac:dyDescent="0.25">
      <c r="C14" s="9" t="s">
        <v>19</v>
      </c>
      <c r="D14" s="12">
        <v>50000</v>
      </c>
    </row>
    <row r="15" spans="3:4" x14ac:dyDescent="0.25">
      <c r="C15" s="9" t="s">
        <v>20</v>
      </c>
      <c r="D15" s="12">
        <v>50000</v>
      </c>
    </row>
    <row r="16" spans="3:4" x14ac:dyDescent="0.25">
      <c r="C16" s="9" t="s">
        <v>21</v>
      </c>
      <c r="D16" s="12">
        <v>10000</v>
      </c>
    </row>
    <row r="17" spans="3:4" x14ac:dyDescent="0.25">
      <c r="C17" s="9" t="s">
        <v>22</v>
      </c>
      <c r="D17" s="13">
        <v>0.3</v>
      </c>
    </row>
    <row r="18" spans="3:4" x14ac:dyDescent="0.25">
      <c r="C18" s="9" t="s">
        <v>23</v>
      </c>
      <c r="D18" s="11">
        <v>320</v>
      </c>
    </row>
    <row r="19" spans="3:4" x14ac:dyDescent="0.25">
      <c r="C19" s="9" t="s">
        <v>24</v>
      </c>
      <c r="D19" s="11">
        <f>D18*25%</f>
        <v>80</v>
      </c>
    </row>
    <row r="20" spans="3:4" x14ac:dyDescent="0.25">
      <c r="C20" s="9" t="s">
        <v>25</v>
      </c>
      <c r="D20" s="11">
        <f>D18-D19</f>
        <v>240</v>
      </c>
    </row>
    <row r="21" spans="3:4" x14ac:dyDescent="0.25">
      <c r="C21" s="9" t="s">
        <v>26</v>
      </c>
      <c r="D21" s="12">
        <v>75000</v>
      </c>
    </row>
    <row r="22" spans="3:4" x14ac:dyDescent="0.25">
      <c r="C22" s="9" t="s">
        <v>28</v>
      </c>
      <c r="D22" s="12" t="s">
        <v>29</v>
      </c>
    </row>
    <row r="23" spans="3:4" x14ac:dyDescent="0.25">
      <c r="C23" s="9" t="s">
        <v>27</v>
      </c>
      <c r="D23" s="12">
        <f>D6/4</f>
        <v>-50000</v>
      </c>
    </row>
    <row r="24" spans="3:4" x14ac:dyDescent="0.25">
      <c r="C24" s="9" t="s">
        <v>30</v>
      </c>
      <c r="D24" s="13">
        <v>0.14000000000000001</v>
      </c>
    </row>
    <row r="25" spans="3:4" ht="15.75" thickBot="1" x14ac:dyDescent="0.3">
      <c r="C25" s="10" t="s">
        <v>31</v>
      </c>
      <c r="D25" s="14">
        <v>0.02</v>
      </c>
    </row>
  </sheetData>
  <mergeCells count="2">
    <mergeCell ref="C2:D2"/>
    <mergeCell ref="C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14"/>
  <sheetViews>
    <sheetView topLeftCell="A7" zoomScale="150" zoomScaleNormal="150" workbookViewId="0">
      <selection activeCell="C11" sqref="C11"/>
    </sheetView>
  </sheetViews>
  <sheetFormatPr defaultRowHeight="15" x14ac:dyDescent="0.25"/>
  <cols>
    <col min="1" max="1" width="10.42578125" customWidth="1"/>
    <col min="5" max="5" width="10.7109375" bestFit="1" customWidth="1"/>
  </cols>
  <sheetData>
    <row r="1" spans="5:10" ht="15" customHeight="1" x14ac:dyDescent="0.25"/>
    <row r="10" spans="5:10" ht="15" customHeight="1" x14ac:dyDescent="0.25">
      <c r="E10" s="27" t="s">
        <v>33</v>
      </c>
      <c r="F10" s="27"/>
      <c r="G10" s="27"/>
      <c r="H10" s="27"/>
      <c r="I10" s="27"/>
      <c r="J10" s="27"/>
    </row>
    <row r="11" spans="5:10" x14ac:dyDescent="0.25">
      <c r="E11" s="27"/>
      <c r="F11" s="27"/>
      <c r="G11" s="27"/>
      <c r="H11" s="27"/>
      <c r="I11" s="27"/>
      <c r="J11" s="27"/>
    </row>
    <row r="12" spans="5:10" x14ac:dyDescent="0.25">
      <c r="E12" s="29"/>
      <c r="F12" s="30"/>
      <c r="G12" s="30"/>
      <c r="H12" s="30"/>
      <c r="I12" s="30"/>
      <c r="J12" s="31"/>
    </row>
    <row r="13" spans="5:10" x14ac:dyDescent="0.25">
      <c r="E13" s="19"/>
      <c r="F13" s="19" t="s">
        <v>3</v>
      </c>
      <c r="G13" s="19" t="s">
        <v>4</v>
      </c>
      <c r="H13" s="19" t="s">
        <v>5</v>
      </c>
      <c r="I13" s="19" t="s">
        <v>6</v>
      </c>
      <c r="J13" s="19" t="s">
        <v>7</v>
      </c>
    </row>
    <row r="14" spans="5:10" x14ac:dyDescent="0.25">
      <c r="E14" s="19" t="s">
        <v>34</v>
      </c>
      <c r="F14" s="28"/>
      <c r="G14" s="28">
        <v>50000</v>
      </c>
      <c r="H14" s="28">
        <v>50000</v>
      </c>
      <c r="I14" s="28">
        <v>50000</v>
      </c>
      <c r="J14" s="28">
        <v>50000</v>
      </c>
    </row>
  </sheetData>
  <mergeCells count="2">
    <mergeCell ref="E10:J11"/>
    <mergeCell ref="E12:J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50" zoomScaleNormal="150" workbookViewId="0">
      <selection activeCell="D4" sqref="D4"/>
    </sheetView>
  </sheetViews>
  <sheetFormatPr defaultRowHeight="15" x14ac:dyDescent="0.25"/>
  <cols>
    <col min="1" max="1" width="22.85546875" customWidth="1"/>
    <col min="2" max="2" width="15.85546875" customWidth="1"/>
  </cols>
  <sheetData>
    <row r="1" spans="1:2" x14ac:dyDescent="0.25">
      <c r="A1" t="s">
        <v>36</v>
      </c>
    </row>
    <row r="3" spans="1:2" ht="15.75" thickBot="1" x14ac:dyDescent="0.3"/>
    <row r="4" spans="1:2" ht="15.75" thickBot="1" x14ac:dyDescent="0.3">
      <c r="A4" s="16" t="s">
        <v>35</v>
      </c>
      <c r="B4" s="16" t="s">
        <v>37</v>
      </c>
    </row>
    <row r="5" spans="1:2" ht="15.75" thickBot="1" x14ac:dyDescent="0.3">
      <c r="A5" s="16"/>
      <c r="B5" s="16"/>
    </row>
    <row r="6" spans="1:2" ht="15.75" thickBot="1" x14ac:dyDescent="0.3">
      <c r="A6" s="17" t="s">
        <v>39</v>
      </c>
      <c r="B6" s="18">
        <v>25000</v>
      </c>
    </row>
    <row r="7" spans="1:2" ht="15.75" thickBot="1" x14ac:dyDescent="0.3">
      <c r="A7" s="17" t="s">
        <v>40</v>
      </c>
      <c r="B7" s="18">
        <v>0</v>
      </c>
    </row>
    <row r="8" spans="1:2" ht="15.75" thickBot="1" x14ac:dyDescent="0.3">
      <c r="A8" s="17" t="s">
        <v>41</v>
      </c>
      <c r="B8" s="18">
        <f>B6-B7</f>
        <v>25000</v>
      </c>
    </row>
    <row r="9" spans="1:2" ht="15.75" thickBot="1" x14ac:dyDescent="0.3">
      <c r="A9" s="17" t="s">
        <v>42</v>
      </c>
      <c r="B9" s="18">
        <f>B8*0.3</f>
        <v>7500</v>
      </c>
    </row>
    <row r="10" spans="1:2" ht="15.75" thickBot="1" x14ac:dyDescent="0.3">
      <c r="A10" s="17" t="s">
        <v>35</v>
      </c>
      <c r="B10" s="18">
        <f>B8-B9</f>
        <v>17500</v>
      </c>
    </row>
  </sheetData>
  <mergeCells count="2">
    <mergeCell ref="A4:A5"/>
    <mergeCell ref="B4:B5"/>
  </mergeCells>
  <pageMargins left="0.7" right="0.7" top="0.75" bottom="0.75" header="0.3" footer="0.3"/>
  <ignoredErrors>
    <ignoredError sqref="B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3" zoomScale="110" zoomScaleNormal="110" workbookViewId="0">
      <selection activeCell="B39" sqref="B39"/>
    </sheetView>
  </sheetViews>
  <sheetFormatPr defaultRowHeight="15" x14ac:dyDescent="0.25"/>
  <cols>
    <col min="1" max="1" width="38.140625" bestFit="1" customWidth="1"/>
    <col min="2" max="2" width="11.28515625" customWidth="1"/>
    <col min="3" max="4" width="15.7109375" bestFit="1" customWidth="1"/>
    <col min="5" max="6" width="16.42578125" bestFit="1" customWidth="1"/>
    <col min="7" max="8" width="15.7109375" bestFit="1" customWidth="1"/>
  </cols>
  <sheetData>
    <row r="1" spans="1:8" x14ac:dyDescent="0.25">
      <c r="A1" t="s">
        <v>55</v>
      </c>
    </row>
    <row r="3" spans="1:8" x14ac:dyDescent="0.25">
      <c r="B3" t="s">
        <v>43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5" spans="1:8" x14ac:dyDescent="0.25">
      <c r="A5" t="s">
        <v>44</v>
      </c>
      <c r="C5" s="4">
        <v>9500</v>
      </c>
      <c r="D5" s="4">
        <f>(C5*2%)+C5</f>
        <v>9690</v>
      </c>
      <c r="E5" s="4">
        <f>D5+(0.02*D5)</f>
        <v>9883.7999999999993</v>
      </c>
      <c r="F5" s="4">
        <f>E5+(0.02*E5)</f>
        <v>10081.475999999999</v>
      </c>
    </row>
    <row r="6" spans="1:8" x14ac:dyDescent="0.25">
      <c r="A6" t="s">
        <v>45</v>
      </c>
      <c r="C6" s="4">
        <v>4000</v>
      </c>
      <c r="D6" s="4">
        <f>(C6*2%)+C6</f>
        <v>4080</v>
      </c>
      <c r="E6" s="4">
        <f>D6+(0.02*D6)</f>
        <v>4161.6000000000004</v>
      </c>
      <c r="F6" s="4">
        <f>E6+(0.02*E6)</f>
        <v>4244.8320000000003</v>
      </c>
      <c r="G6" s="4">
        <f>F6</f>
        <v>4244.8320000000003</v>
      </c>
      <c r="H6" s="4">
        <f>F6</f>
        <v>4244.8320000000003</v>
      </c>
    </row>
    <row r="7" spans="1:8" x14ac:dyDescent="0.25">
      <c r="A7" t="s">
        <v>46</v>
      </c>
      <c r="C7" s="4">
        <v>6000</v>
      </c>
      <c r="D7" s="4">
        <f>(C7*2%)+C7</f>
        <v>6120</v>
      </c>
      <c r="E7" s="4">
        <f>D7+(0.02*D7)</f>
        <v>6242.4</v>
      </c>
      <c r="F7" s="4">
        <f>E7+(0.02*E7)</f>
        <v>6367.2479999999996</v>
      </c>
      <c r="G7" s="1"/>
      <c r="H7" s="3"/>
    </row>
    <row r="8" spans="1:8" x14ac:dyDescent="0.25">
      <c r="C8" s="1"/>
      <c r="D8" s="1"/>
      <c r="E8" s="3"/>
      <c r="F8" s="3"/>
      <c r="G8" s="1"/>
      <c r="H8" s="3"/>
    </row>
    <row r="9" spans="1:8" x14ac:dyDescent="0.25">
      <c r="A9" t="s">
        <v>47</v>
      </c>
      <c r="C9">
        <v>80</v>
      </c>
      <c r="D9">
        <v>80</v>
      </c>
      <c r="E9">
        <v>80</v>
      </c>
      <c r="F9">
        <v>80</v>
      </c>
    </row>
    <row r="10" spans="1:8" x14ac:dyDescent="0.25">
      <c r="A10" t="s">
        <v>48</v>
      </c>
      <c r="C10">
        <v>240</v>
      </c>
      <c r="D10">
        <v>480</v>
      </c>
      <c r="E10">
        <v>720</v>
      </c>
      <c r="F10">
        <v>720</v>
      </c>
      <c r="G10">
        <v>480</v>
      </c>
      <c r="H10">
        <v>240</v>
      </c>
    </row>
    <row r="11" spans="1:8" x14ac:dyDescent="0.25">
      <c r="A11" t="s">
        <v>49</v>
      </c>
      <c r="C11">
        <f>C9+C10</f>
        <v>320</v>
      </c>
      <c r="D11">
        <f t="shared" ref="D11:H11" si="0">D9+D10</f>
        <v>560</v>
      </c>
      <c r="E11">
        <f t="shared" si="0"/>
        <v>800</v>
      </c>
      <c r="F11">
        <f t="shared" si="0"/>
        <v>800</v>
      </c>
      <c r="G11">
        <f t="shared" si="0"/>
        <v>480</v>
      </c>
      <c r="H11">
        <f t="shared" si="0"/>
        <v>240</v>
      </c>
    </row>
    <row r="13" spans="1:8" x14ac:dyDescent="0.25">
      <c r="A13" t="s">
        <v>50</v>
      </c>
      <c r="C13" s="4">
        <f>C5*C9</f>
        <v>760000</v>
      </c>
      <c r="D13" s="4">
        <f t="shared" ref="D13:F13" si="1">D5*D9</f>
        <v>775200</v>
      </c>
      <c r="E13" s="4">
        <f t="shared" si="1"/>
        <v>790704</v>
      </c>
      <c r="F13" s="4">
        <f t="shared" si="1"/>
        <v>806518.07999999984</v>
      </c>
    </row>
    <row r="14" spans="1:8" x14ac:dyDescent="0.25">
      <c r="A14" t="s">
        <v>51</v>
      </c>
      <c r="C14" s="4">
        <f>C6*C10</f>
        <v>960000</v>
      </c>
      <c r="D14" s="4">
        <f>(240*C6)+(240*D6)</f>
        <v>1939200</v>
      </c>
      <c r="E14" s="4">
        <f>(240*C6)+(240*D6)+(240*E6)</f>
        <v>2937984</v>
      </c>
      <c r="F14" s="4">
        <f>(240*D6)+(240*E6)+(240*F6)</f>
        <v>2996743.68</v>
      </c>
      <c r="G14" s="4">
        <f>(240*E6)+(480*F6)</f>
        <v>3036303.3600000003</v>
      </c>
      <c r="H14" s="4">
        <f>H6*H10</f>
        <v>1018759.6800000001</v>
      </c>
    </row>
    <row r="15" spans="1:8" x14ac:dyDescent="0.25">
      <c r="A15" t="s">
        <v>52</v>
      </c>
      <c r="C15" s="4">
        <f>SUM(C13:C14)</f>
        <v>1720000</v>
      </c>
      <c r="D15" s="4">
        <f t="shared" ref="D15:H15" si="2">SUM(D13:D14)</f>
        <v>2714400</v>
      </c>
      <c r="E15" s="4">
        <f t="shared" si="2"/>
        <v>3728688</v>
      </c>
      <c r="F15" s="4">
        <f t="shared" si="2"/>
        <v>3803261.76</v>
      </c>
      <c r="G15" s="4">
        <f t="shared" si="2"/>
        <v>3036303.3600000003</v>
      </c>
      <c r="H15" s="4">
        <f t="shared" si="2"/>
        <v>1018759.6800000001</v>
      </c>
    </row>
    <row r="17" spans="1:8" x14ac:dyDescent="0.25">
      <c r="A17" t="s">
        <v>56</v>
      </c>
      <c r="C17" s="4">
        <f>C7*320</f>
        <v>1920000</v>
      </c>
      <c r="D17" s="4">
        <f>D7*320</f>
        <v>1958400</v>
      </c>
      <c r="E17" s="4">
        <f>E7*320</f>
        <v>1997568</v>
      </c>
      <c r="F17" s="3">
        <f>F7*320</f>
        <v>2037519.3599999999</v>
      </c>
    </row>
    <row r="18" spans="1:8" x14ac:dyDescent="0.25">
      <c r="A18" t="s">
        <v>57</v>
      </c>
      <c r="C18" s="1">
        <v>50000</v>
      </c>
      <c r="D18" s="1">
        <f>(C18*0.02)+C18</f>
        <v>51000</v>
      </c>
      <c r="E18" s="1">
        <f>(D18*0.02)+D18</f>
        <v>52020</v>
      </c>
      <c r="F18" s="1">
        <f>(E18*0.02)+E18</f>
        <v>53060.4</v>
      </c>
      <c r="G18" s="1">
        <v>10000</v>
      </c>
      <c r="H18" s="1">
        <v>10000</v>
      </c>
    </row>
    <row r="20" spans="1:8" x14ac:dyDescent="0.25">
      <c r="A20" t="s">
        <v>53</v>
      </c>
      <c r="C20" s="4">
        <f>C15-C17-C18</f>
        <v>-250000</v>
      </c>
      <c r="D20" s="4">
        <f>D15-D17-D18</f>
        <v>705000</v>
      </c>
      <c r="E20" s="4">
        <f>E15-E17-E18</f>
        <v>1679100</v>
      </c>
      <c r="F20" s="4">
        <f>F15-F17-F18</f>
        <v>1712682</v>
      </c>
      <c r="G20" s="4">
        <f>G15-G17-G18</f>
        <v>3026303.3600000003</v>
      </c>
      <c r="H20" s="4">
        <f>H15-H17-H18</f>
        <v>1008759.68</v>
      </c>
    </row>
    <row r="21" spans="1:8" x14ac:dyDescent="0.25">
      <c r="A21" t="s">
        <v>58</v>
      </c>
      <c r="C21" s="1">
        <v>50000</v>
      </c>
      <c r="D21" s="1">
        <v>50000</v>
      </c>
      <c r="E21" s="1">
        <v>50000</v>
      </c>
      <c r="F21" s="1">
        <v>50000</v>
      </c>
    </row>
    <row r="23" spans="1:8" x14ac:dyDescent="0.25">
      <c r="A23" t="s">
        <v>54</v>
      </c>
      <c r="C23" s="4">
        <f>C20-C21</f>
        <v>-300000</v>
      </c>
      <c r="D23" s="4">
        <f>D20-D21</f>
        <v>655000</v>
      </c>
      <c r="E23" s="4">
        <f>E20-E21</f>
        <v>1629100</v>
      </c>
      <c r="F23" s="4">
        <f>F20-F21</f>
        <v>1662682</v>
      </c>
      <c r="G23" s="4">
        <f>G20-G21</f>
        <v>3026303.3600000003</v>
      </c>
      <c r="H23" s="4">
        <f>H20-H21</f>
        <v>1008759.68</v>
      </c>
    </row>
    <row r="25" spans="1:8" x14ac:dyDescent="0.25">
      <c r="A25" t="s">
        <v>59</v>
      </c>
      <c r="C25" s="4">
        <f>(0.3*C23)</f>
        <v>-90000</v>
      </c>
      <c r="D25" s="4">
        <f t="shared" ref="D25:H25" si="3">(0.3*D23)</f>
        <v>196500</v>
      </c>
      <c r="E25" s="4">
        <f t="shared" si="3"/>
        <v>488730</v>
      </c>
      <c r="F25" s="4">
        <f t="shared" si="3"/>
        <v>498804.6</v>
      </c>
      <c r="G25" s="4">
        <f t="shared" si="3"/>
        <v>907891.00800000003</v>
      </c>
      <c r="H25" s="4">
        <f t="shared" si="3"/>
        <v>302627.90399999998</v>
      </c>
    </row>
    <row r="27" spans="1:8" x14ac:dyDescent="0.25">
      <c r="A27" t="s">
        <v>60</v>
      </c>
      <c r="C27" s="4">
        <f>C23-C25</f>
        <v>-210000</v>
      </c>
      <c r="D27" s="4">
        <f t="shared" ref="D27:H27" si="4">D23-D25</f>
        <v>458500</v>
      </c>
      <c r="E27" s="4">
        <f t="shared" si="4"/>
        <v>1140370</v>
      </c>
      <c r="F27" s="4">
        <f t="shared" si="4"/>
        <v>1163877.3999999999</v>
      </c>
      <c r="G27" s="4">
        <f t="shared" si="4"/>
        <v>2118412.3520000004</v>
      </c>
      <c r="H27" s="4">
        <f t="shared" si="4"/>
        <v>706131.77600000007</v>
      </c>
    </row>
    <row r="29" spans="1:8" x14ac:dyDescent="0.25">
      <c r="A29" t="s">
        <v>61</v>
      </c>
      <c r="C29" s="1">
        <f>C21</f>
        <v>50000</v>
      </c>
      <c r="D29" s="1">
        <f t="shared" ref="D29:F29" si="5">D21</f>
        <v>50000</v>
      </c>
      <c r="E29" s="1">
        <f t="shared" si="5"/>
        <v>50000</v>
      </c>
      <c r="F29" s="1">
        <f t="shared" si="5"/>
        <v>50000</v>
      </c>
    </row>
    <row r="31" spans="1:8" x14ac:dyDescent="0.25">
      <c r="A31" t="s">
        <v>62</v>
      </c>
      <c r="B31" s="1">
        <v>75000</v>
      </c>
      <c r="C31" s="4">
        <f>(C15*0.25)</f>
        <v>430000</v>
      </c>
      <c r="D31" s="4">
        <f>(D15*0.25)</f>
        <v>678600</v>
      </c>
      <c r="E31" s="4">
        <f>(E15*0.25)</f>
        <v>932172</v>
      </c>
      <c r="F31" s="4">
        <f>(F15*0.25)</f>
        <v>950815.44</v>
      </c>
      <c r="G31" s="4"/>
      <c r="H31" s="4"/>
    </row>
    <row r="33" spans="1:8" x14ac:dyDescent="0.25">
      <c r="A33" t="s">
        <v>63</v>
      </c>
      <c r="B33" s="1">
        <v>75000</v>
      </c>
      <c r="C33" s="4">
        <f>C31-B31</f>
        <v>355000</v>
      </c>
      <c r="D33" s="4">
        <f>D31-C31</f>
        <v>248600</v>
      </c>
      <c r="E33" s="4">
        <f>E31-D31</f>
        <v>253572</v>
      </c>
      <c r="F33" s="4">
        <f>F31-E31</f>
        <v>18643.439999999944</v>
      </c>
      <c r="G33" s="4"/>
      <c r="H33" s="4"/>
    </row>
    <row r="35" spans="1:8" x14ac:dyDescent="0.25">
      <c r="A35" t="s">
        <v>35</v>
      </c>
      <c r="F35" s="1">
        <v>17500</v>
      </c>
    </row>
    <row r="36" spans="1:8" x14ac:dyDescent="0.25">
      <c r="A36" t="s">
        <v>64</v>
      </c>
      <c r="B36" s="1">
        <v>200000</v>
      </c>
    </row>
    <row r="37" spans="1:8" x14ac:dyDescent="0.25">
      <c r="A37" t="s">
        <v>65</v>
      </c>
      <c r="B37" s="1">
        <v>100000</v>
      </c>
    </row>
    <row r="39" spans="1:8" x14ac:dyDescent="0.25">
      <c r="A39" t="s">
        <v>66</v>
      </c>
      <c r="B39" s="1">
        <f>-B33-B36</f>
        <v>-275000</v>
      </c>
      <c r="C39" s="4">
        <f>C27+C29-C33</f>
        <v>-515000</v>
      </c>
      <c r="D39" s="4">
        <f>D27+D29-D33</f>
        <v>259900</v>
      </c>
      <c r="E39" s="4">
        <f>E27+E29-E33</f>
        <v>936798</v>
      </c>
      <c r="F39" s="4">
        <f>F27+F29-F33+F35</f>
        <v>1212733.96</v>
      </c>
      <c r="G39" s="4">
        <f>G27</f>
        <v>2118412.3520000004</v>
      </c>
      <c r="H39" s="4">
        <f>H27</f>
        <v>706131.77600000007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zoomScale="150" zoomScaleNormal="150" workbookViewId="0">
      <selection activeCell="C2" sqref="C2"/>
    </sheetView>
  </sheetViews>
  <sheetFormatPr defaultRowHeight="15" x14ac:dyDescent="0.25"/>
  <cols>
    <col min="1" max="1" width="7.42578125" customWidth="1"/>
    <col min="2" max="2" width="32.42578125" bestFit="1" customWidth="1"/>
    <col min="3" max="3" width="15.7109375" bestFit="1" customWidth="1"/>
    <col min="4" max="4" width="14.85546875" bestFit="1" customWidth="1"/>
    <col min="5" max="5" width="17.28515625" customWidth="1"/>
    <col min="6" max="6" width="15.7109375" bestFit="1" customWidth="1"/>
    <col min="7" max="7" width="14.28515625" bestFit="1" customWidth="1"/>
    <col min="8" max="10" width="15.7109375" bestFit="1" customWidth="1"/>
  </cols>
  <sheetData>
    <row r="1" spans="2:10" x14ac:dyDescent="0.25">
      <c r="B1" t="s">
        <v>69</v>
      </c>
      <c r="C1" s="15">
        <v>0.14000000000000001</v>
      </c>
    </row>
    <row r="3" spans="2:10" x14ac:dyDescent="0.25">
      <c r="B3" s="21"/>
      <c r="C3" s="21"/>
      <c r="D3" s="21" t="s">
        <v>3</v>
      </c>
      <c r="E3" s="21" t="s">
        <v>4</v>
      </c>
      <c r="F3" s="21" t="s">
        <v>5</v>
      </c>
      <c r="G3" s="21" t="s">
        <v>6</v>
      </c>
      <c r="H3" s="21" t="s">
        <v>7</v>
      </c>
      <c r="I3" s="21" t="s">
        <v>68</v>
      </c>
      <c r="J3" s="21" t="s">
        <v>9</v>
      </c>
    </row>
    <row r="4" spans="2:10" x14ac:dyDescent="0.25">
      <c r="B4" s="21"/>
      <c r="C4" s="21"/>
      <c r="D4" s="21"/>
      <c r="E4" s="21"/>
      <c r="F4" s="21"/>
      <c r="G4" s="21"/>
      <c r="H4" s="21"/>
      <c r="I4" s="21"/>
      <c r="J4" s="21"/>
    </row>
    <row r="5" spans="2:10" x14ac:dyDescent="0.25">
      <c r="B5" s="21" t="s">
        <v>67</v>
      </c>
      <c r="C5" s="21"/>
      <c r="D5" s="22">
        <v>-375000</v>
      </c>
      <c r="E5" s="22">
        <v>-515000</v>
      </c>
      <c r="F5" s="22">
        <v>259900</v>
      </c>
      <c r="G5" s="22">
        <v>936798</v>
      </c>
      <c r="H5" s="22">
        <v>1212733.96</v>
      </c>
      <c r="I5" s="22">
        <v>2118412.352</v>
      </c>
      <c r="J5" s="22">
        <v>706131.77599999995</v>
      </c>
    </row>
    <row r="6" spans="2:10" x14ac:dyDescent="0.25">
      <c r="B6" s="21"/>
      <c r="C6" s="21"/>
      <c r="D6" s="21"/>
      <c r="E6" s="21"/>
      <c r="F6" s="21"/>
      <c r="G6" s="21"/>
      <c r="H6" s="21"/>
      <c r="I6" s="21"/>
      <c r="J6" s="21"/>
    </row>
    <row r="7" spans="2:10" x14ac:dyDescent="0.25">
      <c r="B7" s="21" t="s">
        <v>70</v>
      </c>
      <c r="C7" s="21"/>
      <c r="D7" s="22">
        <f>D5</f>
        <v>-375000</v>
      </c>
      <c r="E7" s="33">
        <f>E5/((1+C1)^1)</f>
        <v>-451754.38596491225</v>
      </c>
      <c r="F7" s="33">
        <f>F5/((1+C1)^2)</f>
        <v>199984.61064943054</v>
      </c>
      <c r="G7" s="33">
        <f>G5/((1+C1)^3)</f>
        <v>632311.96643501625</v>
      </c>
      <c r="H7" s="33">
        <f>H5/((1+C1)^4)</f>
        <v>718035.85941304814</v>
      </c>
      <c r="I7" s="33">
        <f>I5/((1+C1)^5)</f>
        <v>1100236.9938215748</v>
      </c>
      <c r="J7" s="33">
        <f>J5/((1+C1)^6)</f>
        <v>321704.13803784578</v>
      </c>
    </row>
    <row r="8" spans="2:10" x14ac:dyDescent="0.25">
      <c r="B8" s="21"/>
      <c r="C8" s="21"/>
      <c r="D8" s="21"/>
      <c r="E8" s="21"/>
      <c r="F8" s="21"/>
      <c r="G8" s="21"/>
      <c r="H8" s="21"/>
      <c r="I8" s="21"/>
      <c r="J8" s="21"/>
    </row>
    <row r="9" spans="2:10" x14ac:dyDescent="0.25">
      <c r="B9" s="21" t="s">
        <v>71</v>
      </c>
      <c r="C9" s="33">
        <f>SUM(D7:J7)</f>
        <v>2145519.1823920035</v>
      </c>
      <c r="D9" s="21"/>
      <c r="E9" s="21"/>
      <c r="F9" s="21"/>
      <c r="G9" s="21"/>
      <c r="H9" s="21"/>
      <c r="I9" s="21"/>
      <c r="J9" s="21"/>
    </row>
    <row r="10" spans="2:10" x14ac:dyDescent="0.25">
      <c r="B10" s="21"/>
      <c r="C10" s="22">
        <f>NPV(C1,E5:J5)+D5</f>
        <v>2145519.1823920035</v>
      </c>
      <c r="D10" s="21"/>
      <c r="E10" s="21"/>
      <c r="F10" s="21"/>
      <c r="G10" s="21"/>
      <c r="H10" s="21"/>
      <c r="I10" s="21"/>
      <c r="J10" s="21"/>
    </row>
    <row r="11" spans="2:10" x14ac:dyDescent="0.25">
      <c r="B11" s="21" t="s">
        <v>72</v>
      </c>
      <c r="C11" s="32">
        <f>IRR(D5:J5)</f>
        <v>0.64178144102258861</v>
      </c>
      <c r="D11" s="21"/>
      <c r="E11" s="23"/>
      <c r="F11" s="23"/>
      <c r="G11" s="23"/>
      <c r="H11" s="23"/>
      <c r="I11" s="21"/>
      <c r="J11" s="21"/>
    </row>
    <row r="12" spans="2:10" x14ac:dyDescent="0.25">
      <c r="B12" s="21"/>
      <c r="C12" s="21"/>
      <c r="D12" s="24"/>
      <c r="E12" s="21"/>
      <c r="F12" s="21"/>
      <c r="G12" s="21"/>
      <c r="H12" s="21"/>
      <c r="I12" s="21"/>
      <c r="J12" s="21"/>
    </row>
    <row r="13" spans="2:10" x14ac:dyDescent="0.25">
      <c r="B13" s="21" t="s">
        <v>73</v>
      </c>
      <c r="C13" s="25">
        <f>C9/D7*-1</f>
        <v>5.7213844863786756</v>
      </c>
      <c r="D13" s="21"/>
      <c r="E13" s="21"/>
      <c r="F13" s="21"/>
      <c r="G13" s="21"/>
      <c r="H13" s="21"/>
      <c r="I13" s="21"/>
      <c r="J13" s="21"/>
    </row>
    <row r="14" spans="2:10" x14ac:dyDescent="0.25">
      <c r="B14" s="21"/>
      <c r="C14" s="21"/>
      <c r="D14" s="21"/>
      <c r="E14" s="23"/>
      <c r="F14" s="23"/>
      <c r="G14" s="23"/>
      <c r="H14" s="23"/>
      <c r="I14" s="21"/>
      <c r="J14" s="21"/>
    </row>
    <row r="15" spans="2:10" x14ac:dyDescent="0.25">
      <c r="B15" s="21" t="s">
        <v>74</v>
      </c>
      <c r="C15" s="24"/>
      <c r="D15" s="22">
        <f>D5</f>
        <v>-375000</v>
      </c>
      <c r="E15" s="22">
        <f>E5+D5</f>
        <v>-890000</v>
      </c>
      <c r="F15" s="22">
        <f>F5+E15</f>
        <v>-630100</v>
      </c>
      <c r="G15" s="22">
        <f>G5+F15</f>
        <v>306698</v>
      </c>
      <c r="H15" s="22">
        <f>H5+G15</f>
        <v>1519431.96</v>
      </c>
      <c r="I15" s="22">
        <f>I5+H15</f>
        <v>3637844.3119999999</v>
      </c>
      <c r="J15" s="22">
        <f>J5+I15</f>
        <v>4343976.0879999995</v>
      </c>
    </row>
    <row r="16" spans="2:10" x14ac:dyDescent="0.25">
      <c r="B16" s="21"/>
      <c r="C16" s="21"/>
      <c r="D16" s="23"/>
      <c r="E16" s="21"/>
      <c r="F16" s="21"/>
      <c r="G16" s="21"/>
      <c r="H16" s="21"/>
      <c r="I16" s="21"/>
      <c r="J16" s="21"/>
    </row>
    <row r="17" spans="2:10" x14ac:dyDescent="0.25">
      <c r="B17" s="26" t="s">
        <v>75</v>
      </c>
      <c r="C17" s="26"/>
      <c r="D17" s="26"/>
      <c r="E17" s="26"/>
      <c r="F17" s="34">
        <f>2+(-F15/G5)</f>
        <v>2.6726103172722402</v>
      </c>
      <c r="G17" s="21"/>
      <c r="H17" s="21"/>
      <c r="I17" s="21"/>
      <c r="J17" s="21"/>
    </row>
    <row r="18" spans="2:10" x14ac:dyDescent="0.25">
      <c r="B18" s="21"/>
      <c r="C18" s="21"/>
      <c r="D18" s="21"/>
      <c r="E18" s="21"/>
      <c r="F18" s="21"/>
      <c r="G18" s="21"/>
      <c r="H18" s="21"/>
      <c r="I18" s="21"/>
      <c r="J18" s="21"/>
    </row>
    <row r="19" spans="2:10" x14ac:dyDescent="0.25">
      <c r="B19" s="21" t="s">
        <v>76</v>
      </c>
      <c r="C19" s="21"/>
      <c r="D19" s="22">
        <f>D7</f>
        <v>-375000</v>
      </c>
      <c r="E19" s="33">
        <f>E7+D19</f>
        <v>-826754.38596491225</v>
      </c>
      <c r="F19" s="33">
        <f>F7+E19</f>
        <v>-626769.7753154817</v>
      </c>
      <c r="G19" s="33">
        <f>G7+F19</f>
        <v>5542.1911195345456</v>
      </c>
      <c r="H19" s="33">
        <f>H7+G19</f>
        <v>723578.05053258268</v>
      </c>
      <c r="I19" s="33">
        <f>I7+H19</f>
        <v>1823815.0443541575</v>
      </c>
      <c r="J19" s="33">
        <f>J7+I19</f>
        <v>2145519.1823920035</v>
      </c>
    </row>
    <row r="20" spans="2:10" x14ac:dyDescent="0.25">
      <c r="B20" s="21"/>
      <c r="C20" s="21"/>
      <c r="D20" s="21"/>
      <c r="E20" s="21"/>
      <c r="F20" s="21"/>
      <c r="G20" s="21"/>
      <c r="H20" s="21"/>
      <c r="I20" s="21"/>
      <c r="J20" s="21"/>
    </row>
    <row r="21" spans="2:10" x14ac:dyDescent="0.25">
      <c r="B21" s="26" t="s">
        <v>77</v>
      </c>
      <c r="C21" s="26"/>
      <c r="D21" s="26"/>
      <c r="E21" s="26"/>
      <c r="F21" s="34">
        <f>2+(-F19/G7)</f>
        <v>2.9912350367955529</v>
      </c>
      <c r="G21" s="21"/>
      <c r="H21" s="21"/>
      <c r="I21" s="21"/>
      <c r="J21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14"/>
  <sheetViews>
    <sheetView zoomScale="150" zoomScaleNormal="150" workbookViewId="0"/>
  </sheetViews>
  <sheetFormatPr defaultRowHeight="15" x14ac:dyDescent="0.25"/>
  <cols>
    <col min="3" max="3" width="10.7109375" bestFit="1" customWidth="1"/>
    <col min="4" max="4" width="18" bestFit="1" customWidth="1"/>
    <col min="6" max="6" width="16.85546875" bestFit="1" customWidth="1"/>
    <col min="8" max="8" width="15.7109375" bestFit="1" customWidth="1"/>
  </cols>
  <sheetData>
    <row r="5" spans="4:8" x14ac:dyDescent="0.25">
      <c r="D5" s="19"/>
      <c r="E5" s="19"/>
      <c r="F5" s="19" t="s">
        <v>78</v>
      </c>
      <c r="G5" s="19"/>
      <c r="H5" s="19" t="s">
        <v>79</v>
      </c>
    </row>
    <row r="6" spans="4:8" x14ac:dyDescent="0.25">
      <c r="D6" s="19"/>
      <c r="E6" s="19"/>
      <c r="F6" s="19"/>
      <c r="G6" s="19"/>
      <c r="H6" s="19"/>
    </row>
    <row r="7" spans="4:8" x14ac:dyDescent="0.25">
      <c r="D7" s="19" t="s">
        <v>80</v>
      </c>
      <c r="E7" s="19"/>
      <c r="F7" s="20">
        <v>2145519.1823999998</v>
      </c>
      <c r="G7" s="19"/>
      <c r="H7" s="20">
        <v>2000000</v>
      </c>
    </row>
    <row r="8" spans="4:8" x14ac:dyDescent="0.25">
      <c r="D8" s="19"/>
      <c r="E8" s="19"/>
      <c r="F8" s="28"/>
      <c r="G8" s="19"/>
      <c r="H8" s="20"/>
    </row>
    <row r="9" spans="4:8" x14ac:dyDescent="0.25">
      <c r="D9" s="19" t="s">
        <v>69</v>
      </c>
      <c r="E9" s="19"/>
      <c r="F9" s="35">
        <v>0.14000000000000001</v>
      </c>
      <c r="G9" s="19"/>
      <c r="H9" s="35">
        <v>0.14000000000000001</v>
      </c>
    </row>
    <row r="10" spans="4:8" x14ac:dyDescent="0.25">
      <c r="D10" s="19"/>
      <c r="E10" s="19"/>
      <c r="F10" s="35"/>
      <c r="G10" s="19"/>
      <c r="H10" s="35"/>
    </row>
    <row r="11" spans="4:8" x14ac:dyDescent="0.25">
      <c r="D11" s="19" t="s">
        <v>81</v>
      </c>
      <c r="E11" s="19"/>
      <c r="F11" s="19">
        <v>4</v>
      </c>
      <c r="G11" s="19"/>
      <c r="H11" s="19">
        <v>3</v>
      </c>
    </row>
    <row r="12" spans="4:8" x14ac:dyDescent="0.25">
      <c r="D12" s="19"/>
      <c r="E12" s="19"/>
      <c r="F12" s="19"/>
      <c r="G12" s="19"/>
      <c r="H12" s="19"/>
    </row>
    <row r="13" spans="4:8" x14ac:dyDescent="0.25">
      <c r="D13" s="27" t="s">
        <v>82</v>
      </c>
      <c r="E13" s="19"/>
      <c r="F13" s="28">
        <f>F9*F7/(1-((1+F9)^-F11))</f>
        <v>736352.44601445738</v>
      </c>
      <c r="G13" s="28"/>
      <c r="H13" s="28">
        <f t="shared" ref="G13:H13" si="0">H9*H7/(1-((1+H9)^-H11))</f>
        <v>861462.960809396</v>
      </c>
    </row>
    <row r="14" spans="4:8" x14ac:dyDescent="0.25">
      <c r="D14" s="27"/>
      <c r="E14" s="19"/>
      <c r="F14" s="19"/>
      <c r="G14" s="19"/>
      <c r="H14" s="19"/>
    </row>
  </sheetData>
  <mergeCells count="1">
    <mergeCell ref="D13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Assignment Information</vt:lpstr>
      <vt:lpstr>Equipment Depreciation</vt:lpstr>
      <vt:lpstr>Capital after tax</vt:lpstr>
      <vt:lpstr>Free Cash Flow</vt:lpstr>
      <vt:lpstr>Question 4</vt:lpstr>
      <vt:lpstr>EAA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2021-05-09T13:58:26Z</dcterms:created>
  <dcterms:modified xsi:type="dcterms:W3CDTF">2021-05-10T15:47:32Z</dcterms:modified>
</cp:coreProperties>
</file>