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a\valuation\projects\HUL\"/>
    </mc:Choice>
  </mc:AlternateContent>
  <xr:revisionPtr revIDLastSave="0" documentId="13_ncr:1_{DE85ADF2-A80B-4782-948A-A0878CB330D1}" xr6:coauthVersionLast="47" xr6:coauthVersionMax="47" xr10:uidLastSave="{00000000-0000-0000-0000-000000000000}"/>
  <bookViews>
    <workbookView xWindow="-108" yWindow="-108" windowWidth="41496" windowHeight="16776" activeTab="3" xr2:uid="{D4886810-D9CC-4231-AA87-2302A306BB27}"/>
  </bookViews>
  <sheets>
    <sheet name="Financials&gt;" sheetId="1" r:id="rId1"/>
    <sheet name="HistoricalFS" sheetId="3" r:id="rId2"/>
    <sheet name="financial Ratios" sheetId="6" r:id="rId3"/>
    <sheet name="Forecasting " sheetId="7" r:id="rId4"/>
    <sheet name="DCF" sheetId="8" r:id="rId5"/>
    <sheet name="Beta calculation of firm " sheetId="9" r:id="rId6"/>
    <sheet name="Market Return" sheetId="11" r:id="rId7"/>
    <sheet name="Beta Comps" sheetId="10" r:id="rId8"/>
    <sheet name="Wacc" sheetId="12" r:id="rId9"/>
    <sheet name="DCF final " sheetId="13" r:id="rId10"/>
    <sheet name="intrinsic growth" sheetId="14" r:id="rId11"/>
    <sheet name="Data&gt;" sheetId="4" r:id="rId12"/>
    <sheet name="Data Sheet" sheetId="2" r:id="rId13"/>
    <sheet name="Cash Flow Data" sheetId="5" r:id="rId14"/>
    <sheet name="RawFS" sheetId="15" r:id="rId1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13" l="1"/>
  <c r="E41" i="13"/>
  <c r="E40" i="13"/>
  <c r="E39" i="13"/>
  <c r="E38" i="13"/>
  <c r="E36" i="13"/>
  <c r="E35" i="13"/>
  <c r="E34" i="13"/>
  <c r="E29" i="13"/>
  <c r="E25" i="13"/>
  <c r="K17" i="13"/>
  <c r="J17" i="13"/>
  <c r="I17" i="13"/>
  <c r="H17" i="13"/>
  <c r="G17" i="13"/>
  <c r="F17" i="13"/>
  <c r="E17" i="13"/>
  <c r="F15" i="13"/>
  <c r="G15" i="13"/>
  <c r="H15" i="13"/>
  <c r="I15" i="13"/>
  <c r="J15" i="13"/>
  <c r="K15" i="13"/>
  <c r="E15" i="13"/>
  <c r="E26" i="13"/>
  <c r="E27" i="13"/>
  <c r="G11" i="13"/>
  <c r="H11" i="13"/>
  <c r="H13" i="13" s="1"/>
  <c r="I11" i="13"/>
  <c r="I13" i="13" s="1"/>
  <c r="J11" i="13"/>
  <c r="J13" i="13" s="1"/>
  <c r="F11" i="13"/>
  <c r="F13" i="13"/>
  <c r="G13" i="13"/>
  <c r="K13" i="13"/>
  <c r="E13" i="13"/>
  <c r="E11" i="13"/>
  <c r="K9" i="13" l="1"/>
  <c r="J9" i="13"/>
  <c r="I9" i="13"/>
  <c r="H9" i="13"/>
  <c r="G9" i="13"/>
  <c r="F9" i="13"/>
  <c r="E9" i="13"/>
  <c r="K7" i="13"/>
  <c r="J7" i="13"/>
  <c r="I7" i="13"/>
  <c r="H7" i="13"/>
  <c r="G7" i="13"/>
  <c r="F7" i="13"/>
  <c r="E7" i="13"/>
  <c r="G5" i="13"/>
  <c r="H5" i="13"/>
  <c r="I5" i="13" s="1"/>
  <c r="J5" i="13" s="1"/>
  <c r="K5" i="13" s="1"/>
  <c r="F5" i="13"/>
  <c r="E19" i="13"/>
  <c r="E5" i="13"/>
  <c r="I3" i="13"/>
  <c r="G3" i="13"/>
  <c r="H3" i="13"/>
  <c r="F3" i="13"/>
  <c r="E3" i="13"/>
  <c r="J3" i="13" l="1"/>
  <c r="K3" i="13" s="1"/>
  <c r="K64" i="14" l="1"/>
  <c r="K63" i="14"/>
  <c r="I59" i="14"/>
  <c r="J59" i="14"/>
  <c r="J61" i="14" s="1"/>
  <c r="K59" i="14"/>
  <c r="K61" i="14" s="1"/>
  <c r="I61" i="14"/>
  <c r="H61" i="14"/>
  <c r="H59" i="14"/>
  <c r="K58" i="14"/>
  <c r="J58" i="14"/>
  <c r="I58" i="14"/>
  <c r="H58" i="14"/>
  <c r="K54" i="14"/>
  <c r="K53" i="14"/>
  <c r="K51" i="14"/>
  <c r="J51" i="14"/>
  <c r="I51" i="14"/>
  <c r="H51" i="14"/>
  <c r="K49" i="14"/>
  <c r="J49" i="14"/>
  <c r="I49" i="14"/>
  <c r="H49" i="14"/>
  <c r="K47" i="14"/>
  <c r="J47" i="14"/>
  <c r="I47" i="14"/>
  <c r="H47" i="14"/>
  <c r="K45" i="14"/>
  <c r="J45" i="14"/>
  <c r="I45" i="14"/>
  <c r="H45" i="14"/>
  <c r="G45" i="14"/>
  <c r="I43" i="14"/>
  <c r="J43" i="14"/>
  <c r="K43" i="14"/>
  <c r="H43" i="14"/>
  <c r="H42" i="14"/>
  <c r="I42" i="14"/>
  <c r="J42" i="14"/>
  <c r="K42" i="14"/>
  <c r="G42" i="14"/>
  <c r="H37" i="14"/>
  <c r="I37" i="14"/>
  <c r="J37" i="14"/>
  <c r="K37" i="14"/>
  <c r="G37" i="14"/>
  <c r="H34" i="14"/>
  <c r="I34" i="14"/>
  <c r="J34" i="14"/>
  <c r="K34" i="14"/>
  <c r="H35" i="14"/>
  <c r="I35" i="14"/>
  <c r="J35" i="14"/>
  <c r="K35" i="14"/>
  <c r="G35" i="14"/>
  <c r="G34" i="14"/>
  <c r="H32" i="14"/>
  <c r="I32" i="14"/>
  <c r="J32" i="14"/>
  <c r="K32" i="14"/>
  <c r="G32" i="14"/>
  <c r="H30" i="14"/>
  <c r="I30" i="14"/>
  <c r="J30" i="14"/>
  <c r="K30" i="14"/>
  <c r="H31" i="14"/>
  <c r="I31" i="14"/>
  <c r="J31" i="14"/>
  <c r="K31" i="14"/>
  <c r="G31" i="14"/>
  <c r="G30" i="14"/>
  <c r="H20" i="14"/>
  <c r="I20" i="14"/>
  <c r="J20" i="14"/>
  <c r="K20" i="14"/>
  <c r="H21" i="14"/>
  <c r="I21" i="14"/>
  <c r="J21" i="14"/>
  <c r="K21" i="14"/>
  <c r="H22" i="14"/>
  <c r="I22" i="14"/>
  <c r="J22" i="14"/>
  <c r="K22" i="14"/>
  <c r="H23" i="14"/>
  <c r="I23" i="14"/>
  <c r="J23" i="14"/>
  <c r="K23" i="14"/>
  <c r="H24" i="14"/>
  <c r="I24" i="14"/>
  <c r="J24" i="14"/>
  <c r="K24" i="14"/>
  <c r="H25" i="14"/>
  <c r="I25" i="14"/>
  <c r="J25" i="14"/>
  <c r="K25" i="14"/>
  <c r="H26" i="14"/>
  <c r="I26" i="14"/>
  <c r="J26" i="14"/>
  <c r="K26" i="14"/>
  <c r="H27" i="14"/>
  <c r="I27" i="14"/>
  <c r="J27" i="14"/>
  <c r="K27" i="14"/>
  <c r="H28" i="14"/>
  <c r="I28" i="14"/>
  <c r="J28" i="14"/>
  <c r="K28" i="14"/>
  <c r="G21" i="14"/>
  <c r="G22" i="14"/>
  <c r="G23" i="14"/>
  <c r="G24" i="14"/>
  <c r="G25" i="14"/>
  <c r="G26" i="14"/>
  <c r="G27" i="14"/>
  <c r="G28" i="14"/>
  <c r="G20" i="14"/>
  <c r="H12" i="14"/>
  <c r="I12" i="14"/>
  <c r="J12" i="14"/>
  <c r="K12" i="14"/>
  <c r="H13" i="14"/>
  <c r="I13" i="14"/>
  <c r="J13" i="14"/>
  <c r="K13" i="14"/>
  <c r="H14" i="14"/>
  <c r="I14" i="14"/>
  <c r="J14" i="14"/>
  <c r="K14" i="14"/>
  <c r="G13" i="14"/>
  <c r="G14" i="14"/>
  <c r="G12" i="14"/>
  <c r="H7" i="14"/>
  <c r="I7" i="14"/>
  <c r="J7" i="14"/>
  <c r="K7" i="14"/>
  <c r="H8" i="14"/>
  <c r="H17" i="14" s="1"/>
  <c r="I8" i="14"/>
  <c r="I17" i="14" s="1"/>
  <c r="J8" i="14"/>
  <c r="J17" i="14" s="1"/>
  <c r="K8" i="14"/>
  <c r="K17" i="14" s="1"/>
  <c r="G8" i="14"/>
  <c r="G17" i="14" s="1"/>
  <c r="G7" i="14"/>
  <c r="H6" i="14"/>
  <c r="I6" i="14"/>
  <c r="J6" i="14"/>
  <c r="K6" i="14"/>
  <c r="G6" i="14"/>
  <c r="H5" i="14"/>
  <c r="I5" i="14"/>
  <c r="J5" i="14"/>
  <c r="K5" i="14"/>
  <c r="G5" i="14"/>
  <c r="H2" i="14"/>
  <c r="I2" i="14"/>
  <c r="J2" i="14"/>
  <c r="K2" i="14"/>
  <c r="G2" i="14"/>
  <c r="N30" i="15"/>
  <c r="M30" i="15"/>
  <c r="L30" i="15"/>
  <c r="K30" i="15"/>
  <c r="J30" i="15"/>
  <c r="I30" i="15"/>
  <c r="H30" i="15"/>
  <c r="G30" i="15"/>
  <c r="F30" i="15"/>
  <c r="E30" i="15"/>
  <c r="D30" i="15"/>
  <c r="C30" i="15"/>
  <c r="J40" i="12"/>
  <c r="J37" i="12"/>
  <c r="J39" i="12"/>
  <c r="J36" i="12"/>
  <c r="J24" i="12"/>
  <c r="J23" i="12"/>
  <c r="J32" i="12"/>
  <c r="J31" i="12"/>
  <c r="J30" i="12"/>
  <c r="J29" i="12"/>
  <c r="E34" i="12"/>
  <c r="D34" i="12"/>
  <c r="D32" i="12"/>
  <c r="E32" i="12"/>
  <c r="E31" i="12"/>
  <c r="E30" i="12"/>
  <c r="D31" i="12"/>
  <c r="D30" i="12"/>
  <c r="C32" i="12"/>
  <c r="C31" i="12"/>
  <c r="C30" i="12"/>
  <c r="J22" i="12"/>
  <c r="E23" i="12"/>
  <c r="E22" i="12"/>
  <c r="E21" i="12"/>
  <c r="G16" i="12"/>
  <c r="H16" i="12"/>
  <c r="I16" i="12"/>
  <c r="J16" i="12"/>
  <c r="F16" i="12"/>
  <c r="G15" i="12"/>
  <c r="H15" i="12"/>
  <c r="I15" i="12"/>
  <c r="J15" i="12"/>
  <c r="F15" i="12"/>
  <c r="J11" i="12" l="1"/>
  <c r="J12" i="12"/>
  <c r="J13" i="12"/>
  <c r="J10" i="12"/>
  <c r="I11" i="12"/>
  <c r="I12" i="12"/>
  <c r="I13" i="12"/>
  <c r="I10" i="12"/>
  <c r="E4" i="10"/>
  <c r="H11" i="12"/>
  <c r="H12" i="12"/>
  <c r="H13" i="12"/>
  <c r="H10" i="12"/>
  <c r="G11" i="12"/>
  <c r="G12" i="12"/>
  <c r="G13" i="12"/>
  <c r="G10" i="12"/>
  <c r="E11" i="12"/>
  <c r="E12" i="12"/>
  <c r="E13" i="12"/>
  <c r="E10" i="12"/>
  <c r="D11" i="12"/>
  <c r="D12" i="12"/>
  <c r="D13" i="12"/>
  <c r="D10" i="12"/>
  <c r="G5" i="11"/>
  <c r="G7" i="11" s="1"/>
  <c r="J42" i="12" l="1"/>
  <c r="N7" i="9" l="1"/>
  <c r="J5" i="9" l="1"/>
  <c r="J11" i="9" s="1"/>
  <c r="N6" i="9" l="1"/>
  <c r="N5" i="9"/>
  <c r="B1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8" i="9"/>
  <c r="J13" i="7" l="1"/>
  <c r="J12" i="7"/>
  <c r="J11" i="7"/>
  <c r="N15" i="7" l="1"/>
  <c r="N16" i="7"/>
  <c r="N14" i="7"/>
  <c r="N4" i="7" a="1"/>
  <c r="N4" i="7" s="1"/>
  <c r="L2" i="7"/>
  <c r="M16" i="7"/>
  <c r="M15" i="7"/>
  <c r="M14" i="7"/>
  <c r="M13" i="7"/>
  <c r="M12" i="7"/>
  <c r="M11" i="7"/>
  <c r="M10" i="7"/>
  <c r="M9" i="7"/>
  <c r="M8" i="7"/>
  <c r="M7" i="7"/>
  <c r="M6" i="7"/>
  <c r="M5" i="7"/>
  <c r="L5" i="7"/>
  <c r="L6" i="7" s="1"/>
  <c r="L7" i="7" s="1"/>
  <c r="L8" i="7" s="1"/>
  <c r="L9" i="7" s="1"/>
  <c r="L10" i="7" s="1"/>
  <c r="L11" i="7" s="1"/>
  <c r="L12" i="7" s="1"/>
  <c r="L13" i="7" s="1"/>
  <c r="L14" i="7" s="1"/>
  <c r="O9" i="7"/>
  <c r="M4" i="7"/>
  <c r="G2" i="7"/>
  <c r="I15" i="7"/>
  <c r="I16" i="7"/>
  <c r="I14" i="7"/>
  <c r="I4" i="7" a="1"/>
  <c r="I4" i="7" s="1"/>
  <c r="H16" i="7"/>
  <c r="H15" i="7"/>
  <c r="H14" i="7"/>
  <c r="H13" i="7"/>
  <c r="H12" i="7"/>
  <c r="H11" i="7"/>
  <c r="H10" i="7"/>
  <c r="H9" i="7"/>
  <c r="H8" i="7"/>
  <c r="H7" i="7"/>
  <c r="H6" i="7"/>
  <c r="H5" i="7"/>
  <c r="H4" i="7"/>
  <c r="G5" i="7"/>
  <c r="G6" i="7" s="1"/>
  <c r="G7" i="7" s="1"/>
  <c r="G8" i="7" s="1"/>
  <c r="G9" i="7" s="1"/>
  <c r="G10" i="7" s="1"/>
  <c r="G11" i="7" s="1"/>
  <c r="G12" i="7" s="1"/>
  <c r="G13" i="7" s="1"/>
  <c r="G14" i="7" s="1"/>
  <c r="E16" i="7"/>
  <c r="E15" i="7"/>
  <c r="E14" i="7"/>
  <c r="E13" i="7"/>
  <c r="E12" i="7"/>
  <c r="E11" i="7"/>
  <c r="E10" i="7"/>
  <c r="E9" i="7"/>
  <c r="E8" i="7"/>
  <c r="E7" i="7"/>
  <c r="E6" i="7"/>
  <c r="E5" i="7"/>
  <c r="D15" i="7"/>
  <c r="D16" i="7"/>
  <c r="D14" i="7"/>
  <c r="C15" i="7"/>
  <c r="C16" i="7" s="1"/>
  <c r="C14" i="7"/>
  <c r="D4" i="7" a="1"/>
  <c r="D4" i="7" s="1"/>
  <c r="B6" i="7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5" i="7"/>
  <c r="C4" i="7" a="1"/>
  <c r="C4" i="7" s="1"/>
  <c r="B2" i="7"/>
  <c r="O14" i="7" l="1"/>
  <c r="L15" i="7"/>
  <c r="O12" i="7"/>
  <c r="O7" i="7"/>
  <c r="O10" i="7"/>
  <c r="O5" i="7"/>
  <c r="O13" i="7"/>
  <c r="O8" i="7"/>
  <c r="O11" i="7"/>
  <c r="O6" i="7"/>
  <c r="J14" i="7"/>
  <c r="G15" i="7"/>
  <c r="J8" i="7"/>
  <c r="J9" i="7"/>
  <c r="J5" i="7"/>
  <c r="J6" i="7"/>
  <c r="J10" i="7"/>
  <c r="J7" i="7"/>
  <c r="L16" i="7" l="1"/>
  <c r="O16" i="7" s="1"/>
  <c r="O15" i="7"/>
  <c r="G16" i="7"/>
  <c r="J16" i="7" s="1"/>
  <c r="J15" i="7"/>
  <c r="O12" i="6" l="1"/>
  <c r="O13" i="6"/>
  <c r="O14" i="6"/>
  <c r="O15" i="6"/>
  <c r="O17" i="6"/>
  <c r="O18" i="6"/>
  <c r="O19" i="6"/>
  <c r="O21" i="6"/>
  <c r="O22" i="6"/>
  <c r="O23" i="6"/>
  <c r="O24" i="6"/>
  <c r="O25" i="6"/>
  <c r="O27" i="6"/>
  <c r="O28" i="6"/>
  <c r="O29" i="6"/>
  <c r="O30" i="6"/>
  <c r="O31" i="6"/>
  <c r="O33" i="6"/>
  <c r="O34" i="6"/>
  <c r="O35" i="6"/>
  <c r="O36" i="6"/>
  <c r="O38" i="6"/>
  <c r="O39" i="6"/>
  <c r="O40" i="6"/>
  <c r="O11" i="6"/>
  <c r="N12" i="6"/>
  <c r="N13" i="6"/>
  <c r="N14" i="6"/>
  <c r="N15" i="6"/>
  <c r="N17" i="6"/>
  <c r="N18" i="6"/>
  <c r="N19" i="6"/>
  <c r="N21" i="6"/>
  <c r="N22" i="6"/>
  <c r="N23" i="6"/>
  <c r="N24" i="6"/>
  <c r="N25" i="6"/>
  <c r="N27" i="6"/>
  <c r="N28" i="6"/>
  <c r="N29" i="6"/>
  <c r="N30" i="6"/>
  <c r="N31" i="6"/>
  <c r="N33" i="6"/>
  <c r="N34" i="6"/>
  <c r="N35" i="6"/>
  <c r="N36" i="6"/>
  <c r="N38" i="6"/>
  <c r="N39" i="6"/>
  <c r="N40" i="6"/>
  <c r="N11" i="6"/>
  <c r="B2" i="6"/>
  <c r="O6" i="6"/>
  <c r="O7" i="6"/>
  <c r="O8" i="6"/>
  <c r="O9" i="6"/>
  <c r="O5" i="6"/>
  <c r="N6" i="6"/>
  <c r="N7" i="6"/>
  <c r="N8" i="6"/>
  <c r="N9" i="6"/>
  <c r="N5" i="6"/>
  <c r="L40" i="6"/>
  <c r="K40" i="6"/>
  <c r="J40" i="6"/>
  <c r="I40" i="6"/>
  <c r="H40" i="6"/>
  <c r="G40" i="6"/>
  <c r="F40" i="6"/>
  <c r="E40" i="6"/>
  <c r="D40" i="6"/>
  <c r="L39" i="6"/>
  <c r="K39" i="6"/>
  <c r="J39" i="6"/>
  <c r="I39" i="6"/>
  <c r="H39" i="6"/>
  <c r="G39" i="6"/>
  <c r="F39" i="6"/>
  <c r="E39" i="6"/>
  <c r="D39" i="6"/>
  <c r="L38" i="6"/>
  <c r="K38" i="6"/>
  <c r="J38" i="6"/>
  <c r="I38" i="6"/>
  <c r="H38" i="6"/>
  <c r="G38" i="6"/>
  <c r="F38" i="6"/>
  <c r="E38" i="6"/>
  <c r="D38" i="6"/>
  <c r="C40" i="6"/>
  <c r="C39" i="6"/>
  <c r="C38" i="6"/>
  <c r="E36" i="6"/>
  <c r="L35" i="6"/>
  <c r="L36" i="6" s="1"/>
  <c r="K35" i="6"/>
  <c r="J35" i="6"/>
  <c r="J36" i="6" s="1"/>
  <c r="I35" i="6"/>
  <c r="I36" i="6" s="1"/>
  <c r="H35" i="6"/>
  <c r="H36" i="6" s="1"/>
  <c r="G35" i="6"/>
  <c r="G36" i="6" s="1"/>
  <c r="F35" i="6"/>
  <c r="F36" i="6" s="1"/>
  <c r="E35" i="6"/>
  <c r="D35" i="6"/>
  <c r="D36" i="6" s="1"/>
  <c r="L34" i="6"/>
  <c r="K34" i="6"/>
  <c r="J34" i="6"/>
  <c r="I34" i="6"/>
  <c r="H34" i="6"/>
  <c r="G34" i="6"/>
  <c r="F34" i="6"/>
  <c r="E34" i="6"/>
  <c r="D34" i="6"/>
  <c r="L33" i="6"/>
  <c r="K33" i="6"/>
  <c r="K36" i="6" s="1"/>
  <c r="J33" i="6"/>
  <c r="I33" i="6"/>
  <c r="H33" i="6"/>
  <c r="G33" i="6"/>
  <c r="F33" i="6"/>
  <c r="E33" i="6"/>
  <c r="D33" i="6"/>
  <c r="C36" i="6"/>
  <c r="C35" i="6"/>
  <c r="C34" i="6"/>
  <c r="C33" i="6"/>
  <c r="L31" i="6"/>
  <c r="K31" i="6"/>
  <c r="J31" i="6"/>
  <c r="I31" i="6"/>
  <c r="H31" i="6"/>
  <c r="G31" i="6"/>
  <c r="F31" i="6"/>
  <c r="E31" i="6"/>
  <c r="D31" i="6"/>
  <c r="L30" i="6"/>
  <c r="K30" i="6"/>
  <c r="J30" i="6"/>
  <c r="I30" i="6"/>
  <c r="H30" i="6"/>
  <c r="G30" i="6"/>
  <c r="F30" i="6"/>
  <c r="E30" i="6"/>
  <c r="D30" i="6"/>
  <c r="L29" i="6"/>
  <c r="K29" i="6"/>
  <c r="J29" i="6"/>
  <c r="I29" i="6"/>
  <c r="H29" i="6"/>
  <c r="G29" i="6"/>
  <c r="F29" i="6"/>
  <c r="E29" i="6"/>
  <c r="D29" i="6"/>
  <c r="L28" i="6"/>
  <c r="K28" i="6"/>
  <c r="J28" i="6"/>
  <c r="I28" i="6"/>
  <c r="H28" i="6"/>
  <c r="G28" i="6"/>
  <c r="F28" i="6"/>
  <c r="E28" i="6"/>
  <c r="D28" i="6"/>
  <c r="L27" i="6"/>
  <c r="K27" i="6"/>
  <c r="J27" i="6"/>
  <c r="I27" i="6"/>
  <c r="H27" i="6"/>
  <c r="G27" i="6"/>
  <c r="F27" i="6"/>
  <c r="E27" i="6"/>
  <c r="D27" i="6"/>
  <c r="C31" i="6"/>
  <c r="C30" i="6"/>
  <c r="C29" i="6"/>
  <c r="C28" i="6"/>
  <c r="C27" i="6"/>
  <c r="D22" i="6"/>
  <c r="E22" i="6"/>
  <c r="E24" i="6" s="1"/>
  <c r="F22" i="6"/>
  <c r="G22" i="6"/>
  <c r="H22" i="6"/>
  <c r="I22" i="6"/>
  <c r="J22" i="6"/>
  <c r="K22" i="6"/>
  <c r="L22" i="6"/>
  <c r="D23" i="6"/>
  <c r="D24" i="6" s="1"/>
  <c r="E23" i="6"/>
  <c r="F23" i="6"/>
  <c r="G23" i="6"/>
  <c r="H23" i="6"/>
  <c r="I23" i="6"/>
  <c r="J23" i="6"/>
  <c r="J24" i="6" s="1"/>
  <c r="K23" i="6"/>
  <c r="L23" i="6"/>
  <c r="F24" i="6"/>
  <c r="G24" i="6"/>
  <c r="H24" i="6"/>
  <c r="I24" i="6"/>
  <c r="K24" i="6"/>
  <c r="L24" i="6"/>
  <c r="D25" i="6"/>
  <c r="E25" i="6"/>
  <c r="F25" i="6"/>
  <c r="G25" i="6"/>
  <c r="H25" i="6"/>
  <c r="I25" i="6"/>
  <c r="J25" i="6"/>
  <c r="K25" i="6"/>
  <c r="L25" i="6"/>
  <c r="C25" i="6"/>
  <c r="C24" i="6"/>
  <c r="C23" i="6"/>
  <c r="C22" i="6"/>
  <c r="D21" i="6"/>
  <c r="E21" i="6"/>
  <c r="F21" i="6"/>
  <c r="G21" i="6"/>
  <c r="H21" i="6"/>
  <c r="I21" i="6"/>
  <c r="J21" i="6"/>
  <c r="K21" i="6"/>
  <c r="L21" i="6"/>
  <c r="C21" i="6"/>
  <c r="L19" i="6"/>
  <c r="K19" i="6"/>
  <c r="J19" i="6"/>
  <c r="I19" i="6"/>
  <c r="H19" i="6"/>
  <c r="G19" i="6"/>
  <c r="F19" i="6"/>
  <c r="E19" i="6"/>
  <c r="D19" i="6"/>
  <c r="L18" i="6"/>
  <c r="K18" i="6"/>
  <c r="J18" i="6"/>
  <c r="I18" i="6"/>
  <c r="H18" i="6"/>
  <c r="G18" i="6"/>
  <c r="F18" i="6"/>
  <c r="E18" i="6"/>
  <c r="D18" i="6"/>
  <c r="L17" i="6"/>
  <c r="K17" i="6"/>
  <c r="J17" i="6"/>
  <c r="I17" i="6"/>
  <c r="H17" i="6"/>
  <c r="G17" i="6"/>
  <c r="F17" i="6"/>
  <c r="E17" i="6"/>
  <c r="D17" i="6"/>
  <c r="L15" i="6"/>
  <c r="K15" i="6"/>
  <c r="J15" i="6"/>
  <c r="I15" i="6"/>
  <c r="H15" i="6"/>
  <c r="G15" i="6"/>
  <c r="F15" i="6"/>
  <c r="E15" i="6"/>
  <c r="D15" i="6"/>
  <c r="L14" i="6"/>
  <c r="K14" i="6"/>
  <c r="J14" i="6"/>
  <c r="I14" i="6"/>
  <c r="H14" i="6"/>
  <c r="G14" i="6"/>
  <c r="F14" i="6"/>
  <c r="E14" i="6"/>
  <c r="D14" i="6"/>
  <c r="L13" i="6"/>
  <c r="K13" i="6"/>
  <c r="J13" i="6"/>
  <c r="I13" i="6"/>
  <c r="H13" i="6"/>
  <c r="G13" i="6"/>
  <c r="F13" i="6"/>
  <c r="E13" i="6"/>
  <c r="D13" i="6"/>
  <c r="L12" i="6"/>
  <c r="K12" i="6"/>
  <c r="J12" i="6"/>
  <c r="I12" i="6"/>
  <c r="H12" i="6"/>
  <c r="G12" i="6"/>
  <c r="F12" i="6"/>
  <c r="E12" i="6"/>
  <c r="D12" i="6"/>
  <c r="L11" i="6"/>
  <c r="K11" i="6"/>
  <c r="J11" i="6"/>
  <c r="I11" i="6"/>
  <c r="H11" i="6"/>
  <c r="G11" i="6"/>
  <c r="F11" i="6"/>
  <c r="E11" i="6"/>
  <c r="D11" i="6"/>
  <c r="C19" i="6"/>
  <c r="C18" i="6"/>
  <c r="C17" i="6"/>
  <c r="C15" i="6"/>
  <c r="C14" i="6"/>
  <c r="C13" i="6"/>
  <c r="C12" i="6"/>
  <c r="C11" i="6"/>
  <c r="E9" i="6"/>
  <c r="F9" i="6"/>
  <c r="G9" i="6"/>
  <c r="H9" i="6"/>
  <c r="I9" i="6"/>
  <c r="J9" i="6"/>
  <c r="K9" i="6"/>
  <c r="L9" i="6"/>
  <c r="D9" i="6"/>
  <c r="E8" i="6"/>
  <c r="F8" i="6"/>
  <c r="G8" i="6"/>
  <c r="H8" i="6"/>
  <c r="I8" i="6"/>
  <c r="J8" i="6"/>
  <c r="K8" i="6"/>
  <c r="L8" i="6"/>
  <c r="D8" i="6"/>
  <c r="E7" i="6" l="1"/>
  <c r="F7" i="6"/>
  <c r="G7" i="6"/>
  <c r="H7" i="6"/>
  <c r="I7" i="6"/>
  <c r="J7" i="6"/>
  <c r="K7" i="6"/>
  <c r="L7" i="6"/>
  <c r="D7" i="6"/>
  <c r="E6" i="6"/>
  <c r="F6" i="6"/>
  <c r="G6" i="6"/>
  <c r="H6" i="6"/>
  <c r="I6" i="6"/>
  <c r="J6" i="6"/>
  <c r="K6" i="6"/>
  <c r="L6" i="6"/>
  <c r="D6" i="6"/>
  <c r="E5" i="6"/>
  <c r="F5" i="6"/>
  <c r="G5" i="6"/>
  <c r="H5" i="6"/>
  <c r="I5" i="6"/>
  <c r="J5" i="6"/>
  <c r="K5" i="6"/>
  <c r="L5" i="6"/>
  <c r="D5" i="6"/>
  <c r="D3" i="6"/>
  <c r="E3" i="6"/>
  <c r="F3" i="6"/>
  <c r="G3" i="6"/>
  <c r="H3" i="6"/>
  <c r="I3" i="6"/>
  <c r="J3" i="6"/>
  <c r="K3" i="6"/>
  <c r="L3" i="6"/>
  <c r="B3" i="6"/>
  <c r="C3" i="6"/>
  <c r="P35" i="5" l="1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L104" i="3"/>
  <c r="K104" i="3"/>
  <c r="J104" i="3"/>
  <c r="I104" i="3"/>
  <c r="H104" i="3"/>
  <c r="G104" i="3"/>
  <c r="F104" i="3"/>
  <c r="E104" i="3"/>
  <c r="D104" i="3"/>
  <c r="C104" i="3"/>
  <c r="L103" i="3"/>
  <c r="K103" i="3"/>
  <c r="J103" i="3"/>
  <c r="I103" i="3"/>
  <c r="H103" i="3"/>
  <c r="G103" i="3"/>
  <c r="F103" i="3"/>
  <c r="E103" i="3"/>
  <c r="D103" i="3"/>
  <c r="C103" i="3"/>
  <c r="L102" i="3"/>
  <c r="K102" i="3"/>
  <c r="J102" i="3"/>
  <c r="I102" i="3"/>
  <c r="H102" i="3"/>
  <c r="G102" i="3"/>
  <c r="F102" i="3"/>
  <c r="E102" i="3"/>
  <c r="D102" i="3"/>
  <c r="C102" i="3"/>
  <c r="L101" i="3"/>
  <c r="K101" i="3"/>
  <c r="J101" i="3"/>
  <c r="I101" i="3"/>
  <c r="H101" i="3"/>
  <c r="G101" i="3"/>
  <c r="F101" i="3"/>
  <c r="E101" i="3"/>
  <c r="D101" i="3"/>
  <c r="C101" i="3"/>
  <c r="L100" i="3"/>
  <c r="K100" i="3"/>
  <c r="J100" i="3"/>
  <c r="I100" i="3"/>
  <c r="H100" i="3"/>
  <c r="G100" i="3"/>
  <c r="F100" i="3"/>
  <c r="E100" i="3"/>
  <c r="D100" i="3"/>
  <c r="C100" i="3"/>
  <c r="L99" i="3"/>
  <c r="K99" i="3"/>
  <c r="J99" i="3"/>
  <c r="I99" i="3"/>
  <c r="H99" i="3"/>
  <c r="G99" i="3"/>
  <c r="F99" i="3"/>
  <c r="E99" i="3"/>
  <c r="D99" i="3"/>
  <c r="C99" i="3"/>
  <c r="L98" i="3"/>
  <c r="K98" i="3"/>
  <c r="J98" i="3"/>
  <c r="I98" i="3"/>
  <c r="H98" i="3"/>
  <c r="G98" i="3"/>
  <c r="F98" i="3"/>
  <c r="E98" i="3"/>
  <c r="D98" i="3"/>
  <c r="C98" i="3"/>
  <c r="L97" i="3"/>
  <c r="K97" i="3"/>
  <c r="J97" i="3"/>
  <c r="I97" i="3"/>
  <c r="H97" i="3"/>
  <c r="G97" i="3"/>
  <c r="F97" i="3"/>
  <c r="E97" i="3"/>
  <c r="D97" i="3"/>
  <c r="D105" i="3" s="1"/>
  <c r="C97" i="3"/>
  <c r="L96" i="3"/>
  <c r="L105" i="3" s="1"/>
  <c r="K96" i="3"/>
  <c r="K105" i="3" s="1"/>
  <c r="J96" i="3"/>
  <c r="J105" i="3" s="1"/>
  <c r="I96" i="3"/>
  <c r="I105" i="3" s="1"/>
  <c r="H96" i="3"/>
  <c r="H105" i="3" s="1"/>
  <c r="G96" i="3"/>
  <c r="G105" i="3" s="1"/>
  <c r="F96" i="3"/>
  <c r="F105" i="3" s="1"/>
  <c r="E96" i="3"/>
  <c r="E105" i="3" s="1"/>
  <c r="D96" i="3"/>
  <c r="C96" i="3"/>
  <c r="C105" i="3" s="1"/>
  <c r="L92" i="3"/>
  <c r="K92" i="3"/>
  <c r="J92" i="3"/>
  <c r="I92" i="3"/>
  <c r="H92" i="3"/>
  <c r="G92" i="3"/>
  <c r="F92" i="3"/>
  <c r="E92" i="3"/>
  <c r="D92" i="3"/>
  <c r="C92" i="3"/>
  <c r="L91" i="3"/>
  <c r="K91" i="3"/>
  <c r="J91" i="3"/>
  <c r="I91" i="3"/>
  <c r="H91" i="3"/>
  <c r="G91" i="3"/>
  <c r="F91" i="3"/>
  <c r="E91" i="3"/>
  <c r="D91" i="3"/>
  <c r="C91" i="3"/>
  <c r="L90" i="3"/>
  <c r="K90" i="3"/>
  <c r="J90" i="3"/>
  <c r="I90" i="3"/>
  <c r="H90" i="3"/>
  <c r="G90" i="3"/>
  <c r="F90" i="3"/>
  <c r="E90" i="3"/>
  <c r="D90" i="3"/>
  <c r="C90" i="3"/>
  <c r="L89" i="3"/>
  <c r="K89" i="3"/>
  <c r="J89" i="3"/>
  <c r="I89" i="3"/>
  <c r="H89" i="3"/>
  <c r="G89" i="3"/>
  <c r="F89" i="3"/>
  <c r="E89" i="3"/>
  <c r="D89" i="3"/>
  <c r="C89" i="3"/>
  <c r="L88" i="3"/>
  <c r="K88" i="3"/>
  <c r="J88" i="3"/>
  <c r="I88" i="3"/>
  <c r="H88" i="3"/>
  <c r="G88" i="3"/>
  <c r="F88" i="3"/>
  <c r="E88" i="3"/>
  <c r="D88" i="3"/>
  <c r="C88" i="3"/>
  <c r="L87" i="3"/>
  <c r="K87" i="3"/>
  <c r="J87" i="3"/>
  <c r="I87" i="3"/>
  <c r="H87" i="3"/>
  <c r="G87" i="3"/>
  <c r="F87" i="3"/>
  <c r="E87" i="3"/>
  <c r="D87" i="3"/>
  <c r="C87" i="3"/>
  <c r="L86" i="3"/>
  <c r="K86" i="3"/>
  <c r="J86" i="3"/>
  <c r="I86" i="3"/>
  <c r="H86" i="3"/>
  <c r="G86" i="3"/>
  <c r="F86" i="3"/>
  <c r="E86" i="3"/>
  <c r="D86" i="3"/>
  <c r="C86" i="3"/>
  <c r="L85" i="3"/>
  <c r="K85" i="3"/>
  <c r="J85" i="3"/>
  <c r="I85" i="3"/>
  <c r="H85" i="3"/>
  <c r="G85" i="3"/>
  <c r="F85" i="3"/>
  <c r="E85" i="3"/>
  <c r="D85" i="3"/>
  <c r="C85" i="3"/>
  <c r="L84" i="3"/>
  <c r="K84" i="3"/>
  <c r="J84" i="3"/>
  <c r="I84" i="3"/>
  <c r="H84" i="3"/>
  <c r="G84" i="3"/>
  <c r="F84" i="3"/>
  <c r="E84" i="3"/>
  <c r="D84" i="3"/>
  <c r="C84" i="3"/>
  <c r="L83" i="3"/>
  <c r="K83" i="3"/>
  <c r="J83" i="3"/>
  <c r="I83" i="3"/>
  <c r="H83" i="3"/>
  <c r="G83" i="3"/>
  <c r="F83" i="3"/>
  <c r="E83" i="3"/>
  <c r="D83" i="3"/>
  <c r="C83" i="3"/>
  <c r="L82" i="3"/>
  <c r="K82" i="3"/>
  <c r="J82" i="3"/>
  <c r="I82" i="3"/>
  <c r="H82" i="3"/>
  <c r="G82" i="3"/>
  <c r="F82" i="3"/>
  <c r="E82" i="3"/>
  <c r="D82" i="3"/>
  <c r="C82" i="3"/>
  <c r="L81" i="3"/>
  <c r="L93" i="3" s="1"/>
  <c r="K81" i="3"/>
  <c r="K93" i="3" s="1"/>
  <c r="J81" i="3"/>
  <c r="J93" i="3" s="1"/>
  <c r="I81" i="3"/>
  <c r="I93" i="3" s="1"/>
  <c r="H81" i="3"/>
  <c r="H93" i="3" s="1"/>
  <c r="G81" i="3"/>
  <c r="G93" i="3" s="1"/>
  <c r="F81" i="3"/>
  <c r="F93" i="3" s="1"/>
  <c r="E81" i="3"/>
  <c r="E93" i="3" s="1"/>
  <c r="D81" i="3"/>
  <c r="D93" i="3" s="1"/>
  <c r="C81" i="3"/>
  <c r="C93" i="3" s="1"/>
  <c r="L77" i="3"/>
  <c r="K77" i="3"/>
  <c r="J77" i="3"/>
  <c r="I77" i="3"/>
  <c r="H77" i="3"/>
  <c r="G77" i="3"/>
  <c r="F77" i="3"/>
  <c r="E77" i="3"/>
  <c r="D77" i="3"/>
  <c r="C77" i="3"/>
  <c r="L76" i="3"/>
  <c r="K76" i="3"/>
  <c r="J76" i="3"/>
  <c r="I76" i="3"/>
  <c r="H76" i="3"/>
  <c r="G76" i="3"/>
  <c r="F76" i="3"/>
  <c r="E76" i="3"/>
  <c r="D76" i="3"/>
  <c r="C76" i="3"/>
  <c r="L75" i="3"/>
  <c r="K75" i="3"/>
  <c r="J75" i="3"/>
  <c r="I75" i="3"/>
  <c r="H75" i="3"/>
  <c r="G75" i="3"/>
  <c r="F75" i="3"/>
  <c r="E75" i="3"/>
  <c r="D75" i="3"/>
  <c r="C75" i="3"/>
  <c r="L74" i="3"/>
  <c r="K74" i="3"/>
  <c r="J74" i="3"/>
  <c r="I74" i="3"/>
  <c r="H74" i="3"/>
  <c r="G74" i="3"/>
  <c r="F74" i="3"/>
  <c r="E74" i="3"/>
  <c r="D74" i="3"/>
  <c r="C74" i="3"/>
  <c r="L73" i="3"/>
  <c r="K73" i="3"/>
  <c r="J73" i="3"/>
  <c r="I73" i="3"/>
  <c r="H73" i="3"/>
  <c r="G73" i="3"/>
  <c r="F73" i="3"/>
  <c r="E73" i="3"/>
  <c r="D73" i="3"/>
  <c r="C73" i="3"/>
  <c r="L72" i="3"/>
  <c r="K72" i="3"/>
  <c r="J72" i="3"/>
  <c r="I72" i="3"/>
  <c r="H72" i="3"/>
  <c r="G72" i="3"/>
  <c r="F72" i="3"/>
  <c r="E72" i="3"/>
  <c r="D72" i="3"/>
  <c r="C72" i="3"/>
  <c r="L71" i="3"/>
  <c r="K71" i="3"/>
  <c r="J71" i="3"/>
  <c r="I71" i="3"/>
  <c r="H71" i="3"/>
  <c r="G71" i="3"/>
  <c r="F71" i="3"/>
  <c r="E71" i="3"/>
  <c r="D71" i="3"/>
  <c r="C71" i="3"/>
  <c r="L70" i="3"/>
  <c r="L78" i="3" s="1"/>
  <c r="L107" i="3" s="1"/>
  <c r="K70" i="3"/>
  <c r="K78" i="3" s="1"/>
  <c r="K107" i="3" s="1"/>
  <c r="J70" i="3"/>
  <c r="J78" i="3" s="1"/>
  <c r="J107" i="3" s="1"/>
  <c r="I70" i="3"/>
  <c r="I78" i="3" s="1"/>
  <c r="I107" i="3" s="1"/>
  <c r="H70" i="3"/>
  <c r="H78" i="3" s="1"/>
  <c r="H107" i="3" s="1"/>
  <c r="G70" i="3"/>
  <c r="G78" i="3" s="1"/>
  <c r="G107" i="3" s="1"/>
  <c r="F70" i="3"/>
  <c r="F78" i="3" s="1"/>
  <c r="F107" i="3" s="1"/>
  <c r="E70" i="3"/>
  <c r="E78" i="3" s="1"/>
  <c r="E107" i="3" s="1"/>
  <c r="D70" i="3"/>
  <c r="D78" i="3" s="1"/>
  <c r="D107" i="3" s="1"/>
  <c r="C70" i="3"/>
  <c r="C78" i="3" s="1"/>
  <c r="C107" i="3" s="1"/>
  <c r="L56" i="3"/>
  <c r="K56" i="3"/>
  <c r="J56" i="3"/>
  <c r="I56" i="3"/>
  <c r="H56" i="3"/>
  <c r="G56" i="3"/>
  <c r="F56" i="3"/>
  <c r="E56" i="3"/>
  <c r="D56" i="3"/>
  <c r="C56" i="3"/>
  <c r="L62" i="3"/>
  <c r="D62" i="3"/>
  <c r="L61" i="3"/>
  <c r="K61" i="3"/>
  <c r="J61" i="3"/>
  <c r="I61" i="3"/>
  <c r="H61" i="3"/>
  <c r="G61" i="3"/>
  <c r="F61" i="3"/>
  <c r="E61" i="3"/>
  <c r="D61" i="3"/>
  <c r="L60" i="3"/>
  <c r="K60" i="3"/>
  <c r="J60" i="3"/>
  <c r="J62" i="3" s="1"/>
  <c r="J64" i="3" s="1"/>
  <c r="J66" i="3" s="1"/>
  <c r="I60" i="3"/>
  <c r="H60" i="3"/>
  <c r="G60" i="3"/>
  <c r="G62" i="3" s="1"/>
  <c r="G64" i="3" s="1"/>
  <c r="G66" i="3" s="1"/>
  <c r="F60" i="3"/>
  <c r="E60" i="3"/>
  <c r="D60" i="3"/>
  <c r="L59" i="3"/>
  <c r="K59" i="3"/>
  <c r="K62" i="3" s="1"/>
  <c r="J59" i="3"/>
  <c r="I59" i="3"/>
  <c r="I62" i="3" s="1"/>
  <c r="H59" i="3"/>
  <c r="H62" i="3" s="1"/>
  <c r="G59" i="3"/>
  <c r="F59" i="3"/>
  <c r="F62" i="3" s="1"/>
  <c r="E59" i="3"/>
  <c r="E62" i="3" s="1"/>
  <c r="D59" i="3"/>
  <c r="C61" i="3"/>
  <c r="C62" i="3" s="1"/>
  <c r="C60" i="3"/>
  <c r="C59" i="3"/>
  <c r="L55" i="3"/>
  <c r="K55" i="3"/>
  <c r="J55" i="3"/>
  <c r="I55" i="3"/>
  <c r="H55" i="3"/>
  <c r="G55" i="3"/>
  <c r="F55" i="3"/>
  <c r="E55" i="3"/>
  <c r="D55" i="3"/>
  <c r="C55" i="3"/>
  <c r="L54" i="3"/>
  <c r="K54" i="3"/>
  <c r="J54" i="3"/>
  <c r="I54" i="3"/>
  <c r="H54" i="3"/>
  <c r="G54" i="3"/>
  <c r="F54" i="3"/>
  <c r="E54" i="3"/>
  <c r="D54" i="3"/>
  <c r="C54" i="3"/>
  <c r="L53" i="3"/>
  <c r="L57" i="3" s="1"/>
  <c r="K53" i="3"/>
  <c r="K57" i="3" s="1"/>
  <c r="J53" i="3"/>
  <c r="J57" i="3" s="1"/>
  <c r="I53" i="3"/>
  <c r="I57" i="3" s="1"/>
  <c r="H53" i="3"/>
  <c r="H57" i="3" s="1"/>
  <c r="G53" i="3"/>
  <c r="G57" i="3" s="1"/>
  <c r="F53" i="3"/>
  <c r="F57" i="3" s="1"/>
  <c r="E53" i="3"/>
  <c r="E57" i="3" s="1"/>
  <c r="D53" i="3"/>
  <c r="D57" i="3" s="1"/>
  <c r="C53" i="3"/>
  <c r="C57" i="3" s="1"/>
  <c r="L51" i="3"/>
  <c r="K51" i="3"/>
  <c r="J51" i="3"/>
  <c r="I51" i="3"/>
  <c r="H51" i="3"/>
  <c r="G51" i="3"/>
  <c r="F51" i="3"/>
  <c r="E51" i="3"/>
  <c r="D51" i="3"/>
  <c r="L50" i="3"/>
  <c r="K50" i="3"/>
  <c r="J50" i="3"/>
  <c r="I50" i="3"/>
  <c r="H50" i="3"/>
  <c r="G50" i="3"/>
  <c r="F50" i="3"/>
  <c r="E50" i="3"/>
  <c r="D50" i="3"/>
  <c r="L49" i="3"/>
  <c r="K49" i="3"/>
  <c r="J49" i="3"/>
  <c r="I49" i="3"/>
  <c r="H49" i="3"/>
  <c r="G49" i="3"/>
  <c r="F49" i="3"/>
  <c r="E49" i="3"/>
  <c r="D49" i="3"/>
  <c r="L48" i="3"/>
  <c r="K48" i="3"/>
  <c r="J48" i="3"/>
  <c r="I48" i="3"/>
  <c r="H48" i="3"/>
  <c r="G48" i="3"/>
  <c r="F48" i="3"/>
  <c r="E48" i="3"/>
  <c r="D48" i="3"/>
  <c r="L47" i="3"/>
  <c r="K47" i="3"/>
  <c r="J47" i="3"/>
  <c r="I47" i="3"/>
  <c r="H47" i="3"/>
  <c r="G47" i="3"/>
  <c r="F47" i="3"/>
  <c r="E47" i="3"/>
  <c r="D47" i="3"/>
  <c r="C51" i="3"/>
  <c r="C50" i="3"/>
  <c r="C49" i="3"/>
  <c r="C48" i="3"/>
  <c r="C47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M18" i="3" s="1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K32" i="2"/>
  <c r="J32" i="2"/>
  <c r="I32" i="2"/>
  <c r="H32" i="2"/>
  <c r="G32" i="2"/>
  <c r="F32" i="2"/>
  <c r="E32" i="2"/>
  <c r="D32" i="2"/>
  <c r="C32" i="2"/>
  <c r="B32" i="2"/>
  <c r="K15" i="2"/>
  <c r="B15" i="2"/>
  <c r="B6" i="2"/>
  <c r="E1" i="2"/>
  <c r="F64" i="3" l="1"/>
  <c r="F66" i="3" s="1"/>
  <c r="D64" i="3"/>
  <c r="D66" i="3" s="1"/>
  <c r="H64" i="3"/>
  <c r="H66" i="3" s="1"/>
  <c r="L64" i="3"/>
  <c r="L66" i="3" s="1"/>
  <c r="C64" i="3"/>
  <c r="C66" i="3" s="1"/>
  <c r="E64" i="3"/>
  <c r="E66" i="3" s="1"/>
  <c r="I64" i="3"/>
  <c r="I66" i="3" s="1"/>
  <c r="K64" i="3"/>
  <c r="K66" i="3" s="1"/>
  <c r="L41" i="3"/>
  <c r="F10" i="3"/>
  <c r="K12" i="3"/>
  <c r="K13" i="3" s="1"/>
  <c r="D10" i="3"/>
  <c r="M25" i="3"/>
  <c r="C12" i="3"/>
  <c r="C18" i="3" s="1"/>
  <c r="C19" i="3" s="1"/>
  <c r="J12" i="3"/>
  <c r="J13" i="3" s="1"/>
  <c r="C16" i="3"/>
  <c r="C22" i="3"/>
  <c r="K22" i="3"/>
  <c r="M27" i="3"/>
  <c r="K7" i="3"/>
  <c r="G16" i="3"/>
  <c r="E22" i="3"/>
  <c r="M22" i="3"/>
  <c r="F25" i="3"/>
  <c r="G7" i="3"/>
  <c r="L10" i="3"/>
  <c r="H16" i="3"/>
  <c r="G25" i="3"/>
  <c r="I7" i="3"/>
  <c r="G12" i="3"/>
  <c r="G22" i="3"/>
  <c r="H22" i="3"/>
  <c r="E16" i="3"/>
  <c r="F22" i="3"/>
  <c r="F16" i="3"/>
  <c r="L25" i="3"/>
  <c r="I10" i="3"/>
  <c r="J16" i="3"/>
  <c r="E10" i="3"/>
  <c r="I16" i="3"/>
  <c r="I22" i="3"/>
  <c r="F12" i="3"/>
  <c r="H10" i="3"/>
  <c r="M19" i="3"/>
  <c r="J10" i="3"/>
  <c r="K16" i="3"/>
  <c r="J22" i="3"/>
  <c r="J7" i="3"/>
  <c r="J25" i="3"/>
  <c r="D25" i="3"/>
  <c r="H25" i="3"/>
  <c r="D16" i="3"/>
  <c r="L16" i="3"/>
  <c r="C25" i="3"/>
  <c r="K25" i="3"/>
  <c r="L12" i="3"/>
  <c r="E12" i="3"/>
  <c r="D22" i="3"/>
  <c r="L22" i="3"/>
  <c r="D12" i="3"/>
  <c r="E25" i="3"/>
  <c r="D7" i="3"/>
  <c r="L7" i="3"/>
  <c r="G10" i="3"/>
  <c r="M10" i="3"/>
  <c r="E7" i="3"/>
  <c r="M7" i="3"/>
  <c r="F7" i="3"/>
  <c r="H12" i="3"/>
  <c r="I25" i="3"/>
  <c r="H7" i="3"/>
  <c r="C10" i="3"/>
  <c r="K10" i="3"/>
  <c r="I12" i="3"/>
  <c r="M12" i="3"/>
  <c r="M13" i="3" s="1"/>
  <c r="J18" i="3" l="1"/>
  <c r="J27" i="3" s="1"/>
  <c r="C13" i="3"/>
  <c r="C27" i="3"/>
  <c r="K18" i="3"/>
  <c r="K19" i="3" s="1"/>
  <c r="C28" i="3"/>
  <c r="C31" i="3"/>
  <c r="C33" i="3"/>
  <c r="E18" i="3"/>
  <c r="E13" i="3"/>
  <c r="G18" i="3"/>
  <c r="G13" i="3"/>
  <c r="F18" i="3"/>
  <c r="F13" i="3"/>
  <c r="L18" i="3"/>
  <c r="L13" i="3"/>
  <c r="H18" i="3"/>
  <c r="H13" i="3"/>
  <c r="J19" i="3"/>
  <c r="M31" i="3"/>
  <c r="M33" i="3"/>
  <c r="M28" i="3"/>
  <c r="I18" i="3"/>
  <c r="I13" i="3"/>
  <c r="D18" i="3"/>
  <c r="D13" i="3"/>
  <c r="K27" i="3" l="1"/>
  <c r="K28" i="3" s="1"/>
  <c r="G19" i="3"/>
  <c r="G27" i="3"/>
  <c r="F19" i="3"/>
  <c r="F27" i="3"/>
  <c r="I19" i="3"/>
  <c r="I27" i="3"/>
  <c r="C38" i="3"/>
  <c r="C34" i="3"/>
  <c r="J33" i="3"/>
  <c r="J28" i="3"/>
  <c r="J31" i="3"/>
  <c r="D19" i="3"/>
  <c r="D27" i="3"/>
  <c r="H19" i="3"/>
  <c r="H27" i="3"/>
  <c r="E19" i="3"/>
  <c r="E27" i="3"/>
  <c r="L19" i="3"/>
  <c r="L27" i="3"/>
  <c r="M34" i="3"/>
  <c r="M38" i="3"/>
  <c r="K33" i="3" l="1"/>
  <c r="K31" i="3"/>
  <c r="M42" i="3"/>
  <c r="M44" i="3" s="1"/>
  <c r="C42" i="3"/>
  <c r="C44" i="3" s="1"/>
  <c r="L31" i="3"/>
  <c r="L33" i="3"/>
  <c r="L28" i="3"/>
  <c r="K34" i="3"/>
  <c r="K38" i="3"/>
  <c r="E31" i="3"/>
  <c r="E33" i="3"/>
  <c r="E28" i="3"/>
  <c r="J38" i="3"/>
  <c r="J34" i="3"/>
  <c r="D31" i="3"/>
  <c r="D33" i="3"/>
  <c r="D28" i="3"/>
  <c r="F28" i="3"/>
  <c r="F33" i="3"/>
  <c r="F31" i="3"/>
  <c r="H28" i="3"/>
  <c r="H31" i="3"/>
  <c r="H33" i="3"/>
  <c r="G33" i="3"/>
  <c r="G28" i="3"/>
  <c r="G31" i="3"/>
  <c r="I33" i="3"/>
  <c r="I28" i="3"/>
  <c r="I31" i="3"/>
  <c r="J44" i="3" l="1"/>
  <c r="J39" i="3"/>
  <c r="J42" i="3"/>
  <c r="K39" i="3"/>
  <c r="K44" i="3"/>
  <c r="K42" i="3"/>
  <c r="F34" i="3"/>
  <c r="F38" i="3"/>
  <c r="I38" i="3"/>
  <c r="I34" i="3"/>
  <c r="D38" i="3"/>
  <c r="D34" i="3"/>
  <c r="H34" i="3"/>
  <c r="H38" i="3"/>
  <c r="E34" i="3"/>
  <c r="E38" i="3"/>
  <c r="G34" i="3"/>
  <c r="G38" i="3"/>
  <c r="L38" i="3"/>
  <c r="L34" i="3"/>
  <c r="E39" i="3" l="1"/>
  <c r="E42" i="3"/>
  <c r="E44" i="3" s="1"/>
  <c r="H39" i="3"/>
  <c r="H42" i="3"/>
  <c r="H44" i="3" s="1"/>
  <c r="G39" i="3"/>
  <c r="G42" i="3"/>
  <c r="G44" i="3" s="1"/>
  <c r="I44" i="3"/>
  <c r="I39" i="3"/>
  <c r="I42" i="3"/>
  <c r="F39" i="3"/>
  <c r="F42" i="3"/>
  <c r="F44" i="3"/>
  <c r="L39" i="3"/>
  <c r="L44" i="3"/>
  <c r="L42" i="3"/>
  <c r="M39" i="3"/>
  <c r="D39" i="3"/>
  <c r="D42" i="3"/>
  <c r="D4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<sst xmlns="http://schemas.openxmlformats.org/spreadsheetml/2006/main" count="523" uniqueCount="334">
  <si>
    <t>COMPANY NAME</t>
  </si>
  <si>
    <t>HINDUSTAN UNILEVER LTD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</si>
  <si>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</si>
  <si>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</si>
  <si>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</si>
  <si>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</si>
  <si>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</si>
  <si>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</si>
  <si>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</si>
  <si>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</si>
  <si>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</si>
  <si>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</si>
  <si>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</si>
  <si>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</si>
  <si>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</si>
  <si>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</si>
  <si>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</si>
  <si>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</si>
  <si>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</si>
  <si>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</si>
  <si>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</si>
  <si>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</si>
  <si>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</si>
  <si>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</si>
  <si>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</si>
  <si>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</si>
  <si>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</si>
  <si>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</si>
  <si>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</si>
  <si>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</si>
  <si>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</si>
  <si>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</si>
  <si>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</si>
  <si>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</si>
  <si>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</si>
  <si>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</si>
  <si>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</si>
  <si>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</si>
  <si>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</si>
  <si>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</si>
  <si>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</si>
  <si>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</si>
  <si>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</si>
  <si>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</si>
  <si>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</si>
  <si>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</si>
  <si>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</si>
  <si>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</si>
  <si>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</si>
  <si>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</si>
  <si>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</si>
  <si>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</si>
  <si>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</si>
  <si>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</si>
  <si>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</si>
  <si>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</si>
  <si>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</si>
  <si>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</si>
  <si>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</si>
  <si>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</si>
  <si>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</si>
  <si>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</si>
  <si>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</si>
  <si>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</si>
  <si>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</si>
  <si>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</si>
  <si>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</si>
  <si>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</si>
  <si>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</si>
  <si>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</si>
  <si>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</si>
  <si>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</si>
  <si>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</si>
  <si>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</si>
  <si>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</si>
  <si>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</si>
  <si>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</si>
  <si>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</si>
  <si>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</si>
  <si>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</si>
  <si>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</si>
  <si>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</si>
  <si>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</si>
  <si>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</si>
  <si>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</si>
  <si>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</si>
  <si>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</si>
  <si>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</si>
  <si>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</si>
  <si>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</si>
  <si>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</si>
  <si>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</si>
  <si>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</si>
  <si>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</si>
  <si>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</si>
  <si>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</si>
  <si>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</si>
  <si>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</si>
  <si>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</si>
  <si>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</si>
  <si>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</si>
  <si>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</si>
  <si>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</si>
  <si>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</si>
  <si>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</si>
  <si>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</si>
  <si>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t>Proceeds from shares</t>
  </si>
  <si>
    <t>Redemption of debentures</t>
  </si>
  <si>
    <t>Proceeds from borrowings</t>
  </si>
  <si>
    <t>Repayment of borrowings</t>
  </si>
  <si>
    <t>Proceeds from deposits</t>
  </si>
  <si>
    <t>Interest paid fin</t>
  </si>
  <si>
    <t>Dividends paid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</si>
  <si>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</si>
  <si>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</si>
  <si>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</si>
  <si>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</si>
  <si>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</si>
  <si>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Cash Flow Statements</t>
  </si>
  <si>
    <t>Cash from Operating Activities</t>
  </si>
  <si>
    <t>Operating Activities</t>
  </si>
  <si>
    <t>Investing Activities</t>
  </si>
  <si>
    <t>Cash from Investing Activities</t>
  </si>
  <si>
    <t>Financing Activities</t>
  </si>
  <si>
    <t>Cash from Financing Activities</t>
  </si>
  <si>
    <t>Deposits</t>
  </si>
  <si>
    <t>Other operating items</t>
  </si>
  <si>
    <t>Exceptional CF items</t>
  </si>
  <si>
    <t>Loans to subsidiaries</t>
  </si>
  <si>
    <t>SalesGrowth</t>
  </si>
  <si>
    <t>EBITDA Growth</t>
  </si>
  <si>
    <t>EBIT Growth</t>
  </si>
  <si>
    <t>Net Profit Growth</t>
  </si>
  <si>
    <t>Dividend Growth</t>
  </si>
  <si>
    <t>Gross Margin</t>
  </si>
  <si>
    <t>EBITDA Margin</t>
  </si>
  <si>
    <t>EBIT Margin</t>
  </si>
  <si>
    <t>EBT Margin</t>
  </si>
  <si>
    <t>Net Profit Margin</t>
  </si>
  <si>
    <t>SalesExpenses%Sales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</si>
  <si>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</si>
  <si>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</si>
  <si>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</si>
  <si>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</si>
  <si>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</si>
  <si>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</si>
  <si>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</si>
  <si>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</si>
  <si>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</si>
  <si>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</si>
  <si>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</si>
  <si>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</si>
  <si>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</si>
  <si>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</si>
  <si>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</si>
  <si>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</si>
  <si>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</si>
  <si>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</t>
  </si>
  <si>
    <t>Trend</t>
  </si>
  <si>
    <t>Average</t>
  </si>
  <si>
    <t>Median</t>
  </si>
  <si>
    <t>Weight</t>
  </si>
  <si>
    <t>Year</t>
  </si>
  <si>
    <t>Sales growth</t>
  </si>
  <si>
    <t>EBITA</t>
  </si>
  <si>
    <t>EBITA Growth</t>
  </si>
  <si>
    <t>Date</t>
  </si>
  <si>
    <t>Price</t>
  </si>
  <si>
    <t>Return</t>
  </si>
  <si>
    <t xml:space="preserve">HUL Daily Return </t>
  </si>
  <si>
    <t xml:space="preserve">Nifty return </t>
  </si>
  <si>
    <t xml:space="preserve">Beta Drafting </t>
  </si>
  <si>
    <t>Levered Beta</t>
  </si>
  <si>
    <t>Levered Beta weight</t>
  </si>
  <si>
    <t>Market Beta</t>
  </si>
  <si>
    <t>Makret beta weight</t>
  </si>
  <si>
    <r>
      <t xml:space="preserve">Beta </t>
    </r>
    <r>
      <rPr>
        <vertAlign val="superscript"/>
        <sz val="11"/>
        <color theme="1"/>
        <rFont val="Calibri"/>
        <family val="2"/>
      </rPr>
      <t>1</t>
    </r>
  </si>
  <si>
    <r>
      <t xml:space="preserve">Beta </t>
    </r>
    <r>
      <rPr>
        <vertAlign val="superscript"/>
        <sz val="11"/>
        <color theme="1"/>
        <rFont val="Calibri"/>
        <family val="2"/>
      </rPr>
      <t>2</t>
    </r>
  </si>
  <si>
    <r>
      <t xml:space="preserve">Beta </t>
    </r>
    <r>
      <rPr>
        <vertAlign val="superscript"/>
        <sz val="11"/>
        <color theme="1"/>
        <rFont val="Calibri"/>
        <family val="2"/>
      </rPr>
      <t>3</t>
    </r>
  </si>
  <si>
    <t>Adjusted Beta</t>
  </si>
  <si>
    <t>S.No.</t>
  </si>
  <si>
    <t>Name</t>
  </si>
  <si>
    <t>P/E</t>
  </si>
  <si>
    <t>Hind. Unilever</t>
  </si>
  <si>
    <t>Colgate-Palmoliv</t>
  </si>
  <si>
    <t>P &amp; G Hygiene</t>
  </si>
  <si>
    <t>Gillette India</t>
  </si>
  <si>
    <t>CMP Rs.</t>
  </si>
  <si>
    <t>Mar Cap Rs.Cr.</t>
  </si>
  <si>
    <t xml:space="preserve">Beta 3 months daily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</si>
  <si>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</si>
  <si>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</si>
  <si>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</si>
  <si>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</si>
  <si>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</si>
  <si>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</si>
  <si>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</si>
  <si>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</si>
  <si>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</si>
  <si>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</si>
  <si>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</si>
  <si>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</si>
  <si>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</si>
  <si>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</si>
  <si>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</si>
  <si>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</si>
  <si>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</si>
  <si>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</si>
  <si>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</si>
  <si>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</si>
  <si>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</si>
  <si>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</si>
  <si>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</si>
  <si>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</si>
  <si>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Market Return last 2 years (weekly)</t>
  </si>
  <si>
    <t>Average Return</t>
  </si>
  <si>
    <t>Annual</t>
  </si>
  <si>
    <t>Dividend Yield</t>
  </si>
  <si>
    <r>
      <t xml:space="preserve">1.39% </t>
    </r>
    <r>
      <rPr>
        <vertAlign val="superscript"/>
        <sz val="11"/>
        <color theme="1"/>
        <rFont val="Calibri"/>
        <family val="2"/>
      </rPr>
      <t>1</t>
    </r>
  </si>
  <si>
    <t>Total Market Returns</t>
  </si>
  <si>
    <t>Country</t>
  </si>
  <si>
    <t>Total Debt</t>
  </si>
  <si>
    <t>Tax Rate</t>
  </si>
  <si>
    <t>Weighted Average Cost of Capital</t>
  </si>
  <si>
    <t>All figures are in INR unless stated otherwise.</t>
  </si>
  <si>
    <t>Peer Comps</t>
  </si>
  <si>
    <t>Debt/</t>
  </si>
  <si>
    <t>Levered</t>
  </si>
  <si>
    <t>Unlevered</t>
  </si>
  <si>
    <t>Total Equity</t>
  </si>
  <si>
    <r>
      <t xml:space="preserve">Tax Rate </t>
    </r>
    <r>
      <rPr>
        <vertAlign val="superscript"/>
        <sz val="11"/>
        <color theme="1"/>
        <rFont val="Calibri"/>
        <family val="2"/>
      </rPr>
      <t>1</t>
    </r>
  </si>
  <si>
    <t>Equity</t>
  </si>
  <si>
    <t>Capital</t>
  </si>
  <si>
    <t>India</t>
  </si>
  <si>
    <t>Cost of Debt</t>
  </si>
  <si>
    <t>Cost of Equity</t>
  </si>
  <si>
    <t>Pre-tax Cost of Debt</t>
  </si>
  <si>
    <t>Risk Free Rate</t>
  </si>
  <si>
    <t>Equity Risk Premium</t>
  </si>
  <si>
    <t>After Tax Cost of Debt</t>
  </si>
  <si>
    <r>
      <t xml:space="preserve">Levered Beta </t>
    </r>
    <r>
      <rPr>
        <vertAlign val="superscript"/>
        <sz val="11"/>
        <color theme="1"/>
        <rFont val="Calibri"/>
        <family val="2"/>
      </rPr>
      <t>4</t>
    </r>
  </si>
  <si>
    <t>Capital Structure</t>
  </si>
  <si>
    <t xml:space="preserve">Levered Beta </t>
  </si>
  <si>
    <t>Current</t>
  </si>
  <si>
    <t>Target</t>
  </si>
  <si>
    <t>Comps Median Unlevered Beta</t>
  </si>
  <si>
    <t xml:space="preserve">Target Debt/ Equity  </t>
  </si>
  <si>
    <t>Total Capitalization</t>
  </si>
  <si>
    <t>Debt / Equity</t>
  </si>
  <si>
    <t>1. Tax Rate considered as Marginal Tax Rate for the country</t>
  </si>
  <si>
    <t>2. Levered Beta is based on 5 year monthly data</t>
  </si>
  <si>
    <t>Equity Weight</t>
  </si>
  <si>
    <t>3. Unlevered Beta = Levered Beta/(1+(1-Tax Rate) x Debt/Equity)</t>
  </si>
  <si>
    <t>3. Levered Beta = Unlevered Beta/(1+(1-Tax Rate) x Debt/Equity)</t>
  </si>
  <si>
    <t>Debt Weight</t>
  </si>
  <si>
    <t>WACC</t>
  </si>
  <si>
    <t>Weighted Average Cost of Capital for HUL</t>
  </si>
  <si>
    <t>Debt Rs.Cr.</t>
  </si>
  <si>
    <t>Debt / Eq</t>
  </si>
  <si>
    <t>Calculation of PV of FCFF</t>
  </si>
  <si>
    <t>EBIT</t>
  </si>
  <si>
    <t>EBIT (1-T)</t>
  </si>
  <si>
    <t>Less: Reinvestment Rate</t>
  </si>
  <si>
    <t>Free Cash Flow to Firm</t>
  </si>
  <si>
    <t>Discounting Factor</t>
  </si>
  <si>
    <t>PV of FCFF</t>
  </si>
  <si>
    <t>Expected Growth</t>
  </si>
  <si>
    <t>Terminal Growth</t>
  </si>
  <si>
    <t>Calculation of Terminal Value</t>
  </si>
  <si>
    <t>FCFF (n+1)</t>
  </si>
  <si>
    <t>Terminal Growth Rate</t>
  </si>
  <si>
    <t>Terminal Value</t>
  </si>
  <si>
    <t>Calculation of Enterprise Value</t>
  </si>
  <si>
    <t>PV of Terminal Value</t>
  </si>
  <si>
    <t>Value of Operating Asset</t>
  </si>
  <si>
    <t>Add: Cash</t>
  </si>
  <si>
    <t>Less: Debt</t>
  </si>
  <si>
    <t>Value of Equity</t>
  </si>
  <si>
    <t>No. of Shares</t>
  </si>
  <si>
    <t>Value per Share</t>
  </si>
  <si>
    <t>Calculation of ROIC</t>
  </si>
  <si>
    <t>Current Assets</t>
  </si>
  <si>
    <t>Current Liabilities</t>
  </si>
  <si>
    <t>Total Current Liabilities</t>
  </si>
  <si>
    <t>Net Working Capital</t>
  </si>
  <si>
    <t>Non Current Assets</t>
  </si>
  <si>
    <t>Gross Block</t>
  </si>
  <si>
    <t>Accumulated Depreciation</t>
  </si>
  <si>
    <t>Net Non Current Assets</t>
  </si>
  <si>
    <t>Invested Capital</t>
  </si>
  <si>
    <t>ROIC</t>
  </si>
  <si>
    <t>Calculation of Reinvestment Rate</t>
  </si>
  <si>
    <t>Net Capex</t>
  </si>
  <si>
    <t>Change in Working Capital</t>
  </si>
  <si>
    <t>Marginal Tax Rate</t>
  </si>
  <si>
    <t>EBIT(1-T)</t>
  </si>
  <si>
    <t>Reinvestment</t>
  </si>
  <si>
    <t>Reinvestment Rate</t>
  </si>
  <si>
    <t>4 Year Average</t>
  </si>
  <si>
    <t>4 Year Median</t>
  </si>
  <si>
    <t>Calculation of Growth Rate</t>
  </si>
  <si>
    <t>Intrinsic Growth</t>
  </si>
  <si>
    <t>Inventories</t>
  </si>
  <si>
    <t>Trade receivables</t>
  </si>
  <si>
    <t>Loans n Advances</t>
  </si>
  <si>
    <t>Other asset items</t>
  </si>
  <si>
    <t>Trade Payables</t>
  </si>
  <si>
    <t>Advance from Customers</t>
  </si>
  <si>
    <t>Other liability items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</si>
  <si>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</si>
  <si>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</si>
  <si>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</si>
  <si>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</si>
  <si>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</si>
  <si>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</si>
  <si>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</si>
  <si>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</si>
  <si>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Equity Capital</t>
  </si>
  <si>
    <t>Borrowings -</t>
  </si>
  <si>
    <t>Long term Borrowings</t>
  </si>
  <si>
    <t>Short term Borrowings</t>
  </si>
  <si>
    <t>Lease Liabilities</t>
  </si>
  <si>
    <t>Other Liabilities -</t>
  </si>
  <si>
    <t>Non controlling int</t>
  </si>
  <si>
    <t>Fixed Assets -</t>
  </si>
  <si>
    <t>Railway sidings</t>
  </si>
  <si>
    <t>CWIP</t>
  </si>
  <si>
    <t>Other Assets -</t>
  </si>
  <si>
    <t>Trade receivables +</t>
  </si>
  <si>
    <t>Cash Equivalents</t>
  </si>
  <si>
    <t>Railway Sliding</t>
  </si>
  <si>
    <t>DCF HUL final</t>
  </si>
  <si>
    <t>Mid Year convention</t>
  </si>
  <si>
    <t>HUL Intrinsic 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</si>
</sst>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68" formatCode="0.00\X"/>
    <numFmt numFmtId="169" formatCode="yyyy\A"/>
    <numFmt numFmtId="170" formatCode="yyyy\E"/>
    <numFmt numFmtId="171" formatCode="#,##0.0"/>
    <numFmt numFmtId="172" formatCode="0.0"/>
    <numFmt numFmtId="173" formatCode="#,##0.0;\(#,##0.0\);\-"/>
  </numFmts>
  <fonts count="2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sz val="11"/>
      <color theme="0"/>
      <name val="Calibri"/>
      <family val="2"/>
    </font>
    <font>
      <b/>
      <sz val="16"/>
      <color theme="0"/>
      <name val="calibri"/>
      <family val="2"/>
    </font>
    <font>
      <b/>
      <sz val="12"/>
      <color theme="0"/>
      <name val="calibri"/>
      <family val="2"/>
    </font>
    <font>
      <vertAlign val="superscript"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0"/>
      <name val="calibri"/>
      <family val="2"/>
    </font>
    <font>
      <sz val="14"/>
      <color theme="1"/>
      <name val="calibri"/>
      <family val="2"/>
    </font>
    <font>
      <i/>
      <sz val="10"/>
      <color theme="1"/>
      <name val="calibri"/>
      <family val="2"/>
    </font>
    <font>
      <sz val="11"/>
      <color rgb="FF3333FF"/>
      <name val="calibri"/>
      <family val="2"/>
    </font>
    <font>
      <i/>
      <sz val="9"/>
      <color theme="1"/>
      <name val="calibri"/>
      <family val="2"/>
    </font>
    <font>
      <sz val="11"/>
      <name val="calibri"/>
      <family val="2"/>
    </font>
    <font>
      <sz val="14"/>
      <color theme="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</cellStyleXfs>
  <cellXfs count="134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164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165" fontId="8" fillId="0" borderId="0" xfId="2" applyNumberFormat="1" applyFont="1" applyBorder="1"/>
    <xf numFmtId="17" fontId="0" fillId="0" borderId="0" xfId="0" applyNumberFormat="1"/>
    <xf numFmtId="0" fontId="2" fillId="4" borderId="0" xfId="0" applyFont="1" applyFill="1"/>
    <xf numFmtId="17" fontId="2" fillId="4" borderId="0" xfId="0" applyNumberFormat="1" applyFont="1" applyFill="1"/>
    <xf numFmtId="17" fontId="2" fillId="4" borderId="0" xfId="0" applyNumberFormat="1" applyFont="1" applyFill="1" applyAlignment="1">
      <alignment horizontal="right"/>
    </xf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0" fontId="14" fillId="0" borderId="0" xfId="1" applyNumberFormat="1" applyFont="1"/>
    <xf numFmtId="167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0" fontId="3" fillId="5" borderId="0" xfId="0" applyFont="1" applyFill="1"/>
    <xf numFmtId="0" fontId="0" fillId="5" borderId="0" xfId="0" applyFill="1"/>
    <xf numFmtId="166" fontId="3" fillId="0" borderId="0" xfId="0" applyNumberFormat="1" applyFont="1"/>
    <xf numFmtId="3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17" fontId="2" fillId="6" borderId="0" xfId="0" applyNumberFormat="1" applyFont="1" applyFill="1"/>
    <xf numFmtId="168" fontId="0" fillId="0" borderId="0" xfId="0" applyNumberFormat="1"/>
    <xf numFmtId="10" fontId="0" fillId="0" borderId="0" xfId="0" applyNumberFormat="1"/>
    <xf numFmtId="0" fontId="15" fillId="6" borderId="0" xfId="0" applyFont="1" applyFill="1"/>
    <xf numFmtId="169" fontId="0" fillId="0" borderId="0" xfId="0" applyNumberFormat="1"/>
    <xf numFmtId="0" fontId="0" fillId="7" borderId="0" xfId="0" applyFill="1"/>
    <xf numFmtId="170" fontId="0" fillId="7" borderId="0" xfId="0" applyNumberFormat="1" applyFill="1"/>
    <xf numFmtId="10" fontId="0" fillId="7" borderId="0" xfId="1" applyNumberFormat="1" applyFont="1" applyFill="1"/>
    <xf numFmtId="14" fontId="0" fillId="0" borderId="0" xfId="0" applyNumberFormat="1"/>
    <xf numFmtId="4" fontId="0" fillId="0" borderId="0" xfId="0" applyNumberFormat="1"/>
    <xf numFmtId="0" fontId="16" fillId="8" borderId="0" xfId="0" applyFont="1" applyFill="1"/>
    <xf numFmtId="0" fontId="0" fillId="0" borderId="2" xfId="0" applyBorder="1"/>
    <xf numFmtId="2" fontId="0" fillId="0" borderId="0" xfId="0" applyNumberFormat="1"/>
    <xf numFmtId="4" fontId="0" fillId="9" borderId="0" xfId="0" applyNumberFormat="1" applyFill="1"/>
    <xf numFmtId="2" fontId="0" fillId="9" borderId="0" xfId="0" applyNumberFormat="1" applyFill="1"/>
    <xf numFmtId="0" fontId="0" fillId="0" borderId="3" xfId="0" applyBorder="1"/>
    <xf numFmtId="0" fontId="13" fillId="0" borderId="4" xfId="0" applyFont="1" applyBorder="1" applyAlignment="1">
      <alignment horizontal="center"/>
    </xf>
    <xf numFmtId="0" fontId="13" fillId="0" borderId="4" xfId="0" applyFont="1" applyBorder="1" applyAlignment="1">
      <alignment horizontal="centerContinuous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10" fontId="0" fillId="0" borderId="0" xfId="1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0" fontId="3" fillId="10" borderId="0" xfId="0" applyFont="1" applyFill="1"/>
    <xf numFmtId="10" fontId="3" fillId="10" borderId="0" xfId="0" applyNumberFormat="1" applyFont="1" applyFill="1"/>
    <xf numFmtId="0" fontId="19" fillId="5" borderId="0" xfId="0" applyFont="1" applyFill="1"/>
    <xf numFmtId="0" fontId="21" fillId="5" borderId="0" xfId="0" applyFont="1" applyFill="1"/>
    <xf numFmtId="0" fontId="22" fillId="0" borderId="0" xfId="0" applyFont="1"/>
    <xf numFmtId="0" fontId="0" fillId="0" borderId="5" xfId="0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right" vertical="top"/>
    </xf>
    <xf numFmtId="0" fontId="0" fillId="0" borderId="0" xfId="0" applyAlignment="1">
      <alignment vertical="top"/>
    </xf>
    <xf numFmtId="0" fontId="23" fillId="0" borderId="0" xfId="0" applyFont="1"/>
    <xf numFmtId="171" fontId="23" fillId="0" borderId="0" xfId="0" applyNumberFormat="1" applyFont="1"/>
    <xf numFmtId="10" fontId="23" fillId="0" borderId="0" xfId="0" applyNumberFormat="1" applyFont="1" applyAlignment="1">
      <alignment vertical="top"/>
    </xf>
    <xf numFmtId="10" fontId="0" fillId="10" borderId="0" xfId="1" applyNumberFormat="1" applyFont="1" applyFill="1" applyAlignment="1"/>
    <xf numFmtId="2" fontId="0" fillId="10" borderId="0" xfId="0" applyNumberFormat="1" applyFill="1"/>
    <xf numFmtId="0" fontId="3" fillId="0" borderId="7" xfId="0" applyFont="1" applyBorder="1"/>
    <xf numFmtId="10" fontId="0" fillId="0" borderId="7" xfId="1" applyNumberFormat="1" applyFont="1" applyBorder="1"/>
    <xf numFmtId="0" fontId="3" fillId="0" borderId="2" xfId="0" applyFont="1" applyBorder="1"/>
    <xf numFmtId="10" fontId="0" fillId="0" borderId="2" xfId="1" applyNumberFormat="1" applyFont="1" applyBorder="1"/>
    <xf numFmtId="10" fontId="23" fillId="0" borderId="0" xfId="1" applyNumberFormat="1" applyFont="1"/>
    <xf numFmtId="10" fontId="23" fillId="0" borderId="0" xfId="0" applyNumberFormat="1" applyFont="1" applyAlignment="1">
      <alignment horizontal="right"/>
    </xf>
    <xf numFmtId="0" fontId="0" fillId="0" borderId="8" xfId="0" applyBorder="1"/>
    <xf numFmtId="10" fontId="0" fillId="10" borderId="8" xfId="1" applyNumberFormat="1" applyFont="1" applyFill="1" applyBorder="1"/>
    <xf numFmtId="2" fontId="0" fillId="10" borderId="0" xfId="0" applyNumberFormat="1" applyFill="1" applyAlignment="1">
      <alignment horizontal="right"/>
    </xf>
    <xf numFmtId="10" fontId="0" fillId="10" borderId="8" xfId="0" applyNumberFormat="1" applyFill="1" applyBorder="1"/>
    <xf numFmtId="0" fontId="3" fillId="0" borderId="2" xfId="0" applyFont="1" applyBorder="1" applyAlignment="1">
      <alignment horizontal="right"/>
    </xf>
    <xf numFmtId="10" fontId="23" fillId="0" borderId="0" xfId="0" applyNumberFormat="1" applyFont="1"/>
    <xf numFmtId="10" fontId="0" fillId="0" borderId="0" xfId="1" applyNumberFormat="1" applyFont="1" applyBorder="1"/>
    <xf numFmtId="2" fontId="0" fillId="0" borderId="8" xfId="0" applyNumberFormat="1" applyBorder="1"/>
    <xf numFmtId="10" fontId="0" fillId="10" borderId="0" xfId="0" applyNumberFormat="1" applyFill="1"/>
    <xf numFmtId="0" fontId="24" fillId="0" borderId="0" xfId="0" applyFont="1"/>
    <xf numFmtId="10" fontId="0" fillId="0" borderId="0" xfId="1" applyNumberFormat="1" applyFont="1" applyFill="1" applyBorder="1"/>
    <xf numFmtId="0" fontId="3" fillId="9" borderId="0" xfId="0" applyFont="1" applyFill="1"/>
    <xf numFmtId="10" fontId="3" fillId="9" borderId="0" xfId="0" applyNumberFormat="1" applyFont="1" applyFill="1"/>
    <xf numFmtId="171" fontId="0" fillId="0" borderId="0" xfId="0" applyNumberFormat="1"/>
    <xf numFmtId="2" fontId="0" fillId="0" borderId="7" xfId="1" applyNumberFormat="1" applyFont="1" applyBorder="1"/>
    <xf numFmtId="2" fontId="0" fillId="0" borderId="2" xfId="1" applyNumberFormat="1" applyFont="1" applyBorder="1"/>
    <xf numFmtId="171" fontId="0" fillId="0" borderId="8" xfId="0" applyNumberFormat="1" applyBorder="1"/>
    <xf numFmtId="0" fontId="2" fillId="11" borderId="0" xfId="0" applyFont="1" applyFill="1"/>
    <xf numFmtId="0" fontId="15" fillId="11" borderId="0" xfId="0" applyFont="1" applyFill="1"/>
    <xf numFmtId="17" fontId="2" fillId="11" borderId="0" xfId="0" applyNumberFormat="1" applyFont="1" applyFill="1"/>
    <xf numFmtId="43" fontId="0" fillId="0" borderId="0" xfId="0" applyNumberFormat="1"/>
    <xf numFmtId="0" fontId="3" fillId="0" borderId="9" xfId="0" applyFont="1" applyBorder="1"/>
    <xf numFmtId="43" fontId="3" fillId="0" borderId="9" xfId="0" applyNumberFormat="1" applyFont="1" applyBorder="1"/>
    <xf numFmtId="0" fontId="0" fillId="9" borderId="0" xfId="0" applyFill="1"/>
    <xf numFmtId="10" fontId="0" fillId="9" borderId="0" xfId="0" applyNumberFormat="1" applyFill="1"/>
    <xf numFmtId="172" fontId="0" fillId="0" borderId="0" xfId="0" applyNumberFormat="1"/>
    <xf numFmtId="43" fontId="3" fillId="0" borderId="0" xfId="0" applyNumberFormat="1" applyFont="1"/>
    <xf numFmtId="0" fontId="0" fillId="0" borderId="10" xfId="0" applyBorder="1"/>
    <xf numFmtId="173" fontId="0" fillId="0" borderId="10" xfId="0" applyNumberFormat="1" applyBorder="1"/>
    <xf numFmtId="173" fontId="0" fillId="0" borderId="0" xfId="0" applyNumberFormat="1"/>
    <xf numFmtId="0" fontId="3" fillId="0" borderId="5" xfId="0" applyFont="1" applyBorder="1"/>
    <xf numFmtId="173" fontId="3" fillId="0" borderId="5" xfId="0" applyNumberFormat="1" applyFont="1" applyBorder="1"/>
    <xf numFmtId="173" fontId="3" fillId="0" borderId="9" xfId="0" applyNumberFormat="1" applyFont="1" applyBorder="1"/>
    <xf numFmtId="173" fontId="3" fillId="0" borderId="0" xfId="0" applyNumberFormat="1" applyFont="1"/>
    <xf numFmtId="0" fontId="0" fillId="0" borderId="9" xfId="0" applyBorder="1"/>
    <xf numFmtId="10" fontId="3" fillId="0" borderId="9" xfId="1" applyNumberFormat="1" applyFont="1" applyBorder="1"/>
    <xf numFmtId="10" fontId="23" fillId="0" borderId="10" xfId="0" applyNumberFormat="1" applyFont="1" applyBorder="1"/>
    <xf numFmtId="173" fontId="25" fillId="0" borderId="10" xfId="0" applyNumberFormat="1" applyFont="1" applyBorder="1"/>
    <xf numFmtId="10" fontId="0" fillId="0" borderId="10" xfId="0" applyNumberFormat="1" applyBorder="1"/>
    <xf numFmtId="10" fontId="3" fillId="0" borderId="9" xfId="0" applyNumberFormat="1" applyFont="1" applyBorder="1"/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0" fontId="17" fillId="8" borderId="0" xfId="0" applyFont="1" applyFill="1" applyAlignment="1">
      <alignment horizontal="center"/>
    </xf>
    <xf numFmtId="0" fontId="20" fillId="6" borderId="0" xfId="0" applyFont="1" applyFill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  <xf numFmtId="17" fontId="15" fillId="6" borderId="0" xfId="0" applyNumberFormat="1" applyFont="1" applyFill="1"/>
    <xf numFmtId="3" fontId="3" fillId="0" borderId="0" xfId="0" applyNumberFormat="1" applyFont="1"/>
    <xf numFmtId="0" fontId="3" fillId="0" borderId="11" xfId="0" applyFont="1" applyBorder="1"/>
    <xf numFmtId="3" fontId="3" fillId="0" borderId="11" xfId="0" applyNumberFormat="1" applyFont="1" applyBorder="1"/>
    <xf numFmtId="0" fontId="3" fillId="0" borderId="0" xfId="0" applyFont="1" applyBorder="1"/>
    <xf numFmtId="3" fontId="3" fillId="0" borderId="0" xfId="0" applyNumberFormat="1" applyFont="1" applyBorder="1"/>
    <xf numFmtId="0" fontId="3" fillId="0" borderId="1" xfId="0" applyFont="1" applyBorder="1"/>
    <xf numFmtId="3" fontId="0" fillId="0" borderId="1" xfId="0" applyNumberFormat="1" applyBorder="1"/>
    <xf numFmtId="17" fontId="15" fillId="11" borderId="0" xfId="0" applyNumberFormat="1" applyFont="1" applyFill="1"/>
    <xf numFmtId="0" fontId="2" fillId="11" borderId="0" xfId="0" applyFont="1" applyFill="1" applyAlignment="1">
      <alignment horizontal="center"/>
    </xf>
    <xf numFmtId="0" fontId="26" fillId="6" borderId="0" xfId="0" applyFont="1" applyFill="1" applyAlignment="1">
      <alignment horizontal="center"/>
    </xf>
  </cellXfs>
  <cellStyles count="8">
    <cellStyle name="Accent6 2" xfId="4" xr:uid="{BBDB2BF0-232B-4C01-AC19-E13AE7790424}"/>
    <cellStyle name="Comma 2" xfId="2" xr:uid="{177753BF-8FC0-47C2-A09D-659D00B32ED6}"/>
    <cellStyle name="Hyperlink 2" xfId="3" xr:uid="{7C8B96FE-EF46-46CA-837F-CBE11AA9368D}"/>
    <cellStyle name="Normal" xfId="0" builtinId="0"/>
    <cellStyle name="Normal 2" xfId="7" xr:uid="{2080FAEF-89A5-4CB3-B948-0E63B4C07C78}"/>
    <cellStyle name="Normal 3" xfId="5" xr:uid="{D9D406C4-520E-4DB0-A06B-D346019C8727}"/>
    <cellStyle name="Percent" xfId="1" builtinId="5"/>
    <cellStyle name="Percent 3" xfId="6" xr:uid="{7B1B12B2-B1C6-4898-946F-9C0F047CCCB8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5A6F-FAE9-493F-95C8-EA88CC872622}">
  <sheetPr>
    <tabColor theme="8" tint="-0.499984740745262"/>
  </sheetPr>
  <dimension ref="A1"/>
  <sheetViews>
    <sheetView workbookViewId="0">
      <selection activeCell="F22" sqref="F2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5E12-E142-48AD-908C-A9ADB1403414}">
  <sheetPr>
    <pageSetUpPr fitToPage="1"/>
  </sheetPr>
  <dimension ref="A2:M107"/>
  <sheetViews>
    <sheetView showGridLines="0" topLeftCell="B1" workbookViewId="0">
      <pane ySplit="3" topLeftCell="A4" activePane="bottomLeft" state="frozen"/>
      <selection pane="bottomLeft" activeCell="Q56" sqref="Q56"/>
    </sheetView>
  </sheetViews>
  <sheetFormatPr defaultRowHeight="14.4" x14ac:dyDescent="0.3"/>
  <cols>
    <col min="1" max="1" width="1.88671875" customWidth="1"/>
    <col min="2" max="2" width="28.44140625" bestFit="1" customWidth="1"/>
    <col min="3" max="13" width="13" customWidth="1"/>
  </cols>
  <sheetData>
    <row r="2" spans="1:13" x14ac:dyDescent="0.3">
      <c r="B2" s="116" t="str">
        <f>"Historical Financial Statement - "&amp;'Data Sheet'!B1</f>
        <v>Historical Financial Statement - HINDUSTAN UNILEVER LTD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</row>
    <row r="3" spans="1:13" x14ac:dyDescent="0.3">
      <c r="B3" s="12" t="s">
        <v>56</v>
      </c>
      <c r="C3" s="13">
        <f>'Data Sheet'!B16</f>
        <v>42094</v>
      </c>
      <c r="D3" s="13">
        <f>'Data Sheet'!C16</f>
        <v>42460</v>
      </c>
      <c r="E3" s="13">
        <f>'Data Sheet'!D16</f>
        <v>42825</v>
      </c>
      <c r="F3" s="13">
        <f>'Data Sheet'!E16</f>
        <v>43190</v>
      </c>
      <c r="G3" s="13">
        <f>'Data Sheet'!F16</f>
        <v>43555</v>
      </c>
      <c r="H3" s="13">
        <f>'Data Sheet'!G16</f>
        <v>43921</v>
      </c>
      <c r="I3" s="13">
        <f>'Data Sheet'!H16</f>
        <v>44286</v>
      </c>
      <c r="J3" s="13">
        <f>'Data Sheet'!I16</f>
        <v>44651</v>
      </c>
      <c r="K3" s="13">
        <f>'Data Sheet'!J16</f>
        <v>45016</v>
      </c>
      <c r="L3" s="13">
        <f>'Data Sheet'!K16</f>
        <v>45382</v>
      </c>
      <c r="M3" s="14" t="s">
        <v>57</v>
      </c>
    </row>
    <row r="4" spans="1:13" x14ac:dyDescent="0.3"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5"/>
    </row>
    <row r="5" spans="1:13" x14ac:dyDescent="0.3">
      <c r="A5" t="s">
        <v>59</v>
      </c>
      <c r="B5" s="26" t="s">
        <v>58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3" x14ac:dyDescent="0.3">
      <c r="B6" t="s">
        <v>12</v>
      </c>
      <c r="C6" s="16">
        <f>IFERROR('Data Sheet'!B17,0)</f>
        <v>31972.19</v>
      </c>
      <c r="D6" s="16">
        <f>IFERROR('Data Sheet'!C17,0)</f>
        <v>32186</v>
      </c>
      <c r="E6" s="16">
        <f>IFERROR('Data Sheet'!D17,0)</f>
        <v>33162</v>
      </c>
      <c r="F6" s="16">
        <f>IFERROR('Data Sheet'!E17,0)</f>
        <v>35545</v>
      </c>
      <c r="G6" s="16">
        <f>IFERROR('Data Sheet'!F17,0)</f>
        <v>39310</v>
      </c>
      <c r="H6" s="16">
        <f>IFERROR('Data Sheet'!G17,0)</f>
        <v>39783</v>
      </c>
      <c r="I6" s="16">
        <f>IFERROR('Data Sheet'!H17,0)</f>
        <v>47028</v>
      </c>
      <c r="J6" s="16">
        <f>IFERROR('Data Sheet'!I17,0)</f>
        <v>52446</v>
      </c>
      <c r="K6" s="16">
        <f>IFERROR('Data Sheet'!J17,0)</f>
        <v>60580</v>
      </c>
      <c r="L6" s="16">
        <f>IFERROR('Data Sheet'!K17,0)</f>
        <v>61896</v>
      </c>
      <c r="M6" s="16">
        <f>IFERROR(SUM('Data Sheet'!H42:K42),0)</f>
        <v>62410</v>
      </c>
    </row>
    <row r="7" spans="1:13" x14ac:dyDescent="0.3">
      <c r="B7" s="19" t="s">
        <v>60</v>
      </c>
      <c r="C7" s="20" t="s">
        <v>61</v>
      </c>
      <c r="D7" s="21">
        <f>D6/C6-1</f>
        <v>6.6873742461808217E-3</v>
      </c>
      <c r="E7" s="21">
        <f t="shared" ref="E7:M7" si="0">E6/D6-1</f>
        <v>3.03237432424035E-2</v>
      </c>
      <c r="F7" s="21">
        <f t="shared" si="0"/>
        <v>7.1859357095470644E-2</v>
      </c>
      <c r="G7" s="21">
        <f t="shared" si="0"/>
        <v>0.1059220706147137</v>
      </c>
      <c r="H7" s="21">
        <f t="shared" si="0"/>
        <v>1.2032561689137689E-2</v>
      </c>
      <c r="I7" s="21">
        <f t="shared" si="0"/>
        <v>0.18211296282331646</v>
      </c>
      <c r="J7" s="21">
        <f t="shared" si="0"/>
        <v>0.11520796121459553</v>
      </c>
      <c r="K7" s="21">
        <f t="shared" si="0"/>
        <v>0.15509285741524614</v>
      </c>
      <c r="L7" s="21">
        <f t="shared" si="0"/>
        <v>2.1723341036645749E-2</v>
      </c>
      <c r="M7" s="21">
        <f t="shared" si="0"/>
        <v>8.3042522941709773E-3</v>
      </c>
    </row>
    <row r="9" spans="1:13" x14ac:dyDescent="0.3">
      <c r="B9" t="s">
        <v>62</v>
      </c>
      <c r="C9" s="16">
        <f>IFERROR(SUM('Data Sheet'!B18,'Data Sheet'!B20:B22)-1*'Data Sheet'!B19,0)</f>
        <v>18801.919999999998</v>
      </c>
      <c r="D9" s="16">
        <f>IFERROR(SUM('Data Sheet'!C18,'Data Sheet'!C20:C22)-1*'Data Sheet'!C19,0)</f>
        <v>18222</v>
      </c>
      <c r="E9" s="16">
        <f>IFERROR(SUM('Data Sheet'!D18,'Data Sheet'!D20:D22)-1*'Data Sheet'!D19,0)</f>
        <v>18675</v>
      </c>
      <c r="F9" s="16">
        <f>IFERROR(SUM('Data Sheet'!E18,'Data Sheet'!E20:E22)-1*'Data Sheet'!E19,0)</f>
        <v>19314</v>
      </c>
      <c r="G9" s="16">
        <f>IFERROR(SUM('Data Sheet'!F18,'Data Sheet'!F20:F22)-1*'Data Sheet'!F19,0)</f>
        <v>21081</v>
      </c>
      <c r="H9" s="16">
        <f>IFERROR(SUM('Data Sheet'!G18,'Data Sheet'!G20:G22)-1*'Data Sheet'!G19,0)</f>
        <v>20614</v>
      </c>
      <c r="I9" s="16">
        <f>IFERROR(SUM('Data Sheet'!H18,'Data Sheet'!H20:H22)-1*'Data Sheet'!H19,0)</f>
        <v>25301</v>
      </c>
      <c r="J9" s="16">
        <f>IFERROR(SUM('Data Sheet'!I18,'Data Sheet'!I20:I22)-1*'Data Sheet'!I19,0)</f>
        <v>29066</v>
      </c>
      <c r="K9" s="16">
        <f>IFERROR(SUM('Data Sheet'!J18,'Data Sheet'!J20:J22)-1*'Data Sheet'!J19,0)</f>
        <v>35381</v>
      </c>
      <c r="L9" s="16">
        <f>IFERROR(SUM('Data Sheet'!K18,'Data Sheet'!K20:K22)-1*'Data Sheet'!K19,0)</f>
        <v>33651</v>
      </c>
      <c r="M9" s="16">
        <f>IFERROR(SUM('Data Sheet'!H43:K43),0)</f>
        <v>47681</v>
      </c>
    </row>
    <row r="10" spans="1:13" x14ac:dyDescent="0.3">
      <c r="B10" s="19" t="s">
        <v>63</v>
      </c>
      <c r="C10" s="21">
        <f>C9/C6</f>
        <v>0.58807107051471919</v>
      </c>
      <c r="D10" s="21">
        <f t="shared" ref="D10:M10" si="1">D9/D6</f>
        <v>0.56614677188839868</v>
      </c>
      <c r="E10" s="21">
        <f t="shared" si="1"/>
        <v>0.5631445630540981</v>
      </c>
      <c r="F10" s="21">
        <f t="shared" si="1"/>
        <v>0.54336756224504146</v>
      </c>
      <c r="G10" s="21">
        <f t="shared" si="1"/>
        <v>0.53627575680488426</v>
      </c>
      <c r="H10" s="21">
        <f t="shared" si="1"/>
        <v>0.51816102355277383</v>
      </c>
      <c r="I10" s="21">
        <f t="shared" si="1"/>
        <v>0.53799863910861612</v>
      </c>
      <c r="J10" s="21">
        <f t="shared" si="1"/>
        <v>0.55420813789421497</v>
      </c>
      <c r="K10" s="21">
        <f t="shared" si="1"/>
        <v>0.58403763618355897</v>
      </c>
      <c r="L10" s="21">
        <f t="shared" si="1"/>
        <v>0.54367002714230317</v>
      </c>
      <c r="M10" s="21">
        <f t="shared" si="1"/>
        <v>0.76399615446242586</v>
      </c>
    </row>
    <row r="12" spans="1:13" x14ac:dyDescent="0.3">
      <c r="B12" t="s">
        <v>64</v>
      </c>
      <c r="C12" s="22">
        <f>C6-C9</f>
        <v>13170.27</v>
      </c>
      <c r="D12" s="22">
        <f t="shared" ref="D12:M12" si="2">D6-D9</f>
        <v>13964</v>
      </c>
      <c r="E12" s="22">
        <f t="shared" si="2"/>
        <v>14487</v>
      </c>
      <c r="F12" s="22">
        <f t="shared" si="2"/>
        <v>16231</v>
      </c>
      <c r="G12" s="22">
        <f t="shared" si="2"/>
        <v>18229</v>
      </c>
      <c r="H12" s="22">
        <f t="shared" si="2"/>
        <v>19169</v>
      </c>
      <c r="I12" s="22">
        <f t="shared" si="2"/>
        <v>21727</v>
      </c>
      <c r="J12" s="22">
        <f t="shared" si="2"/>
        <v>23380</v>
      </c>
      <c r="K12" s="22">
        <f t="shared" si="2"/>
        <v>25199</v>
      </c>
      <c r="L12" s="22">
        <f t="shared" si="2"/>
        <v>28245</v>
      </c>
      <c r="M12" s="22">
        <f t="shared" si="2"/>
        <v>14729</v>
      </c>
    </row>
    <row r="13" spans="1:13" x14ac:dyDescent="0.3">
      <c r="B13" s="19" t="s">
        <v>70</v>
      </c>
      <c r="C13" s="21">
        <f>C12/C6</f>
        <v>0.41192892948528081</v>
      </c>
      <c r="D13" s="21">
        <f t="shared" ref="D13:M13" si="3">D12/D6</f>
        <v>0.43385322811160132</v>
      </c>
      <c r="E13" s="21">
        <f t="shared" si="3"/>
        <v>0.43685543694590195</v>
      </c>
      <c r="F13" s="21">
        <f t="shared" si="3"/>
        <v>0.45663243775495849</v>
      </c>
      <c r="G13" s="21">
        <f t="shared" si="3"/>
        <v>0.46372424319511574</v>
      </c>
      <c r="H13" s="21">
        <f t="shared" si="3"/>
        <v>0.48183897644722617</v>
      </c>
      <c r="I13" s="21">
        <f t="shared" si="3"/>
        <v>0.46200136089138388</v>
      </c>
      <c r="J13" s="21">
        <f t="shared" si="3"/>
        <v>0.44579186210578498</v>
      </c>
      <c r="K13" s="21">
        <f t="shared" si="3"/>
        <v>0.41596236381644108</v>
      </c>
      <c r="L13" s="21">
        <f t="shared" si="3"/>
        <v>0.45632997285769678</v>
      </c>
      <c r="M13" s="21">
        <f t="shared" si="3"/>
        <v>0.23600384553757411</v>
      </c>
    </row>
    <row r="15" spans="1:13" x14ac:dyDescent="0.3">
      <c r="B15" t="s">
        <v>65</v>
      </c>
      <c r="C15" s="22">
        <f>IFERROR(SUM('Data Sheet'!B23:B24),0)</f>
        <v>7757.85</v>
      </c>
      <c r="D15" s="22">
        <f>IFERROR(SUM('Data Sheet'!C23:C24),0)</f>
        <v>8054</v>
      </c>
      <c r="E15" s="22">
        <f>IFERROR(SUM('Data Sheet'!D23:D24),0)</f>
        <v>8159</v>
      </c>
      <c r="F15" s="22">
        <f>IFERROR(SUM('Data Sheet'!E23:E24),0)</f>
        <v>8732</v>
      </c>
      <c r="G15" s="22">
        <f>IFERROR(SUM('Data Sheet'!F23:F24),0)</f>
        <v>9349</v>
      </c>
      <c r="H15" s="22">
        <f>IFERROR(SUM('Data Sheet'!G23:G24),0)</f>
        <v>9308</v>
      </c>
      <c r="I15" s="22">
        <f>IFERROR(SUM('Data Sheet'!H23:H24),0)</f>
        <v>10101</v>
      </c>
      <c r="J15" s="22">
        <f>IFERROR(SUM('Data Sheet'!I23:I24),0)</f>
        <v>10523</v>
      </c>
      <c r="K15" s="22">
        <f>IFERROR(SUM('Data Sheet'!J23:J24),0)</f>
        <v>11052</v>
      </c>
      <c r="L15" s="22">
        <f>IFERROR(SUM('Data Sheet'!K23:K24),0)</f>
        <v>13586</v>
      </c>
      <c r="M15" s="22"/>
    </row>
    <row r="16" spans="1:13" x14ac:dyDescent="0.3">
      <c r="B16" s="19" t="s">
        <v>66</v>
      </c>
      <c r="C16" s="21">
        <f>C15/C6</f>
        <v>0.24264368502751926</v>
      </c>
      <c r="D16" s="21">
        <f t="shared" ref="D16:M16" si="4">D15/D6</f>
        <v>0.25023302056794877</v>
      </c>
      <c r="E16" s="21">
        <f t="shared" si="4"/>
        <v>0.24603461793619202</v>
      </c>
      <c r="F16" s="21">
        <f t="shared" si="4"/>
        <v>0.24566043044028696</v>
      </c>
      <c r="G16" s="21">
        <f t="shared" si="4"/>
        <v>0.23782752480284916</v>
      </c>
      <c r="H16" s="21">
        <f t="shared" si="4"/>
        <v>0.23396928336224015</v>
      </c>
      <c r="I16" s="21">
        <f t="shared" si="4"/>
        <v>0.21478693544271499</v>
      </c>
      <c r="J16" s="21">
        <f t="shared" si="4"/>
        <v>0.20064447240971667</v>
      </c>
      <c r="K16" s="21">
        <f t="shared" si="4"/>
        <v>0.18243644767249917</v>
      </c>
      <c r="L16" s="21">
        <f t="shared" si="4"/>
        <v>0.21949722114514669</v>
      </c>
      <c r="M16" s="21">
        <f t="shared" si="4"/>
        <v>0</v>
      </c>
    </row>
    <row r="18" spans="2:13" x14ac:dyDescent="0.3">
      <c r="B18" t="s">
        <v>28</v>
      </c>
      <c r="C18" s="22">
        <f t="shared" ref="C18:L18" si="5">C12-C15</f>
        <v>5412.42</v>
      </c>
      <c r="D18" s="22">
        <f t="shared" si="5"/>
        <v>5910</v>
      </c>
      <c r="E18" s="22">
        <f t="shared" si="5"/>
        <v>6328</v>
      </c>
      <c r="F18" s="22">
        <f t="shared" si="5"/>
        <v>7499</v>
      </c>
      <c r="G18" s="22">
        <f t="shared" si="5"/>
        <v>8880</v>
      </c>
      <c r="H18" s="22">
        <f t="shared" si="5"/>
        <v>9861</v>
      </c>
      <c r="I18" s="22">
        <f t="shared" si="5"/>
        <v>11626</v>
      </c>
      <c r="J18" s="22">
        <f t="shared" si="5"/>
        <v>12857</v>
      </c>
      <c r="K18" s="22">
        <f t="shared" si="5"/>
        <v>14147</v>
      </c>
      <c r="L18" s="22">
        <f t="shared" si="5"/>
        <v>14659</v>
      </c>
      <c r="M18" s="22">
        <f>IFERROR(SUM('Data Sheet'!H51:K51),0)</f>
        <v>15626</v>
      </c>
    </row>
    <row r="19" spans="2:13" x14ac:dyDescent="0.3">
      <c r="B19" s="19" t="s">
        <v>67</v>
      </c>
      <c r="C19" s="21">
        <f>C18/C6</f>
        <v>0.16928524445776158</v>
      </c>
      <c r="D19" s="21">
        <f t="shared" ref="D19:M19" si="6">D18/D6</f>
        <v>0.18362020754365252</v>
      </c>
      <c r="E19" s="21">
        <f t="shared" si="6"/>
        <v>0.1908208190097099</v>
      </c>
      <c r="F19" s="21">
        <f t="shared" si="6"/>
        <v>0.21097200731467156</v>
      </c>
      <c r="G19" s="21">
        <f t="shared" si="6"/>
        <v>0.2258967183922666</v>
      </c>
      <c r="H19" s="21">
        <f t="shared" si="6"/>
        <v>0.24786969308498605</v>
      </c>
      <c r="I19" s="21">
        <f t="shared" si="6"/>
        <v>0.24721442544866887</v>
      </c>
      <c r="J19" s="21">
        <f t="shared" si="6"/>
        <v>0.24514738969606834</v>
      </c>
      <c r="K19" s="21">
        <f t="shared" si="6"/>
        <v>0.23352591614394189</v>
      </c>
      <c r="L19" s="21">
        <f t="shared" si="6"/>
        <v>0.23683275171255008</v>
      </c>
      <c r="M19" s="21">
        <f t="shared" si="6"/>
        <v>0.25037654222079797</v>
      </c>
    </row>
    <row r="21" spans="2:13" x14ac:dyDescent="0.3">
      <c r="B21" t="s">
        <v>22</v>
      </c>
      <c r="C21" s="22">
        <f>IFERROR('Data Sheet'!B27,0)</f>
        <v>17.7</v>
      </c>
      <c r="D21" s="22">
        <f>IFERROR('Data Sheet'!C27,0)</f>
        <v>17</v>
      </c>
      <c r="E21" s="22">
        <f>IFERROR('Data Sheet'!D27,0)</f>
        <v>35</v>
      </c>
      <c r="F21" s="22">
        <f>IFERROR('Data Sheet'!E27,0)</f>
        <v>26</v>
      </c>
      <c r="G21" s="22">
        <f>IFERROR('Data Sheet'!F27,0)</f>
        <v>33</v>
      </c>
      <c r="H21" s="22">
        <f>IFERROR('Data Sheet'!G27,0)</f>
        <v>118</v>
      </c>
      <c r="I21" s="22">
        <f>IFERROR('Data Sheet'!H27,0)</f>
        <v>117</v>
      </c>
      <c r="J21" s="22">
        <f>IFERROR('Data Sheet'!I27,0)</f>
        <v>106</v>
      </c>
      <c r="K21" s="22">
        <f>IFERROR('Data Sheet'!J27,0)</f>
        <v>114</v>
      </c>
      <c r="L21" s="22">
        <f>IFERROR('Data Sheet'!K27,0)</f>
        <v>334</v>
      </c>
      <c r="M21" s="22">
        <f>IFERROR(SUM('Data Sheet'!H46:K46),0)</f>
        <v>399</v>
      </c>
    </row>
    <row r="22" spans="2:13" x14ac:dyDescent="0.3">
      <c r="B22" s="19" t="s">
        <v>68</v>
      </c>
      <c r="C22" s="21">
        <f>C21/C6</f>
        <v>5.536061183172E-4</v>
      </c>
      <c r="D22" s="21">
        <f t="shared" ref="D22:M22" si="7">D21/D6</f>
        <v>5.2817995401727462E-4</v>
      </c>
      <c r="E22" s="21">
        <f t="shared" si="7"/>
        <v>1.0554248839032628E-3</v>
      </c>
      <c r="F22" s="21">
        <f t="shared" si="7"/>
        <v>7.3146715431143621E-4</v>
      </c>
      <c r="G22" s="21">
        <f t="shared" si="7"/>
        <v>8.3948104807936915E-4</v>
      </c>
      <c r="H22" s="21">
        <f t="shared" si="7"/>
        <v>2.9660910439132291E-3</v>
      </c>
      <c r="I22" s="21">
        <f t="shared" si="7"/>
        <v>2.4878795611125285E-3</v>
      </c>
      <c r="J22" s="21">
        <f t="shared" si="7"/>
        <v>2.0211264920108303E-3</v>
      </c>
      <c r="K22" s="21">
        <f t="shared" si="7"/>
        <v>1.881809177946517E-3</v>
      </c>
      <c r="L22" s="21">
        <f t="shared" si="7"/>
        <v>5.3961483779242604E-3</v>
      </c>
      <c r="M22" s="21">
        <f t="shared" si="7"/>
        <v>6.3932062169524111E-3</v>
      </c>
    </row>
    <row r="24" spans="2:13" x14ac:dyDescent="0.3">
      <c r="B24" t="s">
        <v>21</v>
      </c>
      <c r="C24" s="22">
        <f>IFERROR('Data Sheet'!B26,0)</f>
        <v>322.39</v>
      </c>
      <c r="D24" s="22">
        <f>IFERROR('Data Sheet'!C26,0)</f>
        <v>353</v>
      </c>
      <c r="E24" s="22">
        <f>IFERROR('Data Sheet'!D26,0)</f>
        <v>432</v>
      </c>
      <c r="F24" s="22">
        <f>IFERROR('Data Sheet'!E26,0)</f>
        <v>520</v>
      </c>
      <c r="G24" s="22">
        <f>IFERROR('Data Sheet'!F26,0)</f>
        <v>565</v>
      </c>
      <c r="H24" s="22">
        <f>IFERROR('Data Sheet'!G26,0)</f>
        <v>1002</v>
      </c>
      <c r="I24" s="22">
        <f>IFERROR('Data Sheet'!H26,0)</f>
        <v>1074</v>
      </c>
      <c r="J24" s="22">
        <f>IFERROR('Data Sheet'!I26,0)</f>
        <v>1091</v>
      </c>
      <c r="K24" s="22">
        <f>IFERROR('Data Sheet'!J26,0)</f>
        <v>1137</v>
      </c>
      <c r="L24" s="22">
        <f>IFERROR('Data Sheet'!K26,0)</f>
        <v>1216</v>
      </c>
      <c r="M24" s="22">
        <f>IFERROR(SUM('Data Sheet'!H45:K45),0)</f>
        <v>1300</v>
      </c>
    </row>
    <row r="25" spans="2:13" x14ac:dyDescent="0.3">
      <c r="B25" s="19" t="s">
        <v>69</v>
      </c>
      <c r="C25" s="21">
        <f>C24/C6</f>
        <v>1.0083450648829498E-2</v>
      </c>
      <c r="D25" s="21">
        <f t="shared" ref="D25:M25" si="8">D24/D6</f>
        <v>1.0967501398123409E-2</v>
      </c>
      <c r="E25" s="21">
        <f t="shared" si="8"/>
        <v>1.3026958567034558E-2</v>
      </c>
      <c r="F25" s="21">
        <f t="shared" si="8"/>
        <v>1.4629343086228723E-2</v>
      </c>
      <c r="G25" s="21">
        <f t="shared" si="8"/>
        <v>1.437293309590435E-2</v>
      </c>
      <c r="H25" s="21">
        <f t="shared" si="8"/>
        <v>2.5186637508483524E-2</v>
      </c>
      <c r="I25" s="21">
        <f t="shared" si="8"/>
        <v>2.2837458535340648E-2</v>
      </c>
      <c r="J25" s="21">
        <f t="shared" si="8"/>
        <v>2.0802349082866187E-2</v>
      </c>
      <c r="K25" s="21">
        <f t="shared" si="8"/>
        <v>1.8768570485308684E-2</v>
      </c>
      <c r="L25" s="21">
        <f t="shared" si="8"/>
        <v>1.9645857567532635E-2</v>
      </c>
      <c r="M25" s="21">
        <f t="shared" si="8"/>
        <v>2.0829995193078033E-2</v>
      </c>
    </row>
    <row r="27" spans="2:13" x14ac:dyDescent="0.3">
      <c r="B27" t="s">
        <v>71</v>
      </c>
      <c r="C27" s="22">
        <f>IFERROR(C18-SUM(C24,C21),0)</f>
        <v>5072.33</v>
      </c>
      <c r="D27" s="22">
        <f t="shared" ref="D27:M27" si="9">IFERROR(D18-SUM(D24,D21),0)</f>
        <v>5540</v>
      </c>
      <c r="E27" s="22">
        <f t="shared" si="9"/>
        <v>5861</v>
      </c>
      <c r="F27" s="22">
        <f t="shared" si="9"/>
        <v>6953</v>
      </c>
      <c r="G27" s="22">
        <f t="shared" si="9"/>
        <v>8282</v>
      </c>
      <c r="H27" s="22">
        <f t="shared" si="9"/>
        <v>8741</v>
      </c>
      <c r="I27" s="16">
        <f t="shared" si="9"/>
        <v>10435</v>
      </c>
      <c r="J27" s="16">
        <f t="shared" si="9"/>
        <v>11660</v>
      </c>
      <c r="K27" s="16">
        <f t="shared" si="9"/>
        <v>12896</v>
      </c>
      <c r="L27" s="16">
        <f t="shared" si="9"/>
        <v>13109</v>
      </c>
      <c r="M27" s="16">
        <f t="shared" si="9"/>
        <v>13927</v>
      </c>
    </row>
    <row r="28" spans="2:13" x14ac:dyDescent="0.3">
      <c r="B28" s="19" t="s">
        <v>72</v>
      </c>
      <c r="C28" s="21">
        <f>C27/C6</f>
        <v>0.15864818769061487</v>
      </c>
      <c r="D28" s="21">
        <f t="shared" ref="D28:M28" si="10">D27/D6</f>
        <v>0.17212452619151183</v>
      </c>
      <c r="E28" s="21">
        <f t="shared" si="10"/>
        <v>0.17673843555877208</v>
      </c>
      <c r="F28" s="21">
        <f t="shared" si="10"/>
        <v>0.19561119707413138</v>
      </c>
      <c r="G28" s="21">
        <f t="shared" si="10"/>
        <v>0.21068430424828288</v>
      </c>
      <c r="H28" s="21">
        <f t="shared" si="10"/>
        <v>0.21971696453258929</v>
      </c>
      <c r="I28" s="21">
        <f t="shared" si="10"/>
        <v>0.22188908735221571</v>
      </c>
      <c r="J28" s="21">
        <f t="shared" si="10"/>
        <v>0.22232391412119132</v>
      </c>
      <c r="K28" s="21">
        <f t="shared" si="10"/>
        <v>0.21287553648068669</v>
      </c>
      <c r="L28" s="21">
        <f t="shared" si="10"/>
        <v>0.2117907457670932</v>
      </c>
      <c r="M28" s="21">
        <f t="shared" si="10"/>
        <v>0.22315334081076751</v>
      </c>
    </row>
    <row r="30" spans="2:13" x14ac:dyDescent="0.3">
      <c r="B30" t="s">
        <v>24</v>
      </c>
      <c r="C30" s="16">
        <f>IFERROR('Data Sheet'!B29,0)</f>
        <v>1944</v>
      </c>
      <c r="D30" s="16">
        <f>IFERROR('Data Sheet'!C29,0)</f>
        <v>1875</v>
      </c>
      <c r="E30" s="16">
        <f>IFERROR('Data Sheet'!D29,0)</f>
        <v>1977</v>
      </c>
      <c r="F30" s="16">
        <f>IFERROR('Data Sheet'!E29,0)</f>
        <v>2079</v>
      </c>
      <c r="G30" s="16">
        <f>IFERROR('Data Sheet'!F29,0)</f>
        <v>2544</v>
      </c>
      <c r="H30" s="16">
        <f>IFERROR('Data Sheet'!G29,0)</f>
        <v>2409</v>
      </c>
      <c r="I30" s="16">
        <f>IFERROR('Data Sheet'!H29,0)</f>
        <v>2606</v>
      </c>
      <c r="J30" s="16">
        <f>IFERROR('Data Sheet'!I29,0)</f>
        <v>2987</v>
      </c>
      <c r="K30" s="16">
        <f>IFERROR('Data Sheet'!J29,0)</f>
        <v>3201</v>
      </c>
      <c r="L30" s="16">
        <f>IFERROR('Data Sheet'!K29,0)</f>
        <v>3644</v>
      </c>
      <c r="M30" s="16">
        <f>IFERROR(SUM('Data Sheet'!H48:K48),0)</f>
        <v>3659</v>
      </c>
    </row>
    <row r="31" spans="2:13" x14ac:dyDescent="0.3">
      <c r="B31" s="19" t="s">
        <v>27</v>
      </c>
      <c r="C31" s="21">
        <f>C30/C27</f>
        <v>0.38325582128923003</v>
      </c>
      <c r="D31" s="21">
        <f t="shared" ref="D31:M31" si="11">D30/D27</f>
        <v>0.33844765342960287</v>
      </c>
      <c r="E31" s="21">
        <f t="shared" si="11"/>
        <v>0.33731445145879541</v>
      </c>
      <c r="F31" s="21">
        <f t="shared" si="11"/>
        <v>0.29900762260894576</v>
      </c>
      <c r="G31" s="21">
        <f t="shared" si="11"/>
        <v>0.30717218063269741</v>
      </c>
      <c r="H31" s="21">
        <f t="shared" si="11"/>
        <v>0.27559775769362771</v>
      </c>
      <c r="I31" s="21">
        <f t="shared" si="11"/>
        <v>0.24973646382367035</v>
      </c>
      <c r="J31" s="21">
        <f t="shared" si="11"/>
        <v>0.25617495711835336</v>
      </c>
      <c r="K31" s="21">
        <f t="shared" si="11"/>
        <v>0.24821650124069478</v>
      </c>
      <c r="L31" s="21">
        <f t="shared" si="11"/>
        <v>0.27797696239224962</v>
      </c>
      <c r="M31" s="21">
        <f t="shared" si="11"/>
        <v>0.26272707690098368</v>
      </c>
    </row>
    <row r="33" spans="1:13" x14ac:dyDescent="0.3">
      <c r="B33" t="s">
        <v>73</v>
      </c>
      <c r="C33" s="16">
        <f>IFERROR(C27-C30,0)</f>
        <v>3128.33</v>
      </c>
      <c r="D33" s="16">
        <f t="shared" ref="D33:M33" si="12">IFERROR(D27-D30,0)</f>
        <v>3665</v>
      </c>
      <c r="E33" s="16">
        <f t="shared" si="12"/>
        <v>3884</v>
      </c>
      <c r="F33" s="16">
        <f t="shared" si="12"/>
        <v>4874</v>
      </c>
      <c r="G33" s="16">
        <f t="shared" si="12"/>
        <v>5738</v>
      </c>
      <c r="H33" s="16">
        <f t="shared" si="12"/>
        <v>6332</v>
      </c>
      <c r="I33" s="16">
        <f t="shared" si="12"/>
        <v>7829</v>
      </c>
      <c r="J33" s="16">
        <f t="shared" si="12"/>
        <v>8673</v>
      </c>
      <c r="K33" s="16">
        <f t="shared" si="12"/>
        <v>9695</v>
      </c>
      <c r="L33" s="16">
        <f t="shared" si="12"/>
        <v>9465</v>
      </c>
      <c r="M33" s="16">
        <f t="shared" si="12"/>
        <v>10268</v>
      </c>
    </row>
    <row r="34" spans="1:13" x14ac:dyDescent="0.3">
      <c r="B34" s="19" t="s">
        <v>74</v>
      </c>
      <c r="C34" s="21">
        <f>C33/C6</f>
        <v>9.7845346221200363E-2</v>
      </c>
      <c r="D34" s="21">
        <f t="shared" ref="D34:M34" si="13">D33/D6</f>
        <v>0.11386938420431243</v>
      </c>
      <c r="E34" s="21">
        <f t="shared" si="13"/>
        <v>0.11712200711657922</v>
      </c>
      <c r="F34" s="21">
        <f t="shared" si="13"/>
        <v>0.1371219580813054</v>
      </c>
      <c r="G34" s="21">
        <f t="shared" si="13"/>
        <v>0.14596794708725516</v>
      </c>
      <c r="H34" s="21">
        <f t="shared" si="13"/>
        <v>0.15916346178015736</v>
      </c>
      <c r="I34" s="21">
        <f t="shared" si="13"/>
        <v>0.16647529131581185</v>
      </c>
      <c r="J34" s="21">
        <f t="shared" si="13"/>
        <v>0.16537009495481067</v>
      </c>
      <c r="K34" s="21">
        <f t="shared" si="13"/>
        <v>0.16003631561571477</v>
      </c>
      <c r="L34" s="21">
        <f t="shared" si="13"/>
        <v>0.15291779759596744</v>
      </c>
      <c r="M34" s="21">
        <f t="shared" si="13"/>
        <v>0.16452491587886556</v>
      </c>
    </row>
    <row r="36" spans="1:13" x14ac:dyDescent="0.3">
      <c r="B36" t="s">
        <v>75</v>
      </c>
      <c r="C36">
        <f>IFERROR('Data Sheet'!B93,0)</f>
        <v>216.35</v>
      </c>
      <c r="D36">
        <f>IFERROR('Data Sheet'!C93,0)</f>
        <v>216.39</v>
      </c>
      <c r="E36">
        <f>IFERROR('Data Sheet'!D93,0)</f>
        <v>216.43</v>
      </c>
      <c r="F36">
        <f>IFERROR('Data Sheet'!E93,0)</f>
        <v>216.45</v>
      </c>
      <c r="G36">
        <f>IFERROR('Data Sheet'!F93,0)</f>
        <v>216.47</v>
      </c>
      <c r="H36">
        <f>IFERROR('Data Sheet'!G93,0)</f>
        <v>216.48</v>
      </c>
      <c r="I36">
        <f>IFERROR('Data Sheet'!H93,0)</f>
        <v>234.96</v>
      </c>
      <c r="J36">
        <f>IFERROR('Data Sheet'!I93,0)</f>
        <v>234.96</v>
      </c>
      <c r="K36">
        <f>IFERROR('Data Sheet'!J93,0)</f>
        <v>234.96</v>
      </c>
      <c r="L36">
        <f>IFERROR('Data Sheet'!K93,0)</f>
        <v>234.96</v>
      </c>
      <c r="M36">
        <f>L36</f>
        <v>234.96</v>
      </c>
    </row>
    <row r="37" spans="1:13" x14ac:dyDescent="0.3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spans="1:13" x14ac:dyDescent="0.3">
      <c r="B38" t="s">
        <v>77</v>
      </c>
      <c r="C38" s="22">
        <f>IFERROR(C33/C36,0)</f>
        <v>14.459579385255374</v>
      </c>
      <c r="D38" s="22">
        <f t="shared" ref="D38:M38" si="14">IFERROR(D33/D36,0)</f>
        <v>16.937011876704101</v>
      </c>
      <c r="E38" s="22">
        <f t="shared" si="14"/>
        <v>17.945756133622879</v>
      </c>
      <c r="F38" s="22">
        <f t="shared" si="14"/>
        <v>22.51790251790252</v>
      </c>
      <c r="G38" s="22">
        <f t="shared" si="14"/>
        <v>26.507137247655564</v>
      </c>
      <c r="H38" s="22">
        <f t="shared" si="14"/>
        <v>29.249815225424982</v>
      </c>
      <c r="I38" s="22">
        <f t="shared" si="14"/>
        <v>33.320565202587673</v>
      </c>
      <c r="J38" s="22">
        <f t="shared" si="14"/>
        <v>36.912665985699689</v>
      </c>
      <c r="K38" s="22">
        <f t="shared" si="14"/>
        <v>41.262342526387471</v>
      </c>
      <c r="L38" s="22">
        <f t="shared" si="14"/>
        <v>40.283452502553622</v>
      </c>
      <c r="M38" s="22">
        <f t="shared" si="14"/>
        <v>43.701055498808309</v>
      </c>
    </row>
    <row r="39" spans="1:13" x14ac:dyDescent="0.3">
      <c r="B39" s="19" t="s">
        <v>78</v>
      </c>
      <c r="C39" s="21"/>
      <c r="D39" s="21">
        <f>IFERROR(D38/C38-1,0)</f>
        <v>0.17133503163826447</v>
      </c>
      <c r="E39" s="21">
        <f t="shared" ref="E39:M39" si="15">IFERROR(E38/D38-1,0)</f>
        <v>5.9558572920778818E-2</v>
      </c>
      <c r="F39" s="21">
        <f t="shared" si="15"/>
        <v>0.25477591193348159</v>
      </c>
      <c r="G39" s="21">
        <f t="shared" si="15"/>
        <v>0.17715836217789205</v>
      </c>
      <c r="H39" s="21">
        <f t="shared" si="15"/>
        <v>0.10346941475213423</v>
      </c>
      <c r="I39" s="21">
        <f t="shared" si="15"/>
        <v>0.1391718185496178</v>
      </c>
      <c r="J39" s="21">
        <f t="shared" si="15"/>
        <v>0.10780431728190054</v>
      </c>
      <c r="K39" s="21">
        <f t="shared" si="15"/>
        <v>0.11783696529459253</v>
      </c>
      <c r="L39" s="21">
        <f t="shared" si="15"/>
        <v>-2.3723568849922771E-2</v>
      </c>
      <c r="M39" s="21">
        <f t="shared" si="15"/>
        <v>8.4838880084522117E-2</v>
      </c>
    </row>
    <row r="41" spans="1:13" x14ac:dyDescent="0.3">
      <c r="B41" t="s">
        <v>76</v>
      </c>
      <c r="C41" s="16">
        <f>IFERROR('Data Sheet'!B31/HistoricalFS!C36,0)</f>
        <v>15</v>
      </c>
      <c r="D41" s="16">
        <f>IFERROR('Data Sheet'!C31/HistoricalFS!D36,0)</f>
        <v>15.971163177596008</v>
      </c>
      <c r="E41" s="16">
        <f>IFERROR('Data Sheet'!D31/HistoricalFS!E36,0)</f>
        <v>16.966224645381878</v>
      </c>
      <c r="F41" s="16">
        <f>IFERROR('Data Sheet'!E31/HistoricalFS!F36,0)</f>
        <v>19.95841995841996</v>
      </c>
      <c r="G41" s="16">
        <f>IFERROR('Data Sheet'!F31/HistoricalFS!G36,0)</f>
        <v>21.95223356585208</v>
      </c>
      <c r="H41" s="16">
        <f>IFERROR('Data Sheet'!G31/HistoricalFS!H36,0)</f>
        <v>24.944567627494457</v>
      </c>
      <c r="I41" s="16">
        <f>IFERROR('Data Sheet'!H31/HistoricalFS!I36,0)</f>
        <v>40.506894790602651</v>
      </c>
      <c r="J41" s="16">
        <f>IFERROR('Data Sheet'!I31/HistoricalFS!J36,0)</f>
        <v>34.005788219271366</v>
      </c>
      <c r="K41" s="16">
        <f>IFERROR('Data Sheet'!J31/HistoricalFS!K36,0)</f>
        <v>39.006639427987743</v>
      </c>
      <c r="L41" s="16">
        <f>IFERROR('Data Sheet'!K31/HistoricalFS!L36,0)</f>
        <v>42.007150153217566</v>
      </c>
      <c r="M41" s="16">
        <f>IFERROR('Data Sheet'!L31/HistoricalFS!M36,0)</f>
        <v>0</v>
      </c>
    </row>
    <row r="42" spans="1:13" x14ac:dyDescent="0.3">
      <c r="B42" s="19" t="s">
        <v>79</v>
      </c>
      <c r="C42" s="21">
        <f>IFERROR(C41/C38,0)</f>
        <v>1.0373745736543138</v>
      </c>
      <c r="D42" s="21">
        <f t="shared" ref="D42:M42" si="16">IFERROR(D41/D38,0)</f>
        <v>0.94297407912687581</v>
      </c>
      <c r="E42" s="21">
        <f t="shared" si="16"/>
        <v>0.94541709577754895</v>
      </c>
      <c r="F42" s="21">
        <f t="shared" si="16"/>
        <v>0.88633565859663521</v>
      </c>
      <c r="G42" s="21">
        <f t="shared" si="16"/>
        <v>0.82816312303938655</v>
      </c>
      <c r="H42" s="21">
        <f t="shared" si="16"/>
        <v>0.85281111813013266</v>
      </c>
      <c r="I42" s="21">
        <f t="shared" si="16"/>
        <v>1.2156724996806743</v>
      </c>
      <c r="J42" s="21">
        <f t="shared" si="16"/>
        <v>0.92124985587455333</v>
      </c>
      <c r="K42" s="21">
        <f t="shared" si="16"/>
        <v>0.94533264569365649</v>
      </c>
      <c r="L42" s="21">
        <f t="shared" si="16"/>
        <v>1.0427892234548337</v>
      </c>
      <c r="M42" s="21">
        <f t="shared" si="16"/>
        <v>0</v>
      </c>
    </row>
    <row r="44" spans="1:13" x14ac:dyDescent="0.3">
      <c r="B44" t="s">
        <v>80</v>
      </c>
      <c r="C44" s="17">
        <f>IFERROR(IF(C38&gt;C41,1-C42,0),0)</f>
        <v>0</v>
      </c>
      <c r="D44" s="17">
        <f t="shared" ref="D44:M44" si="17">IFERROR(IF(D38&gt;D41,1-D42,0),0)</f>
        <v>5.7025920873124192E-2</v>
      </c>
      <c r="E44" s="17">
        <f t="shared" si="17"/>
        <v>5.4582904222451045E-2</v>
      </c>
      <c r="F44" s="17">
        <f t="shared" si="17"/>
        <v>0.11366434140336479</v>
      </c>
      <c r="G44" s="17">
        <f t="shared" si="17"/>
        <v>0.17183687696061345</v>
      </c>
      <c r="H44" s="17">
        <f t="shared" si="17"/>
        <v>0.14718888186986734</v>
      </c>
      <c r="I44" s="17">
        <f t="shared" si="17"/>
        <v>0</v>
      </c>
      <c r="J44" s="17">
        <f t="shared" si="17"/>
        <v>7.8750144125446675E-2</v>
      </c>
      <c r="K44" s="17">
        <f t="shared" si="17"/>
        <v>5.4667354306343507E-2</v>
      </c>
      <c r="L44" s="17">
        <f t="shared" si="17"/>
        <v>0</v>
      </c>
      <c r="M44" s="17">
        <f t="shared" si="17"/>
        <v>1</v>
      </c>
    </row>
    <row r="46" spans="1:13" x14ac:dyDescent="0.3">
      <c r="A46" t="s">
        <v>59</v>
      </c>
      <c r="B46" s="26" t="s">
        <v>81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1:13" x14ac:dyDescent="0.3">
      <c r="B47" t="s">
        <v>33</v>
      </c>
      <c r="C47" s="16">
        <f>IFERROR('Data Sheet'!B57,0)</f>
        <v>216.35</v>
      </c>
      <c r="D47" s="16">
        <f>IFERROR('Data Sheet'!C57,0)</f>
        <v>216</v>
      </c>
      <c r="E47" s="16">
        <f>IFERROR('Data Sheet'!D57,0)</f>
        <v>216</v>
      </c>
      <c r="F47" s="16">
        <f>IFERROR('Data Sheet'!E57,0)</f>
        <v>216</v>
      </c>
      <c r="G47" s="16">
        <f>IFERROR('Data Sheet'!F57,0)</f>
        <v>216</v>
      </c>
      <c r="H47" s="16">
        <f>IFERROR('Data Sheet'!G57,0)</f>
        <v>216</v>
      </c>
      <c r="I47" s="16">
        <f>IFERROR('Data Sheet'!H57,0)</f>
        <v>235</v>
      </c>
      <c r="J47" s="16">
        <f>IFERROR('Data Sheet'!I57,0)</f>
        <v>235</v>
      </c>
      <c r="K47" s="16">
        <f>IFERROR('Data Sheet'!J57,0)</f>
        <v>235</v>
      </c>
      <c r="L47" s="16">
        <f>IFERROR('Data Sheet'!K57,0)</f>
        <v>235</v>
      </c>
    </row>
    <row r="48" spans="1:13" x14ac:dyDescent="0.3">
      <c r="B48" t="s">
        <v>34</v>
      </c>
      <c r="C48" s="16">
        <f>IFERROR('Data Sheet'!B58,0)</f>
        <v>3811.13</v>
      </c>
      <c r="D48" s="16">
        <f>IFERROR('Data Sheet'!C58,0)</f>
        <v>6357</v>
      </c>
      <c r="E48" s="16">
        <f>IFERROR('Data Sheet'!D58,0)</f>
        <v>6528</v>
      </c>
      <c r="F48" s="16">
        <f>IFERROR('Data Sheet'!E58,0)</f>
        <v>7065</v>
      </c>
      <c r="G48" s="16">
        <f>IFERROR('Data Sheet'!F58,0)</f>
        <v>7651</v>
      </c>
      <c r="H48" s="16">
        <f>IFERROR('Data Sheet'!G58,0)</f>
        <v>8013</v>
      </c>
      <c r="I48" s="16">
        <f>IFERROR('Data Sheet'!H58,0)</f>
        <v>47439</v>
      </c>
      <c r="J48" s="16">
        <f>IFERROR('Data Sheet'!I58,0)</f>
        <v>48826</v>
      </c>
      <c r="K48" s="16">
        <f>IFERROR('Data Sheet'!J58,0)</f>
        <v>50069</v>
      </c>
      <c r="L48" s="16">
        <f>IFERROR('Data Sheet'!K58,0)</f>
        <v>50983</v>
      </c>
    </row>
    <row r="49" spans="2:13" x14ac:dyDescent="0.3">
      <c r="B49" t="s">
        <v>35</v>
      </c>
      <c r="C49" s="16">
        <f>IFERROR('Data Sheet'!B59,0)</f>
        <v>43.04</v>
      </c>
      <c r="D49" s="16">
        <f>IFERROR('Data Sheet'!C59,0)</f>
        <v>177</v>
      </c>
      <c r="E49" s="16">
        <f>IFERROR('Data Sheet'!D59,0)</f>
        <v>277</v>
      </c>
      <c r="F49" s="16">
        <f>IFERROR('Data Sheet'!E59,0)</f>
        <v>0</v>
      </c>
      <c r="G49" s="16">
        <f>IFERROR('Data Sheet'!F59,0)</f>
        <v>99</v>
      </c>
      <c r="H49" s="16">
        <f>IFERROR('Data Sheet'!G59,0)</f>
        <v>0</v>
      </c>
      <c r="I49" s="16">
        <f>IFERROR('Data Sheet'!H59,0)</f>
        <v>0</v>
      </c>
      <c r="J49" s="16">
        <f>IFERROR('Data Sheet'!I59,0)</f>
        <v>1043</v>
      </c>
      <c r="K49" s="16">
        <f>IFERROR('Data Sheet'!J59,0)</f>
        <v>1219</v>
      </c>
      <c r="L49" s="16">
        <f>IFERROR('Data Sheet'!K59,0)</f>
        <v>1484</v>
      </c>
    </row>
    <row r="50" spans="2:13" x14ac:dyDescent="0.3">
      <c r="B50" t="s">
        <v>36</v>
      </c>
      <c r="C50" s="16">
        <f>IFERROR('Data Sheet'!B60,0)</f>
        <v>10359.01</v>
      </c>
      <c r="D50" s="16">
        <f>IFERROR('Data Sheet'!C60,0)</f>
        <v>8043</v>
      </c>
      <c r="E50" s="16">
        <f>IFERROR('Data Sheet'!D60,0)</f>
        <v>8685</v>
      </c>
      <c r="F50" s="16">
        <f>IFERROR('Data Sheet'!E60,0)</f>
        <v>10581</v>
      </c>
      <c r="G50" s="16">
        <f>IFERROR('Data Sheet'!F60,0)</f>
        <v>10663</v>
      </c>
      <c r="H50" s="16">
        <f>IFERROR('Data Sheet'!G60,0)</f>
        <v>11924</v>
      </c>
      <c r="I50" s="16">
        <f>IFERROR('Data Sheet'!H60,0)</f>
        <v>21066</v>
      </c>
      <c r="J50" s="16">
        <f>IFERROR('Data Sheet'!I60,0)</f>
        <v>20402</v>
      </c>
      <c r="K50" s="16">
        <f>IFERROR('Data Sheet'!J60,0)</f>
        <v>21554</v>
      </c>
      <c r="L50" s="16">
        <f>IFERROR('Data Sheet'!K60,0)</f>
        <v>25787</v>
      </c>
    </row>
    <row r="51" spans="2:13" x14ac:dyDescent="0.3">
      <c r="B51" s="15" t="s">
        <v>82</v>
      </c>
      <c r="C51" s="28">
        <f>IFERROR('Data Sheet'!B61,0)</f>
        <v>14429.53</v>
      </c>
      <c r="D51" s="28">
        <f>IFERROR('Data Sheet'!C61,0)</f>
        <v>14793</v>
      </c>
      <c r="E51" s="28">
        <f>IFERROR('Data Sheet'!D61,0)</f>
        <v>15706</v>
      </c>
      <c r="F51" s="28">
        <f>IFERROR('Data Sheet'!E61,0)</f>
        <v>17862</v>
      </c>
      <c r="G51" s="28">
        <f>IFERROR('Data Sheet'!F61,0)</f>
        <v>18629</v>
      </c>
      <c r="H51" s="28">
        <f>IFERROR('Data Sheet'!G61,0)</f>
        <v>20153</v>
      </c>
      <c r="I51" s="28">
        <f>IFERROR('Data Sheet'!H61,0)</f>
        <v>68740</v>
      </c>
      <c r="J51" s="28">
        <f>IFERROR('Data Sheet'!I61,0)</f>
        <v>70506</v>
      </c>
      <c r="K51" s="28">
        <f>IFERROR('Data Sheet'!J61,0)</f>
        <v>73077</v>
      </c>
      <c r="L51" s="28">
        <f>IFERROR('Data Sheet'!K61,0)</f>
        <v>78489</v>
      </c>
      <c r="M51" s="15"/>
    </row>
    <row r="53" spans="2:13" x14ac:dyDescent="0.3">
      <c r="B53" t="s">
        <v>83</v>
      </c>
      <c r="C53" s="16">
        <f>IFERROR('Data Sheet'!B62,0)</f>
        <v>2821.01</v>
      </c>
      <c r="D53" s="16">
        <f>IFERROR('Data Sheet'!C62,0)</f>
        <v>3258</v>
      </c>
      <c r="E53" s="16">
        <f>IFERROR('Data Sheet'!D62,0)</f>
        <v>4419</v>
      </c>
      <c r="F53" s="16">
        <f>IFERROR('Data Sheet'!E62,0)</f>
        <v>4528</v>
      </c>
      <c r="G53" s="16">
        <f>IFERROR('Data Sheet'!F62,0)</f>
        <v>4715</v>
      </c>
      <c r="H53" s="16">
        <f>IFERROR('Data Sheet'!G62,0)</f>
        <v>5479</v>
      </c>
      <c r="I53" s="16">
        <f>IFERROR('Data Sheet'!H62,0)</f>
        <v>51443</v>
      </c>
      <c r="J53" s="16">
        <f>IFERROR('Data Sheet'!I62,0)</f>
        <v>51473</v>
      </c>
      <c r="K53" s="16">
        <f>IFERROR('Data Sheet'!J62,0)</f>
        <v>52678</v>
      </c>
      <c r="L53" s="16">
        <f>IFERROR('Data Sheet'!K62,0)</f>
        <v>53744</v>
      </c>
    </row>
    <row r="54" spans="2:13" x14ac:dyDescent="0.3">
      <c r="B54" t="s">
        <v>39</v>
      </c>
      <c r="C54" s="16">
        <f>IFERROR('Data Sheet'!B63,0)</f>
        <v>516.29999999999995</v>
      </c>
      <c r="D54" s="16">
        <f>IFERROR('Data Sheet'!C63,0)</f>
        <v>408</v>
      </c>
      <c r="E54" s="16">
        <f>IFERROR('Data Sheet'!D63,0)</f>
        <v>229</v>
      </c>
      <c r="F54" s="16">
        <f>IFERROR('Data Sheet'!E63,0)</f>
        <v>461</v>
      </c>
      <c r="G54" s="16">
        <f>IFERROR('Data Sheet'!F63,0)</f>
        <v>406</v>
      </c>
      <c r="H54" s="16">
        <f>IFERROR('Data Sheet'!G63,0)</f>
        <v>597</v>
      </c>
      <c r="I54" s="16">
        <f>IFERROR('Data Sheet'!H63,0)</f>
        <v>745</v>
      </c>
      <c r="J54" s="16">
        <f>IFERROR('Data Sheet'!I63,0)</f>
        <v>1313</v>
      </c>
      <c r="K54" s="16">
        <f>IFERROR('Data Sheet'!J63,0)</f>
        <v>1132</v>
      </c>
      <c r="L54" s="16">
        <f>IFERROR('Data Sheet'!K63,0)</f>
        <v>1025</v>
      </c>
    </row>
    <row r="55" spans="2:13" x14ac:dyDescent="0.3">
      <c r="B55" t="s">
        <v>40</v>
      </c>
      <c r="C55" s="16">
        <f>IFERROR('Data Sheet'!B64,0)</f>
        <v>3025.08</v>
      </c>
      <c r="D55" s="16">
        <f>IFERROR('Data Sheet'!C64,0)</f>
        <v>2592</v>
      </c>
      <c r="E55" s="16">
        <f>IFERROR('Data Sheet'!D64,0)</f>
        <v>3794</v>
      </c>
      <c r="F55" s="16">
        <f>IFERROR('Data Sheet'!E64,0)</f>
        <v>2873</v>
      </c>
      <c r="G55" s="16">
        <f>IFERROR('Data Sheet'!F64,0)</f>
        <v>2716</v>
      </c>
      <c r="H55" s="16">
        <f>IFERROR('Data Sheet'!G64,0)</f>
        <v>1255</v>
      </c>
      <c r="I55" s="16">
        <f>IFERROR('Data Sheet'!H64,0)</f>
        <v>2709</v>
      </c>
      <c r="J55" s="16">
        <f>IFERROR('Data Sheet'!I64,0)</f>
        <v>3521</v>
      </c>
      <c r="K55" s="16">
        <f>IFERROR('Data Sheet'!J64,0)</f>
        <v>2882</v>
      </c>
      <c r="L55" s="16">
        <f>IFERROR('Data Sheet'!K64,0)</f>
        <v>4625</v>
      </c>
    </row>
    <row r="56" spans="2:13" x14ac:dyDescent="0.3">
      <c r="B56" t="s">
        <v>41</v>
      </c>
      <c r="C56" s="16">
        <f>IFERROR('Data Sheet'!B65-SUM('Data Sheet'!B67:B69),0)</f>
        <v>1518.5800000000008</v>
      </c>
      <c r="D56" s="16">
        <f>IFERROR('Data Sheet'!C65-SUM('Data Sheet'!C67:C69),0)</f>
        <v>1536</v>
      </c>
      <c r="E56" s="16">
        <f>IFERROR('Data Sheet'!D65-SUM('Data Sheet'!D67:D69),0)</f>
        <v>1810</v>
      </c>
      <c r="F56" s="16">
        <f>IFERROR('Data Sheet'!E65-SUM('Data Sheet'!E67:E69),0)</f>
        <v>2692</v>
      </c>
      <c r="G56" s="16">
        <f>IFERROR('Data Sheet'!F65-SUM('Data Sheet'!F67:F69),0)</f>
        <v>2645</v>
      </c>
      <c r="H56" s="16">
        <f>IFERROR('Data Sheet'!G65-SUM('Data Sheet'!G67:G69),0)</f>
        <v>3793</v>
      </c>
      <c r="I56" s="16">
        <f>IFERROR('Data Sheet'!H65-SUM('Data Sheet'!H67:H69),0)</f>
        <v>4035</v>
      </c>
      <c r="J56" s="16">
        <f>IFERROR('Data Sheet'!I65-SUM('Data Sheet'!I67:I69),0)</f>
        <v>4021</v>
      </c>
      <c r="K56" s="16">
        <f>IFERROR('Data Sheet'!J65-SUM('Data Sheet'!J67:J69),0)</f>
        <v>4377</v>
      </c>
      <c r="L56" s="16">
        <f>IFERROR('Data Sheet'!K65-SUM('Data Sheet'!K67:K69),0)</f>
        <v>4517</v>
      </c>
    </row>
    <row r="57" spans="2:13" x14ac:dyDescent="0.3">
      <c r="B57" s="15" t="s">
        <v>84</v>
      </c>
      <c r="C57" s="28">
        <f>SUM(C53:C56)</f>
        <v>7880.9700000000012</v>
      </c>
      <c r="D57" s="28">
        <f t="shared" ref="D57:L57" si="18">SUM(D53:D56)</f>
        <v>7794</v>
      </c>
      <c r="E57" s="28">
        <f t="shared" si="18"/>
        <v>10252</v>
      </c>
      <c r="F57" s="28">
        <f t="shared" si="18"/>
        <v>10554</v>
      </c>
      <c r="G57" s="28">
        <f t="shared" si="18"/>
        <v>10482</v>
      </c>
      <c r="H57" s="28">
        <f t="shared" si="18"/>
        <v>11124</v>
      </c>
      <c r="I57" s="28">
        <f t="shared" si="18"/>
        <v>58932</v>
      </c>
      <c r="J57" s="28">
        <f t="shared" si="18"/>
        <v>60328</v>
      </c>
      <c r="K57" s="28">
        <f t="shared" si="18"/>
        <v>61069</v>
      </c>
      <c r="L57" s="28">
        <f t="shared" si="18"/>
        <v>63911</v>
      </c>
    </row>
    <row r="58" spans="2:13" x14ac:dyDescent="0.3">
      <c r="B58" s="15"/>
    </row>
    <row r="59" spans="2:13" x14ac:dyDescent="0.3">
      <c r="B59" t="s">
        <v>42</v>
      </c>
      <c r="C59" s="16">
        <f>IFERROR('Data Sheet'!B67,0)</f>
        <v>1010.28</v>
      </c>
      <c r="D59" s="16">
        <f>IFERROR('Data Sheet'!C67,0)</f>
        <v>1264</v>
      </c>
      <c r="E59" s="16">
        <f>IFERROR('Data Sheet'!D67,0)</f>
        <v>1085</v>
      </c>
      <c r="F59" s="16">
        <f>IFERROR('Data Sheet'!E67,0)</f>
        <v>1310</v>
      </c>
      <c r="G59" s="16">
        <f>IFERROR('Data Sheet'!F67,0)</f>
        <v>1816</v>
      </c>
      <c r="H59" s="16">
        <f>IFERROR('Data Sheet'!G67,0)</f>
        <v>1149</v>
      </c>
      <c r="I59" s="16">
        <f>IFERROR('Data Sheet'!H67,0)</f>
        <v>1758</v>
      </c>
      <c r="J59" s="16">
        <f>IFERROR('Data Sheet'!I67,0)</f>
        <v>2236</v>
      </c>
      <c r="K59" s="16">
        <f>IFERROR('Data Sheet'!J67,0)</f>
        <v>3079</v>
      </c>
      <c r="L59" s="16">
        <f>IFERROR('Data Sheet'!K67,0)</f>
        <v>2997</v>
      </c>
    </row>
    <row r="60" spans="2:13" x14ac:dyDescent="0.3">
      <c r="B60" t="s">
        <v>43</v>
      </c>
      <c r="C60" s="16">
        <f>IFERROR('Data Sheet'!B68,0)</f>
        <v>2848.79</v>
      </c>
      <c r="D60" s="16">
        <f>IFERROR('Data Sheet'!C68,0)</f>
        <v>2726</v>
      </c>
      <c r="E60" s="16">
        <f>IFERROR('Data Sheet'!D68,0)</f>
        <v>2541</v>
      </c>
      <c r="F60" s="16">
        <f>IFERROR('Data Sheet'!E68,0)</f>
        <v>2513</v>
      </c>
      <c r="G60" s="16">
        <f>IFERROR('Data Sheet'!F68,0)</f>
        <v>2574</v>
      </c>
      <c r="H60" s="16">
        <f>IFERROR('Data Sheet'!G68,0)</f>
        <v>2767</v>
      </c>
      <c r="I60" s="16">
        <f>IFERROR('Data Sheet'!H68,0)</f>
        <v>3579</v>
      </c>
      <c r="J60" s="16">
        <f>IFERROR('Data Sheet'!I68,0)</f>
        <v>4096</v>
      </c>
      <c r="K60" s="16">
        <f>IFERROR('Data Sheet'!J68,0)</f>
        <v>4251</v>
      </c>
      <c r="L60" s="16">
        <f>IFERROR('Data Sheet'!K68,0)</f>
        <v>4022</v>
      </c>
    </row>
    <row r="61" spans="2:13" x14ac:dyDescent="0.3">
      <c r="B61" t="s">
        <v>44</v>
      </c>
      <c r="C61" s="16">
        <f>IFERROR('Data Sheet'!B69,0)</f>
        <v>2689.49</v>
      </c>
      <c r="D61" s="16">
        <f>IFERROR('Data Sheet'!C69,0)</f>
        <v>3009</v>
      </c>
      <c r="E61" s="16">
        <f>IFERROR('Data Sheet'!D69,0)</f>
        <v>1828</v>
      </c>
      <c r="F61" s="16">
        <f>IFERROR('Data Sheet'!E69,0)</f>
        <v>3485</v>
      </c>
      <c r="G61" s="16">
        <f>IFERROR('Data Sheet'!F69,0)</f>
        <v>3757</v>
      </c>
      <c r="H61" s="16">
        <f>IFERROR('Data Sheet'!G69,0)</f>
        <v>5113</v>
      </c>
      <c r="I61" s="16">
        <f>IFERROR('Data Sheet'!H69,0)</f>
        <v>4471</v>
      </c>
      <c r="J61" s="16">
        <f>IFERROR('Data Sheet'!I69,0)</f>
        <v>3846</v>
      </c>
      <c r="K61" s="16">
        <f>IFERROR('Data Sheet'!J69,0)</f>
        <v>4678</v>
      </c>
      <c r="L61" s="16">
        <f>IFERROR('Data Sheet'!K69,0)</f>
        <v>7559</v>
      </c>
    </row>
    <row r="62" spans="2:13" x14ac:dyDescent="0.3">
      <c r="B62" s="15" t="s">
        <v>85</v>
      </c>
      <c r="C62" s="28">
        <f>IFERROR(SUM(C59:C61),0)</f>
        <v>6548.5599999999995</v>
      </c>
      <c r="D62" s="28">
        <f t="shared" ref="D62:L62" si="19">IFERROR(SUM(D59:D61),0)</f>
        <v>6999</v>
      </c>
      <c r="E62" s="28">
        <f t="shared" si="19"/>
        <v>5454</v>
      </c>
      <c r="F62" s="28">
        <f t="shared" si="19"/>
        <v>7308</v>
      </c>
      <c r="G62" s="28">
        <f t="shared" si="19"/>
        <v>8147</v>
      </c>
      <c r="H62" s="28">
        <f t="shared" si="19"/>
        <v>9029</v>
      </c>
      <c r="I62" s="28">
        <f t="shared" si="19"/>
        <v>9808</v>
      </c>
      <c r="J62" s="28">
        <f t="shared" si="19"/>
        <v>10178</v>
      </c>
      <c r="K62" s="28">
        <f t="shared" si="19"/>
        <v>12008</v>
      </c>
      <c r="L62" s="28">
        <f t="shared" si="19"/>
        <v>14578</v>
      </c>
    </row>
    <row r="64" spans="2:13" x14ac:dyDescent="0.3">
      <c r="B64" s="15" t="s">
        <v>86</v>
      </c>
      <c r="C64" s="28">
        <f>IFERROR(C62+C57,0)</f>
        <v>14429.53</v>
      </c>
      <c r="D64" s="28">
        <f t="shared" ref="D64:L64" si="20">IFERROR(D62+D57,0)</f>
        <v>14793</v>
      </c>
      <c r="E64" s="28">
        <f t="shared" si="20"/>
        <v>15706</v>
      </c>
      <c r="F64" s="28">
        <f t="shared" si="20"/>
        <v>17862</v>
      </c>
      <c r="G64" s="28">
        <f t="shared" si="20"/>
        <v>18629</v>
      </c>
      <c r="H64" s="28">
        <f t="shared" si="20"/>
        <v>20153</v>
      </c>
      <c r="I64" s="28">
        <f t="shared" si="20"/>
        <v>68740</v>
      </c>
      <c r="J64" s="28">
        <f t="shared" si="20"/>
        <v>70506</v>
      </c>
      <c r="K64" s="28">
        <f t="shared" si="20"/>
        <v>73077</v>
      </c>
      <c r="L64" s="28">
        <f t="shared" si="20"/>
        <v>78489</v>
      </c>
    </row>
    <row r="66" spans="1:13" x14ac:dyDescent="0.3">
      <c r="B66" s="18" t="s">
        <v>87</v>
      </c>
      <c r="C66" s="18" t="b">
        <f>C64=C51</f>
        <v>1</v>
      </c>
      <c r="D66" s="18" t="b">
        <f t="shared" ref="D66:L66" si="21">D64=D51</f>
        <v>1</v>
      </c>
      <c r="E66" s="18" t="b">
        <f t="shared" si="21"/>
        <v>1</v>
      </c>
      <c r="F66" s="18" t="b">
        <f t="shared" si="21"/>
        <v>1</v>
      </c>
      <c r="G66" s="18" t="b">
        <f t="shared" si="21"/>
        <v>1</v>
      </c>
      <c r="H66" s="18" t="b">
        <f t="shared" si="21"/>
        <v>1</v>
      </c>
      <c r="I66" s="18" t="b">
        <f t="shared" si="21"/>
        <v>1</v>
      </c>
      <c r="J66" s="18" t="b">
        <f t="shared" si="21"/>
        <v>1</v>
      </c>
      <c r="K66" s="18" t="b">
        <f t="shared" si="21"/>
        <v>1</v>
      </c>
      <c r="L66" s="18" t="b">
        <f t="shared" si="21"/>
        <v>1</v>
      </c>
    </row>
    <row r="68" spans="1:13" x14ac:dyDescent="0.3">
      <c r="A68" t="s">
        <v>59</v>
      </c>
      <c r="B68" s="26" t="s">
        <v>118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 x14ac:dyDescent="0.3">
      <c r="B69" s="15" t="s">
        <v>120</v>
      </c>
    </row>
    <row r="70" spans="1:13" x14ac:dyDescent="0.3">
      <c r="B70" t="s">
        <v>88</v>
      </c>
      <c r="C70" s="16">
        <f>IFERROR('Cash Flow Data'!E4,0)</f>
        <v>24406</v>
      </c>
      <c r="D70" s="16">
        <f>IFERROR('Cash Flow Data'!F4,0)</f>
        <v>36303</v>
      </c>
      <c r="E70" s="16">
        <f>IFERROR('Cash Flow Data'!G4,0)</f>
        <v>43397</v>
      </c>
      <c r="F70" s="16">
        <f>IFERROR('Cash Flow Data'!H4,0)</f>
        <v>38626</v>
      </c>
      <c r="G70" s="16">
        <f>IFERROR('Cash Flow Data'!I4,0)</f>
        <v>28840</v>
      </c>
      <c r="H70" s="16">
        <f>IFERROR('Cash Flow Data'!J4,0)</f>
        <v>33312</v>
      </c>
      <c r="I70" s="16">
        <f>IFERROR('Cash Flow Data'!K4,0)</f>
        <v>28771</v>
      </c>
      <c r="J70" s="16">
        <f>IFERROR('Cash Flow Data'!L4,0)</f>
        <v>23352</v>
      </c>
      <c r="K70" s="16">
        <f>IFERROR('Cash Flow Data'!M4,0)</f>
        <v>31198</v>
      </c>
      <c r="L70" s="16">
        <f>IFERROR('Cash Flow Data'!N4,0)</f>
        <v>26666</v>
      </c>
    </row>
    <row r="71" spans="1:13" x14ac:dyDescent="0.3">
      <c r="B71" t="s">
        <v>42</v>
      </c>
      <c r="C71" s="16">
        <f>IFERROR('Cash Flow Data'!E5,0)</f>
        <v>-5177</v>
      </c>
      <c r="D71" s="16">
        <f>IFERROR('Cash Flow Data'!F5,0)</f>
        <v>445</v>
      </c>
      <c r="E71" s="16">
        <f>IFERROR('Cash Flow Data'!G5,0)</f>
        <v>-3179</v>
      </c>
      <c r="F71" s="16">
        <f>IFERROR('Cash Flow Data'!H5,0)</f>
        <v>-2223</v>
      </c>
      <c r="G71" s="16">
        <f>IFERROR('Cash Flow Data'!I5,0)</f>
        <v>-4152</v>
      </c>
      <c r="H71" s="16">
        <f>IFERROR('Cash Flow Data'!J5,0)</f>
        <v>-10688</v>
      </c>
      <c r="I71" s="16">
        <f>IFERROR('Cash Flow Data'!K5,0)</f>
        <v>-9109</v>
      </c>
      <c r="J71" s="16">
        <f>IFERROR('Cash Flow Data'!L5,0)</f>
        <v>9950</v>
      </c>
      <c r="K71" s="16">
        <f>IFERROR('Cash Flow Data'!M5,0)</f>
        <v>-5505</v>
      </c>
      <c r="L71" s="16">
        <f>IFERROR('Cash Flow Data'!N5,0)</f>
        <v>337</v>
      </c>
    </row>
    <row r="72" spans="1:13" x14ac:dyDescent="0.3">
      <c r="B72" t="s">
        <v>43</v>
      </c>
      <c r="C72" s="16">
        <f>IFERROR('Cash Flow Data'!E6,0)</f>
        <v>-2656</v>
      </c>
      <c r="D72" s="16">
        <f>IFERROR('Cash Flow Data'!F6,0)</f>
        <v>-2853</v>
      </c>
      <c r="E72" s="16">
        <f>IFERROR('Cash Flow Data'!G6,0)</f>
        <v>-3692</v>
      </c>
      <c r="F72" s="16">
        <f>IFERROR('Cash Flow Data'!H6,0)</f>
        <v>-5743</v>
      </c>
      <c r="G72" s="16">
        <f>IFERROR('Cash Flow Data'!I6,0)</f>
        <v>-6621</v>
      </c>
      <c r="H72" s="16">
        <f>IFERROR('Cash Flow Data'!J6,0)</f>
        <v>-3560</v>
      </c>
      <c r="I72" s="16">
        <f>IFERROR('Cash Flow Data'!K6,0)</f>
        <v>2069</v>
      </c>
      <c r="J72" s="16">
        <f>IFERROR('Cash Flow Data'!L6,0)</f>
        <v>2326</v>
      </c>
      <c r="K72" s="16">
        <f>IFERROR('Cash Flow Data'!M6,0)</f>
        <v>3814</v>
      </c>
      <c r="L72" s="16">
        <f>IFERROR('Cash Flow Data'!N6,0)</f>
        <v>597</v>
      </c>
    </row>
    <row r="73" spans="1:13" x14ac:dyDescent="0.3">
      <c r="B73" t="s">
        <v>89</v>
      </c>
      <c r="C73" s="16">
        <f>IFERROR('Cash Flow Data'!E7,0)</f>
        <v>8132</v>
      </c>
      <c r="D73" s="16">
        <f>IFERROR('Cash Flow Data'!F7,0)</f>
        <v>4694</v>
      </c>
      <c r="E73" s="16">
        <f>IFERROR('Cash Flow Data'!G7,0)</f>
        <v>3598</v>
      </c>
      <c r="F73" s="16">
        <f>IFERROR('Cash Flow Data'!H7,0)</f>
        <v>3947</v>
      </c>
      <c r="G73" s="16">
        <f>IFERROR('Cash Flow Data'!I7,0)</f>
        <v>9301</v>
      </c>
      <c r="H73" s="16">
        <f>IFERROR('Cash Flow Data'!J7,0)</f>
        <v>7320</v>
      </c>
      <c r="I73" s="16">
        <f>IFERROR('Cash Flow Data'!K7,0)</f>
        <v>-4692</v>
      </c>
      <c r="J73" s="16">
        <f>IFERROR('Cash Flow Data'!L7,0)</f>
        <v>-8085</v>
      </c>
      <c r="K73" s="16">
        <f>IFERROR('Cash Flow Data'!M7,0)</f>
        <v>5748</v>
      </c>
      <c r="L73" s="16">
        <f>IFERROR('Cash Flow Data'!N7,0)</f>
        <v>-7012</v>
      </c>
    </row>
    <row r="74" spans="1:13" x14ac:dyDescent="0.3">
      <c r="B74" t="s">
        <v>90</v>
      </c>
      <c r="C74" s="16">
        <f>IFERROR('Cash Flow Data'!E8,0)</f>
        <v>0</v>
      </c>
      <c r="D74" s="16">
        <f>IFERROR('Cash Flow Data'!F8,0)</f>
        <v>0</v>
      </c>
      <c r="E74" s="16">
        <f>IFERROR('Cash Flow Data'!G8,0)</f>
        <v>0</v>
      </c>
      <c r="F74" s="16">
        <f>IFERROR('Cash Flow Data'!H8,0)</f>
        <v>-520</v>
      </c>
      <c r="G74" s="16">
        <f>IFERROR('Cash Flow Data'!I8,0)</f>
        <v>0</v>
      </c>
      <c r="H74" s="16">
        <f>IFERROR('Cash Flow Data'!J8,0)</f>
        <v>0</v>
      </c>
      <c r="I74" s="16">
        <f>IFERROR('Cash Flow Data'!K8,0)</f>
        <v>0</v>
      </c>
      <c r="J74" s="16">
        <f>IFERROR('Cash Flow Data'!L8,0)</f>
        <v>0</v>
      </c>
      <c r="K74" s="16">
        <f>IFERROR('Cash Flow Data'!M8,0)</f>
        <v>0</v>
      </c>
      <c r="L74" s="16">
        <f>IFERROR('Cash Flow Data'!N8,0)</f>
        <v>0</v>
      </c>
    </row>
    <row r="75" spans="1:13" x14ac:dyDescent="0.3">
      <c r="B75" t="s">
        <v>91</v>
      </c>
      <c r="C75" s="16">
        <f>IFERROR('Cash Flow Data'!E9,0)</f>
        <v>-303</v>
      </c>
      <c r="D75" s="16">
        <f>IFERROR('Cash Flow Data'!F9,0)</f>
        <v>1870</v>
      </c>
      <c r="E75" s="16">
        <f>IFERROR('Cash Flow Data'!G9,0)</f>
        <v>-398</v>
      </c>
      <c r="F75" s="16">
        <f>IFERROR('Cash Flow Data'!H9,0)</f>
        <v>5852</v>
      </c>
      <c r="G75" s="16">
        <f>IFERROR('Cash Flow Data'!I9,0)</f>
        <v>4727</v>
      </c>
      <c r="H75" s="16">
        <f>IFERROR('Cash Flow Data'!J9,0)</f>
        <v>494</v>
      </c>
      <c r="I75" s="16">
        <f>IFERROR('Cash Flow Data'!K9,0)</f>
        <v>4512</v>
      </c>
      <c r="J75" s="16">
        <f>IFERROR('Cash Flow Data'!L9,0)</f>
        <v>875</v>
      </c>
      <c r="K75" s="16">
        <f>IFERROR('Cash Flow Data'!M9,0)</f>
        <v>-4150</v>
      </c>
      <c r="L75" s="16">
        <f>IFERROR('Cash Flow Data'!N9,0)</f>
        <v>-4396</v>
      </c>
    </row>
    <row r="76" spans="1:13" x14ac:dyDescent="0.3">
      <c r="B76" t="s">
        <v>92</v>
      </c>
      <c r="C76" s="16">
        <f>IFERROR('Cash Flow Data'!E10,0)</f>
        <v>-3</v>
      </c>
      <c r="D76" s="16">
        <f>IFERROR('Cash Flow Data'!F10,0)</f>
        <v>4157</v>
      </c>
      <c r="E76" s="16">
        <f>IFERROR('Cash Flow Data'!G10,0)</f>
        <v>-3672</v>
      </c>
      <c r="F76" s="16">
        <f>IFERROR('Cash Flow Data'!H10,0)</f>
        <v>1313</v>
      </c>
      <c r="G76" s="16">
        <f>IFERROR('Cash Flow Data'!I10,0)</f>
        <v>3254</v>
      </c>
      <c r="H76" s="16">
        <f>IFERROR('Cash Flow Data'!J10,0)</f>
        <v>-6434</v>
      </c>
      <c r="I76" s="16">
        <f>IFERROR('Cash Flow Data'!K10,0)</f>
        <v>-7221</v>
      </c>
      <c r="J76" s="16">
        <f>IFERROR('Cash Flow Data'!L10,0)</f>
        <v>5065</v>
      </c>
      <c r="K76" s="16">
        <f>IFERROR('Cash Flow Data'!M10,0)</f>
        <v>-93</v>
      </c>
      <c r="L76" s="16">
        <f>IFERROR('Cash Flow Data'!N10,0)</f>
        <v>-10474</v>
      </c>
    </row>
    <row r="77" spans="1:13" x14ac:dyDescent="0.3">
      <c r="B77" t="s">
        <v>93</v>
      </c>
      <c r="C77" s="16">
        <f>IFERROR('Cash Flow Data'!E11,0)</f>
        <v>-2240</v>
      </c>
      <c r="D77" s="16">
        <f>IFERROR('Cash Flow Data'!F11,0)</f>
        <v>-4308</v>
      </c>
      <c r="E77" s="16">
        <f>IFERROR('Cash Flow Data'!G11,0)</f>
        <v>-4194</v>
      </c>
      <c r="F77" s="16">
        <f>IFERROR('Cash Flow Data'!H11,0)</f>
        <v>-2040</v>
      </c>
      <c r="G77" s="16">
        <f>IFERROR('Cash Flow Data'!I11,0)</f>
        <v>-1895</v>
      </c>
      <c r="H77" s="16">
        <f>IFERROR('Cash Flow Data'!J11,0)</f>
        <v>-3021</v>
      </c>
      <c r="I77" s="16">
        <f>IFERROR('Cash Flow Data'!K11,0)</f>
        <v>-2659</v>
      </c>
      <c r="J77" s="16">
        <f>IFERROR('Cash Flow Data'!L11,0)</f>
        <v>-1785</v>
      </c>
      <c r="K77" s="16">
        <f>IFERROR('Cash Flow Data'!M11,0)</f>
        <v>-2105</v>
      </c>
      <c r="L77" s="16">
        <f>IFERROR('Cash Flow Data'!N11,0)</f>
        <v>-1910</v>
      </c>
    </row>
    <row r="78" spans="1:13" x14ac:dyDescent="0.3">
      <c r="B78" s="15" t="s">
        <v>119</v>
      </c>
      <c r="C78" s="28">
        <f>SUM(C70:C77)</f>
        <v>22159</v>
      </c>
      <c r="D78" s="28">
        <f t="shared" ref="D78:L78" si="22">SUM(D70:D77)</f>
        <v>40308</v>
      </c>
      <c r="E78" s="28">
        <f t="shared" si="22"/>
        <v>31860</v>
      </c>
      <c r="F78" s="28">
        <f t="shared" si="22"/>
        <v>39212</v>
      </c>
      <c r="G78" s="28">
        <f t="shared" si="22"/>
        <v>33454</v>
      </c>
      <c r="H78" s="28">
        <f t="shared" si="22"/>
        <v>17423</v>
      </c>
      <c r="I78" s="28">
        <f t="shared" si="22"/>
        <v>11671</v>
      </c>
      <c r="J78" s="28">
        <f t="shared" si="22"/>
        <v>31698</v>
      </c>
      <c r="K78" s="28">
        <f t="shared" si="22"/>
        <v>28907</v>
      </c>
      <c r="L78" s="28">
        <f t="shared" si="22"/>
        <v>3808</v>
      </c>
    </row>
    <row r="80" spans="1:13" x14ac:dyDescent="0.3">
      <c r="B80" s="15" t="s">
        <v>121</v>
      </c>
    </row>
    <row r="81" spans="2:12" x14ac:dyDescent="0.3">
      <c r="B81" t="s">
        <v>94</v>
      </c>
      <c r="C81" s="16">
        <f>IFERROR('Cash Flow Data'!E13,0)</f>
        <v>-18863</v>
      </c>
      <c r="D81" s="16">
        <f>IFERROR('Cash Flow Data'!F13,0)</f>
        <v>-26975</v>
      </c>
      <c r="E81" s="16">
        <f>IFERROR('Cash Flow Data'!G13,0)</f>
        <v>-31962</v>
      </c>
      <c r="F81" s="16">
        <f>IFERROR('Cash Flow Data'!H13,0)</f>
        <v>-31503</v>
      </c>
      <c r="G81" s="16">
        <f>IFERROR('Cash Flow Data'!I13,0)</f>
        <v>-16072</v>
      </c>
      <c r="H81" s="16">
        <f>IFERROR('Cash Flow Data'!J13,0)</f>
        <v>-35079</v>
      </c>
      <c r="I81" s="16">
        <f>IFERROR('Cash Flow Data'!K13,0)</f>
        <v>-35304</v>
      </c>
      <c r="J81" s="16">
        <f>IFERROR('Cash Flow Data'!L13,0)</f>
        <v>-29702</v>
      </c>
      <c r="K81" s="16">
        <f>IFERROR('Cash Flow Data'!M13,0)</f>
        <v>-20205</v>
      </c>
      <c r="L81" s="16">
        <f>IFERROR('Cash Flow Data'!N13,0)</f>
        <v>-15168</v>
      </c>
    </row>
    <row r="82" spans="2:12" x14ac:dyDescent="0.3">
      <c r="B82" t="s">
        <v>95</v>
      </c>
      <c r="C82" s="16">
        <f>IFERROR('Cash Flow Data'!E14,0)</f>
        <v>37</v>
      </c>
      <c r="D82" s="16">
        <f>IFERROR('Cash Flow Data'!F14,0)</f>
        <v>50</v>
      </c>
      <c r="E82" s="16">
        <f>IFERROR('Cash Flow Data'!G14,0)</f>
        <v>74</v>
      </c>
      <c r="F82" s="16">
        <f>IFERROR('Cash Flow Data'!H14,0)</f>
        <v>59</v>
      </c>
      <c r="G82" s="16">
        <f>IFERROR('Cash Flow Data'!I14,0)</f>
        <v>53</v>
      </c>
      <c r="H82" s="16">
        <f>IFERROR('Cash Flow Data'!J14,0)</f>
        <v>30</v>
      </c>
      <c r="I82" s="16">
        <f>IFERROR('Cash Flow Data'!K14,0)</f>
        <v>67</v>
      </c>
      <c r="J82" s="16">
        <f>IFERROR('Cash Flow Data'!L14,0)</f>
        <v>171</v>
      </c>
      <c r="K82" s="16">
        <f>IFERROR('Cash Flow Data'!M14,0)</f>
        <v>351</v>
      </c>
      <c r="L82" s="16">
        <f>IFERROR('Cash Flow Data'!N14,0)</f>
        <v>230</v>
      </c>
    </row>
    <row r="83" spans="2:12" x14ac:dyDescent="0.3">
      <c r="B83" t="s">
        <v>96</v>
      </c>
      <c r="C83" s="16">
        <f>IFERROR('Cash Flow Data'!E15,0)</f>
        <v>73</v>
      </c>
      <c r="D83" s="16">
        <f>IFERROR('Cash Flow Data'!F15,0)</f>
        <v>-429</v>
      </c>
      <c r="E83" s="16">
        <f>IFERROR('Cash Flow Data'!G15,0)</f>
        <v>-5461</v>
      </c>
      <c r="F83" s="16">
        <f>IFERROR('Cash Flow Data'!H15,0)</f>
        <v>-4728</v>
      </c>
      <c r="G83" s="16">
        <f>IFERROR('Cash Flow Data'!I15,0)</f>
        <v>-6</v>
      </c>
      <c r="H83" s="16">
        <f>IFERROR('Cash Flow Data'!J15,0)</f>
        <v>-329</v>
      </c>
      <c r="I83" s="16">
        <f>IFERROR('Cash Flow Data'!K15,0)</f>
        <v>-130</v>
      </c>
      <c r="J83" s="16">
        <f>IFERROR('Cash Flow Data'!L15,0)</f>
        <v>-1439</v>
      </c>
      <c r="K83" s="16">
        <f>IFERROR('Cash Flow Data'!M15,0)</f>
        <v>-7530</v>
      </c>
      <c r="L83" s="16">
        <f>IFERROR('Cash Flow Data'!N15,0)</f>
        <v>-3008</v>
      </c>
    </row>
    <row r="84" spans="2:12" x14ac:dyDescent="0.3">
      <c r="B84" t="s">
        <v>97</v>
      </c>
      <c r="C84" s="16">
        <f>IFERROR('Cash Flow Data'!E16,0)</f>
        <v>34</v>
      </c>
      <c r="D84" s="16">
        <f>IFERROR('Cash Flow Data'!F16,0)</f>
        <v>4</v>
      </c>
      <c r="E84" s="16">
        <f>IFERROR('Cash Flow Data'!G16,0)</f>
        <v>42</v>
      </c>
      <c r="F84" s="16">
        <f>IFERROR('Cash Flow Data'!H16,0)</f>
        <v>89</v>
      </c>
      <c r="G84" s="16">
        <f>IFERROR('Cash Flow Data'!I16,0)</f>
        <v>1965</v>
      </c>
      <c r="H84" s="16">
        <f>IFERROR('Cash Flow Data'!J16,0)</f>
        <v>2381</v>
      </c>
      <c r="I84" s="16">
        <f>IFERROR('Cash Flow Data'!K16,0)</f>
        <v>5644</v>
      </c>
      <c r="J84" s="16">
        <f>IFERROR('Cash Flow Data'!L16,0)</f>
        <v>21</v>
      </c>
      <c r="K84" s="16">
        <f>IFERROR('Cash Flow Data'!M16,0)</f>
        <v>226</v>
      </c>
      <c r="L84" s="16">
        <f>IFERROR('Cash Flow Data'!N16,0)</f>
        <v>104</v>
      </c>
    </row>
    <row r="85" spans="2:12" x14ac:dyDescent="0.3">
      <c r="B85" t="s">
        <v>98</v>
      </c>
      <c r="C85" s="16">
        <f>IFERROR('Cash Flow Data'!E17,0)</f>
        <v>713</v>
      </c>
      <c r="D85" s="16">
        <f>IFERROR('Cash Flow Data'!F17,0)</f>
        <v>653</v>
      </c>
      <c r="E85" s="16">
        <f>IFERROR('Cash Flow Data'!G17,0)</f>
        <v>698</v>
      </c>
      <c r="F85" s="16">
        <f>IFERROR('Cash Flow Data'!H17,0)</f>
        <v>731</v>
      </c>
      <c r="G85" s="16">
        <f>IFERROR('Cash Flow Data'!I17,0)</f>
        <v>638</v>
      </c>
      <c r="H85" s="16">
        <f>IFERROR('Cash Flow Data'!J17,0)</f>
        <v>690</v>
      </c>
      <c r="I85" s="16">
        <f>IFERROR('Cash Flow Data'!K17,0)</f>
        <v>761</v>
      </c>
      <c r="J85" s="16">
        <f>IFERROR('Cash Flow Data'!L17,0)</f>
        <v>1104</v>
      </c>
      <c r="K85" s="16">
        <f>IFERROR('Cash Flow Data'!M17,0)</f>
        <v>428</v>
      </c>
      <c r="L85" s="16">
        <f>IFERROR('Cash Flow Data'!N17,0)</f>
        <v>653</v>
      </c>
    </row>
    <row r="86" spans="2:12" x14ac:dyDescent="0.3">
      <c r="B86" t="s">
        <v>99</v>
      </c>
      <c r="C86" s="16">
        <f>IFERROR('Cash Flow Data'!E18,0)</f>
        <v>95</v>
      </c>
      <c r="D86" s="16">
        <f>IFERROR('Cash Flow Data'!F18,0)</f>
        <v>40</v>
      </c>
      <c r="E86" s="16">
        <f>IFERROR('Cash Flow Data'!G18,0)</f>
        <v>80</v>
      </c>
      <c r="F86" s="16">
        <f>IFERROR('Cash Flow Data'!H18,0)</f>
        <v>58</v>
      </c>
      <c r="G86" s="16">
        <f>IFERROR('Cash Flow Data'!I18,0)</f>
        <v>620</v>
      </c>
      <c r="H86" s="16">
        <f>IFERROR('Cash Flow Data'!J18,0)</f>
        <v>1797</v>
      </c>
      <c r="I86" s="16">
        <f>IFERROR('Cash Flow Data'!K18,0)</f>
        <v>232</v>
      </c>
      <c r="J86" s="16">
        <f>IFERROR('Cash Flow Data'!L18,0)</f>
        <v>21</v>
      </c>
      <c r="K86" s="16">
        <f>IFERROR('Cash Flow Data'!M18,0)</f>
        <v>18</v>
      </c>
      <c r="L86" s="16">
        <f>IFERROR('Cash Flow Data'!N18,0)</f>
        <v>32</v>
      </c>
    </row>
    <row r="87" spans="2:12" x14ac:dyDescent="0.3">
      <c r="B87" t="s">
        <v>100</v>
      </c>
      <c r="C87" s="16">
        <f>IFERROR('Cash Flow Data'!E19,0)</f>
        <v>0</v>
      </c>
      <c r="D87" s="16">
        <f>IFERROR('Cash Flow Data'!F19,0)</f>
        <v>0</v>
      </c>
      <c r="E87" s="16">
        <f>IFERROR('Cash Flow Data'!G19,0)</f>
        <v>0</v>
      </c>
      <c r="F87" s="16">
        <f>IFERROR('Cash Flow Data'!H19,0)</f>
        <v>0</v>
      </c>
      <c r="G87" s="16">
        <f>IFERROR('Cash Flow Data'!I19,0)</f>
        <v>0</v>
      </c>
      <c r="H87" s="16">
        <f>IFERROR('Cash Flow Data'!J19,0)</f>
        <v>0</v>
      </c>
      <c r="I87" s="16">
        <f>IFERROR('Cash Flow Data'!K19,0)</f>
        <v>0</v>
      </c>
      <c r="J87" s="16">
        <f>IFERROR('Cash Flow Data'!L19,0)</f>
        <v>0</v>
      </c>
      <c r="K87" s="16">
        <f>IFERROR('Cash Flow Data'!M19,0)</f>
        <v>0</v>
      </c>
      <c r="L87" s="16">
        <f>IFERROR('Cash Flow Data'!N19,0)</f>
        <v>0</v>
      </c>
    </row>
    <row r="88" spans="2:12" x14ac:dyDescent="0.3">
      <c r="B88" t="s">
        <v>101</v>
      </c>
      <c r="C88" s="16">
        <f>IFERROR('Cash Flow Data'!E20,0)</f>
        <v>0</v>
      </c>
      <c r="D88" s="16">
        <f>IFERROR('Cash Flow Data'!F20,0)</f>
        <v>0</v>
      </c>
      <c r="E88" s="16">
        <f>IFERROR('Cash Flow Data'!G20,0)</f>
        <v>-160</v>
      </c>
      <c r="F88" s="16">
        <f>IFERROR('Cash Flow Data'!H20,0)</f>
        <v>0</v>
      </c>
      <c r="G88" s="16">
        <f>IFERROR('Cash Flow Data'!I20,0)</f>
        <v>-107</v>
      </c>
      <c r="H88" s="16">
        <f>IFERROR('Cash Flow Data'!J20,0)</f>
        <v>-4</v>
      </c>
      <c r="I88" s="16">
        <f>IFERROR('Cash Flow Data'!K20,0)</f>
        <v>-9</v>
      </c>
      <c r="J88" s="16">
        <f>IFERROR('Cash Flow Data'!L20,0)</f>
        <v>-606</v>
      </c>
      <c r="K88" s="16">
        <f>IFERROR('Cash Flow Data'!M20,0)</f>
        <v>-10</v>
      </c>
      <c r="L88" s="16">
        <f>IFERROR('Cash Flow Data'!N20,0)</f>
        <v>0</v>
      </c>
    </row>
    <row r="89" spans="2:12" x14ac:dyDescent="0.3">
      <c r="B89" t="s">
        <v>102</v>
      </c>
      <c r="C89" s="16">
        <f>IFERROR('Cash Flow Data'!E21,0)</f>
        <v>0</v>
      </c>
      <c r="D89" s="16">
        <f>IFERROR('Cash Flow Data'!F21,0)</f>
        <v>0</v>
      </c>
      <c r="E89" s="16">
        <f>IFERROR('Cash Flow Data'!G21,0)</f>
        <v>0</v>
      </c>
      <c r="F89" s="16">
        <f>IFERROR('Cash Flow Data'!H21,0)</f>
        <v>0</v>
      </c>
      <c r="G89" s="16">
        <f>IFERROR('Cash Flow Data'!I21,0)</f>
        <v>0</v>
      </c>
      <c r="H89" s="16">
        <f>IFERROR('Cash Flow Data'!J21,0)</f>
        <v>14</v>
      </c>
      <c r="I89" s="16">
        <f>IFERROR('Cash Flow Data'!K21,0)</f>
        <v>533</v>
      </c>
      <c r="J89" s="16">
        <f>IFERROR('Cash Flow Data'!L21,0)</f>
        <v>0</v>
      </c>
      <c r="K89" s="16">
        <f>IFERROR('Cash Flow Data'!M21,0)</f>
        <v>0</v>
      </c>
      <c r="L89" s="16">
        <f>IFERROR('Cash Flow Data'!N21,0)</f>
        <v>0</v>
      </c>
    </row>
    <row r="90" spans="2:12" x14ac:dyDescent="0.3">
      <c r="B90" t="s">
        <v>103</v>
      </c>
      <c r="C90" s="16">
        <f>IFERROR('Cash Flow Data'!E22,0)</f>
        <v>0</v>
      </c>
      <c r="D90" s="16">
        <f>IFERROR('Cash Flow Data'!F22,0)</f>
        <v>-185</v>
      </c>
      <c r="E90" s="16">
        <f>IFERROR('Cash Flow Data'!G22,0)</f>
        <v>0</v>
      </c>
      <c r="F90" s="16">
        <f>IFERROR('Cash Flow Data'!H22,0)</f>
        <v>-111</v>
      </c>
      <c r="G90" s="16">
        <f>IFERROR('Cash Flow Data'!I22,0)</f>
        <v>0</v>
      </c>
      <c r="H90" s="16">
        <f>IFERROR('Cash Flow Data'!J22,0)</f>
        <v>0</v>
      </c>
      <c r="I90" s="16">
        <f>IFERROR('Cash Flow Data'!K22,0)</f>
        <v>-8</v>
      </c>
      <c r="J90" s="16">
        <f>IFERROR('Cash Flow Data'!L22,0)</f>
        <v>-27</v>
      </c>
      <c r="K90" s="16">
        <f>IFERROR('Cash Flow Data'!M22,0)</f>
        <v>0</v>
      </c>
      <c r="L90" s="16">
        <f>IFERROR('Cash Flow Data'!N22,0)</f>
        <v>-98</v>
      </c>
    </row>
    <row r="91" spans="2:12" x14ac:dyDescent="0.3">
      <c r="B91" t="s">
        <v>104</v>
      </c>
      <c r="C91" s="16">
        <f>IFERROR('Cash Flow Data'!E23,0)</f>
        <v>45</v>
      </c>
      <c r="D91" s="16">
        <f>IFERROR('Cash Flow Data'!F23,0)</f>
        <v>0</v>
      </c>
      <c r="E91" s="16">
        <f>IFERROR('Cash Flow Data'!G23,0)</f>
        <v>0</v>
      </c>
      <c r="F91" s="16">
        <f>IFERROR('Cash Flow Data'!H23,0)</f>
        <v>0</v>
      </c>
      <c r="G91" s="16">
        <f>IFERROR('Cash Flow Data'!I23,0)</f>
        <v>0</v>
      </c>
      <c r="H91" s="16">
        <f>IFERROR('Cash Flow Data'!J23,0)</f>
        <v>0</v>
      </c>
      <c r="I91" s="16">
        <f>IFERROR('Cash Flow Data'!K23,0)</f>
        <v>0</v>
      </c>
      <c r="J91" s="16">
        <f>IFERROR('Cash Flow Data'!L23,0)</f>
        <v>0</v>
      </c>
      <c r="K91" s="16">
        <f>IFERROR('Cash Flow Data'!M23,0)</f>
        <v>0</v>
      </c>
      <c r="L91" s="16">
        <f>IFERROR('Cash Flow Data'!N23,0)</f>
        <v>0</v>
      </c>
    </row>
    <row r="92" spans="2:12" x14ac:dyDescent="0.3">
      <c r="B92" t="s">
        <v>105</v>
      </c>
      <c r="C92" s="16">
        <f>IFERROR('Cash Flow Data'!E24,0)</f>
        <v>-5103</v>
      </c>
      <c r="D92" s="16">
        <f>IFERROR('Cash Flow Data'!F24,0)</f>
        <v>-1149</v>
      </c>
      <c r="E92" s="16">
        <f>IFERROR('Cash Flow Data'!G24,0)</f>
        <v>456</v>
      </c>
      <c r="F92" s="16">
        <f>IFERROR('Cash Flow Data'!H24,0)</f>
        <v>-1289</v>
      </c>
      <c r="G92" s="16">
        <f>IFERROR('Cash Flow Data'!I24,0)</f>
        <v>-26663</v>
      </c>
      <c r="H92" s="16">
        <f>IFERROR('Cash Flow Data'!J24,0)</f>
        <v>5360</v>
      </c>
      <c r="I92" s="16">
        <f>IFERROR('Cash Flow Data'!K24,0)</f>
        <v>7335</v>
      </c>
      <c r="J92" s="16">
        <f>IFERROR('Cash Flow Data'!L24,0)</f>
        <v>-2659</v>
      </c>
      <c r="K92" s="16">
        <f>IFERROR('Cash Flow Data'!M24,0)</f>
        <v>1051</v>
      </c>
      <c r="L92" s="16">
        <f>IFERROR('Cash Flow Data'!N24,0)</f>
        <v>12813</v>
      </c>
    </row>
    <row r="93" spans="2:12" x14ac:dyDescent="0.3">
      <c r="B93" s="15" t="s">
        <v>122</v>
      </c>
      <c r="C93" s="16">
        <f>SUM(C81:C92)</f>
        <v>-22969</v>
      </c>
      <c r="D93" s="16">
        <f t="shared" ref="D93:L93" si="23">SUM(D81:D92)</f>
        <v>-27991</v>
      </c>
      <c r="E93" s="16">
        <f t="shared" si="23"/>
        <v>-36233</v>
      </c>
      <c r="F93" s="16">
        <f t="shared" si="23"/>
        <v>-36694</v>
      </c>
      <c r="G93" s="16">
        <f t="shared" si="23"/>
        <v>-39572</v>
      </c>
      <c r="H93" s="16">
        <f t="shared" si="23"/>
        <v>-25140</v>
      </c>
      <c r="I93" s="16">
        <f t="shared" si="23"/>
        <v>-20879</v>
      </c>
      <c r="J93" s="16">
        <f t="shared" si="23"/>
        <v>-33116</v>
      </c>
      <c r="K93" s="16">
        <f t="shared" si="23"/>
        <v>-25671</v>
      </c>
      <c r="L93" s="16">
        <f t="shared" si="23"/>
        <v>-4442</v>
      </c>
    </row>
    <row r="95" spans="2:12" x14ac:dyDescent="0.3">
      <c r="B95" s="15" t="s">
        <v>123</v>
      </c>
    </row>
    <row r="96" spans="2:12" x14ac:dyDescent="0.3">
      <c r="B96" t="s">
        <v>106</v>
      </c>
      <c r="C96" s="16">
        <f>IFERROR('Cash Flow Data'!E26,0)</f>
        <v>1</v>
      </c>
      <c r="D96" s="16">
        <f>IFERROR('Cash Flow Data'!F26,0)</f>
        <v>0</v>
      </c>
      <c r="E96" s="16">
        <f>IFERROR('Cash Flow Data'!G26,0)</f>
        <v>0</v>
      </c>
      <c r="F96" s="16">
        <f>IFERROR('Cash Flow Data'!H26,0)</f>
        <v>7433</v>
      </c>
      <c r="G96" s="16">
        <f>IFERROR('Cash Flow Data'!I26,0)</f>
        <v>5</v>
      </c>
      <c r="H96" s="16">
        <f>IFERROR('Cash Flow Data'!J26,0)</f>
        <v>0</v>
      </c>
      <c r="I96" s="16">
        <f>IFERROR('Cash Flow Data'!K26,0)</f>
        <v>0</v>
      </c>
      <c r="J96" s="16">
        <f>IFERROR('Cash Flow Data'!L26,0)</f>
        <v>3889</v>
      </c>
      <c r="K96" s="16">
        <f>IFERROR('Cash Flow Data'!M26,0)</f>
        <v>2603</v>
      </c>
      <c r="L96" s="16">
        <f>IFERROR('Cash Flow Data'!N26,0)</f>
        <v>19</v>
      </c>
    </row>
    <row r="97" spans="2:12" x14ac:dyDescent="0.3">
      <c r="B97" t="s">
        <v>107</v>
      </c>
      <c r="C97" s="16">
        <f>IFERROR('Cash Flow Data'!E27,0)</f>
        <v>-97</v>
      </c>
      <c r="D97" s="16">
        <f>IFERROR('Cash Flow Data'!F27,0)</f>
        <v>-658</v>
      </c>
      <c r="E97" s="16">
        <f>IFERROR('Cash Flow Data'!G27,0)</f>
        <v>-744</v>
      </c>
      <c r="F97" s="16">
        <f>IFERROR('Cash Flow Data'!H27,0)</f>
        <v>0</v>
      </c>
      <c r="G97" s="16">
        <f>IFERROR('Cash Flow Data'!I27,0)</f>
        <v>0</v>
      </c>
      <c r="H97" s="16">
        <f>IFERROR('Cash Flow Data'!J27,0)</f>
        <v>0</v>
      </c>
      <c r="I97" s="16">
        <f>IFERROR('Cash Flow Data'!K27,0)</f>
        <v>0</v>
      </c>
      <c r="J97" s="16">
        <f>IFERROR('Cash Flow Data'!L27,0)</f>
        <v>0</v>
      </c>
      <c r="K97" s="16">
        <f>IFERROR('Cash Flow Data'!M27,0)</f>
        <v>0</v>
      </c>
      <c r="L97" s="16">
        <f>IFERROR('Cash Flow Data'!N27,0)</f>
        <v>0</v>
      </c>
    </row>
    <row r="98" spans="2:12" x14ac:dyDescent="0.3">
      <c r="B98" t="s">
        <v>108</v>
      </c>
      <c r="C98" s="16">
        <f>IFERROR('Cash Flow Data'!E28,0)</f>
        <v>27863</v>
      </c>
      <c r="D98" s="16">
        <f>IFERROR('Cash Flow Data'!F28,0)</f>
        <v>33258</v>
      </c>
      <c r="E98" s="16">
        <f>IFERROR('Cash Flow Data'!G28,0)</f>
        <v>36363</v>
      </c>
      <c r="F98" s="16">
        <f>IFERROR('Cash Flow Data'!H28,0)</f>
        <v>19519</v>
      </c>
      <c r="G98" s="16">
        <f>IFERROR('Cash Flow Data'!I28,0)</f>
        <v>33390</v>
      </c>
      <c r="H98" s="16">
        <f>IFERROR('Cash Flow Data'!J28,0)</f>
        <v>37482</v>
      </c>
      <c r="I98" s="16">
        <f>IFERROR('Cash Flow Data'!K28,0)</f>
        <v>51128</v>
      </c>
      <c r="J98" s="16">
        <f>IFERROR('Cash Flow Data'!L28,0)</f>
        <v>38297</v>
      </c>
      <c r="K98" s="16">
        <f>IFERROR('Cash Flow Data'!M28,0)</f>
        <v>46641</v>
      </c>
      <c r="L98" s="16">
        <f>IFERROR('Cash Flow Data'!N28,0)</f>
        <v>46578</v>
      </c>
    </row>
    <row r="99" spans="2:12" x14ac:dyDescent="0.3">
      <c r="B99" t="s">
        <v>109</v>
      </c>
      <c r="C99" s="16">
        <f>IFERROR('Cash Flow Data'!E29,0)</f>
        <v>-20395</v>
      </c>
      <c r="D99" s="16">
        <f>IFERROR('Cash Flow Data'!F29,0)</f>
        <v>-29141</v>
      </c>
      <c r="E99" s="16">
        <f>IFERROR('Cash Flow Data'!G29,0)</f>
        <v>-23332</v>
      </c>
      <c r="F99" s="16">
        <f>IFERROR('Cash Flow Data'!H29,0)</f>
        <v>-24924</v>
      </c>
      <c r="G99" s="16">
        <f>IFERROR('Cash Flow Data'!I29,0)</f>
        <v>-21732</v>
      </c>
      <c r="H99" s="16">
        <f>IFERROR('Cash Flow Data'!J29,0)</f>
        <v>-29964</v>
      </c>
      <c r="I99" s="16">
        <f>IFERROR('Cash Flow Data'!K29,0)</f>
        <v>-35198</v>
      </c>
      <c r="J99" s="16">
        <f>IFERROR('Cash Flow Data'!L29,0)</f>
        <v>-29847</v>
      </c>
      <c r="K99" s="16">
        <f>IFERROR('Cash Flow Data'!M29,0)</f>
        <v>-29709</v>
      </c>
      <c r="L99" s="16">
        <f>IFERROR('Cash Flow Data'!N29,0)</f>
        <v>-42816</v>
      </c>
    </row>
    <row r="100" spans="2:12" x14ac:dyDescent="0.3">
      <c r="B100" t="s">
        <v>110</v>
      </c>
      <c r="C100" s="16">
        <f>IFERROR('Cash Flow Data'!E30,0)</f>
        <v>0</v>
      </c>
      <c r="D100" s="16">
        <f>IFERROR('Cash Flow Data'!F30,0)</f>
        <v>0</v>
      </c>
      <c r="E100" s="16">
        <f>IFERROR('Cash Flow Data'!G30,0)</f>
        <v>0</v>
      </c>
      <c r="F100" s="16">
        <f>IFERROR('Cash Flow Data'!H30,0)</f>
        <v>0</v>
      </c>
      <c r="G100" s="16">
        <f>IFERROR('Cash Flow Data'!I30,0)</f>
        <v>0</v>
      </c>
      <c r="H100" s="16">
        <f>IFERROR('Cash Flow Data'!J30,0)</f>
        <v>0</v>
      </c>
      <c r="I100" s="16">
        <f>IFERROR('Cash Flow Data'!K30,0)</f>
        <v>0</v>
      </c>
      <c r="J100" s="16">
        <f>IFERROR('Cash Flow Data'!L30,0)</f>
        <v>0</v>
      </c>
      <c r="K100" s="16">
        <f>IFERROR('Cash Flow Data'!M30,0)</f>
        <v>0</v>
      </c>
      <c r="L100" s="16">
        <f>IFERROR('Cash Flow Data'!N30,0)</f>
        <v>0</v>
      </c>
    </row>
    <row r="101" spans="2:12" x14ac:dyDescent="0.3">
      <c r="B101" t="s">
        <v>111</v>
      </c>
      <c r="C101" s="16">
        <f>IFERROR('Cash Flow Data'!E31,0)</f>
        <v>-4666</v>
      </c>
      <c r="D101" s="16">
        <f>IFERROR('Cash Flow Data'!F31,0)</f>
        <v>-6171</v>
      </c>
      <c r="E101" s="16">
        <f>IFERROR('Cash Flow Data'!G31,0)</f>
        <v>-6307</v>
      </c>
      <c r="F101" s="16">
        <f>IFERROR('Cash Flow Data'!H31,0)</f>
        <v>-5716</v>
      </c>
      <c r="G101" s="16">
        <f>IFERROR('Cash Flow Data'!I31,0)</f>
        <v>-5336</v>
      </c>
      <c r="H101" s="16">
        <f>IFERROR('Cash Flow Data'!J31,0)</f>
        <v>-5411</v>
      </c>
      <c r="I101" s="16">
        <f>IFERROR('Cash Flow Data'!K31,0)</f>
        <v>-7005</v>
      </c>
      <c r="J101" s="16">
        <f>IFERROR('Cash Flow Data'!L31,0)</f>
        <v>-7518</v>
      </c>
      <c r="K101" s="16">
        <f>IFERROR('Cash Flow Data'!M31,0)</f>
        <v>-8123</v>
      </c>
      <c r="L101" s="16">
        <f>IFERROR('Cash Flow Data'!N31,0)</f>
        <v>-9251</v>
      </c>
    </row>
    <row r="102" spans="2:12" x14ac:dyDescent="0.3">
      <c r="B102" t="s">
        <v>112</v>
      </c>
      <c r="C102" s="16">
        <f>IFERROR('Cash Flow Data'!E32,0)</f>
        <v>-1551</v>
      </c>
      <c r="D102" s="16">
        <f>IFERROR('Cash Flow Data'!F32,0)</f>
        <v>-722</v>
      </c>
      <c r="E102" s="16">
        <f>IFERROR('Cash Flow Data'!G32,0)</f>
        <v>-720</v>
      </c>
      <c r="F102" s="16">
        <f>IFERROR('Cash Flow Data'!H32,0)</f>
        <v>-108</v>
      </c>
      <c r="G102" s="16">
        <f>IFERROR('Cash Flow Data'!I32,0)</f>
        <v>-121</v>
      </c>
      <c r="H102" s="16">
        <f>IFERROR('Cash Flow Data'!J32,0)</f>
        <v>-96</v>
      </c>
      <c r="I102" s="16">
        <f>IFERROR('Cash Flow Data'!K32,0)</f>
        <v>-95</v>
      </c>
      <c r="J102" s="16">
        <f>IFERROR('Cash Flow Data'!L32,0)</f>
        <v>-57</v>
      </c>
      <c r="K102" s="16">
        <f>IFERROR('Cash Flow Data'!M32,0)</f>
        <v>-30</v>
      </c>
      <c r="L102" s="16">
        <f>IFERROR('Cash Flow Data'!N32,0)</f>
        <v>-100</v>
      </c>
    </row>
    <row r="103" spans="2:12" x14ac:dyDescent="0.3">
      <c r="B103" t="s">
        <v>113</v>
      </c>
      <c r="C103" s="16">
        <f>IFERROR('Cash Flow Data'!E33,0)</f>
        <v>0</v>
      </c>
      <c r="D103" s="16">
        <f>IFERROR('Cash Flow Data'!F33,0)</f>
        <v>0</v>
      </c>
      <c r="E103" s="16">
        <f>IFERROR('Cash Flow Data'!G33,0)</f>
        <v>0</v>
      </c>
      <c r="F103" s="16">
        <f>IFERROR('Cash Flow Data'!H33,0)</f>
        <v>0</v>
      </c>
      <c r="G103" s="16">
        <f>IFERROR('Cash Flow Data'!I33,0)</f>
        <v>0</v>
      </c>
      <c r="H103" s="16">
        <f>IFERROR('Cash Flow Data'!J33,0)</f>
        <v>0</v>
      </c>
      <c r="I103" s="16">
        <f>IFERROR('Cash Flow Data'!K33,0)</f>
        <v>0</v>
      </c>
      <c r="J103" s="16">
        <f>IFERROR('Cash Flow Data'!L33,0)</f>
        <v>-1346</v>
      </c>
      <c r="K103" s="16">
        <f>IFERROR('Cash Flow Data'!M33,0)</f>
        <v>-1477</v>
      </c>
      <c r="L103" s="16">
        <f>IFERROR('Cash Flow Data'!N33,0)</f>
        <v>-1559</v>
      </c>
    </row>
    <row r="104" spans="2:12" x14ac:dyDescent="0.3">
      <c r="B104" t="s">
        <v>114</v>
      </c>
      <c r="C104" s="16">
        <f>IFERROR('Cash Flow Data'!E34,0)</f>
        <v>-2849</v>
      </c>
      <c r="D104" s="16">
        <f>IFERROR('Cash Flow Data'!F34,0)</f>
        <v>-450</v>
      </c>
      <c r="E104" s="16">
        <f>IFERROR('Cash Flow Data'!G34,0)</f>
        <v>-57</v>
      </c>
      <c r="F104" s="16">
        <f>IFERROR('Cash Flow Data'!H34,0)</f>
        <v>0</v>
      </c>
      <c r="G104" s="16">
        <f>IFERROR('Cash Flow Data'!I34,0)</f>
        <v>0</v>
      </c>
      <c r="H104" s="16">
        <f>IFERROR('Cash Flow Data'!J34,0)</f>
        <v>0</v>
      </c>
      <c r="I104" s="16">
        <f>IFERROR('Cash Flow Data'!K34,0)</f>
        <v>0</v>
      </c>
      <c r="J104" s="16">
        <f>IFERROR('Cash Flow Data'!L34,0)</f>
        <v>-29</v>
      </c>
      <c r="K104" s="16">
        <f>IFERROR('Cash Flow Data'!M34,0)</f>
        <v>0</v>
      </c>
      <c r="L104" s="16">
        <f>IFERROR('Cash Flow Data'!N34,0)</f>
        <v>3750</v>
      </c>
    </row>
    <row r="105" spans="2:12" x14ac:dyDescent="0.3">
      <c r="B105" s="15" t="s">
        <v>124</v>
      </c>
      <c r="C105" s="28">
        <f>SUM(C96:C104)</f>
        <v>-1694</v>
      </c>
      <c r="D105" s="28">
        <f t="shared" ref="D105:L105" si="24">SUM(D96:D104)</f>
        <v>-3884</v>
      </c>
      <c r="E105" s="28">
        <f t="shared" si="24"/>
        <v>5203</v>
      </c>
      <c r="F105" s="28">
        <f t="shared" si="24"/>
        <v>-3796</v>
      </c>
      <c r="G105" s="28">
        <f t="shared" si="24"/>
        <v>6206</v>
      </c>
      <c r="H105" s="28">
        <f t="shared" si="24"/>
        <v>2011</v>
      </c>
      <c r="I105" s="28">
        <f t="shared" si="24"/>
        <v>8830</v>
      </c>
      <c r="J105" s="28">
        <f t="shared" si="24"/>
        <v>3389</v>
      </c>
      <c r="K105" s="28">
        <f t="shared" si="24"/>
        <v>9905</v>
      </c>
      <c r="L105" s="28">
        <f t="shared" si="24"/>
        <v>-3379</v>
      </c>
    </row>
    <row r="107" spans="2:12" x14ac:dyDescent="0.3">
      <c r="B107" s="15" t="s">
        <v>52</v>
      </c>
      <c r="C107" s="28">
        <f>IFERROR(C78+C93+C105,0)</f>
        <v>-2504</v>
      </c>
      <c r="D107" s="28">
        <f t="shared" ref="D107:L107" si="25">IFERROR(D78+D93+D105,0)</f>
        <v>8433</v>
      </c>
      <c r="E107" s="28">
        <f t="shared" si="25"/>
        <v>830</v>
      </c>
      <c r="F107" s="28">
        <f t="shared" si="25"/>
        <v>-1278</v>
      </c>
      <c r="G107" s="28">
        <f t="shared" si="25"/>
        <v>88</v>
      </c>
      <c r="H107" s="28">
        <f t="shared" si="25"/>
        <v>-5706</v>
      </c>
      <c r="I107" s="28">
        <f t="shared" si="25"/>
        <v>-378</v>
      </c>
      <c r="J107" s="28">
        <f t="shared" si="25"/>
        <v>1971</v>
      </c>
      <c r="K107" s="28">
        <f t="shared" si="25"/>
        <v>13141</v>
      </c>
      <c r="L107" s="28">
        <f t="shared" si="25"/>
        <v>-4013</v>
      </c>
    </row>
  </sheetData>
  <mergeCells count="1">
    <mergeCell ref="B2:M2"/>
  </mergeCells>
  <pageMargins left="0.7" right="0.7" top="0.75" bottom="0.75" header="0.3" footer="0.3"/>
  <pageSetup scale="70" fitToHeight="0" orientation="landscape" r:id="rId1"/>
  <ignoredErrors>
    <ignoredError sqref="M6 M9 C15:L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5E3D-E491-4CCE-BB3A-4D0064113D4B}">
  <sheetPr>
    <pageSetUpPr fitToPage="1"/>
  </sheetPr>
  <dimension ref="A2:P40"/>
  <sheetViews>
    <sheetView showGridLines="0" workbookViewId="0">
      <selection activeCell="E30" sqref="E30"/>
    </sheetView>
  </sheetViews>
  <sheetFormatPr defaultRowHeight="14.4" x14ac:dyDescent="0.3"/>
  <cols>
    <col min="1" max="1" width="1.88671875" style="30" customWidth="1"/>
    <col min="2" max="2" width="23.88671875" bestFit="1" customWidth="1"/>
    <col min="3" max="5" width="10" bestFit="1" customWidth="1"/>
    <col min="6" max="6" width="9" bestFit="1" customWidth="1"/>
    <col min="7" max="7" width="10" bestFit="1" customWidth="1"/>
    <col min="8" max="12" width="9" bestFit="1" customWidth="1"/>
    <col min="14" max="15" width="10" bestFit="1" customWidth="1"/>
  </cols>
  <sheetData>
    <row r="2" spans="2:16" x14ac:dyDescent="0.3">
      <c r="B2" s="117" t="str">
        <f>"Financial Ratio -"&amp;'Data Sheet'!B1</f>
        <v>Financial Ratio -HINDUSTAN UNILEVER LTD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</row>
    <row r="3" spans="2:16" x14ac:dyDescent="0.3">
      <c r="B3" s="32" t="str">
        <f>HistoricalFS!B3</f>
        <v>Years</v>
      </c>
      <c r="C3" s="32">
        <f>HistoricalFS!C3</f>
        <v>42094</v>
      </c>
      <c r="D3" s="32">
        <f>HistoricalFS!D3</f>
        <v>42460</v>
      </c>
      <c r="E3" s="32">
        <f>HistoricalFS!E3</f>
        <v>42825</v>
      </c>
      <c r="F3" s="32">
        <f>HistoricalFS!F3</f>
        <v>43190</v>
      </c>
      <c r="G3" s="32">
        <f>HistoricalFS!G3</f>
        <v>43555</v>
      </c>
      <c r="H3" s="32">
        <f>HistoricalFS!H3</f>
        <v>43921</v>
      </c>
      <c r="I3" s="32">
        <f>HistoricalFS!I3</f>
        <v>44286</v>
      </c>
      <c r="J3" s="32">
        <f>HistoricalFS!J3</f>
        <v>44651</v>
      </c>
      <c r="K3" s="32">
        <f>HistoricalFS!K3</f>
        <v>45016</v>
      </c>
      <c r="L3" s="32">
        <f>HistoricalFS!L3</f>
        <v>45382</v>
      </c>
      <c r="M3" s="32" t="s">
        <v>158</v>
      </c>
      <c r="N3" s="32" t="s">
        <v>159</v>
      </c>
      <c r="O3" s="32" t="s">
        <v>160</v>
      </c>
      <c r="P3" s="11"/>
    </row>
    <row r="5" spans="2:16" x14ac:dyDescent="0.3">
      <c r="B5" t="s">
        <v>129</v>
      </c>
      <c r="D5" s="17">
        <f>IFERROR(HistoricalFS!D7,0)</f>
        <v>6.6873742461808217E-3</v>
      </c>
      <c r="E5" s="17">
        <f>IFERROR(HistoricalFS!E7,0)</f>
        <v>3.03237432424035E-2</v>
      </c>
      <c r="F5" s="17">
        <f>IFERROR(HistoricalFS!F7,0)</f>
        <v>7.1859357095470644E-2</v>
      </c>
      <c r="G5" s="17">
        <f>IFERROR(HistoricalFS!G7,0)</f>
        <v>0.1059220706147137</v>
      </c>
      <c r="H5" s="17">
        <f>IFERROR(HistoricalFS!H7,0)</f>
        <v>1.2032561689137689E-2</v>
      </c>
      <c r="I5" s="17">
        <f>IFERROR(HistoricalFS!I7,0)</f>
        <v>0.18211296282331646</v>
      </c>
      <c r="J5" s="17">
        <f>IFERROR(HistoricalFS!J7,0)</f>
        <v>0.11520796121459553</v>
      </c>
      <c r="K5" s="17">
        <f>IFERROR(HistoricalFS!K7,0)</f>
        <v>0.15509285741524614</v>
      </c>
      <c r="L5" s="17">
        <f>IFERROR(HistoricalFS!L7,0)</f>
        <v>2.1723341036645749E-2</v>
      </c>
      <c r="N5" s="34">
        <f>AVERAGE(D5:L5)</f>
        <v>7.7884692153078916E-2</v>
      </c>
      <c r="O5" s="34">
        <f>MEDIAN(D5:L5)</f>
        <v>7.1859357095470644E-2</v>
      </c>
    </row>
    <row r="6" spans="2:16" x14ac:dyDescent="0.3">
      <c r="B6" t="s">
        <v>130</v>
      </c>
      <c r="D6">
        <f>HistoricalFS!D18/HistoricalFS!C18-1</f>
        <v>9.1932998547784583E-2</v>
      </c>
      <c r="E6">
        <f>HistoricalFS!E18/HistoricalFS!D18-1</f>
        <v>7.0727580372250465E-2</v>
      </c>
      <c r="F6">
        <f>HistoricalFS!F18/HistoricalFS!E18-1</f>
        <v>0.1850505689001265</v>
      </c>
      <c r="G6">
        <f>HistoricalFS!G18/HistoricalFS!F18-1</f>
        <v>0.1841578877183625</v>
      </c>
      <c r="H6">
        <f>HistoricalFS!H18/HistoricalFS!G18-1</f>
        <v>0.11047297297297298</v>
      </c>
      <c r="I6">
        <f>HistoricalFS!I18/HistoricalFS!H18-1</f>
        <v>0.1789879322583916</v>
      </c>
      <c r="J6">
        <f>HistoricalFS!J18/HistoricalFS!I18-1</f>
        <v>0.10588336487183891</v>
      </c>
      <c r="K6">
        <f>HistoricalFS!K18/HistoricalFS!J18-1</f>
        <v>0.10033444816053505</v>
      </c>
      <c r="L6">
        <f>HistoricalFS!L18/HistoricalFS!K18-1</f>
        <v>3.6191418675337594E-2</v>
      </c>
      <c r="N6" s="34">
        <f>AVERAGE(D6:L6)</f>
        <v>0.11819324138640003</v>
      </c>
      <c r="O6" s="34">
        <f>MEDIAN(D6:L6)</f>
        <v>0.10588336487183891</v>
      </c>
    </row>
    <row r="7" spans="2:16" x14ac:dyDescent="0.3">
      <c r="B7" t="s">
        <v>131</v>
      </c>
      <c r="D7">
        <f>((HistoricalFS!D27+HistoricalFS!D21)/(HistoricalFS!C27+HistoricalFS!C21)-1)</f>
        <v>9.1742091893368016E-2</v>
      </c>
      <c r="E7">
        <f>((HistoricalFS!E27+HistoricalFS!E21)/(HistoricalFS!D27+HistoricalFS!D21)-1)</f>
        <v>6.1004138923879792E-2</v>
      </c>
      <c r="F7">
        <f>((HistoricalFS!F27+HistoricalFS!F21)/(HistoricalFS!E27+HistoricalFS!E21)-1)</f>
        <v>0.18368385345997296</v>
      </c>
      <c r="G7">
        <f>((HistoricalFS!G27+HistoricalFS!G21)/(HistoricalFS!F27+HistoricalFS!F21)-1)</f>
        <v>0.19143143716864874</v>
      </c>
      <c r="H7">
        <f>((HistoricalFS!H27+HistoricalFS!H21)/(HistoricalFS!G27+HistoricalFS!G21)-1)</f>
        <v>6.5423932651833994E-2</v>
      </c>
      <c r="I7">
        <f>((HistoricalFS!I27+HistoricalFS!I21)/(HistoricalFS!H27+HistoricalFS!H21)-1)</f>
        <v>0.19110509086804384</v>
      </c>
      <c r="J7">
        <f>((HistoricalFS!J27+HistoricalFS!J21)/(HistoricalFS!I27+HistoricalFS!I21)-1)</f>
        <v>0.11504927975739188</v>
      </c>
      <c r="K7">
        <f>((HistoricalFS!K27+HistoricalFS!K21)/(HistoricalFS!J27+HistoricalFS!J21)-1)</f>
        <v>0.10572836987931322</v>
      </c>
      <c r="L7">
        <f>((HistoricalFS!L27+HistoricalFS!L21)/(HistoricalFS!K27+HistoricalFS!K21)-1)</f>
        <v>3.3282090699461975E-2</v>
      </c>
      <c r="N7" s="34">
        <f>AVERAGE(D7:L7)</f>
        <v>0.11538336503354604</v>
      </c>
      <c r="O7" s="34">
        <f>MEDIAN(D7:L7)</f>
        <v>0.10572836987931322</v>
      </c>
    </row>
    <row r="8" spans="2:16" x14ac:dyDescent="0.3">
      <c r="B8" t="s">
        <v>132</v>
      </c>
      <c r="D8">
        <f>IFERROR(HistoricalFS!D33/HistoricalFS!C33-1,0)</f>
        <v>0.17155159462077219</v>
      </c>
      <c r="E8">
        <f>IFERROR(HistoricalFS!E33/HistoricalFS!D33-1,0)</f>
        <v>5.9754433833560716E-2</v>
      </c>
      <c r="F8">
        <f>IFERROR(HistoricalFS!F33/HistoricalFS!E33-1,0)</f>
        <v>0.2548918640576725</v>
      </c>
      <c r="G8">
        <f>IFERROR(HistoricalFS!G33/HistoricalFS!F33-1,0)</f>
        <v>0.17726713171932706</v>
      </c>
      <c r="H8">
        <f>IFERROR(HistoricalFS!H33/HistoricalFS!G33-1,0)</f>
        <v>0.10352039037992333</v>
      </c>
      <c r="I8">
        <f>IFERROR(HistoricalFS!I33/HistoricalFS!H33-1,0)</f>
        <v>0.23641819330385339</v>
      </c>
      <c r="J8">
        <f>IFERROR(HistoricalFS!J33/HistoricalFS!I33-1,0)</f>
        <v>0.10780431728190054</v>
      </c>
      <c r="K8">
        <f>IFERROR(HistoricalFS!K33/HistoricalFS!J33-1,0)</f>
        <v>0.11783696529459231</v>
      </c>
      <c r="L8">
        <f>IFERROR(HistoricalFS!L33/HistoricalFS!K33-1,0)</f>
        <v>-2.372356884992266E-2</v>
      </c>
      <c r="N8" s="34">
        <f>AVERAGE(D8:L8)</f>
        <v>0.13392459129351994</v>
      </c>
      <c r="O8" s="34">
        <f>MEDIAN(D8:L8)</f>
        <v>0.11783696529459231</v>
      </c>
    </row>
    <row r="9" spans="2:16" x14ac:dyDescent="0.3">
      <c r="B9" t="s">
        <v>133</v>
      </c>
      <c r="D9">
        <f>IFERROR(HistoricalFS!D41/HistoricalFS!C41-1,0)</f>
        <v>6.4744211839733889E-2</v>
      </c>
      <c r="E9">
        <f>IFERROR(HistoricalFS!E41/HistoricalFS!D41-1,0)</f>
        <v>6.2303631659196945E-2</v>
      </c>
      <c r="F9">
        <f>IFERROR(HistoricalFS!F41/HistoricalFS!E41-1,0)</f>
        <v>0.17636188224423521</v>
      </c>
      <c r="G9">
        <f>IFERROR(HistoricalFS!G41/HistoricalFS!F41-1,0)</f>
        <v>9.989836928904694E-2</v>
      </c>
      <c r="H9">
        <f>IFERROR(HistoricalFS!H41/HistoricalFS!G41-1,0)</f>
        <v>0.13631114358664265</v>
      </c>
      <c r="I9">
        <f>IFERROR(HistoricalFS!I41/HistoricalFS!H41-1,0)</f>
        <v>0.62387640449438186</v>
      </c>
      <c r="J9">
        <f>IFERROR(HistoricalFS!J41/HistoricalFS!I41-1,0)</f>
        <v>-0.16049382716049365</v>
      </c>
      <c r="K9">
        <f>IFERROR(HistoricalFS!K41/HistoricalFS!J41-1,0)</f>
        <v>0.14705882352941169</v>
      </c>
      <c r="L9">
        <f>IFERROR(HistoricalFS!L41/HistoricalFS!K41-1,0)</f>
        <v>7.6923076923076872E-2</v>
      </c>
      <c r="N9" s="34">
        <f>AVERAGE(D9:L9)</f>
        <v>0.13633152404502583</v>
      </c>
      <c r="O9" s="34">
        <f>MEDIAN(D9:L9)</f>
        <v>9.989836928904694E-2</v>
      </c>
    </row>
    <row r="10" spans="2:16" x14ac:dyDescent="0.3"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2:16" x14ac:dyDescent="0.3">
      <c r="B11" t="s">
        <v>134</v>
      </c>
      <c r="C11" s="17">
        <f>IFERROR(HistoricalFS!C13,0)</f>
        <v>0.41192892948528081</v>
      </c>
      <c r="D11" s="17">
        <f>IFERROR(HistoricalFS!D13,0)</f>
        <v>0.43385322811160132</v>
      </c>
      <c r="E11" s="17">
        <f>IFERROR(HistoricalFS!E13,0)</f>
        <v>0.43685543694590195</v>
      </c>
      <c r="F11" s="17">
        <f>IFERROR(HistoricalFS!F13,0)</f>
        <v>0.45663243775495849</v>
      </c>
      <c r="G11" s="17">
        <f>IFERROR(HistoricalFS!G13,0)</f>
        <v>0.46372424319511574</v>
      </c>
      <c r="H11" s="17">
        <f>IFERROR(HistoricalFS!H13,0)</f>
        <v>0.48183897644722617</v>
      </c>
      <c r="I11" s="17">
        <f>IFERROR(HistoricalFS!I13,0)</f>
        <v>0.46200136089138388</v>
      </c>
      <c r="J11" s="17">
        <f>IFERROR(HistoricalFS!J13,0)</f>
        <v>0.44579186210578498</v>
      </c>
      <c r="K11" s="17">
        <f>IFERROR(HistoricalFS!K13,0)</f>
        <v>0.41596236381644108</v>
      </c>
      <c r="L11" s="17">
        <f>IFERROR(HistoricalFS!L13,0)</f>
        <v>0.45632997285769678</v>
      </c>
      <c r="N11" s="34">
        <f>AVERAGE(C11:L11)</f>
        <v>0.44649188116113903</v>
      </c>
      <c r="O11" s="34">
        <f>MEDIAN(C11:L11)</f>
        <v>0.45106091748174088</v>
      </c>
    </row>
    <row r="12" spans="2:16" x14ac:dyDescent="0.3">
      <c r="B12" t="s">
        <v>135</v>
      </c>
      <c r="C12" s="17">
        <f>IFERROR(HistoricalFS!C19,0)</f>
        <v>0.16928524445776158</v>
      </c>
      <c r="D12" s="17">
        <f>IFERROR(HistoricalFS!D19,0)</f>
        <v>0.18362020754365252</v>
      </c>
      <c r="E12" s="17">
        <f>IFERROR(HistoricalFS!E19,0)</f>
        <v>0.1908208190097099</v>
      </c>
      <c r="F12" s="17">
        <f>IFERROR(HistoricalFS!F19,0)</f>
        <v>0.21097200731467156</v>
      </c>
      <c r="G12" s="17">
        <f>IFERROR(HistoricalFS!G19,0)</f>
        <v>0.2258967183922666</v>
      </c>
      <c r="H12" s="17">
        <f>IFERROR(HistoricalFS!H19,0)</f>
        <v>0.24786969308498605</v>
      </c>
      <c r="I12" s="17">
        <f>IFERROR(HistoricalFS!I19,0)</f>
        <v>0.24721442544866887</v>
      </c>
      <c r="J12" s="17">
        <f>IFERROR(HistoricalFS!J19,0)</f>
        <v>0.24514738969606834</v>
      </c>
      <c r="K12" s="17">
        <f>IFERROR(HistoricalFS!K19,0)</f>
        <v>0.23352591614394189</v>
      </c>
      <c r="L12" s="17">
        <f>IFERROR(HistoricalFS!L19,0)</f>
        <v>0.23683275171255008</v>
      </c>
      <c r="N12" s="34">
        <f t="shared" ref="N12:N40" si="0">AVERAGE(C12:L12)</f>
        <v>0.21911851728042769</v>
      </c>
      <c r="O12" s="34">
        <f t="shared" ref="O12:O40" si="1">MEDIAN(C12:L12)</f>
        <v>0.22971131726810423</v>
      </c>
    </row>
    <row r="13" spans="2:16" x14ac:dyDescent="0.3">
      <c r="B13" t="s">
        <v>136</v>
      </c>
      <c r="C13" s="17">
        <f>IFERROR((HistoricalFS!C27+HistoricalFS!C21)/HistoricalFS!C6,0)</f>
        <v>0.15920179380893207</v>
      </c>
      <c r="D13" s="17">
        <f>IFERROR((HistoricalFS!D27+HistoricalFS!D21)/HistoricalFS!D6,0)</f>
        <v>0.17265270614552911</v>
      </c>
      <c r="E13" s="17">
        <f>IFERROR((HistoricalFS!E27+HistoricalFS!E21)/HistoricalFS!E6,0)</f>
        <v>0.17779386044267534</v>
      </c>
      <c r="F13" s="17">
        <f>IFERROR((HistoricalFS!F27+HistoricalFS!F21)/HistoricalFS!F6,0)</f>
        <v>0.19634266422844282</v>
      </c>
      <c r="G13" s="17">
        <f>IFERROR((HistoricalFS!G27+HistoricalFS!G21)/HistoricalFS!G6,0)</f>
        <v>0.21152378529636226</v>
      </c>
      <c r="H13" s="17">
        <f>IFERROR((HistoricalFS!H27+HistoricalFS!H21)/HistoricalFS!H6,0)</f>
        <v>0.22268305557650253</v>
      </c>
      <c r="I13" s="17">
        <f>IFERROR((HistoricalFS!I27+HistoricalFS!I21)/HistoricalFS!I6,0)</f>
        <v>0.22437696691332823</v>
      </c>
      <c r="J13" s="17">
        <f>IFERROR((HistoricalFS!J27+HistoricalFS!J21)/HistoricalFS!J6,0)</f>
        <v>0.22434504061320215</v>
      </c>
      <c r="K13" s="17">
        <f>IFERROR((HistoricalFS!K27+HistoricalFS!K21)/HistoricalFS!K6,0)</f>
        <v>0.21475734565863322</v>
      </c>
      <c r="L13" s="17">
        <f>IFERROR((HistoricalFS!L27+HistoricalFS!L21)/HistoricalFS!L6,0)</f>
        <v>0.21718689414501746</v>
      </c>
      <c r="N13" s="34">
        <f t="shared" si="0"/>
        <v>0.2020864112828625</v>
      </c>
      <c r="O13" s="34">
        <f t="shared" si="1"/>
        <v>0.21314056547749774</v>
      </c>
    </row>
    <row r="14" spans="2:16" x14ac:dyDescent="0.3">
      <c r="B14" t="s">
        <v>137</v>
      </c>
      <c r="C14" s="17">
        <f>IFERROR(HistoricalFS!C28,0)</f>
        <v>0.15864818769061487</v>
      </c>
      <c r="D14" s="17">
        <f>IFERROR(HistoricalFS!D28,0)</f>
        <v>0.17212452619151183</v>
      </c>
      <c r="E14" s="17">
        <f>IFERROR(HistoricalFS!E28,0)</f>
        <v>0.17673843555877208</v>
      </c>
      <c r="F14" s="17">
        <f>IFERROR(HistoricalFS!F28,0)</f>
        <v>0.19561119707413138</v>
      </c>
      <c r="G14" s="17">
        <f>IFERROR(HistoricalFS!G28,0)</f>
        <v>0.21068430424828288</v>
      </c>
      <c r="H14" s="17">
        <f>IFERROR(HistoricalFS!H28,0)</f>
        <v>0.21971696453258929</v>
      </c>
      <c r="I14" s="17">
        <f>IFERROR(HistoricalFS!I28,0)</f>
        <v>0.22188908735221571</v>
      </c>
      <c r="J14" s="17">
        <f>IFERROR(HistoricalFS!J28,0)</f>
        <v>0.22232391412119132</v>
      </c>
      <c r="K14" s="17">
        <f>IFERROR(HistoricalFS!K28,0)</f>
        <v>0.21287553648068669</v>
      </c>
      <c r="L14" s="17">
        <f>IFERROR(HistoricalFS!L28,0)</f>
        <v>0.2117907457670932</v>
      </c>
      <c r="N14" s="34">
        <f t="shared" si="0"/>
        <v>0.20024028990170892</v>
      </c>
      <c r="O14" s="34">
        <f t="shared" si="1"/>
        <v>0.21123752500768805</v>
      </c>
    </row>
    <row r="15" spans="2:16" x14ac:dyDescent="0.3">
      <c r="B15" t="s">
        <v>138</v>
      </c>
      <c r="C15" s="17">
        <f>IFERROR(HistoricalFS!C34,0)</f>
        <v>9.7845346221200363E-2</v>
      </c>
      <c r="D15" s="17">
        <f>IFERROR(HistoricalFS!D34,0)</f>
        <v>0.11386938420431243</v>
      </c>
      <c r="E15" s="17">
        <f>IFERROR(HistoricalFS!E34,0)</f>
        <v>0.11712200711657922</v>
      </c>
      <c r="F15" s="17">
        <f>IFERROR(HistoricalFS!F34,0)</f>
        <v>0.1371219580813054</v>
      </c>
      <c r="G15" s="17">
        <f>IFERROR(HistoricalFS!G34,0)</f>
        <v>0.14596794708725516</v>
      </c>
      <c r="H15" s="17">
        <f>IFERROR(HistoricalFS!H34,0)</f>
        <v>0.15916346178015736</v>
      </c>
      <c r="I15" s="17">
        <f>IFERROR(HistoricalFS!I34,0)</f>
        <v>0.16647529131581185</v>
      </c>
      <c r="J15" s="17">
        <f>IFERROR(HistoricalFS!J34,0)</f>
        <v>0.16537009495481067</v>
      </c>
      <c r="K15" s="17">
        <f>IFERROR(HistoricalFS!K34,0)</f>
        <v>0.16003631561571477</v>
      </c>
      <c r="L15" s="17">
        <f>IFERROR(HistoricalFS!L34,0)</f>
        <v>0.15291779759596744</v>
      </c>
      <c r="N15" s="34">
        <f t="shared" si="0"/>
        <v>0.14158896039731145</v>
      </c>
      <c r="O15" s="34">
        <f t="shared" si="1"/>
        <v>0.1494428723416113</v>
      </c>
    </row>
    <row r="16" spans="2:16" x14ac:dyDescent="0.3"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4"/>
      <c r="O16" s="34"/>
    </row>
    <row r="17" spans="2:15" x14ac:dyDescent="0.3">
      <c r="B17" t="s">
        <v>139</v>
      </c>
      <c r="C17" s="17">
        <f>IFERROR(HistoricalFS!C16,0)</f>
        <v>0.24264368502751926</v>
      </c>
      <c r="D17" s="17">
        <f>IFERROR(HistoricalFS!D16,0)</f>
        <v>0.25023302056794877</v>
      </c>
      <c r="E17" s="17">
        <f>IFERROR(HistoricalFS!E16,0)</f>
        <v>0.24603461793619202</v>
      </c>
      <c r="F17" s="17">
        <f>IFERROR(HistoricalFS!F16,0)</f>
        <v>0.24566043044028696</v>
      </c>
      <c r="G17" s="17">
        <f>IFERROR(HistoricalFS!G16,0)</f>
        <v>0.23782752480284916</v>
      </c>
      <c r="H17" s="17">
        <f>IFERROR(HistoricalFS!H16,0)</f>
        <v>0.23396928336224015</v>
      </c>
      <c r="I17" s="17">
        <f>IFERROR(HistoricalFS!I16,0)</f>
        <v>0.21478693544271499</v>
      </c>
      <c r="J17" s="17">
        <f>IFERROR(HistoricalFS!J16,0)</f>
        <v>0.20064447240971667</v>
      </c>
      <c r="K17" s="17">
        <f>IFERROR(HistoricalFS!K16,0)</f>
        <v>0.18243644767249917</v>
      </c>
      <c r="L17" s="17">
        <f>IFERROR(HistoricalFS!L16,0)</f>
        <v>0.21949722114514669</v>
      </c>
      <c r="N17" s="34">
        <f t="shared" si="0"/>
        <v>0.22737336388071139</v>
      </c>
      <c r="O17" s="34">
        <f t="shared" si="1"/>
        <v>0.23589840408254464</v>
      </c>
    </row>
    <row r="18" spans="2:15" x14ac:dyDescent="0.3">
      <c r="B18" t="s">
        <v>69</v>
      </c>
      <c r="C18" s="17">
        <f>IFERROR(HistoricalFS!C25,0)</f>
        <v>1.0083450648829498E-2</v>
      </c>
      <c r="D18" s="17">
        <f>IFERROR(HistoricalFS!D25,0)</f>
        <v>1.0967501398123409E-2</v>
      </c>
      <c r="E18" s="17">
        <f>IFERROR(HistoricalFS!E25,0)</f>
        <v>1.3026958567034558E-2</v>
      </c>
      <c r="F18" s="17">
        <f>IFERROR(HistoricalFS!F25,0)</f>
        <v>1.4629343086228723E-2</v>
      </c>
      <c r="G18" s="17">
        <f>IFERROR(HistoricalFS!G25,0)</f>
        <v>1.437293309590435E-2</v>
      </c>
      <c r="H18" s="17">
        <f>IFERROR(HistoricalFS!H25,0)</f>
        <v>2.5186637508483524E-2</v>
      </c>
      <c r="I18" s="17">
        <f>IFERROR(HistoricalFS!I25,0)</f>
        <v>2.2837458535340648E-2</v>
      </c>
      <c r="J18" s="17">
        <f>IFERROR(HistoricalFS!J25,0)</f>
        <v>2.0802349082866187E-2</v>
      </c>
      <c r="K18" s="17">
        <f>IFERROR(HistoricalFS!K25,0)</f>
        <v>1.8768570485308684E-2</v>
      </c>
      <c r="L18" s="17">
        <f>IFERROR(HistoricalFS!L25,0)</f>
        <v>1.9645857567532635E-2</v>
      </c>
      <c r="N18" s="34">
        <f t="shared" si="0"/>
        <v>1.7032105997565224E-2</v>
      </c>
      <c r="O18" s="34">
        <f t="shared" si="1"/>
        <v>1.6698956785768704E-2</v>
      </c>
    </row>
    <row r="19" spans="2:15" x14ac:dyDescent="0.3">
      <c r="B19" t="s">
        <v>140</v>
      </c>
      <c r="C19" s="17">
        <f>C13</f>
        <v>0.15920179380893207</v>
      </c>
      <c r="D19" s="17">
        <f t="shared" ref="D19:L19" si="2">D13</f>
        <v>0.17265270614552911</v>
      </c>
      <c r="E19" s="17">
        <f t="shared" si="2"/>
        <v>0.17779386044267534</v>
      </c>
      <c r="F19" s="17">
        <f t="shared" si="2"/>
        <v>0.19634266422844282</v>
      </c>
      <c r="G19" s="17">
        <f t="shared" si="2"/>
        <v>0.21152378529636226</v>
      </c>
      <c r="H19" s="17">
        <f t="shared" si="2"/>
        <v>0.22268305557650253</v>
      </c>
      <c r="I19" s="17">
        <f t="shared" si="2"/>
        <v>0.22437696691332823</v>
      </c>
      <c r="J19" s="17">
        <f t="shared" si="2"/>
        <v>0.22434504061320215</v>
      </c>
      <c r="K19" s="17">
        <f t="shared" si="2"/>
        <v>0.21475734565863322</v>
      </c>
      <c r="L19" s="17">
        <f t="shared" si="2"/>
        <v>0.21718689414501746</v>
      </c>
      <c r="N19" s="34">
        <f t="shared" si="0"/>
        <v>0.2020864112828625</v>
      </c>
      <c r="O19" s="34">
        <f t="shared" si="1"/>
        <v>0.21314056547749774</v>
      </c>
    </row>
    <row r="20" spans="2:15" x14ac:dyDescent="0.3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4"/>
      <c r="O20" s="34"/>
    </row>
    <row r="21" spans="2:15" x14ac:dyDescent="0.3">
      <c r="B21" t="s">
        <v>141</v>
      </c>
      <c r="C21" s="17">
        <f>IFERROR((HistoricalFS!C18-HistoricalFS!C24)/(SUM(HistoricalFS!C47:C49)),0)</f>
        <v>1.2504618574531017</v>
      </c>
      <c r="D21" s="17">
        <f>IFERROR((HistoricalFS!D18-HistoricalFS!D24)/(SUM(HistoricalFS!D47:D49)),0)</f>
        <v>0.82325925925925925</v>
      </c>
      <c r="E21" s="17">
        <f>IFERROR((HistoricalFS!E18-HistoricalFS!E24)/(SUM(HistoricalFS!E47:E49)),0)</f>
        <v>0.83976641504059246</v>
      </c>
      <c r="F21" s="17">
        <f>IFERROR((HistoricalFS!F18-HistoricalFS!F24)/(SUM(HistoricalFS!F47:F49)),0)</f>
        <v>0.95852218101909081</v>
      </c>
      <c r="G21" s="17">
        <f>IFERROR((HistoricalFS!G18-HistoricalFS!G24)/(SUM(HistoricalFS!G47:G49)),0)</f>
        <v>1.0438111975897564</v>
      </c>
      <c r="H21" s="17">
        <f>IFERROR((HistoricalFS!H18-HistoricalFS!H24)/(SUM(HistoricalFS!H47:H49)),0)</f>
        <v>1.0765585125774699</v>
      </c>
      <c r="I21" s="17">
        <f>IFERROR((HistoricalFS!I18-HistoricalFS!I24)/(SUM(HistoricalFS!I47:I49)),0)</f>
        <v>0.22133657758946176</v>
      </c>
      <c r="J21" s="17">
        <f>IFERROR((HistoricalFS!J18-HistoricalFS!J24)/(SUM(HistoricalFS!J47:J49)),0)</f>
        <v>0.23483155037521955</v>
      </c>
      <c r="K21" s="17">
        <f>IFERROR((HistoricalFS!K18-HistoricalFS!K24)/(SUM(HistoricalFS!K47:K49)),0)</f>
        <v>0.25250858839741475</v>
      </c>
      <c r="L21" s="17">
        <f>IFERROR((HistoricalFS!L18-HistoricalFS!L24)/(SUM(HistoricalFS!L47:L49)),0)</f>
        <v>0.25507570870175705</v>
      </c>
      <c r="N21" s="34">
        <f t="shared" si="0"/>
        <v>0.69561318480031242</v>
      </c>
      <c r="O21" s="34">
        <f t="shared" si="1"/>
        <v>0.83151283714992585</v>
      </c>
    </row>
    <row r="22" spans="2:15" x14ac:dyDescent="0.3">
      <c r="B22" t="s">
        <v>142</v>
      </c>
      <c r="C22" s="17">
        <f>IFERROR(HistoricalFS!C44,0)</f>
        <v>0</v>
      </c>
      <c r="D22" s="17">
        <f>IFERROR(HistoricalFS!D44,0)</f>
        <v>5.7025920873124192E-2</v>
      </c>
      <c r="E22" s="17">
        <f>IFERROR(HistoricalFS!E44,0)</f>
        <v>5.4582904222451045E-2</v>
      </c>
      <c r="F22" s="17">
        <f>IFERROR(HistoricalFS!F44,0)</f>
        <v>0.11366434140336479</v>
      </c>
      <c r="G22" s="17">
        <f>IFERROR(HistoricalFS!G44,0)</f>
        <v>0.17183687696061345</v>
      </c>
      <c r="H22" s="17">
        <f>IFERROR(HistoricalFS!H44,0)</f>
        <v>0.14718888186986734</v>
      </c>
      <c r="I22" s="17">
        <f>IFERROR(HistoricalFS!I44,0)</f>
        <v>0</v>
      </c>
      <c r="J22" s="17">
        <f>IFERROR(HistoricalFS!J44,0)</f>
        <v>7.8750144125446675E-2</v>
      </c>
      <c r="K22" s="17">
        <f>IFERROR(HistoricalFS!K44,0)</f>
        <v>5.4667354306343507E-2</v>
      </c>
      <c r="L22" s="17">
        <f>IFERROR(HistoricalFS!L44,0)</f>
        <v>0</v>
      </c>
      <c r="N22" s="34">
        <f t="shared" si="0"/>
        <v>6.77716423761211E-2</v>
      </c>
      <c r="O22" s="34">
        <f t="shared" si="1"/>
        <v>5.584663758973385E-2</v>
      </c>
    </row>
    <row r="23" spans="2:15" x14ac:dyDescent="0.3">
      <c r="B23" t="s">
        <v>143</v>
      </c>
      <c r="C23" s="17">
        <f>IFERROR(HistoricalFS!C33/SUM(HistoricalFS!C47:C48),0)</f>
        <v>0.77674625324023949</v>
      </c>
      <c r="D23" s="17">
        <f>IFERROR(HistoricalFS!D33/SUM(HistoricalFS!D47:D48),0)</f>
        <v>0.55758405598661187</v>
      </c>
      <c r="E23" s="17">
        <f>IFERROR(HistoricalFS!E33/SUM(HistoricalFS!E47:E48),0)</f>
        <v>0.57591933570581255</v>
      </c>
      <c r="F23" s="17">
        <f>IFERROR(HistoricalFS!F33/SUM(HistoricalFS!F47:F48),0)</f>
        <v>0.6694135420958659</v>
      </c>
      <c r="G23" s="17">
        <f>IFERROR(HistoricalFS!G33/SUM(HistoricalFS!G47:G48),0)</f>
        <v>0.72937587390364811</v>
      </c>
      <c r="H23" s="17">
        <f>IFERROR(HistoricalFS!H33/SUM(HistoricalFS!H47:H48),0)</f>
        <v>0.76947381212784061</v>
      </c>
      <c r="I23" s="17">
        <f>IFERROR(HistoricalFS!I33/SUM(HistoricalFS!I47:I48),0)</f>
        <v>0.16421949070772329</v>
      </c>
      <c r="J23" s="17">
        <f>IFERROR(HistoricalFS!J33/SUM(HistoricalFS!J47:J48),0)</f>
        <v>0.1767799270296162</v>
      </c>
      <c r="K23" s="17">
        <f>IFERROR(HistoricalFS!K33/SUM(HistoricalFS!K47:K48),0)</f>
        <v>0.19272821246819338</v>
      </c>
      <c r="L23" s="17">
        <f>IFERROR(HistoricalFS!L33/SUM(HistoricalFS!L47:L48),0)</f>
        <v>0.18479831309305322</v>
      </c>
      <c r="N23" s="34">
        <f t="shared" si="0"/>
        <v>0.47970388163586053</v>
      </c>
      <c r="O23" s="34">
        <f t="shared" si="1"/>
        <v>0.56675169584621221</v>
      </c>
    </row>
    <row r="24" spans="2:15" x14ac:dyDescent="0.3">
      <c r="B24" t="s">
        <v>144</v>
      </c>
      <c r="C24" s="17">
        <f>C23*C22</f>
        <v>0</v>
      </c>
      <c r="D24" s="17">
        <f t="shared" ref="D24:L24" si="3">D23*D22</f>
        <v>3.1796744256808181E-2</v>
      </c>
      <c r="E24" s="17">
        <f t="shared" si="3"/>
        <v>3.1435349940687994E-2</v>
      </c>
      <c r="F24" s="17">
        <f t="shared" si="3"/>
        <v>7.6088449388820215E-2</v>
      </c>
      <c r="G24" s="17">
        <f t="shared" si="3"/>
        <v>0.12533367230202108</v>
      </c>
      <c r="H24" s="17">
        <f t="shared" si="3"/>
        <v>0.11325799003524123</v>
      </c>
      <c r="I24" s="17">
        <f t="shared" si="3"/>
        <v>0</v>
      </c>
      <c r="J24" s="17">
        <f t="shared" si="3"/>
        <v>1.3921444732068222E-2</v>
      </c>
      <c r="K24" s="17">
        <f t="shared" si="3"/>
        <v>1.0535941475826979E-2</v>
      </c>
      <c r="L24" s="17">
        <f t="shared" si="3"/>
        <v>0</v>
      </c>
      <c r="N24" s="34">
        <f t="shared" si="0"/>
        <v>4.0236959213147391E-2</v>
      </c>
      <c r="O24" s="34">
        <f t="shared" si="1"/>
        <v>2.2678397336378109E-2</v>
      </c>
    </row>
    <row r="25" spans="2:15" x14ac:dyDescent="0.3">
      <c r="B25" t="s">
        <v>145</v>
      </c>
      <c r="C25" s="33">
        <f>IFERROR((HistoricalFS!C18-HistoricalFS!C24)/HistoricalFS!C21,0)</f>
        <v>287.57231638418079</v>
      </c>
      <c r="D25" s="33">
        <f>IFERROR((HistoricalFS!D18-HistoricalFS!D24)/HistoricalFS!D21,0)</f>
        <v>326.88235294117646</v>
      </c>
      <c r="E25" s="33">
        <f>IFERROR((HistoricalFS!E18-HistoricalFS!E24)/HistoricalFS!E21,0)</f>
        <v>168.45714285714286</v>
      </c>
      <c r="F25" s="33">
        <f>IFERROR((HistoricalFS!F18-HistoricalFS!F24)/HistoricalFS!F21,0)</f>
        <v>268.42307692307691</v>
      </c>
      <c r="G25" s="33">
        <f>IFERROR((HistoricalFS!G18-HistoricalFS!G24)/HistoricalFS!G21,0)</f>
        <v>251.96969696969697</v>
      </c>
      <c r="H25" s="33">
        <f>IFERROR((HistoricalFS!H18-HistoricalFS!H24)/HistoricalFS!H21,0)</f>
        <v>75.076271186440678</v>
      </c>
      <c r="I25" s="33">
        <f>IFERROR((HistoricalFS!I18-HistoricalFS!I24)/HistoricalFS!I21,0)</f>
        <v>90.188034188034194</v>
      </c>
      <c r="J25" s="33">
        <f>IFERROR((HistoricalFS!J18-HistoricalFS!J24)/HistoricalFS!J21,0)</f>
        <v>111</v>
      </c>
      <c r="K25" s="33">
        <f>IFERROR((HistoricalFS!K18-HistoricalFS!K24)/HistoricalFS!K21,0)</f>
        <v>114.12280701754386</v>
      </c>
      <c r="L25" s="33">
        <f>IFERROR((HistoricalFS!L18-HistoricalFS!L24)/HistoricalFS!L21,0)</f>
        <v>40.248502994011979</v>
      </c>
      <c r="N25" s="34">
        <f t="shared" si="0"/>
        <v>173.39402014613046</v>
      </c>
      <c r="O25" s="34">
        <f t="shared" si="1"/>
        <v>141.28997493734335</v>
      </c>
    </row>
    <row r="26" spans="2:15" x14ac:dyDescent="0.3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4"/>
      <c r="O26" s="34"/>
    </row>
    <row r="27" spans="2:15" x14ac:dyDescent="0.3">
      <c r="B27" t="s">
        <v>146</v>
      </c>
      <c r="C27" s="33">
        <f>IFERROR(HistoricalFS!C6/HistoricalFS!C59,0)</f>
        <v>31.646860276359028</v>
      </c>
      <c r="D27" s="33">
        <f>IFERROR(HistoricalFS!D6/HistoricalFS!D59,0)</f>
        <v>25.463607594936708</v>
      </c>
      <c r="E27" s="33">
        <f>IFERROR(HistoricalFS!E6/HistoricalFS!E59,0)</f>
        <v>30.56405529953917</v>
      </c>
      <c r="F27" s="33">
        <f>IFERROR(HistoricalFS!F6/HistoricalFS!F59,0)</f>
        <v>27.133587786259543</v>
      </c>
      <c r="G27" s="33">
        <f>IFERROR(HistoricalFS!G6/HistoricalFS!G59,0)</f>
        <v>21.646475770925111</v>
      </c>
      <c r="H27" s="33">
        <f>IFERROR(HistoricalFS!H6/HistoricalFS!H59,0)</f>
        <v>34.624020887728463</v>
      </c>
      <c r="I27" s="33">
        <f>IFERROR(HistoricalFS!I6/HistoricalFS!I59,0)</f>
        <v>26.750853242320819</v>
      </c>
      <c r="J27" s="33">
        <f>IFERROR(HistoricalFS!J6/HistoricalFS!J59,0)</f>
        <v>23.455277280858677</v>
      </c>
      <c r="K27" s="33">
        <f>IFERROR(HistoricalFS!K6/HistoricalFS!K59,0)</f>
        <v>19.67521922702176</v>
      </c>
      <c r="L27" s="33">
        <f>IFERROR(HistoricalFS!L6/HistoricalFS!L59,0)</f>
        <v>20.652652652652652</v>
      </c>
      <c r="N27" s="34">
        <f t="shared" si="0"/>
        <v>26.16126100186019</v>
      </c>
      <c r="O27" s="34">
        <f t="shared" si="1"/>
        <v>26.107230418628763</v>
      </c>
    </row>
    <row r="28" spans="2:15" x14ac:dyDescent="0.3">
      <c r="B28" t="s">
        <v>147</v>
      </c>
      <c r="C28" s="33">
        <f>IFERROR(HistoricalFS!C6/HistoricalFS!C50,0)</f>
        <v>3.0864136630817036</v>
      </c>
      <c r="D28" s="33">
        <f>IFERROR(HistoricalFS!D6/HistoricalFS!D50,0)</f>
        <v>4.0017406440382945</v>
      </c>
      <c r="E28" s="33">
        <f>IFERROR(HistoricalFS!E6/HistoricalFS!E50,0)</f>
        <v>3.818307426597582</v>
      </c>
      <c r="F28" s="33">
        <f>IFERROR(HistoricalFS!F6/HistoricalFS!F50,0)</f>
        <v>3.3593233153766184</v>
      </c>
      <c r="G28" s="33">
        <f>IFERROR(HistoricalFS!G6/HistoricalFS!G50,0)</f>
        <v>3.6865797617931162</v>
      </c>
      <c r="H28" s="33">
        <f>IFERROR(HistoricalFS!H6/HistoricalFS!H50,0)</f>
        <v>3.3363804092586382</v>
      </c>
      <c r="I28" s="33">
        <f>IFERROR(HistoricalFS!I6/HistoricalFS!I50,0)</f>
        <v>2.2324124181144973</v>
      </c>
      <c r="J28" s="33">
        <f>IFERROR(HistoricalFS!J6/HistoricalFS!J50,0)</f>
        <v>2.5706303303597688</v>
      </c>
      <c r="K28" s="33">
        <f>IFERROR(HistoricalFS!K6/HistoricalFS!K50,0)</f>
        <v>2.8106151990349817</v>
      </c>
      <c r="L28" s="33">
        <f>IFERROR(HistoricalFS!L6/HistoricalFS!L50,0)</f>
        <v>2.4002792104548805</v>
      </c>
      <c r="N28" s="34">
        <f t="shared" si="0"/>
        <v>3.1302682378110083</v>
      </c>
      <c r="O28" s="34">
        <f t="shared" si="1"/>
        <v>3.2113970361701707</v>
      </c>
    </row>
    <row r="29" spans="2:15" x14ac:dyDescent="0.3">
      <c r="B29" t="s">
        <v>148</v>
      </c>
      <c r="C29" s="33">
        <f>IFERROR(HistoricalFS!C6/HistoricalFS!C60,0)</f>
        <v>11.223077166095079</v>
      </c>
      <c r="D29" s="33">
        <f>IFERROR(HistoricalFS!D6/HistoricalFS!D60,0)</f>
        <v>11.807043286867204</v>
      </c>
      <c r="E29" s="33">
        <f>IFERROR(HistoricalFS!E6/HistoricalFS!E60,0)</f>
        <v>13.050767414403778</v>
      </c>
      <c r="F29" s="33">
        <f>IFERROR(HistoricalFS!F6/HistoricalFS!F60,0)</f>
        <v>14.144448865897333</v>
      </c>
      <c r="G29" s="33">
        <f>IFERROR(HistoricalFS!G6/HistoricalFS!G60,0)</f>
        <v>15.271950271950272</v>
      </c>
      <c r="H29" s="33">
        <f>IFERROR(HistoricalFS!H6/HistoricalFS!H60,0)</f>
        <v>14.377665341525118</v>
      </c>
      <c r="I29" s="33">
        <f>IFERROR(HistoricalFS!I6/HistoricalFS!I60,0)</f>
        <v>13.139983235540655</v>
      </c>
      <c r="J29" s="33">
        <f>IFERROR(HistoricalFS!J6/HistoricalFS!J60,0)</f>
        <v>12.80419921875</v>
      </c>
      <c r="K29" s="33">
        <f>IFERROR(HistoricalFS!K6/HistoricalFS!K60,0)</f>
        <v>14.250764525993883</v>
      </c>
      <c r="L29" s="33">
        <f>IFERROR(HistoricalFS!L6/HistoricalFS!L60,0)</f>
        <v>15.389358528095475</v>
      </c>
      <c r="N29" s="34">
        <f t="shared" si="0"/>
        <v>13.54592578551188</v>
      </c>
      <c r="O29" s="34">
        <f t="shared" si="1"/>
        <v>13.642216050718993</v>
      </c>
    </row>
    <row r="30" spans="2:15" x14ac:dyDescent="0.3">
      <c r="B30" t="s">
        <v>149</v>
      </c>
      <c r="C30" s="33">
        <f>IFERROR(HistoricalFS!C6/HistoricalFS!C53,0)</f>
        <v>11.33359683234019</v>
      </c>
      <c r="D30" s="33">
        <f>IFERROR(HistoricalFS!D6/HistoricalFS!D53,0)</f>
        <v>9.8790669122160839</v>
      </c>
      <c r="E30" s="33">
        <f>IFERROR(HistoricalFS!E6/HistoricalFS!E53,0)</f>
        <v>7.5044127630685677</v>
      </c>
      <c r="F30" s="33">
        <f>IFERROR(HistoricalFS!F6/HistoricalFS!F53,0)</f>
        <v>7.8500441696113077</v>
      </c>
      <c r="G30" s="33">
        <f>IFERROR(HistoricalFS!G6/HistoricalFS!G53,0)</f>
        <v>8.3372216330858961</v>
      </c>
      <c r="H30" s="33">
        <f>IFERROR(HistoricalFS!H6/HistoricalFS!H53,0)</f>
        <v>7.2609965322139081</v>
      </c>
      <c r="I30" s="33">
        <f>IFERROR(HistoricalFS!I6/HistoricalFS!I53,0)</f>
        <v>0.91417685593763975</v>
      </c>
      <c r="J30" s="33">
        <f>IFERROR(HistoricalFS!J6/HistoricalFS!J53,0)</f>
        <v>1.018903114254075</v>
      </c>
      <c r="K30" s="33">
        <f>IFERROR(HistoricalFS!K6/HistoricalFS!K53,0)</f>
        <v>1.1500056949770303</v>
      </c>
      <c r="L30" s="33">
        <f>IFERROR(HistoricalFS!L6/HistoricalFS!L53,0)</f>
        <v>1.1516820482286394</v>
      </c>
      <c r="N30" s="34">
        <f t="shared" si="0"/>
        <v>5.6400106555933336</v>
      </c>
      <c r="O30" s="34">
        <f t="shared" si="1"/>
        <v>7.3827046476412379</v>
      </c>
    </row>
    <row r="31" spans="2:15" x14ac:dyDescent="0.3">
      <c r="B31" t="s">
        <v>150</v>
      </c>
      <c r="C31" s="33">
        <f>IFERROR(HistoricalFS!C6/SUM(HistoricalFS!C47:C48),0)</f>
        <v>7.9385099367346328</v>
      </c>
      <c r="D31" s="33">
        <f>IFERROR(HistoricalFS!D6/SUM(HistoricalFS!D47:D48),0)</f>
        <v>4.8966986155484555</v>
      </c>
      <c r="E31" s="33">
        <f>IFERROR(HistoricalFS!E6/SUM(HistoricalFS!E47:E48),0)</f>
        <v>4.9172597864768681</v>
      </c>
      <c r="F31" s="33">
        <f>IFERROR(HistoricalFS!F6/SUM(HistoricalFS!F47:F48),0)</f>
        <v>4.8818843565444308</v>
      </c>
      <c r="G31" s="33">
        <f>IFERROR(HistoricalFS!G6/SUM(HistoricalFS!G47:G48),0)</f>
        <v>4.9968221685521801</v>
      </c>
      <c r="H31" s="33">
        <f>IFERROR(HistoricalFS!H6/SUM(HistoricalFS!H47:H48),0)</f>
        <v>4.8344877870944218</v>
      </c>
      <c r="I31" s="33">
        <f>IFERROR(HistoricalFS!I6/SUM(HistoricalFS!I47:I48),0)</f>
        <v>0.98644963711876499</v>
      </c>
      <c r="J31" s="33">
        <f>IFERROR(HistoricalFS!J6/SUM(HistoricalFS!J47:J48),0)</f>
        <v>1.0689957399971464</v>
      </c>
      <c r="K31" s="33">
        <f>IFERROR(HistoricalFS!K6/SUM(HistoricalFS!K47:K48),0)</f>
        <v>1.2042779898218829</v>
      </c>
      <c r="L31" s="33">
        <f>IFERROR(HistoricalFS!L6/SUM(HistoricalFS!L47:L48),0)</f>
        <v>1.2084813932601819</v>
      </c>
      <c r="N31" s="34">
        <f t="shared" si="0"/>
        <v>3.6933867411148968</v>
      </c>
      <c r="O31" s="34">
        <f t="shared" si="1"/>
        <v>4.8581860718194267</v>
      </c>
    </row>
    <row r="32" spans="2:15" x14ac:dyDescent="0.3"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4"/>
      <c r="O32" s="34"/>
    </row>
    <row r="33" spans="2:15" x14ac:dyDescent="0.3">
      <c r="B33" t="s">
        <v>151</v>
      </c>
      <c r="C33" s="33">
        <f>IFERROR(365/C27,0)</f>
        <v>11.533529608075018</v>
      </c>
      <c r="D33" s="33">
        <f t="shared" ref="D33:L33" si="4">IFERROR(365/D27,0)</f>
        <v>14.334182563847637</v>
      </c>
      <c r="E33" s="33">
        <f t="shared" si="4"/>
        <v>11.942132561365419</v>
      </c>
      <c r="F33" s="33">
        <f t="shared" si="4"/>
        <v>13.4519623013082</v>
      </c>
      <c r="G33" s="33">
        <f t="shared" si="4"/>
        <v>16.861867209361485</v>
      </c>
      <c r="H33" s="33">
        <f t="shared" si="4"/>
        <v>10.541814342809742</v>
      </c>
      <c r="I33" s="33">
        <f t="shared" si="4"/>
        <v>13.644424598111764</v>
      </c>
      <c r="J33" s="33">
        <f t="shared" si="4"/>
        <v>15.561529954619989</v>
      </c>
      <c r="K33" s="33">
        <f t="shared" si="4"/>
        <v>18.551254539451964</v>
      </c>
      <c r="L33" s="33">
        <f t="shared" si="4"/>
        <v>17.673274525009695</v>
      </c>
      <c r="N33" s="34">
        <f t="shared" si="0"/>
        <v>14.40959722039609</v>
      </c>
      <c r="O33" s="34">
        <f t="shared" si="1"/>
        <v>13.989303580979701</v>
      </c>
    </row>
    <row r="34" spans="2:15" x14ac:dyDescent="0.3">
      <c r="B34" t="s">
        <v>152</v>
      </c>
      <c r="C34" s="33">
        <f>IFERROR(365/C28,0)</f>
        <v>118.26023334654273</v>
      </c>
      <c r="D34" s="33">
        <f t="shared" ref="D34:L34" si="5">IFERROR(365/D28,0)</f>
        <v>91.210308829926049</v>
      </c>
      <c r="E34" s="33">
        <f t="shared" si="5"/>
        <v>95.592093359869736</v>
      </c>
      <c r="F34" s="33">
        <f t="shared" si="5"/>
        <v>108.65283443522296</v>
      </c>
      <c r="G34" s="33">
        <f t="shared" si="5"/>
        <v>99.007758839989833</v>
      </c>
      <c r="H34" s="33">
        <f t="shared" si="5"/>
        <v>109.39999497272704</v>
      </c>
      <c r="I34" s="33">
        <f t="shared" si="5"/>
        <v>163.50025516713447</v>
      </c>
      <c r="J34" s="33">
        <f t="shared" si="5"/>
        <v>141.98852152690384</v>
      </c>
      <c r="K34" s="33">
        <f t="shared" si="5"/>
        <v>129.86480686695279</v>
      </c>
      <c r="L34" s="33">
        <f t="shared" si="5"/>
        <v>152.06564236784283</v>
      </c>
      <c r="N34" s="34">
        <f t="shared" si="0"/>
        <v>120.95424497131123</v>
      </c>
      <c r="O34" s="34">
        <f t="shared" si="1"/>
        <v>113.83011415963489</v>
      </c>
    </row>
    <row r="35" spans="2:15" x14ac:dyDescent="0.3">
      <c r="B35" t="s">
        <v>153</v>
      </c>
      <c r="C35" s="33">
        <f>IFERROR(365/C29,0)</f>
        <v>32.522274826966807</v>
      </c>
      <c r="D35" s="33">
        <f t="shared" ref="D35:L35" si="6">IFERROR(365/D29,0)</f>
        <v>30.913751320449887</v>
      </c>
      <c r="E35" s="33">
        <f t="shared" si="6"/>
        <v>27.967703998552562</v>
      </c>
      <c r="F35" s="33">
        <f t="shared" si="6"/>
        <v>25.805176536784359</v>
      </c>
      <c r="G35" s="33">
        <f t="shared" si="6"/>
        <v>23.90002543881964</v>
      </c>
      <c r="H35" s="33">
        <f t="shared" si="6"/>
        <v>25.386597290299875</v>
      </c>
      <c r="I35" s="33">
        <f t="shared" si="6"/>
        <v>27.777813217657563</v>
      </c>
      <c r="J35" s="33">
        <f t="shared" si="6"/>
        <v>28.506273119017656</v>
      </c>
      <c r="K35" s="33">
        <f t="shared" si="6"/>
        <v>25.612660944206009</v>
      </c>
      <c r="L35" s="33">
        <f t="shared" si="6"/>
        <v>23.717687734263926</v>
      </c>
      <c r="N35" s="34">
        <f t="shared" si="0"/>
        <v>27.210996442701827</v>
      </c>
      <c r="O35" s="34">
        <f t="shared" si="1"/>
        <v>26.791494877220963</v>
      </c>
    </row>
    <row r="36" spans="2:15" x14ac:dyDescent="0.3">
      <c r="B36" t="s">
        <v>154</v>
      </c>
      <c r="C36" s="33">
        <f>C35+C33-C34</f>
        <v>-74.204428911500912</v>
      </c>
      <c r="D36" s="33">
        <f t="shared" ref="D36:L36" si="7">D35+D33-D34</f>
        <v>-45.962374945628525</v>
      </c>
      <c r="E36" s="33">
        <f t="shared" si="7"/>
        <v>-55.682256799951759</v>
      </c>
      <c r="F36" s="33">
        <f t="shared" si="7"/>
        <v>-69.395695597130398</v>
      </c>
      <c r="G36" s="33">
        <f t="shared" si="7"/>
        <v>-58.245866191808709</v>
      </c>
      <c r="H36" s="33">
        <f t="shared" si="7"/>
        <v>-73.471583339617425</v>
      </c>
      <c r="I36" s="33">
        <f t="shared" si="7"/>
        <v>-122.07801735136513</v>
      </c>
      <c r="J36" s="33">
        <f t="shared" si="7"/>
        <v>-97.92071845326619</v>
      </c>
      <c r="K36" s="33">
        <f t="shared" si="7"/>
        <v>-85.700891383294817</v>
      </c>
      <c r="L36" s="33">
        <f t="shared" si="7"/>
        <v>-110.67468010856921</v>
      </c>
      <c r="N36" s="34">
        <f t="shared" si="0"/>
        <v>-79.333651308213305</v>
      </c>
      <c r="O36" s="34">
        <f t="shared" si="1"/>
        <v>-73.838006125559161</v>
      </c>
    </row>
    <row r="37" spans="2:15" x14ac:dyDescent="0.3"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4"/>
      <c r="O37" s="34"/>
    </row>
    <row r="38" spans="2:15" x14ac:dyDescent="0.3">
      <c r="B38" t="s">
        <v>155</v>
      </c>
      <c r="C38" s="17">
        <f>IFERROR(HistoricalFS!C78/HistoricalFS!C6,0)</f>
        <v>0.69307107207857832</v>
      </c>
      <c r="D38" s="17">
        <f>IFERROR(HistoricalFS!D78/HistoricalFS!D6,0)</f>
        <v>1.2523457403840179</v>
      </c>
      <c r="E38" s="17">
        <f>IFERROR(HistoricalFS!E78/HistoricalFS!E6,0)</f>
        <v>0.96073819431879859</v>
      </c>
      <c r="F38" s="17">
        <f>IFERROR(HistoricalFS!F78/HistoricalFS!F6,0)</f>
        <v>1.1031650021100015</v>
      </c>
      <c r="G38" s="17">
        <f>IFERROR(HistoricalFS!G78/HistoricalFS!G6,0)</f>
        <v>0.85103027219537009</v>
      </c>
      <c r="H38" s="17">
        <f>IFERROR(HistoricalFS!H78/HistoricalFS!H6,0)</f>
        <v>0.43795088354322198</v>
      </c>
      <c r="I38" s="17">
        <f>IFERROR(HistoricalFS!I78/HistoricalFS!I6,0)</f>
        <v>0.24817130220294292</v>
      </c>
      <c r="J38" s="17">
        <f>IFERROR(HistoricalFS!J78/HistoricalFS!J6,0)</f>
        <v>0.60439309003546504</v>
      </c>
      <c r="K38" s="17">
        <f>IFERROR(HistoricalFS!K78/HistoricalFS!K6,0)</f>
        <v>0.47717068339385937</v>
      </c>
      <c r="L38" s="17">
        <f>IFERROR(HistoricalFS!L78/HistoricalFS!L6,0)</f>
        <v>6.1522553961483782E-2</v>
      </c>
      <c r="N38" s="34">
        <f t="shared" si="0"/>
        <v>0.668955879422374</v>
      </c>
      <c r="O38" s="34">
        <f t="shared" si="1"/>
        <v>0.64873208105702163</v>
      </c>
    </row>
    <row r="39" spans="2:15" x14ac:dyDescent="0.3">
      <c r="B39" t="s">
        <v>156</v>
      </c>
      <c r="C39" s="17">
        <f>IFERROR(HistoricalFS!C78/HistoricalFS!C64,0)</f>
        <v>1.5356702539860965</v>
      </c>
      <c r="D39" s="17">
        <f>IFERROR(HistoricalFS!D78/HistoricalFS!D64,0)</f>
        <v>2.7248022713445548</v>
      </c>
      <c r="E39" s="17">
        <f>IFERROR(HistoricalFS!E78/HistoricalFS!E64,0)</f>
        <v>2.0285241309053865</v>
      </c>
      <c r="F39" s="17">
        <f>IFERROR(HistoricalFS!F78/HistoricalFS!F64,0)</f>
        <v>2.1952748852312172</v>
      </c>
      <c r="G39" s="17">
        <f>IFERROR(HistoricalFS!G78/HistoricalFS!G64,0)</f>
        <v>1.7958022438134091</v>
      </c>
      <c r="H39" s="17">
        <f>IFERROR(HistoricalFS!H78/HistoricalFS!H64,0)</f>
        <v>0.86453629732546022</v>
      </c>
      <c r="I39" s="17">
        <f>IFERROR(HistoricalFS!I78/HistoricalFS!I64,0)</f>
        <v>0.16978469595577539</v>
      </c>
      <c r="J39" s="17">
        <f>IFERROR(HistoricalFS!J78/HistoricalFS!J64,0)</f>
        <v>0.44957875925453156</v>
      </c>
      <c r="K39" s="17">
        <f>IFERROR(HistoricalFS!K78/HistoricalFS!K64,0)</f>
        <v>0.39556905729572917</v>
      </c>
      <c r="L39" s="17">
        <f>IFERROR(HistoricalFS!L78/HistoricalFS!L64,0)</f>
        <v>4.8516352609919863E-2</v>
      </c>
      <c r="N39" s="34">
        <f t="shared" si="0"/>
        <v>1.2208058947722078</v>
      </c>
      <c r="O39" s="34">
        <f t="shared" si="1"/>
        <v>1.2001032756557783</v>
      </c>
    </row>
    <row r="40" spans="2:15" x14ac:dyDescent="0.3">
      <c r="B40" t="s">
        <v>157</v>
      </c>
      <c r="C40" s="17">
        <f>IFERROR(HistoricalFS!C78/HistoricalFS!C49,0)</f>
        <v>514.84665427509299</v>
      </c>
      <c r="D40" s="17">
        <f>IFERROR(HistoricalFS!D78/HistoricalFS!D49,0)</f>
        <v>227.72881355932202</v>
      </c>
      <c r="E40" s="17">
        <f>IFERROR(HistoricalFS!E78/HistoricalFS!E49,0)</f>
        <v>115.01805054151625</v>
      </c>
      <c r="F40" s="17">
        <f>IFERROR(HistoricalFS!F78/HistoricalFS!F49,0)</f>
        <v>0</v>
      </c>
      <c r="G40" s="17">
        <f>IFERROR(HistoricalFS!G78/HistoricalFS!G49,0)</f>
        <v>337.91919191919192</v>
      </c>
      <c r="H40" s="17">
        <f>IFERROR(HistoricalFS!H78/HistoricalFS!H49,0)</f>
        <v>0</v>
      </c>
      <c r="I40" s="17">
        <f>IFERROR(HistoricalFS!I78/HistoricalFS!I49,0)</f>
        <v>0</v>
      </c>
      <c r="J40" s="17">
        <f>IFERROR(HistoricalFS!J78/HistoricalFS!J49,0)</f>
        <v>30.391179290508148</v>
      </c>
      <c r="K40" s="17">
        <f>IFERROR(HistoricalFS!K78/HistoricalFS!K49,0)</f>
        <v>23.713699753896638</v>
      </c>
      <c r="L40" s="17">
        <f>IFERROR(HistoricalFS!L78/HistoricalFS!L49,0)</f>
        <v>2.5660377358490565</v>
      </c>
      <c r="N40" s="34">
        <f t="shared" si="0"/>
        <v>125.21836270753772</v>
      </c>
      <c r="O40" s="34">
        <f t="shared" si="1"/>
        <v>27.052439522202391</v>
      </c>
    </row>
  </sheetData>
  <mergeCells count="1">
    <mergeCell ref="B2:O2"/>
  </mergeCells>
  <pageMargins left="0.23622047244094491" right="0.23622047244094491" top="0.15748031496062992" bottom="0.15748031496062992" header="0" footer="0.31496062992125984"/>
  <pageSetup paperSize="9" scale="96" fitToHeight="0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markers="1" xr2:uid="{FE1F6487-6335-46A1-A56D-892167827C8D}">
          <x14:colorSeries theme="4" tint="0.39997558519241921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'financial Ratios'!D5:L5</xm:f>
              <xm:sqref>M5</xm:sqref>
            </x14:sparkline>
            <x14:sparkline>
              <xm:f>'financial Ratios'!D6:L6</xm:f>
              <xm:sqref>M6</xm:sqref>
            </x14:sparkline>
            <x14:sparkline>
              <xm:f>'financial Ratios'!D7:L7</xm:f>
              <xm:sqref>M7</xm:sqref>
            </x14:sparkline>
            <x14:sparkline>
              <xm:f>'financial Ratios'!D8:L8</xm:f>
              <xm:sqref>M8</xm:sqref>
            </x14:sparkline>
            <x14:sparkline>
              <xm:f>'financial Ratios'!D9:L9</xm:f>
              <xm:sqref>M9</xm:sqref>
            </x14:sparkline>
            <x14:sparkline>
              <xm:f>'financial Ratios'!D10:L10</xm:f>
              <xm:sqref>M10</xm:sqref>
            </x14:sparkline>
            <x14:sparkline>
              <xm:f>'financial Ratios'!D11:L11</xm:f>
              <xm:sqref>M11</xm:sqref>
            </x14:sparkline>
            <x14:sparkline>
              <xm:f>'financial Ratios'!D12:L12</xm:f>
              <xm:sqref>M12</xm:sqref>
            </x14:sparkline>
            <x14:sparkline>
              <xm:f>'financial Ratios'!D13:L13</xm:f>
              <xm:sqref>M13</xm:sqref>
            </x14:sparkline>
            <x14:sparkline>
              <xm:f>'financial Ratios'!D14:L14</xm:f>
              <xm:sqref>M14</xm:sqref>
            </x14:sparkline>
            <x14:sparkline>
              <xm:f>'financial Ratios'!D15:L15</xm:f>
              <xm:sqref>M15</xm:sqref>
            </x14:sparkline>
            <x14:sparkline>
              <xm:f>'financial Ratios'!D16:L16</xm:f>
              <xm:sqref>M16</xm:sqref>
            </x14:sparkline>
            <x14:sparkline>
              <xm:f>'financial Ratios'!D17:L17</xm:f>
              <xm:sqref>M17</xm:sqref>
            </x14:sparkline>
            <x14:sparkline>
              <xm:f>'financial Ratios'!D18:L18</xm:f>
              <xm:sqref>M18</xm:sqref>
            </x14:sparkline>
            <x14:sparkline>
              <xm:f>'financial Ratios'!D19:L19</xm:f>
              <xm:sqref>M19</xm:sqref>
            </x14:sparkline>
            <x14:sparkline>
              <xm:f>'financial Ratios'!D20:L20</xm:f>
              <xm:sqref>M20</xm:sqref>
            </x14:sparkline>
            <x14:sparkline>
              <xm:f>'financial Ratios'!D21:L21</xm:f>
              <xm:sqref>M21</xm:sqref>
            </x14:sparkline>
            <x14:sparkline>
              <xm:f>'financial Ratios'!D22:L22</xm:f>
              <xm:sqref>M22</xm:sqref>
            </x14:sparkline>
            <x14:sparkline>
              <xm:f>'financial Ratios'!D23:L23</xm:f>
              <xm:sqref>M23</xm:sqref>
            </x14:sparkline>
            <x14:sparkline>
              <xm:f>'financial Ratios'!D24:L24</xm:f>
              <xm:sqref>M24</xm:sqref>
            </x14:sparkline>
            <x14:sparkline>
              <xm:f>'financial Ratios'!D25:L25</xm:f>
              <xm:sqref>M25</xm:sqref>
            </x14:sparkline>
            <x14:sparkline>
              <xm:f>'financial Ratios'!D26:L26</xm:f>
              <xm:sqref>M26</xm:sqref>
            </x14:sparkline>
            <x14:sparkline>
              <xm:f>'financial Ratios'!D27:L27</xm:f>
              <xm:sqref>M27</xm:sqref>
            </x14:sparkline>
            <x14:sparkline>
              <xm:f>'financial Ratios'!D28:L28</xm:f>
              <xm:sqref>M28</xm:sqref>
            </x14:sparkline>
            <x14:sparkline>
              <xm:f>'financial Ratios'!D29:L29</xm:f>
              <xm:sqref>M29</xm:sqref>
            </x14:sparkline>
            <x14:sparkline>
              <xm:f>'financial Ratios'!D30:L30</xm:f>
              <xm:sqref>M30</xm:sqref>
            </x14:sparkline>
            <x14:sparkline>
              <xm:f>'financial Ratios'!D31:L31</xm:f>
              <xm:sqref>M31</xm:sqref>
            </x14:sparkline>
            <x14:sparkline>
              <xm:f>'financial Ratios'!D32:L32</xm:f>
              <xm:sqref>M32</xm:sqref>
            </x14:sparkline>
            <x14:sparkline>
              <xm:f>'financial Ratios'!D33:L33</xm:f>
              <xm:sqref>M33</xm:sqref>
            </x14:sparkline>
            <x14:sparkline>
              <xm:f>'financial Ratios'!D34:L34</xm:f>
              <xm:sqref>M34</xm:sqref>
            </x14:sparkline>
            <x14:sparkline>
              <xm:f>'financial Ratios'!D35:L35</xm:f>
              <xm:sqref>M35</xm:sqref>
            </x14:sparkline>
            <x14:sparkline>
              <xm:f>'financial Ratios'!D36:L36</xm:f>
              <xm:sqref>M36</xm:sqref>
            </x14:sparkline>
            <x14:sparkline>
              <xm:f>'financial Ratios'!D37:L37</xm:f>
              <xm:sqref>M37</xm:sqref>
            </x14:sparkline>
            <x14:sparkline>
              <xm:f>'financial Ratios'!D38:L38</xm:f>
              <xm:sqref>M38</xm:sqref>
            </x14:sparkline>
            <x14:sparkline>
              <xm:f>'financial Ratios'!D39:L39</xm:f>
              <xm:sqref>M39</xm:sqref>
            </x14:sparkline>
            <x14:sparkline>
              <xm:f>'financial Ratios'!D40:L40</xm:f>
              <xm:sqref>M40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8674-8D1D-4FD3-9401-955778F40EAE}">
  <sheetPr>
    <pageSetUpPr fitToPage="1"/>
  </sheetPr>
  <dimension ref="A2:O16"/>
  <sheetViews>
    <sheetView tabSelected="1" workbookViewId="0">
      <selection activeCell="G34" sqref="G34"/>
    </sheetView>
  </sheetViews>
  <sheetFormatPr defaultRowHeight="14.4" x14ac:dyDescent="0.3"/>
  <cols>
    <col min="1" max="1" width="1.88671875" style="30" customWidth="1"/>
    <col min="5" max="5" width="11.33203125" bestFit="1" customWidth="1"/>
    <col min="10" max="10" width="11.33203125" bestFit="1" customWidth="1"/>
  </cols>
  <sheetData>
    <row r="2" spans="2:15" x14ac:dyDescent="0.3">
      <c r="B2" s="118" t="str">
        <f>'Data Sheet'!B1&amp;" - "&amp;'Data Sheet'!A17&amp;" Forecast"</f>
        <v>HINDUSTAN UNILEVER LTD - Sales Forecast</v>
      </c>
      <c r="C2" s="118"/>
      <c r="D2" s="118"/>
      <c r="E2" s="118"/>
      <c r="G2" s="118" t="str">
        <f>'Data Sheet'!B1&amp;" - "&amp;'Data Sheet'!A34&amp;" Forecast"</f>
        <v>HINDUSTAN UNILEVER LTD - EBITDA Forecast</v>
      </c>
      <c r="H2" s="118"/>
      <c r="I2" s="118"/>
      <c r="J2" s="118"/>
      <c r="L2" s="118" t="str">
        <f>'Data Sheet'!B1&amp;"-EPS Forecast"</f>
        <v>HINDUSTAN UNILEVER LTD-EPS Forecast</v>
      </c>
      <c r="M2" s="118"/>
      <c r="N2" s="118"/>
      <c r="O2" s="118"/>
    </row>
    <row r="3" spans="2:15" x14ac:dyDescent="0.3">
      <c r="B3" s="35" t="s">
        <v>161</v>
      </c>
      <c r="C3" s="35" t="s">
        <v>162</v>
      </c>
      <c r="D3" s="35" t="s">
        <v>12</v>
      </c>
      <c r="E3" s="35" t="s">
        <v>163</v>
      </c>
      <c r="G3" s="35" t="s">
        <v>161</v>
      </c>
      <c r="H3" s="35" t="s">
        <v>162</v>
      </c>
      <c r="I3" s="35" t="s">
        <v>164</v>
      </c>
      <c r="J3" s="35" t="s">
        <v>165</v>
      </c>
      <c r="L3" s="35" t="s">
        <v>161</v>
      </c>
      <c r="M3" s="35" t="s">
        <v>162</v>
      </c>
      <c r="N3" s="35" t="s">
        <v>164</v>
      </c>
      <c r="O3" s="35" t="s">
        <v>163</v>
      </c>
    </row>
    <row r="4" spans="2:15" x14ac:dyDescent="0.3">
      <c r="B4">
        <v>1</v>
      </c>
      <c r="C4" s="36" cm="1">
        <f t="array" ref="C4:C13">TRANSPOSE(HistoricalFS!C3:L3)</f>
        <v>42094</v>
      </c>
      <c r="D4" cm="1">
        <f t="array" ref="D4:D13">TRANSPOSE(HistoricalFS!C6:L6)</f>
        <v>31972.19</v>
      </c>
      <c r="G4">
        <v>1</v>
      </c>
      <c r="H4" s="36">
        <f>C4</f>
        <v>42094</v>
      </c>
      <c r="I4" cm="1">
        <f t="array" ref="I4:I13">TRANSPOSE('Data Sheet'!B34:K34)</f>
        <v>6647.17</v>
      </c>
      <c r="L4">
        <v>1</v>
      </c>
      <c r="M4" s="36">
        <f>H4</f>
        <v>42094</v>
      </c>
      <c r="N4" cm="1">
        <f t="array" ref="N4:N13">TRANSPOSE(HistoricalFS!C38:L38)</f>
        <v>14.459579385255374</v>
      </c>
    </row>
    <row r="5" spans="2:15" x14ac:dyDescent="0.3">
      <c r="B5">
        <f>B4+1</f>
        <v>2</v>
      </c>
      <c r="C5" s="36">
        <v>42460</v>
      </c>
      <c r="D5">
        <v>32186</v>
      </c>
      <c r="E5" s="17">
        <f>D5/D4-1</f>
        <v>6.6873742461808217E-3</v>
      </c>
      <c r="G5">
        <f>G4+1</f>
        <v>2</v>
      </c>
      <c r="H5" s="36">
        <f t="shared" ref="H5:H16" si="0">C5</f>
        <v>42460</v>
      </c>
      <c r="I5">
        <v>6396</v>
      </c>
      <c r="J5" s="17">
        <f>I5/I4-1</f>
        <v>-3.7786005172125936E-2</v>
      </c>
      <c r="L5">
        <f>L4+1</f>
        <v>2</v>
      </c>
      <c r="M5" s="36">
        <f t="shared" ref="M5:M16" si="1">H5</f>
        <v>42460</v>
      </c>
      <c r="N5">
        <v>16.937011876704101</v>
      </c>
      <c r="O5" s="17">
        <f>N5/N4-1</f>
        <v>0.17133503163826447</v>
      </c>
    </row>
    <row r="6" spans="2:15" x14ac:dyDescent="0.3">
      <c r="B6">
        <f t="shared" ref="B6:B16" si="2">B5+1</f>
        <v>3</v>
      </c>
      <c r="C6" s="36">
        <v>42825</v>
      </c>
      <c r="D6">
        <v>33162</v>
      </c>
      <c r="E6" s="17">
        <f t="shared" ref="E6:E16" si="3">D6/D5-1</f>
        <v>3.03237432424035E-2</v>
      </c>
      <c r="G6">
        <f t="shared" ref="G6:G16" si="4">G5+1</f>
        <v>3</v>
      </c>
      <c r="H6" s="36">
        <f t="shared" si="0"/>
        <v>42825</v>
      </c>
      <c r="I6">
        <v>6920</v>
      </c>
      <c r="J6" s="17">
        <f t="shared" ref="J6:J16" si="5">I6/I5-1</f>
        <v>8.1926203877423331E-2</v>
      </c>
      <c r="L6">
        <f t="shared" ref="L6:L16" si="6">L5+1</f>
        <v>3</v>
      </c>
      <c r="M6" s="36">
        <f t="shared" si="1"/>
        <v>42825</v>
      </c>
      <c r="N6">
        <v>17.945756133622879</v>
      </c>
      <c r="O6" s="17">
        <f t="shared" ref="O6:O16" si="7">N6/N5-1</f>
        <v>5.9558572920778818E-2</v>
      </c>
    </row>
    <row r="7" spans="2:15" x14ac:dyDescent="0.3">
      <c r="B7">
        <f t="shared" si="2"/>
        <v>4</v>
      </c>
      <c r="C7" s="36">
        <v>43190</v>
      </c>
      <c r="D7">
        <v>35545</v>
      </c>
      <c r="E7" s="17">
        <f t="shared" si="3"/>
        <v>7.1859357095470644E-2</v>
      </c>
      <c r="G7">
        <f t="shared" si="4"/>
        <v>4</v>
      </c>
      <c r="H7" s="36">
        <f t="shared" si="0"/>
        <v>43190</v>
      </c>
      <c r="I7">
        <v>7839</v>
      </c>
      <c r="J7" s="17">
        <f t="shared" si="5"/>
        <v>0.13280346820809252</v>
      </c>
      <c r="L7">
        <f t="shared" si="6"/>
        <v>4</v>
      </c>
      <c r="M7" s="36">
        <f t="shared" si="1"/>
        <v>43190</v>
      </c>
      <c r="N7">
        <v>22.51790251790252</v>
      </c>
      <c r="O7" s="17">
        <f t="shared" si="7"/>
        <v>0.25477591193348159</v>
      </c>
    </row>
    <row r="8" spans="2:15" x14ac:dyDescent="0.3">
      <c r="B8">
        <f t="shared" si="2"/>
        <v>5</v>
      </c>
      <c r="C8" s="36">
        <v>43555</v>
      </c>
      <c r="D8">
        <v>39310</v>
      </c>
      <c r="E8" s="17">
        <f t="shared" si="3"/>
        <v>0.1059220706147137</v>
      </c>
      <c r="G8">
        <f t="shared" si="4"/>
        <v>5</v>
      </c>
      <c r="H8" s="36">
        <f t="shared" si="0"/>
        <v>43555</v>
      </c>
      <c r="I8">
        <v>9196</v>
      </c>
      <c r="J8" s="17">
        <f t="shared" si="5"/>
        <v>0.17310881489985963</v>
      </c>
      <c r="L8">
        <f t="shared" si="6"/>
        <v>5</v>
      </c>
      <c r="M8" s="36">
        <f t="shared" si="1"/>
        <v>43555</v>
      </c>
      <c r="N8">
        <v>26.507137247655564</v>
      </c>
      <c r="O8" s="17">
        <f t="shared" si="7"/>
        <v>0.17715836217789205</v>
      </c>
    </row>
    <row r="9" spans="2:15" x14ac:dyDescent="0.3">
      <c r="B9">
        <f t="shared" si="2"/>
        <v>6</v>
      </c>
      <c r="C9" s="36">
        <v>43921</v>
      </c>
      <c r="D9">
        <v>39783</v>
      </c>
      <c r="E9" s="17">
        <f t="shared" si="3"/>
        <v>1.2032561689137689E-2</v>
      </c>
      <c r="G9">
        <f t="shared" si="4"/>
        <v>6</v>
      </c>
      <c r="H9" s="36">
        <f t="shared" si="0"/>
        <v>43921</v>
      </c>
      <c r="I9">
        <v>10277</v>
      </c>
      <c r="J9" s="17">
        <f t="shared" si="5"/>
        <v>0.11755110917790335</v>
      </c>
      <c r="L9">
        <f t="shared" si="6"/>
        <v>6</v>
      </c>
      <c r="M9" s="36">
        <f t="shared" si="1"/>
        <v>43921</v>
      </c>
      <c r="N9">
        <v>29.249815225424982</v>
      </c>
      <c r="O9" s="17">
        <f t="shared" si="7"/>
        <v>0.10346941475213423</v>
      </c>
    </row>
    <row r="10" spans="2:15" x14ac:dyDescent="0.3">
      <c r="B10">
        <f t="shared" si="2"/>
        <v>7</v>
      </c>
      <c r="C10" s="36">
        <v>44286</v>
      </c>
      <c r="D10">
        <v>47028</v>
      </c>
      <c r="E10" s="17">
        <f t="shared" si="3"/>
        <v>0.18211296282331646</v>
      </c>
      <c r="G10">
        <f t="shared" si="4"/>
        <v>7</v>
      </c>
      <c r="H10" s="36">
        <f t="shared" si="0"/>
        <v>44286</v>
      </c>
      <c r="I10">
        <v>11792</v>
      </c>
      <c r="J10" s="17">
        <f t="shared" si="5"/>
        <v>0.14741656125328406</v>
      </c>
      <c r="L10">
        <f t="shared" si="6"/>
        <v>7</v>
      </c>
      <c r="M10" s="36">
        <f t="shared" si="1"/>
        <v>44286</v>
      </c>
      <c r="N10">
        <v>33.320565202587673</v>
      </c>
      <c r="O10" s="17">
        <f t="shared" si="7"/>
        <v>0.1391718185496178</v>
      </c>
    </row>
    <row r="11" spans="2:15" x14ac:dyDescent="0.3">
      <c r="B11">
        <f t="shared" si="2"/>
        <v>8</v>
      </c>
      <c r="C11" s="36">
        <v>44651</v>
      </c>
      <c r="D11">
        <v>52446</v>
      </c>
      <c r="E11" s="17">
        <f t="shared" si="3"/>
        <v>0.11520796121459553</v>
      </c>
      <c r="G11">
        <f t="shared" si="4"/>
        <v>8</v>
      </c>
      <c r="H11" s="36">
        <f t="shared" si="0"/>
        <v>44651</v>
      </c>
      <c r="I11">
        <v>13063</v>
      </c>
      <c r="J11" s="17">
        <f>I11/I10-1</f>
        <v>0.10778493894165542</v>
      </c>
      <c r="L11">
        <f t="shared" si="6"/>
        <v>8</v>
      </c>
      <c r="M11" s="36">
        <f t="shared" si="1"/>
        <v>44651</v>
      </c>
      <c r="N11">
        <v>36.912665985699689</v>
      </c>
      <c r="O11" s="17">
        <f t="shared" si="7"/>
        <v>0.10780431728190054</v>
      </c>
    </row>
    <row r="12" spans="2:15" x14ac:dyDescent="0.3">
      <c r="B12">
        <f t="shared" si="2"/>
        <v>9</v>
      </c>
      <c r="C12" s="36">
        <v>45016</v>
      </c>
      <c r="D12">
        <v>60580</v>
      </c>
      <c r="E12" s="17">
        <f t="shared" si="3"/>
        <v>0.15509285741524614</v>
      </c>
      <c r="G12">
        <f t="shared" si="4"/>
        <v>9</v>
      </c>
      <c r="H12" s="36">
        <f t="shared" si="0"/>
        <v>45016</v>
      </c>
      <c r="I12">
        <v>14572</v>
      </c>
      <c r="J12" s="17">
        <f>I12/I11-1</f>
        <v>0.11551710939294191</v>
      </c>
      <c r="L12">
        <f t="shared" si="6"/>
        <v>9</v>
      </c>
      <c r="M12" s="36">
        <f t="shared" si="1"/>
        <v>45016</v>
      </c>
      <c r="N12">
        <v>41.262342526387471</v>
      </c>
      <c r="O12" s="17">
        <f t="shared" si="7"/>
        <v>0.11783696529459253</v>
      </c>
    </row>
    <row r="13" spans="2:15" x14ac:dyDescent="0.3">
      <c r="B13">
        <f t="shared" si="2"/>
        <v>10</v>
      </c>
      <c r="C13" s="36">
        <v>45382</v>
      </c>
      <c r="D13">
        <v>61896</v>
      </c>
      <c r="E13" s="17">
        <f t="shared" si="3"/>
        <v>2.1723341036645749E-2</v>
      </c>
      <c r="G13">
        <f t="shared" si="4"/>
        <v>10</v>
      </c>
      <c r="H13" s="36">
        <f t="shared" si="0"/>
        <v>45382</v>
      </c>
      <c r="I13">
        <v>15471</v>
      </c>
      <c r="J13" s="17">
        <f>I13/I12-1</f>
        <v>6.1693659072193263E-2</v>
      </c>
      <c r="L13">
        <f t="shared" si="6"/>
        <v>10</v>
      </c>
      <c r="M13" s="36">
        <f t="shared" si="1"/>
        <v>45382</v>
      </c>
      <c r="N13">
        <v>40.283452502553622</v>
      </c>
      <c r="O13" s="17">
        <f t="shared" si="7"/>
        <v>-2.3723568849922771E-2</v>
      </c>
    </row>
    <row r="14" spans="2:15" x14ac:dyDescent="0.3">
      <c r="B14" s="37">
        <f t="shared" si="2"/>
        <v>11</v>
      </c>
      <c r="C14" s="38">
        <f>C13+365</f>
        <v>45747</v>
      </c>
      <c r="D14" s="37">
        <f>FORECAST(B14,$D$4:$D$13,$B$4:$B$13)</f>
        <v>63371.295333333335</v>
      </c>
      <c r="E14" s="39">
        <f t="shared" si="3"/>
        <v>2.3835067424927914E-2</v>
      </c>
      <c r="G14" s="37">
        <f t="shared" si="4"/>
        <v>11</v>
      </c>
      <c r="H14" s="38">
        <f t="shared" si="0"/>
        <v>45747</v>
      </c>
      <c r="I14" s="37">
        <f>FORECAST(G14,_xlfn.ANCHORARRAY($I$4),$G$4:$G$13)</f>
        <v>16227.366000000002</v>
      </c>
      <c r="J14" s="39">
        <f t="shared" si="5"/>
        <v>4.8889276711266305E-2</v>
      </c>
      <c r="L14" s="37">
        <f t="shared" si="6"/>
        <v>11</v>
      </c>
      <c r="M14" s="38">
        <f t="shared" si="1"/>
        <v>45747</v>
      </c>
      <c r="N14" s="37">
        <f>FORECAST(L14,_xlfn.ANCHORARRAY($N$4),$L$4:$L$13)</f>
        <v>45.695535790235283</v>
      </c>
      <c r="O14" s="39">
        <f t="shared" si="7"/>
        <v>0.13435003584508021</v>
      </c>
    </row>
    <row r="15" spans="2:15" x14ac:dyDescent="0.3">
      <c r="B15" s="37">
        <f t="shared" si="2"/>
        <v>12</v>
      </c>
      <c r="C15" s="38">
        <f>C14+365</f>
        <v>46112</v>
      </c>
      <c r="D15" s="37">
        <f>FORECAST(B15,$D$4:$D$13,$B$4:$B$13)</f>
        <v>67004.109212121228</v>
      </c>
      <c r="E15" s="39">
        <f t="shared" si="3"/>
        <v>5.732585801945933E-2</v>
      </c>
      <c r="G15" s="37">
        <f t="shared" si="4"/>
        <v>12</v>
      </c>
      <c r="H15" s="38">
        <f t="shared" si="0"/>
        <v>46112</v>
      </c>
      <c r="I15" s="37">
        <f>FORECAST(G15,_xlfn.ANCHORARRAY($I$4),$G$4:$G$13)</f>
        <v>17320.102181818183</v>
      </c>
      <c r="J15" s="39">
        <f t="shared" si="5"/>
        <v>6.7339097535495274E-2</v>
      </c>
      <c r="L15" s="37">
        <f t="shared" si="6"/>
        <v>12</v>
      </c>
      <c r="M15" s="38">
        <f t="shared" si="1"/>
        <v>46112</v>
      </c>
      <c r="N15" s="37">
        <f>FORECAST(L15,_xlfn.ANCHORARRAY($N$4),$L$4:$L$13)</f>
        <v>48.923883595663625</v>
      </c>
      <c r="O15" s="39">
        <f t="shared" si="7"/>
        <v>7.0649085290257485E-2</v>
      </c>
    </row>
    <row r="16" spans="2:15" x14ac:dyDescent="0.3">
      <c r="B16" s="37">
        <f t="shared" si="2"/>
        <v>13</v>
      </c>
      <c r="C16" s="38">
        <f>C15+365</f>
        <v>46477</v>
      </c>
      <c r="D16" s="37">
        <f>FORECAST(B16,$D$4:$D$13,$B$4:$B$13)</f>
        <v>70636.923090909098</v>
      </c>
      <c r="E16" s="39">
        <f t="shared" si="3"/>
        <v>5.4217777409548473E-2</v>
      </c>
      <c r="G16" s="37">
        <f t="shared" si="4"/>
        <v>13</v>
      </c>
      <c r="H16" s="38">
        <f t="shared" si="0"/>
        <v>46477</v>
      </c>
      <c r="I16" s="37">
        <f>FORECAST(G16,_xlfn.ANCHORARRAY($I$4),$G$4:$G$13)</f>
        <v>18412.838363636365</v>
      </c>
      <c r="J16" s="39">
        <f t="shared" si="5"/>
        <v>6.3090631356972349E-2</v>
      </c>
      <c r="L16" s="37">
        <f t="shared" si="6"/>
        <v>13</v>
      </c>
      <c r="M16" s="38">
        <f t="shared" si="1"/>
        <v>46477</v>
      </c>
      <c r="N16" s="37">
        <f>FORECAST(L16,_xlfn.ANCHORARRAY($N$4),$L$4:$L$13)</f>
        <v>52.152231401091967</v>
      </c>
      <c r="O16" s="39">
        <f t="shared" si="7"/>
        <v>6.5987153270769427E-2</v>
      </c>
    </row>
  </sheetData>
  <mergeCells count="3">
    <mergeCell ref="B2:E2"/>
    <mergeCell ref="G2:J2"/>
    <mergeCell ref="L2:O2"/>
  </mergeCells>
  <pageMargins left="0.7" right="0.7" top="0.75" bottom="0.75" header="0.3" footer="0.3"/>
  <pageSetup paperSize="9" scale="9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D46C-496E-4B56-81EC-987B9EB95A92}">
  <sheetPr>
    <tabColor theme="4" tint="-0.499984740745262"/>
  </sheetPr>
  <dimension ref="A1"/>
  <sheetViews>
    <sheetView workbookViewId="0">
      <selection activeCell="L44" sqref="L4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84EF-411A-4AA5-AD2A-CBD6E073866F}">
  <dimension ref="B1:U503"/>
  <sheetViews>
    <sheetView showGridLines="0" zoomScale="91" workbookViewId="0">
      <selection activeCell="N7" sqref="N7"/>
    </sheetView>
  </sheetViews>
  <sheetFormatPr defaultRowHeight="14.4" x14ac:dyDescent="0.3"/>
  <cols>
    <col min="1" max="1" width="1.88671875" customWidth="1"/>
    <col min="2" max="2" width="11.109375" bestFit="1" customWidth="1"/>
    <col min="6" max="6" width="10.33203125" customWidth="1"/>
    <col min="9" max="9" width="17.77734375" bestFit="1" customWidth="1"/>
    <col min="14" max="14" width="20.21875" bestFit="1" customWidth="1"/>
  </cols>
  <sheetData>
    <row r="1" spans="2:14" ht="34.200000000000003" customHeight="1" x14ac:dyDescent="0.4">
      <c r="B1" s="42" t="str">
        <f>"Beta calculation - "&amp;'Data Sheet'!B1</f>
        <v>Beta calculation - HINDUSTAN UNILEVER LTD</v>
      </c>
      <c r="C1" s="42"/>
      <c r="D1" s="42"/>
      <c r="E1" s="42"/>
      <c r="F1" s="42"/>
      <c r="G1" s="42"/>
    </row>
    <row r="3" spans="2:14" ht="15.6" x14ac:dyDescent="0.3">
      <c r="B3" s="119" t="s">
        <v>169</v>
      </c>
      <c r="C3" s="119"/>
      <c r="D3" s="119"/>
      <c r="F3" s="119" t="s">
        <v>170</v>
      </c>
      <c r="G3" s="119"/>
      <c r="I3" s="119" t="s">
        <v>171</v>
      </c>
      <c r="J3" s="119"/>
    </row>
    <row r="5" spans="2:14" ht="16.2" x14ac:dyDescent="0.3">
      <c r="B5" s="43" t="s">
        <v>166</v>
      </c>
      <c r="C5" s="43" t="s">
        <v>167</v>
      </c>
      <c r="D5" s="43" t="s">
        <v>168</v>
      </c>
      <c r="F5" s="43" t="s">
        <v>167</v>
      </c>
      <c r="G5" s="43" t="s">
        <v>168</v>
      </c>
      <c r="I5" t="s">
        <v>172</v>
      </c>
      <c r="J5" s="44">
        <f>N7</f>
        <v>0.58401254452585216</v>
      </c>
      <c r="M5" t="s">
        <v>176</v>
      </c>
      <c r="N5" s="44">
        <f>SLOPE(D8:D502,G8:G502)</f>
        <v>0.58401254452585216</v>
      </c>
    </row>
    <row r="6" spans="2:14" ht="16.2" x14ac:dyDescent="0.3">
      <c r="I6" t="s">
        <v>173</v>
      </c>
      <c r="J6">
        <v>0.75</v>
      </c>
      <c r="M6" t="s">
        <v>177</v>
      </c>
      <c r="N6" s="44">
        <f>_xlfn.COVARIANCE.S(D8:D502,G8:G502)/_xlfn.VAR.S(G8:G502)</f>
        <v>0.58401254452585227</v>
      </c>
    </row>
    <row r="7" spans="2:14" ht="16.2" x14ac:dyDescent="0.3">
      <c r="B7" s="40">
        <v>45658</v>
      </c>
      <c r="C7" s="41">
        <v>2322.1</v>
      </c>
      <c r="D7" s="41"/>
      <c r="E7" s="41"/>
      <c r="F7" s="41">
        <v>23742.9</v>
      </c>
      <c r="G7" s="41"/>
      <c r="H7" s="41"/>
      <c r="I7" s="41"/>
      <c r="K7" s="34"/>
      <c r="M7" t="s">
        <v>178</v>
      </c>
      <c r="N7" s="44">
        <f>N28</f>
        <v>0.58401254452585216</v>
      </c>
    </row>
    <row r="8" spans="2:14" x14ac:dyDescent="0.3">
      <c r="B8" s="40">
        <v>45657</v>
      </c>
      <c r="C8" s="41">
        <v>2326.85</v>
      </c>
      <c r="D8" s="17">
        <f>C8/C7-1</f>
        <v>2.0455622066233303E-3</v>
      </c>
      <c r="E8" s="41"/>
      <c r="F8" s="41">
        <v>23644.799999999999</v>
      </c>
      <c r="G8" s="17">
        <f>F8/F7-1</f>
        <v>-4.1317614950154846E-3</v>
      </c>
      <c r="H8" s="41"/>
      <c r="I8" s="41" t="s">
        <v>174</v>
      </c>
      <c r="J8">
        <v>1</v>
      </c>
      <c r="K8" s="34"/>
    </row>
    <row r="9" spans="2:14" x14ac:dyDescent="0.3">
      <c r="B9" s="40">
        <v>45656</v>
      </c>
      <c r="C9" s="41">
        <v>2343.5</v>
      </c>
      <c r="D9" s="17">
        <f t="shared" ref="D9:D69" si="0">C9/C8-1</f>
        <v>7.1555966220426814E-3</v>
      </c>
      <c r="E9" s="41"/>
      <c r="F9" s="41">
        <v>23644.9</v>
      </c>
      <c r="G9" s="17">
        <f t="shared" ref="G9:G69" si="1">F9/F8-1</f>
        <v>4.2292597104420793E-6</v>
      </c>
      <c r="H9" s="41"/>
      <c r="I9" s="41" t="s">
        <v>175</v>
      </c>
      <c r="J9">
        <v>0.25</v>
      </c>
      <c r="K9" s="34"/>
    </row>
    <row r="10" spans="2:14" x14ac:dyDescent="0.3">
      <c r="B10" s="40">
        <v>45653</v>
      </c>
      <c r="C10" s="41">
        <v>2341.25</v>
      </c>
      <c r="D10" s="17">
        <f t="shared" si="0"/>
        <v>-9.6010241092381321E-4</v>
      </c>
      <c r="E10" s="41"/>
      <c r="F10" s="41">
        <v>23813.4</v>
      </c>
      <c r="G10" s="17">
        <f t="shared" si="1"/>
        <v>7.126272473133799E-3</v>
      </c>
      <c r="H10" s="41"/>
      <c r="I10" s="41"/>
      <c r="K10" s="34"/>
    </row>
    <row r="11" spans="2:14" x14ac:dyDescent="0.3">
      <c r="B11" s="40">
        <v>45652</v>
      </c>
      <c r="C11" s="41">
        <v>2332.75</v>
      </c>
      <c r="D11" s="17">
        <f t="shared" si="0"/>
        <v>-3.6305392418579663E-3</v>
      </c>
      <c r="E11" s="41"/>
      <c r="F11" s="41">
        <v>23750.2</v>
      </c>
      <c r="G11" s="17">
        <f t="shared" si="1"/>
        <v>-2.6539679340203959E-3</v>
      </c>
      <c r="H11" s="41"/>
      <c r="I11" s="45" t="s">
        <v>179</v>
      </c>
      <c r="J11" s="46">
        <f>J9*J8+J6*J5</f>
        <v>0.68800940839438907</v>
      </c>
      <c r="K11" s="34"/>
      <c r="M11" t="s">
        <v>190</v>
      </c>
    </row>
    <row r="12" spans="2:14" ht="15" thickBot="1" x14ac:dyDescent="0.35">
      <c r="B12" s="40">
        <v>45650</v>
      </c>
      <c r="C12" s="41">
        <v>2335.5500000000002</v>
      </c>
      <c r="D12" s="17">
        <f t="shared" si="0"/>
        <v>1.200300075018923E-3</v>
      </c>
      <c r="E12" s="41"/>
      <c r="F12" s="41">
        <v>23727.65</v>
      </c>
      <c r="G12" s="17">
        <f t="shared" si="1"/>
        <v>-9.4946568870990511E-4</v>
      </c>
      <c r="H12" s="41"/>
      <c r="I12" s="41"/>
      <c r="K12" s="34"/>
    </row>
    <row r="13" spans="2:14" x14ac:dyDescent="0.3">
      <c r="B13" s="40">
        <v>45649</v>
      </c>
      <c r="C13" s="41">
        <v>2338.9</v>
      </c>
      <c r="D13" s="17">
        <f t="shared" si="0"/>
        <v>1.4343516516452937E-3</v>
      </c>
      <c r="E13" s="41"/>
      <c r="F13" s="41">
        <v>23753.45</v>
      </c>
      <c r="G13" s="17">
        <f t="shared" si="1"/>
        <v>1.0873390327317267E-3</v>
      </c>
      <c r="H13" s="41"/>
      <c r="I13" s="41"/>
      <c r="K13" s="34"/>
      <c r="M13" s="49" t="s">
        <v>191</v>
      </c>
      <c r="N13" s="49"/>
    </row>
    <row r="14" spans="2:14" x14ac:dyDescent="0.3">
      <c r="B14" s="40">
        <v>45646</v>
      </c>
      <c r="C14" s="41">
        <v>2333.9</v>
      </c>
      <c r="D14" s="17">
        <f t="shared" si="0"/>
        <v>-2.1377570652870714E-3</v>
      </c>
      <c r="E14" s="41"/>
      <c r="F14" s="41">
        <v>23587.5</v>
      </c>
      <c r="G14" s="17">
        <f t="shared" si="1"/>
        <v>-6.9863535612721961E-3</v>
      </c>
      <c r="H14" s="41"/>
      <c r="I14" s="41"/>
      <c r="K14" s="34"/>
      <c r="M14" t="s">
        <v>192</v>
      </c>
      <c r="N14">
        <v>0.36203525984068596</v>
      </c>
    </row>
    <row r="15" spans="2:14" x14ac:dyDescent="0.3">
      <c r="B15" s="40">
        <v>45645</v>
      </c>
      <c r="C15" s="41">
        <v>2359.85</v>
      </c>
      <c r="D15" s="17">
        <f t="shared" si="0"/>
        <v>1.1118728308839199E-2</v>
      </c>
      <c r="E15" s="41"/>
      <c r="F15" s="41">
        <v>23951.7</v>
      </c>
      <c r="G15" s="17">
        <f t="shared" si="1"/>
        <v>1.5440381558028626E-2</v>
      </c>
      <c r="H15" s="41"/>
      <c r="I15" s="41"/>
      <c r="K15" s="34"/>
      <c r="M15" t="s">
        <v>193</v>
      </c>
      <c r="N15">
        <v>0.131069529367913</v>
      </c>
    </row>
    <row r="16" spans="2:14" x14ac:dyDescent="0.3">
      <c r="B16" s="40">
        <v>45644</v>
      </c>
      <c r="C16" s="41">
        <v>2359.1999999999998</v>
      </c>
      <c r="D16" s="17">
        <f t="shared" si="0"/>
        <v>-2.7544123567180279E-4</v>
      </c>
      <c r="E16" s="41"/>
      <c r="F16" s="41">
        <v>24198.85</v>
      </c>
      <c r="G16" s="17">
        <f t="shared" si="1"/>
        <v>1.0318683016236729E-2</v>
      </c>
      <c r="H16" s="41"/>
      <c r="I16" s="41"/>
      <c r="K16" s="34"/>
      <c r="M16" t="s">
        <v>194</v>
      </c>
      <c r="N16">
        <v>0.11658735485737821</v>
      </c>
    </row>
    <row r="17" spans="2:21" x14ac:dyDescent="0.3">
      <c r="B17" s="40">
        <v>45643</v>
      </c>
      <c r="C17" s="41">
        <v>2363.25</v>
      </c>
      <c r="D17" s="17">
        <f t="shared" si="0"/>
        <v>1.7166836215667391E-3</v>
      </c>
      <c r="E17" s="41"/>
      <c r="F17" s="41">
        <v>24336</v>
      </c>
      <c r="G17" s="17">
        <f t="shared" si="1"/>
        <v>5.6676247011737679E-3</v>
      </c>
      <c r="H17" s="41"/>
      <c r="I17" s="41"/>
      <c r="K17" s="34"/>
      <c r="M17" t="s">
        <v>195</v>
      </c>
      <c r="N17">
        <v>1.2390019672424922E-2</v>
      </c>
    </row>
    <row r="18" spans="2:21" ht="15" thickBot="1" x14ac:dyDescent="0.35">
      <c r="B18" s="40">
        <v>45642</v>
      </c>
      <c r="C18" s="41">
        <v>2366.15</v>
      </c>
      <c r="D18" s="17">
        <f t="shared" si="0"/>
        <v>1.2271236644452177E-3</v>
      </c>
      <c r="E18" s="41"/>
      <c r="F18" s="41">
        <v>24668.25</v>
      </c>
      <c r="G18" s="17">
        <f t="shared" si="1"/>
        <v>1.3652613412228787E-2</v>
      </c>
      <c r="H18" s="41"/>
      <c r="I18" s="41"/>
      <c r="K18" s="34"/>
      <c r="M18" s="47" t="s">
        <v>196</v>
      </c>
      <c r="N18" s="47">
        <v>62</v>
      </c>
    </row>
    <row r="19" spans="2:21" x14ac:dyDescent="0.3">
      <c r="B19" s="40">
        <v>45639</v>
      </c>
      <c r="C19" s="41">
        <v>2390.1</v>
      </c>
      <c r="D19" s="17">
        <f t="shared" si="0"/>
        <v>1.0121928026540994E-2</v>
      </c>
      <c r="E19" s="41"/>
      <c r="F19" s="41">
        <v>24768.3</v>
      </c>
      <c r="G19" s="17">
        <f t="shared" si="1"/>
        <v>4.0558207412362268E-3</v>
      </c>
      <c r="H19" s="41"/>
      <c r="I19" s="41"/>
      <c r="K19" s="34"/>
    </row>
    <row r="20" spans="2:21" ht="15" thickBot="1" x14ac:dyDescent="0.35">
      <c r="B20" s="40">
        <v>45638</v>
      </c>
      <c r="C20" s="41">
        <v>2344.9499999999998</v>
      </c>
      <c r="D20" s="17">
        <f t="shared" si="0"/>
        <v>-1.8890422994853773E-2</v>
      </c>
      <c r="E20" s="41"/>
      <c r="F20" s="41">
        <v>24548.7</v>
      </c>
      <c r="G20" s="17">
        <f t="shared" si="1"/>
        <v>-8.8661716791220702E-3</v>
      </c>
      <c r="H20" s="41"/>
      <c r="I20" s="41"/>
      <c r="K20" s="34"/>
      <c r="M20" t="s">
        <v>197</v>
      </c>
    </row>
    <row r="21" spans="2:21" x14ac:dyDescent="0.3">
      <c r="B21" s="40">
        <v>45637</v>
      </c>
      <c r="C21" s="41">
        <v>2401.35</v>
      </c>
      <c r="D21" s="17">
        <f t="shared" si="0"/>
        <v>2.4051685537004985E-2</v>
      </c>
      <c r="E21" s="41"/>
      <c r="F21" s="41">
        <v>24641.8</v>
      </c>
      <c r="G21" s="17">
        <f t="shared" si="1"/>
        <v>3.7924615152735708E-3</v>
      </c>
      <c r="H21" s="41"/>
      <c r="I21" s="41"/>
      <c r="K21" s="34"/>
      <c r="M21" s="48"/>
      <c r="N21" s="48" t="s">
        <v>201</v>
      </c>
      <c r="O21" s="48" t="s">
        <v>202</v>
      </c>
      <c r="P21" s="48" t="s">
        <v>203</v>
      </c>
      <c r="Q21" s="48" t="s">
        <v>204</v>
      </c>
      <c r="R21" s="48" t="s">
        <v>205</v>
      </c>
    </row>
    <row r="22" spans="2:21" x14ac:dyDescent="0.3">
      <c r="B22" s="40">
        <v>45636</v>
      </c>
      <c r="C22" s="41">
        <v>2397.35</v>
      </c>
      <c r="D22" s="17">
        <f t="shared" si="0"/>
        <v>-1.6657296937139243E-3</v>
      </c>
      <c r="E22" s="41"/>
      <c r="F22" s="41">
        <v>24610.05</v>
      </c>
      <c r="G22" s="17">
        <f t="shared" si="1"/>
        <v>-1.2884610702140753E-3</v>
      </c>
      <c r="H22" s="41"/>
      <c r="I22" s="41"/>
      <c r="K22" s="34"/>
      <c r="M22" t="s">
        <v>198</v>
      </c>
      <c r="N22">
        <v>1</v>
      </c>
      <c r="O22">
        <v>1.3893509278472584E-3</v>
      </c>
      <c r="P22">
        <v>1.3893509278472584E-3</v>
      </c>
      <c r="Q22">
        <v>9.0504039481480465</v>
      </c>
      <c r="R22">
        <v>3.8348589995595241E-3</v>
      </c>
    </row>
    <row r="23" spans="2:21" x14ac:dyDescent="0.3">
      <c r="B23" s="40">
        <v>45635</v>
      </c>
      <c r="C23" s="41">
        <v>2400.75</v>
      </c>
      <c r="D23" s="17">
        <f t="shared" si="0"/>
        <v>1.4182326318643579E-3</v>
      </c>
      <c r="E23" s="41"/>
      <c r="F23" s="41">
        <v>24619</v>
      </c>
      <c r="G23" s="17">
        <f t="shared" si="1"/>
        <v>3.6367256466363074E-4</v>
      </c>
      <c r="H23" s="41"/>
      <c r="I23" s="41"/>
      <c r="K23" s="34"/>
      <c r="M23" t="s">
        <v>199</v>
      </c>
      <c r="N23">
        <v>60</v>
      </c>
      <c r="O23">
        <v>9.2107552489845926E-3</v>
      </c>
      <c r="P23">
        <v>1.5351258748307655E-4</v>
      </c>
    </row>
    <row r="24" spans="2:21" ht="15" thickBot="1" x14ac:dyDescent="0.35">
      <c r="B24" s="40">
        <v>45632</v>
      </c>
      <c r="C24" s="41">
        <v>2483.8000000000002</v>
      </c>
      <c r="D24" s="17">
        <f t="shared" si="0"/>
        <v>3.4593356242840878E-2</v>
      </c>
      <c r="E24" s="41"/>
      <c r="F24" s="41">
        <v>24677.8</v>
      </c>
      <c r="G24" s="17">
        <f t="shared" si="1"/>
        <v>2.3883992038669088E-3</v>
      </c>
      <c r="H24" s="41"/>
      <c r="I24" s="41"/>
      <c r="K24" s="34"/>
      <c r="M24" s="47" t="s">
        <v>37</v>
      </c>
      <c r="N24" s="47">
        <v>61</v>
      </c>
      <c r="O24" s="47">
        <v>1.0600106176831851E-2</v>
      </c>
      <c r="P24" s="47"/>
      <c r="Q24" s="47"/>
      <c r="R24" s="47"/>
    </row>
    <row r="25" spans="2:21" ht="15" thickBot="1" x14ac:dyDescent="0.35">
      <c r="B25" s="40">
        <v>45631</v>
      </c>
      <c r="C25" s="41">
        <v>2494.6</v>
      </c>
      <c r="D25" s="17">
        <f t="shared" si="0"/>
        <v>4.3481761816570597E-3</v>
      </c>
      <c r="E25" s="41"/>
      <c r="F25" s="41">
        <v>24708.400000000001</v>
      </c>
      <c r="G25" s="17">
        <f t="shared" si="1"/>
        <v>1.239980873497748E-3</v>
      </c>
      <c r="H25" s="41"/>
      <c r="I25" s="41"/>
      <c r="K25" s="34"/>
    </row>
    <row r="26" spans="2:21" x14ac:dyDescent="0.3">
      <c r="B26" s="40">
        <v>45630</v>
      </c>
      <c r="C26" s="41">
        <v>2464.5</v>
      </c>
      <c r="D26" s="17">
        <f t="shared" si="0"/>
        <v>-1.2066062695422097E-2</v>
      </c>
      <c r="E26" s="41"/>
      <c r="F26" s="41">
        <v>24467.45</v>
      </c>
      <c r="G26" s="17">
        <f t="shared" si="1"/>
        <v>-9.7517443460524156E-3</v>
      </c>
      <c r="H26" s="41"/>
      <c r="I26" s="41"/>
      <c r="K26" s="34"/>
      <c r="M26" s="48"/>
      <c r="N26" s="48" t="s">
        <v>206</v>
      </c>
      <c r="O26" s="48" t="s">
        <v>195</v>
      </c>
      <c r="P26" s="48" t="s">
        <v>207</v>
      </c>
      <c r="Q26" s="48" t="s">
        <v>208</v>
      </c>
      <c r="R26" s="48" t="s">
        <v>209</v>
      </c>
      <c r="S26" s="48" t="s">
        <v>210</v>
      </c>
      <c r="T26" s="48" t="s">
        <v>211</v>
      </c>
      <c r="U26" s="48" t="s">
        <v>212</v>
      </c>
    </row>
    <row r="27" spans="2:21" x14ac:dyDescent="0.3">
      <c r="B27" s="40">
        <v>45629</v>
      </c>
      <c r="C27" s="41">
        <v>2482.85</v>
      </c>
      <c r="D27" s="17">
        <f t="shared" si="0"/>
        <v>7.445729356867492E-3</v>
      </c>
      <c r="E27" s="41"/>
      <c r="F27" s="41">
        <v>24457.15</v>
      </c>
      <c r="G27" s="17">
        <f t="shared" si="1"/>
        <v>-4.2096744858988178E-4</v>
      </c>
      <c r="H27" s="41"/>
      <c r="I27" s="41"/>
      <c r="K27" s="34"/>
      <c r="M27" t="s">
        <v>200</v>
      </c>
      <c r="N27">
        <v>2.941594435642317E-3</v>
      </c>
      <c r="O27">
        <v>1.5959149792804579E-3</v>
      </c>
      <c r="P27">
        <v>1.8432024724578868</v>
      </c>
      <c r="Q27">
        <v>7.0240296180831954E-2</v>
      </c>
      <c r="R27">
        <v>-2.5071082153231734E-4</v>
      </c>
      <c r="S27">
        <v>6.1338996928169513E-3</v>
      </c>
      <c r="T27">
        <v>-2.5071082153231734E-4</v>
      </c>
      <c r="U27">
        <v>6.1338996928169513E-3</v>
      </c>
    </row>
    <row r="28" spans="2:21" ht="15" thickBot="1" x14ac:dyDescent="0.35">
      <c r="B28" s="40">
        <v>45628</v>
      </c>
      <c r="C28" s="41">
        <v>2479.15</v>
      </c>
      <c r="D28" s="17">
        <f t="shared" si="0"/>
        <v>-1.4902229292949043E-3</v>
      </c>
      <c r="E28" s="41"/>
      <c r="F28" s="41">
        <v>24276.05</v>
      </c>
      <c r="G28" s="17">
        <f t="shared" si="1"/>
        <v>-7.4047875570130151E-3</v>
      </c>
      <c r="H28" s="41"/>
      <c r="I28" s="41"/>
      <c r="K28" s="34"/>
      <c r="M28" s="47" t="s">
        <v>213</v>
      </c>
      <c r="N28" s="47">
        <v>0.58401254452585216</v>
      </c>
      <c r="O28" s="47">
        <v>0.19412800615490539</v>
      </c>
      <c r="P28" s="47">
        <v>3.0083889290030439</v>
      </c>
      <c r="Q28" s="47">
        <v>3.8348589995594634E-3</v>
      </c>
      <c r="R28" s="47">
        <v>0.19569871662222388</v>
      </c>
      <c r="S28" s="47">
        <v>0.97232637242948039</v>
      </c>
      <c r="T28" s="47">
        <v>0.19569871662222388</v>
      </c>
      <c r="U28" s="47">
        <v>0.97232637242948039</v>
      </c>
    </row>
    <row r="29" spans="2:21" x14ac:dyDescent="0.3">
      <c r="B29" s="40">
        <v>45625</v>
      </c>
      <c r="C29" s="41">
        <v>2496.15</v>
      </c>
      <c r="D29" s="17">
        <f t="shared" si="0"/>
        <v>6.8571889558921573E-3</v>
      </c>
      <c r="E29" s="41"/>
      <c r="F29" s="41">
        <v>24131.1</v>
      </c>
      <c r="G29" s="17">
        <f t="shared" si="1"/>
        <v>-5.9709054809163886E-3</v>
      </c>
      <c r="H29" s="41"/>
      <c r="I29" s="41"/>
      <c r="K29" s="34"/>
    </row>
    <row r="30" spans="2:21" x14ac:dyDescent="0.3">
      <c r="B30" s="40">
        <v>45624</v>
      </c>
      <c r="C30" s="41">
        <v>2462.1999999999998</v>
      </c>
      <c r="D30" s="17">
        <f t="shared" si="0"/>
        <v>-1.3600945456002322E-2</v>
      </c>
      <c r="E30" s="41"/>
      <c r="F30" s="41">
        <v>23914.15</v>
      </c>
      <c r="G30" s="17">
        <f t="shared" si="1"/>
        <v>-8.9904728752521201E-3</v>
      </c>
      <c r="H30" s="41"/>
      <c r="I30" s="41"/>
      <c r="K30" s="34"/>
    </row>
    <row r="31" spans="2:21" x14ac:dyDescent="0.3">
      <c r="B31" s="40">
        <v>45623</v>
      </c>
      <c r="C31" s="41">
        <v>2486.9</v>
      </c>
      <c r="D31" s="17">
        <f t="shared" si="0"/>
        <v>1.0031678986272441E-2</v>
      </c>
      <c r="E31" s="41"/>
      <c r="F31" s="41">
        <v>24274.9</v>
      </c>
      <c r="G31" s="17">
        <f t="shared" si="1"/>
        <v>1.5085211057052073E-2</v>
      </c>
      <c r="H31" s="41"/>
      <c r="I31" s="41"/>
      <c r="K31" s="34"/>
    </row>
    <row r="32" spans="2:21" x14ac:dyDescent="0.3">
      <c r="B32" s="40">
        <v>45622</v>
      </c>
      <c r="C32" s="41">
        <v>2479.1999999999998</v>
      </c>
      <c r="D32" s="17">
        <f t="shared" si="0"/>
        <v>-3.0962242148860897E-3</v>
      </c>
      <c r="E32" s="41"/>
      <c r="F32" s="41">
        <v>24194.5</v>
      </c>
      <c r="G32" s="17">
        <f t="shared" si="1"/>
        <v>-3.3120630774998716E-3</v>
      </c>
      <c r="H32" s="41"/>
      <c r="I32" s="41"/>
      <c r="K32" s="34"/>
    </row>
    <row r="33" spans="2:11" x14ac:dyDescent="0.3">
      <c r="B33" s="40">
        <v>45621</v>
      </c>
      <c r="C33" s="41">
        <v>2471.4499999999998</v>
      </c>
      <c r="D33" s="17">
        <f t="shared" si="0"/>
        <v>-3.1260083898031477E-3</v>
      </c>
      <c r="E33" s="41"/>
      <c r="F33" s="41">
        <v>24221.9</v>
      </c>
      <c r="G33" s="17">
        <f t="shared" si="1"/>
        <v>1.1324887887744772E-3</v>
      </c>
      <c r="H33" s="41"/>
      <c r="I33" s="41"/>
      <c r="K33" s="34"/>
    </row>
    <row r="34" spans="2:11" x14ac:dyDescent="0.3">
      <c r="B34" s="40">
        <v>45618</v>
      </c>
      <c r="C34" s="41">
        <v>2445.25</v>
      </c>
      <c r="D34" s="17">
        <f t="shared" si="0"/>
        <v>-1.0601064152622852E-2</v>
      </c>
      <c r="E34" s="41"/>
      <c r="F34" s="41">
        <v>23907.25</v>
      </c>
      <c r="G34" s="17">
        <f t="shared" si="1"/>
        <v>-1.2990310421560736E-2</v>
      </c>
      <c r="H34" s="41"/>
      <c r="I34" s="41"/>
      <c r="K34" s="34"/>
    </row>
    <row r="35" spans="2:11" x14ac:dyDescent="0.3">
      <c r="B35" s="40">
        <v>45617</v>
      </c>
      <c r="C35" s="41">
        <v>2382.8000000000002</v>
      </c>
      <c r="D35" s="17">
        <f t="shared" si="0"/>
        <v>-2.5539310908904933E-2</v>
      </c>
      <c r="E35" s="41"/>
      <c r="F35" s="41">
        <v>23349.9</v>
      </c>
      <c r="G35" s="17">
        <f t="shared" si="1"/>
        <v>-2.3313011743299583E-2</v>
      </c>
      <c r="H35" s="41"/>
      <c r="I35" s="41"/>
      <c r="K35" s="34"/>
    </row>
    <row r="36" spans="2:11" x14ac:dyDescent="0.3">
      <c r="B36" s="40">
        <v>45615</v>
      </c>
      <c r="C36" s="41">
        <v>2410.35</v>
      </c>
      <c r="D36" s="17">
        <f t="shared" si="0"/>
        <v>1.1562027866375502E-2</v>
      </c>
      <c r="E36" s="41"/>
      <c r="F36" s="41">
        <v>23518.5</v>
      </c>
      <c r="G36" s="17">
        <f t="shared" si="1"/>
        <v>7.220587668469669E-3</v>
      </c>
      <c r="H36" s="41"/>
      <c r="I36" s="41"/>
      <c r="K36" s="34"/>
    </row>
    <row r="37" spans="2:11" x14ac:dyDescent="0.3">
      <c r="B37" s="40">
        <v>45614</v>
      </c>
      <c r="C37" s="41">
        <v>2422.9</v>
      </c>
      <c r="D37" s="17">
        <f t="shared" si="0"/>
        <v>5.2067127180701611E-3</v>
      </c>
      <c r="E37" s="41"/>
      <c r="F37" s="41">
        <v>23453.8</v>
      </c>
      <c r="G37" s="17">
        <f t="shared" si="1"/>
        <v>-2.7510257882092937E-3</v>
      </c>
      <c r="H37" s="41"/>
      <c r="I37" s="41"/>
      <c r="K37" s="34"/>
    </row>
    <row r="38" spans="2:11" x14ac:dyDescent="0.3">
      <c r="B38" s="40">
        <v>45610</v>
      </c>
      <c r="C38" s="41">
        <v>2389.1999999999998</v>
      </c>
      <c r="D38" s="17">
        <f t="shared" si="0"/>
        <v>-1.3908952082215653E-2</v>
      </c>
      <c r="E38" s="41"/>
      <c r="F38" s="41">
        <v>23532.7</v>
      </c>
      <c r="G38" s="17">
        <f t="shared" si="1"/>
        <v>3.3640604081215386E-3</v>
      </c>
      <c r="H38" s="41"/>
      <c r="I38" s="41"/>
      <c r="K38" s="34"/>
    </row>
    <row r="39" spans="2:11" x14ac:dyDescent="0.3">
      <c r="B39" s="40">
        <v>45609</v>
      </c>
      <c r="C39" s="41">
        <v>2464.9499999999998</v>
      </c>
      <c r="D39" s="17">
        <f t="shared" si="0"/>
        <v>3.1705173279758858E-2</v>
      </c>
      <c r="E39" s="41"/>
      <c r="F39" s="41">
        <v>23559.05</v>
      </c>
      <c r="G39" s="17">
        <f t="shared" si="1"/>
        <v>1.1197185193367876E-3</v>
      </c>
      <c r="H39" s="41"/>
      <c r="I39" s="41"/>
      <c r="K39" s="34"/>
    </row>
    <row r="40" spans="2:11" x14ac:dyDescent="0.3">
      <c r="B40" s="40">
        <v>45608</v>
      </c>
      <c r="C40" s="41">
        <v>2461.5</v>
      </c>
      <c r="D40" s="17">
        <f t="shared" si="0"/>
        <v>-1.3996227103997283E-3</v>
      </c>
      <c r="E40" s="41"/>
      <c r="F40" s="41">
        <v>23883.45</v>
      </c>
      <c r="G40" s="17">
        <f t="shared" si="1"/>
        <v>1.3769655397819491E-2</v>
      </c>
      <c r="H40" s="41"/>
      <c r="I40" s="41"/>
      <c r="K40" s="34"/>
    </row>
    <row r="41" spans="2:11" x14ac:dyDescent="0.3">
      <c r="B41" s="40">
        <v>45607</v>
      </c>
      <c r="C41" s="41">
        <v>2491.0500000000002</v>
      </c>
      <c r="D41" s="17">
        <f t="shared" si="0"/>
        <v>1.2004875076173205E-2</v>
      </c>
      <c r="E41" s="41"/>
      <c r="F41" s="41">
        <v>24141.3</v>
      </c>
      <c r="G41" s="17">
        <f t="shared" si="1"/>
        <v>1.0796178943996759E-2</v>
      </c>
      <c r="H41" s="41"/>
      <c r="I41" s="41"/>
      <c r="K41" s="34"/>
    </row>
    <row r="42" spans="2:11" x14ac:dyDescent="0.3">
      <c r="B42" s="40">
        <v>45604</v>
      </c>
      <c r="C42" s="41">
        <v>2507.6999999999998</v>
      </c>
      <c r="D42" s="17">
        <f t="shared" si="0"/>
        <v>6.6839284639006458E-3</v>
      </c>
      <c r="E42" s="41"/>
      <c r="F42" s="41">
        <v>24148.2</v>
      </c>
      <c r="G42" s="17">
        <f t="shared" si="1"/>
        <v>2.8581725093523858E-4</v>
      </c>
      <c r="H42" s="41"/>
      <c r="I42" s="41"/>
      <c r="K42" s="34"/>
    </row>
    <row r="43" spans="2:11" x14ac:dyDescent="0.3">
      <c r="B43" s="40">
        <v>45603</v>
      </c>
      <c r="C43" s="41">
        <v>2475.5</v>
      </c>
      <c r="D43" s="17">
        <f t="shared" si="0"/>
        <v>-1.2840451409658171E-2</v>
      </c>
      <c r="E43" s="41"/>
      <c r="F43" s="41">
        <v>24199.35</v>
      </c>
      <c r="G43" s="17">
        <f t="shared" si="1"/>
        <v>2.1181702984072182E-3</v>
      </c>
      <c r="H43" s="41"/>
      <c r="I43" s="41"/>
      <c r="K43" s="34"/>
    </row>
    <row r="44" spans="2:11" x14ac:dyDescent="0.3">
      <c r="B44" s="40">
        <v>45602</v>
      </c>
      <c r="C44" s="41">
        <v>2500.6999999999998</v>
      </c>
      <c r="D44" s="17">
        <f t="shared" si="0"/>
        <v>1.0179761664310227E-2</v>
      </c>
      <c r="E44" s="41"/>
      <c r="F44" s="41">
        <v>24484.05</v>
      </c>
      <c r="G44" s="17">
        <f t="shared" si="1"/>
        <v>1.1764778806042431E-2</v>
      </c>
      <c r="H44" s="41"/>
      <c r="I44" s="41"/>
      <c r="K44" s="34"/>
    </row>
    <row r="45" spans="2:11" x14ac:dyDescent="0.3">
      <c r="B45" s="40">
        <v>45601</v>
      </c>
      <c r="C45" s="41">
        <v>2511.35</v>
      </c>
      <c r="D45" s="17">
        <f t="shared" si="0"/>
        <v>4.2588075338905185E-3</v>
      </c>
      <c r="E45" s="41"/>
      <c r="F45" s="41">
        <v>24213.3</v>
      </c>
      <c r="G45" s="17">
        <f t="shared" si="1"/>
        <v>-1.1058219534758384E-2</v>
      </c>
      <c r="H45" s="41"/>
      <c r="I45" s="41"/>
      <c r="K45" s="34"/>
    </row>
    <row r="46" spans="2:11" x14ac:dyDescent="0.3">
      <c r="B46" s="40">
        <v>45600</v>
      </c>
      <c r="C46" s="41">
        <v>2514.79</v>
      </c>
      <c r="D46" s="17">
        <f t="shared" si="0"/>
        <v>1.369781193382158E-3</v>
      </c>
      <c r="E46" s="41"/>
      <c r="F46" s="41">
        <v>23995.35</v>
      </c>
      <c r="G46" s="17">
        <f t="shared" si="1"/>
        <v>-9.0012513783747083E-3</v>
      </c>
      <c r="H46" s="41"/>
      <c r="I46" s="41"/>
      <c r="K46" s="34"/>
    </row>
    <row r="47" spans="2:11" x14ac:dyDescent="0.3">
      <c r="B47" s="40">
        <v>45597</v>
      </c>
      <c r="C47" s="41">
        <v>2527.44</v>
      </c>
      <c r="D47" s="17">
        <f t="shared" si="0"/>
        <v>5.030241093689769E-3</v>
      </c>
      <c r="E47" s="41"/>
      <c r="F47" s="41">
        <v>24304.35</v>
      </c>
      <c r="G47" s="17">
        <f t="shared" si="1"/>
        <v>1.2877495014659068E-2</v>
      </c>
      <c r="H47" s="41"/>
      <c r="I47" s="41"/>
      <c r="K47" s="34"/>
    </row>
    <row r="48" spans="2:11" x14ac:dyDescent="0.3">
      <c r="B48" s="40">
        <v>45596</v>
      </c>
      <c r="C48" s="41">
        <v>2518.2199999999998</v>
      </c>
      <c r="D48" s="17">
        <f t="shared" si="0"/>
        <v>-3.6479599911374283E-3</v>
      </c>
      <c r="E48" s="41"/>
      <c r="F48" s="41">
        <v>24205.35</v>
      </c>
      <c r="G48" s="17">
        <f t="shared" si="1"/>
        <v>-4.0733448950496243E-3</v>
      </c>
      <c r="H48" s="41"/>
      <c r="I48" s="41"/>
      <c r="K48" s="34"/>
    </row>
    <row r="49" spans="2:11" x14ac:dyDescent="0.3">
      <c r="B49" s="40">
        <v>45595</v>
      </c>
      <c r="C49" s="41">
        <v>2544.8200000000002</v>
      </c>
      <c r="D49" s="17">
        <f t="shared" si="0"/>
        <v>1.0563016734042474E-2</v>
      </c>
      <c r="E49" s="41"/>
      <c r="F49" s="41">
        <v>24340.85</v>
      </c>
      <c r="G49" s="17">
        <f t="shared" si="1"/>
        <v>5.5979359934890116E-3</v>
      </c>
      <c r="H49" s="41"/>
      <c r="I49" s="41"/>
      <c r="K49" s="34"/>
    </row>
    <row r="50" spans="2:11" x14ac:dyDescent="0.3">
      <c r="B50" s="40">
        <v>45594</v>
      </c>
      <c r="C50" s="41">
        <v>2537.5500000000002</v>
      </c>
      <c r="D50" s="17">
        <f t="shared" si="0"/>
        <v>-2.8567835839077294E-3</v>
      </c>
      <c r="E50" s="41"/>
      <c r="F50" s="41">
        <v>24466.85</v>
      </c>
      <c r="G50" s="17">
        <f t="shared" si="1"/>
        <v>5.1764831548610779E-3</v>
      </c>
      <c r="H50" s="41"/>
      <c r="I50" s="41"/>
      <c r="K50" s="34"/>
    </row>
    <row r="51" spans="2:11" x14ac:dyDescent="0.3">
      <c r="B51" s="40">
        <v>45593</v>
      </c>
      <c r="C51" s="41">
        <v>2565.58</v>
      </c>
      <c r="D51" s="17">
        <f t="shared" si="0"/>
        <v>1.104608776181748E-2</v>
      </c>
      <c r="E51" s="41"/>
      <c r="F51" s="41">
        <v>24339.15</v>
      </c>
      <c r="G51" s="17">
        <f t="shared" si="1"/>
        <v>-5.2193069397979963E-3</v>
      </c>
      <c r="H51" s="41"/>
      <c r="I51" s="41"/>
      <c r="K51" s="34"/>
    </row>
    <row r="52" spans="2:11" x14ac:dyDescent="0.3">
      <c r="B52" s="40">
        <v>45590</v>
      </c>
      <c r="C52" s="41">
        <v>2518.02</v>
      </c>
      <c r="D52" s="17">
        <f t="shared" si="0"/>
        <v>-1.8537718566561945E-2</v>
      </c>
      <c r="E52" s="41"/>
      <c r="F52" s="41">
        <v>24180.799999999999</v>
      </c>
      <c r="G52" s="17">
        <f t="shared" si="1"/>
        <v>-6.5059790502134396E-3</v>
      </c>
      <c r="H52" s="41"/>
      <c r="I52" s="41"/>
      <c r="K52" s="34"/>
    </row>
    <row r="53" spans="2:11" x14ac:dyDescent="0.3">
      <c r="B53" s="40">
        <v>45589</v>
      </c>
      <c r="C53" s="41">
        <v>2495.17</v>
      </c>
      <c r="D53" s="17">
        <f t="shared" si="0"/>
        <v>-9.0745903527373883E-3</v>
      </c>
      <c r="E53" s="41"/>
      <c r="F53" s="41">
        <v>24399.4</v>
      </c>
      <c r="G53" s="17">
        <f t="shared" si="1"/>
        <v>9.0402302653345146E-3</v>
      </c>
      <c r="H53" s="41"/>
      <c r="I53" s="41"/>
      <c r="K53" s="34"/>
    </row>
    <row r="54" spans="2:11" x14ac:dyDescent="0.3">
      <c r="B54" s="40">
        <v>45588</v>
      </c>
      <c r="C54" s="41">
        <v>2648.75</v>
      </c>
      <c r="D54" s="17">
        <f t="shared" si="0"/>
        <v>6.1550916370427533E-2</v>
      </c>
      <c r="E54" s="41"/>
      <c r="F54" s="41">
        <v>24435.5</v>
      </c>
      <c r="G54" s="17">
        <f t="shared" si="1"/>
        <v>1.4795445789650419E-3</v>
      </c>
      <c r="H54" s="41"/>
      <c r="I54" s="41"/>
      <c r="K54" s="34"/>
    </row>
    <row r="55" spans="2:11" x14ac:dyDescent="0.3">
      <c r="B55" s="40">
        <v>45587</v>
      </c>
      <c r="C55" s="41">
        <v>2671.06</v>
      </c>
      <c r="D55" s="17">
        <f t="shared" si="0"/>
        <v>8.422840962718281E-3</v>
      </c>
      <c r="E55" s="41"/>
      <c r="F55" s="41">
        <v>24472.1</v>
      </c>
      <c r="G55" s="17">
        <f t="shared" si="1"/>
        <v>1.497820793517679E-3</v>
      </c>
      <c r="H55" s="41"/>
      <c r="I55" s="41"/>
      <c r="K55" s="34"/>
    </row>
    <row r="56" spans="2:11" x14ac:dyDescent="0.3">
      <c r="B56" s="40">
        <v>45586</v>
      </c>
      <c r="C56" s="41">
        <v>2682.87</v>
      </c>
      <c r="D56" s="17">
        <f t="shared" si="0"/>
        <v>4.4214656353656068E-3</v>
      </c>
      <c r="E56" s="41"/>
      <c r="F56" s="41">
        <v>24781.1</v>
      </c>
      <c r="G56" s="17">
        <f t="shared" si="1"/>
        <v>1.2626623787905356E-2</v>
      </c>
      <c r="H56" s="41"/>
      <c r="I56" s="41"/>
      <c r="K56" s="34"/>
    </row>
    <row r="57" spans="2:11" x14ac:dyDescent="0.3">
      <c r="B57" s="40">
        <v>45583</v>
      </c>
      <c r="C57" s="41">
        <v>2706.32</v>
      </c>
      <c r="D57" s="17">
        <f t="shared" si="0"/>
        <v>8.740639688095353E-3</v>
      </c>
      <c r="E57" s="41"/>
      <c r="F57" s="41">
        <v>24854.05</v>
      </c>
      <c r="G57" s="17">
        <f t="shared" si="1"/>
        <v>2.9437757000294607E-3</v>
      </c>
      <c r="H57" s="41"/>
      <c r="I57" s="41"/>
      <c r="K57" s="34"/>
    </row>
    <row r="58" spans="2:11" x14ac:dyDescent="0.3">
      <c r="B58" s="40">
        <v>45582</v>
      </c>
      <c r="C58" s="41">
        <v>2727.79</v>
      </c>
      <c r="D58" s="17">
        <f t="shared" si="0"/>
        <v>7.9332820952435767E-3</v>
      </c>
      <c r="E58" s="41"/>
      <c r="F58" s="41">
        <v>24749.85</v>
      </c>
      <c r="G58" s="17">
        <f t="shared" si="1"/>
        <v>-4.1924756729788681E-3</v>
      </c>
      <c r="H58" s="41"/>
      <c r="I58" s="41"/>
      <c r="K58" s="34"/>
    </row>
    <row r="59" spans="2:11" x14ac:dyDescent="0.3">
      <c r="B59" s="40">
        <v>45581</v>
      </c>
      <c r="C59" s="41">
        <v>2770.22</v>
      </c>
      <c r="D59" s="17">
        <f t="shared" si="0"/>
        <v>1.5554716455445483E-2</v>
      </c>
      <c r="E59" s="41"/>
      <c r="F59" s="41">
        <v>24971.3</v>
      </c>
      <c r="G59" s="17">
        <f t="shared" si="1"/>
        <v>8.9475289749230136E-3</v>
      </c>
      <c r="H59" s="41"/>
      <c r="I59" s="41"/>
      <c r="K59" s="34"/>
    </row>
    <row r="60" spans="2:11" x14ac:dyDescent="0.3">
      <c r="B60" s="40">
        <v>45580</v>
      </c>
      <c r="C60" s="41">
        <v>2770.42</v>
      </c>
      <c r="D60" s="17">
        <f t="shared" si="0"/>
        <v>7.2196432052473725E-5</v>
      </c>
      <c r="E60" s="41"/>
      <c r="F60" s="41">
        <v>25057.35</v>
      </c>
      <c r="G60" s="17">
        <f t="shared" si="1"/>
        <v>3.4459559574391285E-3</v>
      </c>
      <c r="H60" s="41"/>
      <c r="I60" s="41"/>
      <c r="K60" s="34"/>
    </row>
    <row r="61" spans="2:11" x14ac:dyDescent="0.3">
      <c r="B61" s="40">
        <v>45579</v>
      </c>
      <c r="C61" s="41">
        <v>2778.04</v>
      </c>
      <c r="D61" s="17">
        <f t="shared" si="0"/>
        <v>2.7504854859552452E-3</v>
      </c>
      <c r="E61" s="41"/>
      <c r="F61" s="41">
        <v>25127.95</v>
      </c>
      <c r="G61" s="17">
        <f t="shared" si="1"/>
        <v>2.8175365711060607E-3</v>
      </c>
      <c r="H61" s="41"/>
      <c r="I61" s="41"/>
      <c r="K61" s="34"/>
    </row>
    <row r="62" spans="2:11" x14ac:dyDescent="0.3">
      <c r="B62" s="40">
        <v>45576</v>
      </c>
      <c r="C62" s="41">
        <v>2772.16</v>
      </c>
      <c r="D62" s="17">
        <f t="shared" si="0"/>
        <v>-2.1166001929417977E-3</v>
      </c>
      <c r="E62" s="41"/>
      <c r="F62" s="41">
        <v>24964.25</v>
      </c>
      <c r="G62" s="17">
        <f t="shared" si="1"/>
        <v>-6.514657980456029E-3</v>
      </c>
      <c r="H62" s="41"/>
      <c r="I62" s="41"/>
      <c r="K62" s="34"/>
    </row>
    <row r="63" spans="2:11" x14ac:dyDescent="0.3">
      <c r="B63" s="40">
        <v>45575</v>
      </c>
      <c r="C63" s="41">
        <v>2743.77</v>
      </c>
      <c r="D63" s="17">
        <f t="shared" si="0"/>
        <v>-1.0241111624148647E-2</v>
      </c>
      <c r="E63" s="41"/>
      <c r="F63" s="41">
        <v>24998.45</v>
      </c>
      <c r="G63" s="17">
        <f t="shared" si="1"/>
        <v>1.3699590414293361E-3</v>
      </c>
      <c r="H63" s="41"/>
      <c r="I63" s="41"/>
      <c r="K63" s="34"/>
    </row>
    <row r="64" spans="2:11" x14ac:dyDescent="0.3">
      <c r="B64" s="40">
        <v>45574</v>
      </c>
      <c r="C64" s="41">
        <v>2757.97</v>
      </c>
      <c r="D64" s="17">
        <f t="shared" si="0"/>
        <v>5.1753609085309904E-3</v>
      </c>
      <c r="E64" s="41"/>
      <c r="F64" s="41">
        <v>24981.95</v>
      </c>
      <c r="G64" s="17">
        <f t="shared" si="1"/>
        <v>-6.6004092253724167E-4</v>
      </c>
      <c r="H64" s="41"/>
      <c r="I64" s="41"/>
      <c r="K64" s="34"/>
    </row>
    <row r="65" spans="2:11" x14ac:dyDescent="0.3">
      <c r="B65" s="40">
        <v>45573</v>
      </c>
      <c r="C65" s="41">
        <v>2807.62</v>
      </c>
      <c r="D65" s="17">
        <f t="shared" si="0"/>
        <v>1.8002371309332688E-2</v>
      </c>
      <c r="E65" s="41"/>
      <c r="F65" s="41">
        <v>25013.15</v>
      </c>
      <c r="G65" s="17">
        <f t="shared" si="1"/>
        <v>1.2489017070325126E-3</v>
      </c>
      <c r="H65" s="41"/>
      <c r="I65" s="41"/>
      <c r="K65" s="34"/>
    </row>
    <row r="66" spans="2:11" x14ac:dyDescent="0.3">
      <c r="B66" s="40">
        <v>45572</v>
      </c>
      <c r="C66" s="41">
        <v>2822.16</v>
      </c>
      <c r="D66" s="17">
        <f t="shared" si="0"/>
        <v>5.1787635078821559E-3</v>
      </c>
      <c r="E66" s="41"/>
      <c r="F66" s="41">
        <v>24795.75</v>
      </c>
      <c r="G66" s="17">
        <f t="shared" si="1"/>
        <v>-8.6914283087097255E-3</v>
      </c>
      <c r="H66" s="41"/>
      <c r="I66" s="41"/>
      <c r="K66" s="34"/>
    </row>
    <row r="67" spans="2:11" x14ac:dyDescent="0.3">
      <c r="B67" s="40">
        <v>45569</v>
      </c>
      <c r="C67" s="41">
        <v>2837.45</v>
      </c>
      <c r="D67" s="17">
        <f t="shared" si="0"/>
        <v>5.417835983785535E-3</v>
      </c>
      <c r="E67" s="41"/>
      <c r="F67" s="41">
        <v>25014.6</v>
      </c>
      <c r="G67" s="17">
        <f t="shared" si="1"/>
        <v>8.8261093130879154E-3</v>
      </c>
      <c r="H67" s="41"/>
      <c r="I67" s="41"/>
      <c r="K67" s="34"/>
    </row>
    <row r="68" spans="2:11" x14ac:dyDescent="0.3">
      <c r="B68" s="40">
        <v>45568</v>
      </c>
      <c r="C68" s="41">
        <v>2881.88</v>
      </c>
      <c r="D68" s="17">
        <f t="shared" si="0"/>
        <v>1.5658425699131451E-2</v>
      </c>
      <c r="E68" s="41"/>
      <c r="F68" s="41">
        <v>25250.1</v>
      </c>
      <c r="G68" s="17">
        <f t="shared" si="1"/>
        <v>9.4145019308724542E-3</v>
      </c>
      <c r="H68" s="41"/>
      <c r="I68" s="41"/>
      <c r="K68" s="34"/>
    </row>
    <row r="69" spans="2:11" x14ac:dyDescent="0.3">
      <c r="B69" s="40">
        <v>45566</v>
      </c>
      <c r="C69" s="41">
        <v>2912.15</v>
      </c>
      <c r="D69" s="17">
        <f t="shared" si="0"/>
        <v>1.0503560175996185E-2</v>
      </c>
      <c r="E69" s="41"/>
      <c r="F69" s="41">
        <v>25796.9</v>
      </c>
      <c r="G69" s="17">
        <f t="shared" si="1"/>
        <v>2.1655359780753392E-2</v>
      </c>
      <c r="H69" s="41"/>
      <c r="I69" s="41"/>
      <c r="K69" s="34"/>
    </row>
    <row r="70" spans="2:11" x14ac:dyDescent="0.3">
      <c r="B70" s="40"/>
      <c r="C70" s="41"/>
      <c r="D70" s="17"/>
      <c r="E70" s="41"/>
      <c r="F70" s="41"/>
      <c r="G70" s="17"/>
      <c r="H70" s="41"/>
      <c r="I70" s="41"/>
      <c r="K70" s="34"/>
    </row>
    <row r="71" spans="2:11" x14ac:dyDescent="0.3">
      <c r="B71" s="40"/>
      <c r="C71" s="41"/>
      <c r="D71" s="17"/>
      <c r="E71" s="41"/>
      <c r="F71" s="41"/>
      <c r="G71" s="17"/>
      <c r="H71" s="41"/>
      <c r="I71" s="41"/>
      <c r="K71" s="34"/>
    </row>
    <row r="72" spans="2:11" x14ac:dyDescent="0.3">
      <c r="B72" s="40"/>
      <c r="C72" s="41"/>
      <c r="D72" s="17"/>
      <c r="E72" s="41"/>
      <c r="F72" s="41"/>
      <c r="G72" s="17"/>
      <c r="H72" s="41"/>
      <c r="I72" s="41"/>
      <c r="K72" s="34"/>
    </row>
    <row r="73" spans="2:11" x14ac:dyDescent="0.3">
      <c r="B73" s="40"/>
      <c r="C73" s="41"/>
      <c r="D73" s="17"/>
      <c r="E73" s="41"/>
      <c r="F73" s="41"/>
      <c r="G73" s="17"/>
      <c r="H73" s="41"/>
      <c r="I73" s="41"/>
      <c r="K73" s="34"/>
    </row>
    <row r="74" spans="2:11" x14ac:dyDescent="0.3">
      <c r="B74" s="40"/>
      <c r="C74" s="41"/>
      <c r="D74" s="17"/>
      <c r="E74" s="41"/>
      <c r="F74" s="41"/>
      <c r="G74" s="17"/>
      <c r="H74" s="41"/>
      <c r="I74" s="41"/>
      <c r="K74" s="34"/>
    </row>
    <row r="75" spans="2:11" x14ac:dyDescent="0.3">
      <c r="B75" s="40"/>
      <c r="C75" s="41"/>
      <c r="D75" s="17"/>
      <c r="E75" s="41"/>
      <c r="F75" s="41"/>
      <c r="G75" s="17"/>
      <c r="H75" s="41"/>
      <c r="I75" s="41"/>
      <c r="K75" s="34"/>
    </row>
    <row r="76" spans="2:11" x14ac:dyDescent="0.3">
      <c r="B76" s="40"/>
      <c r="C76" s="41"/>
      <c r="D76" s="17"/>
      <c r="E76" s="41"/>
      <c r="F76" s="41"/>
      <c r="G76" s="17"/>
      <c r="H76" s="41"/>
      <c r="I76" s="41"/>
      <c r="K76" s="34"/>
    </row>
    <row r="77" spans="2:11" x14ac:dyDescent="0.3">
      <c r="B77" s="40"/>
      <c r="C77" s="41"/>
      <c r="D77" s="17"/>
      <c r="E77" s="41"/>
      <c r="F77" s="41"/>
      <c r="G77" s="17"/>
      <c r="H77" s="41"/>
      <c r="I77" s="41"/>
      <c r="K77" s="34"/>
    </row>
    <row r="78" spans="2:11" x14ac:dyDescent="0.3">
      <c r="B78" s="40"/>
      <c r="C78" s="41"/>
      <c r="D78" s="17"/>
      <c r="E78" s="41"/>
      <c r="F78" s="41"/>
      <c r="G78" s="17"/>
      <c r="H78" s="41"/>
      <c r="I78" s="41"/>
      <c r="K78" s="34"/>
    </row>
    <row r="79" spans="2:11" x14ac:dyDescent="0.3">
      <c r="B79" s="40"/>
      <c r="C79" s="41"/>
      <c r="D79" s="17"/>
      <c r="E79" s="41"/>
      <c r="F79" s="41"/>
      <c r="G79" s="17"/>
      <c r="H79" s="41"/>
      <c r="I79" s="41"/>
      <c r="K79" s="34"/>
    </row>
    <row r="80" spans="2:11" x14ac:dyDescent="0.3">
      <c r="B80" s="40"/>
      <c r="C80" s="41"/>
      <c r="D80" s="17"/>
      <c r="E80" s="41"/>
      <c r="F80" s="41"/>
      <c r="G80" s="17"/>
      <c r="H80" s="41"/>
      <c r="I80" s="41"/>
      <c r="K80" s="34"/>
    </row>
    <row r="81" spans="2:11" x14ac:dyDescent="0.3">
      <c r="B81" s="40"/>
      <c r="C81" s="41"/>
      <c r="D81" s="17"/>
      <c r="E81" s="41"/>
      <c r="F81" s="41"/>
      <c r="G81" s="17"/>
      <c r="H81" s="41"/>
      <c r="I81" s="41"/>
      <c r="K81" s="34"/>
    </row>
    <row r="82" spans="2:11" x14ac:dyDescent="0.3">
      <c r="B82" s="40"/>
      <c r="C82" s="41"/>
      <c r="D82" s="17"/>
      <c r="E82" s="41"/>
      <c r="F82" s="41"/>
      <c r="G82" s="17"/>
      <c r="H82" s="41"/>
      <c r="I82" s="41"/>
      <c r="K82" s="34"/>
    </row>
    <row r="83" spans="2:11" x14ac:dyDescent="0.3">
      <c r="B83" s="40"/>
      <c r="C83" s="41"/>
      <c r="D83" s="17"/>
      <c r="E83" s="41"/>
      <c r="F83" s="41"/>
      <c r="G83" s="17"/>
      <c r="H83" s="41"/>
      <c r="I83" s="41"/>
      <c r="K83" s="34"/>
    </row>
    <row r="84" spans="2:11" x14ac:dyDescent="0.3">
      <c r="B84" s="40"/>
      <c r="C84" s="41"/>
      <c r="D84" s="17"/>
      <c r="E84" s="41"/>
      <c r="F84" s="41"/>
      <c r="G84" s="17"/>
      <c r="H84" s="41"/>
      <c r="I84" s="41"/>
      <c r="K84" s="34"/>
    </row>
    <row r="85" spans="2:11" x14ac:dyDescent="0.3">
      <c r="B85" s="40"/>
      <c r="C85" s="41"/>
      <c r="D85" s="17"/>
      <c r="E85" s="41"/>
      <c r="F85" s="41"/>
      <c r="G85" s="17"/>
      <c r="H85" s="41"/>
      <c r="I85" s="41"/>
      <c r="K85" s="34"/>
    </row>
    <row r="86" spans="2:11" x14ac:dyDescent="0.3">
      <c r="B86" s="40"/>
      <c r="C86" s="41"/>
      <c r="D86" s="17"/>
      <c r="E86" s="41"/>
      <c r="F86" s="41"/>
      <c r="G86" s="17"/>
      <c r="H86" s="41"/>
      <c r="I86" s="41"/>
      <c r="K86" s="34"/>
    </row>
    <row r="87" spans="2:11" x14ac:dyDescent="0.3">
      <c r="B87" s="40"/>
      <c r="C87" s="41"/>
      <c r="D87" s="17"/>
      <c r="E87" s="41"/>
      <c r="F87" s="41"/>
      <c r="G87" s="17"/>
      <c r="H87" s="41"/>
      <c r="I87" s="41"/>
      <c r="K87" s="34"/>
    </row>
    <row r="88" spans="2:11" x14ac:dyDescent="0.3">
      <c r="B88" s="40"/>
      <c r="C88" s="41"/>
      <c r="D88" s="17"/>
      <c r="E88" s="41"/>
      <c r="F88" s="41"/>
      <c r="G88" s="17"/>
      <c r="H88" s="41"/>
      <c r="I88" s="41"/>
      <c r="K88" s="34"/>
    </row>
    <row r="89" spans="2:11" x14ac:dyDescent="0.3">
      <c r="B89" s="40"/>
      <c r="C89" s="41"/>
      <c r="D89" s="17"/>
      <c r="E89" s="41"/>
      <c r="F89" s="41"/>
      <c r="G89" s="17"/>
      <c r="H89" s="41"/>
      <c r="I89" s="41"/>
      <c r="K89" s="34"/>
    </row>
    <row r="90" spans="2:11" x14ac:dyDescent="0.3">
      <c r="B90" s="40"/>
      <c r="C90" s="41"/>
      <c r="D90" s="17"/>
      <c r="E90" s="41"/>
      <c r="F90" s="41"/>
      <c r="G90" s="17"/>
      <c r="H90" s="41"/>
      <c r="I90" s="41"/>
      <c r="K90" s="34"/>
    </row>
    <row r="91" spans="2:11" x14ac:dyDescent="0.3">
      <c r="B91" s="40"/>
      <c r="C91" s="41"/>
      <c r="D91" s="17"/>
      <c r="E91" s="41"/>
      <c r="F91" s="41"/>
      <c r="G91" s="17"/>
      <c r="H91" s="41"/>
      <c r="I91" s="41"/>
      <c r="K91" s="34"/>
    </row>
    <row r="92" spans="2:11" x14ac:dyDescent="0.3">
      <c r="B92" s="40"/>
      <c r="C92" s="41"/>
      <c r="D92" s="17"/>
      <c r="E92" s="41"/>
      <c r="F92" s="41"/>
      <c r="G92" s="17"/>
      <c r="H92" s="41"/>
      <c r="I92" s="41"/>
      <c r="K92" s="34"/>
    </row>
    <row r="93" spans="2:11" x14ac:dyDescent="0.3">
      <c r="B93" s="40"/>
      <c r="C93" s="41"/>
      <c r="D93" s="17"/>
      <c r="E93" s="41"/>
      <c r="F93" s="41"/>
      <c r="G93" s="17"/>
      <c r="H93" s="41"/>
      <c r="I93" s="41"/>
      <c r="K93" s="34"/>
    </row>
    <row r="94" spans="2:11" x14ac:dyDescent="0.3">
      <c r="B94" s="40"/>
      <c r="C94" s="41"/>
      <c r="D94" s="17"/>
      <c r="E94" s="41"/>
      <c r="F94" s="41"/>
      <c r="G94" s="17"/>
      <c r="H94" s="41"/>
      <c r="I94" s="41"/>
      <c r="K94" s="34"/>
    </row>
    <row r="95" spans="2:11" x14ac:dyDescent="0.3">
      <c r="B95" s="40"/>
      <c r="C95" s="41"/>
      <c r="D95" s="17"/>
      <c r="E95" s="41"/>
      <c r="F95" s="41"/>
      <c r="G95" s="17"/>
      <c r="H95" s="41"/>
      <c r="I95" s="41"/>
      <c r="K95" s="34"/>
    </row>
    <row r="96" spans="2:11" x14ac:dyDescent="0.3">
      <c r="B96" s="40"/>
      <c r="C96" s="41"/>
      <c r="D96" s="17"/>
      <c r="E96" s="41"/>
      <c r="F96" s="41"/>
      <c r="G96" s="17"/>
      <c r="H96" s="41"/>
      <c r="I96" s="41"/>
      <c r="K96" s="34"/>
    </row>
    <row r="97" spans="2:11" x14ac:dyDescent="0.3">
      <c r="B97" s="40"/>
      <c r="C97" s="41"/>
      <c r="D97" s="17"/>
      <c r="E97" s="41"/>
      <c r="F97" s="41"/>
      <c r="G97" s="17"/>
      <c r="H97" s="41"/>
      <c r="I97" s="41"/>
      <c r="K97" s="34"/>
    </row>
    <row r="98" spans="2:11" x14ac:dyDescent="0.3">
      <c r="B98" s="40"/>
      <c r="C98" s="41"/>
      <c r="D98" s="17"/>
      <c r="E98" s="41"/>
      <c r="F98" s="41"/>
      <c r="G98" s="17"/>
      <c r="H98" s="41"/>
      <c r="I98" s="41"/>
      <c r="K98" s="34"/>
    </row>
    <row r="99" spans="2:11" x14ac:dyDescent="0.3">
      <c r="B99" s="40"/>
      <c r="C99" s="41"/>
      <c r="D99" s="17"/>
      <c r="E99" s="41"/>
      <c r="F99" s="41"/>
      <c r="G99" s="17"/>
      <c r="H99" s="41"/>
      <c r="I99" s="41"/>
      <c r="K99" s="34"/>
    </row>
    <row r="100" spans="2:11" x14ac:dyDescent="0.3">
      <c r="B100" s="40"/>
      <c r="C100" s="41"/>
      <c r="D100" s="17"/>
      <c r="E100" s="41"/>
      <c r="F100" s="41"/>
      <c r="G100" s="17"/>
      <c r="H100" s="41"/>
      <c r="I100" s="41"/>
      <c r="K100" s="34"/>
    </row>
    <row r="101" spans="2:11" x14ac:dyDescent="0.3">
      <c r="B101" s="40"/>
      <c r="C101" s="41"/>
      <c r="D101" s="17"/>
      <c r="E101" s="41"/>
      <c r="F101" s="41"/>
      <c r="G101" s="17"/>
      <c r="H101" s="41"/>
      <c r="I101" s="41"/>
      <c r="K101" s="34"/>
    </row>
    <row r="102" spans="2:11" x14ac:dyDescent="0.3">
      <c r="B102" s="40"/>
      <c r="C102" s="41"/>
      <c r="D102" s="17"/>
      <c r="E102" s="41"/>
      <c r="F102" s="41"/>
      <c r="G102" s="17"/>
      <c r="H102" s="41"/>
      <c r="I102" s="41"/>
      <c r="K102" s="34"/>
    </row>
    <row r="103" spans="2:11" x14ac:dyDescent="0.3">
      <c r="B103" s="40"/>
      <c r="C103" s="41"/>
      <c r="D103" s="17"/>
      <c r="E103" s="41"/>
      <c r="F103" s="41"/>
      <c r="G103" s="17"/>
      <c r="H103" s="41"/>
      <c r="I103" s="41"/>
      <c r="K103" s="34"/>
    </row>
    <row r="104" spans="2:11" x14ac:dyDescent="0.3">
      <c r="B104" s="40"/>
      <c r="C104" s="41"/>
      <c r="D104" s="17"/>
      <c r="E104" s="41"/>
      <c r="F104" s="41"/>
      <c r="G104" s="17"/>
      <c r="H104" s="41"/>
      <c r="I104" s="41"/>
      <c r="K104" s="34"/>
    </row>
    <row r="105" spans="2:11" x14ac:dyDescent="0.3">
      <c r="B105" s="40"/>
      <c r="C105" s="41"/>
      <c r="D105" s="17"/>
      <c r="E105" s="41"/>
      <c r="F105" s="41"/>
      <c r="G105" s="17"/>
      <c r="H105" s="41"/>
      <c r="I105" s="41"/>
      <c r="K105" s="34"/>
    </row>
    <row r="106" spans="2:11" x14ac:dyDescent="0.3">
      <c r="B106" s="40"/>
      <c r="C106" s="41"/>
      <c r="D106" s="17"/>
      <c r="E106" s="41"/>
      <c r="F106" s="41"/>
      <c r="G106" s="17"/>
      <c r="H106" s="41"/>
      <c r="I106" s="41"/>
      <c r="K106" s="34"/>
    </row>
    <row r="107" spans="2:11" x14ac:dyDescent="0.3">
      <c r="B107" s="40"/>
      <c r="C107" s="41"/>
      <c r="D107" s="17"/>
      <c r="E107" s="41"/>
      <c r="F107" s="41"/>
      <c r="G107" s="17"/>
      <c r="H107" s="41"/>
      <c r="I107" s="41"/>
      <c r="K107" s="34"/>
    </row>
    <row r="108" spans="2:11" x14ac:dyDescent="0.3">
      <c r="B108" s="40"/>
      <c r="C108" s="41"/>
      <c r="D108" s="17"/>
      <c r="E108" s="41"/>
      <c r="F108" s="41"/>
      <c r="G108" s="17"/>
      <c r="H108" s="41"/>
      <c r="I108" s="41"/>
      <c r="K108" s="34"/>
    </row>
    <row r="109" spans="2:11" x14ac:dyDescent="0.3">
      <c r="B109" s="40"/>
      <c r="C109" s="41"/>
      <c r="D109" s="17"/>
      <c r="E109" s="41"/>
      <c r="F109" s="41"/>
      <c r="G109" s="17"/>
      <c r="H109" s="41"/>
      <c r="I109" s="41"/>
      <c r="K109" s="34"/>
    </row>
    <row r="110" spans="2:11" x14ac:dyDescent="0.3">
      <c r="B110" s="40"/>
      <c r="C110" s="41"/>
      <c r="D110" s="17"/>
      <c r="E110" s="41"/>
      <c r="F110" s="41"/>
      <c r="G110" s="17"/>
      <c r="H110" s="41"/>
      <c r="I110" s="41"/>
      <c r="K110" s="34"/>
    </row>
    <row r="111" spans="2:11" x14ac:dyDescent="0.3">
      <c r="B111" s="40"/>
      <c r="C111" s="41"/>
      <c r="D111" s="17"/>
      <c r="E111" s="41"/>
      <c r="F111" s="41"/>
      <c r="G111" s="17"/>
      <c r="H111" s="41"/>
      <c r="I111" s="41"/>
      <c r="K111" s="34"/>
    </row>
    <row r="112" spans="2:11" x14ac:dyDescent="0.3">
      <c r="B112" s="40"/>
      <c r="C112" s="41"/>
      <c r="D112" s="17"/>
      <c r="E112" s="41"/>
      <c r="F112" s="41"/>
      <c r="G112" s="17"/>
      <c r="H112" s="41"/>
      <c r="I112" s="41"/>
      <c r="K112" s="34"/>
    </row>
    <row r="113" spans="2:11" x14ac:dyDescent="0.3">
      <c r="B113" s="40"/>
      <c r="C113" s="41"/>
      <c r="D113" s="17"/>
      <c r="E113" s="41"/>
      <c r="F113" s="41"/>
      <c r="G113" s="17"/>
      <c r="H113" s="41"/>
      <c r="I113" s="41"/>
      <c r="K113" s="34"/>
    </row>
    <row r="114" spans="2:11" x14ac:dyDescent="0.3">
      <c r="B114" s="40"/>
      <c r="C114" s="41"/>
      <c r="D114" s="17"/>
      <c r="E114" s="41"/>
      <c r="F114" s="41"/>
      <c r="G114" s="17"/>
      <c r="H114" s="41"/>
      <c r="I114" s="41"/>
      <c r="K114" s="34"/>
    </row>
    <row r="115" spans="2:11" x14ac:dyDescent="0.3">
      <c r="B115" s="40"/>
      <c r="C115" s="41"/>
      <c r="D115" s="17"/>
      <c r="E115" s="41"/>
      <c r="F115" s="41"/>
      <c r="G115" s="17"/>
      <c r="H115" s="41"/>
      <c r="I115" s="41"/>
      <c r="K115" s="34"/>
    </row>
    <row r="116" spans="2:11" x14ac:dyDescent="0.3">
      <c r="B116" s="40"/>
      <c r="C116" s="41"/>
      <c r="D116" s="17"/>
      <c r="E116" s="41"/>
      <c r="F116" s="41"/>
      <c r="G116" s="17"/>
      <c r="H116" s="41"/>
      <c r="I116" s="41"/>
      <c r="K116" s="34"/>
    </row>
    <row r="117" spans="2:11" x14ac:dyDescent="0.3">
      <c r="B117" s="40"/>
      <c r="C117" s="41"/>
      <c r="D117" s="17"/>
      <c r="E117" s="41"/>
      <c r="F117" s="41"/>
      <c r="G117" s="17"/>
      <c r="H117" s="41"/>
      <c r="I117" s="41"/>
      <c r="K117" s="34"/>
    </row>
    <row r="118" spans="2:11" x14ac:dyDescent="0.3">
      <c r="B118" s="40"/>
      <c r="C118" s="41"/>
      <c r="D118" s="17"/>
      <c r="E118" s="41"/>
      <c r="F118" s="41"/>
      <c r="G118" s="17"/>
      <c r="H118" s="41"/>
      <c r="I118" s="41"/>
      <c r="K118" s="34"/>
    </row>
    <row r="119" spans="2:11" x14ac:dyDescent="0.3">
      <c r="B119" s="40"/>
      <c r="C119" s="41"/>
      <c r="D119" s="17"/>
      <c r="E119" s="41"/>
      <c r="F119" s="41"/>
      <c r="G119" s="17"/>
      <c r="H119" s="41"/>
      <c r="I119" s="41"/>
      <c r="K119" s="34"/>
    </row>
    <row r="120" spans="2:11" x14ac:dyDescent="0.3">
      <c r="B120" s="40"/>
      <c r="C120" s="41"/>
      <c r="D120" s="17"/>
      <c r="E120" s="41"/>
      <c r="F120" s="41"/>
      <c r="G120" s="17"/>
      <c r="H120" s="41"/>
      <c r="I120" s="41"/>
      <c r="K120" s="34"/>
    </row>
    <row r="121" spans="2:11" x14ac:dyDescent="0.3">
      <c r="B121" s="40"/>
      <c r="C121" s="41"/>
      <c r="D121" s="17"/>
      <c r="E121" s="41"/>
      <c r="F121" s="41"/>
      <c r="G121" s="17"/>
      <c r="H121" s="41"/>
      <c r="I121" s="41"/>
      <c r="K121" s="34"/>
    </row>
    <row r="122" spans="2:11" x14ac:dyDescent="0.3">
      <c r="B122" s="40"/>
      <c r="C122" s="41"/>
      <c r="D122" s="17"/>
      <c r="E122" s="41"/>
      <c r="F122" s="41"/>
      <c r="G122" s="17"/>
      <c r="H122" s="41"/>
      <c r="I122" s="41"/>
      <c r="K122" s="34"/>
    </row>
    <row r="123" spans="2:11" x14ac:dyDescent="0.3">
      <c r="B123" s="40"/>
      <c r="C123" s="41"/>
      <c r="D123" s="17"/>
      <c r="E123" s="41"/>
      <c r="F123" s="41"/>
      <c r="G123" s="17"/>
      <c r="H123" s="41"/>
      <c r="I123" s="41"/>
      <c r="K123" s="34"/>
    </row>
    <row r="124" spans="2:11" x14ac:dyDescent="0.3">
      <c r="B124" s="40"/>
      <c r="C124" s="41"/>
      <c r="D124" s="17"/>
      <c r="E124" s="41"/>
      <c r="F124" s="41"/>
      <c r="G124" s="17"/>
      <c r="H124" s="41"/>
      <c r="I124" s="41"/>
      <c r="K124" s="34"/>
    </row>
    <row r="125" spans="2:11" x14ac:dyDescent="0.3">
      <c r="B125" s="40"/>
      <c r="C125" s="41"/>
      <c r="D125" s="17"/>
      <c r="E125" s="41"/>
      <c r="F125" s="41"/>
      <c r="G125" s="17"/>
      <c r="H125" s="41"/>
      <c r="I125" s="41"/>
      <c r="K125" s="34"/>
    </row>
    <row r="126" spans="2:11" x14ac:dyDescent="0.3">
      <c r="B126" s="40"/>
      <c r="C126" s="41"/>
      <c r="D126" s="17"/>
      <c r="E126" s="41"/>
      <c r="F126" s="41"/>
      <c r="G126" s="17"/>
      <c r="H126" s="41"/>
      <c r="I126" s="41"/>
      <c r="K126" s="34"/>
    </row>
    <row r="127" spans="2:11" x14ac:dyDescent="0.3">
      <c r="B127" s="40"/>
      <c r="C127" s="41"/>
      <c r="D127" s="17"/>
      <c r="E127" s="41"/>
      <c r="F127" s="41"/>
      <c r="G127" s="17"/>
      <c r="H127" s="41"/>
      <c r="I127" s="41"/>
      <c r="K127" s="34"/>
    </row>
    <row r="128" spans="2:11" x14ac:dyDescent="0.3">
      <c r="B128" s="40"/>
      <c r="C128" s="41"/>
      <c r="D128" s="17"/>
      <c r="E128" s="41"/>
      <c r="F128" s="41"/>
      <c r="G128" s="17"/>
      <c r="H128" s="41"/>
      <c r="I128" s="41"/>
      <c r="K128" s="34"/>
    </row>
    <row r="129" spans="2:11" x14ac:dyDescent="0.3">
      <c r="B129" s="40"/>
      <c r="C129" s="41"/>
      <c r="D129" s="17"/>
      <c r="E129" s="41"/>
      <c r="F129" s="41"/>
      <c r="G129" s="17"/>
      <c r="H129" s="41"/>
      <c r="I129" s="41"/>
      <c r="K129" s="34"/>
    </row>
    <row r="130" spans="2:11" x14ac:dyDescent="0.3">
      <c r="B130" s="40"/>
      <c r="C130" s="41"/>
      <c r="D130" s="17"/>
      <c r="E130" s="41"/>
      <c r="F130" s="41"/>
      <c r="G130" s="17"/>
      <c r="H130" s="41"/>
      <c r="I130" s="41"/>
      <c r="K130" s="34"/>
    </row>
    <row r="131" spans="2:11" x14ac:dyDescent="0.3">
      <c r="B131" s="40"/>
      <c r="C131" s="41"/>
      <c r="D131" s="17"/>
      <c r="E131" s="41"/>
      <c r="F131" s="41"/>
      <c r="G131" s="17"/>
      <c r="H131" s="41"/>
      <c r="I131" s="41"/>
      <c r="K131" s="34"/>
    </row>
    <row r="132" spans="2:11" x14ac:dyDescent="0.3">
      <c r="B132" s="40"/>
      <c r="C132" s="41"/>
      <c r="D132" s="17"/>
      <c r="E132" s="41"/>
      <c r="F132" s="41"/>
      <c r="G132" s="17"/>
      <c r="H132" s="41"/>
      <c r="I132" s="41"/>
      <c r="K132" s="34"/>
    </row>
    <row r="133" spans="2:11" x14ac:dyDescent="0.3">
      <c r="B133" s="40"/>
      <c r="C133" s="41"/>
      <c r="D133" s="17"/>
      <c r="E133" s="41"/>
      <c r="F133" s="41"/>
      <c r="G133" s="17"/>
      <c r="H133" s="41"/>
      <c r="I133" s="41"/>
      <c r="K133" s="34"/>
    </row>
    <row r="134" spans="2:11" x14ac:dyDescent="0.3">
      <c r="B134" s="40"/>
      <c r="C134" s="41"/>
      <c r="D134" s="17"/>
      <c r="E134" s="41"/>
      <c r="F134" s="41"/>
      <c r="G134" s="17"/>
      <c r="H134" s="41"/>
      <c r="I134" s="41"/>
      <c r="K134" s="34"/>
    </row>
    <row r="135" spans="2:11" x14ac:dyDescent="0.3">
      <c r="B135" s="40"/>
      <c r="C135" s="41"/>
      <c r="D135" s="17"/>
      <c r="E135" s="41"/>
      <c r="F135" s="41"/>
      <c r="G135" s="17"/>
      <c r="H135" s="41"/>
      <c r="I135" s="41"/>
      <c r="K135" s="34"/>
    </row>
    <row r="136" spans="2:11" x14ac:dyDescent="0.3">
      <c r="B136" s="40"/>
      <c r="C136" s="41"/>
      <c r="D136" s="17"/>
      <c r="E136" s="41"/>
      <c r="F136" s="41"/>
      <c r="G136" s="17"/>
      <c r="H136" s="41"/>
      <c r="I136" s="41"/>
      <c r="K136" s="34"/>
    </row>
    <row r="137" spans="2:11" x14ac:dyDescent="0.3">
      <c r="B137" s="40"/>
      <c r="C137" s="41"/>
      <c r="D137" s="17"/>
      <c r="E137" s="41"/>
      <c r="F137" s="41"/>
      <c r="G137" s="17"/>
      <c r="H137" s="41"/>
      <c r="I137" s="41"/>
      <c r="K137" s="34"/>
    </row>
    <row r="138" spans="2:11" x14ac:dyDescent="0.3">
      <c r="B138" s="40"/>
      <c r="C138" s="41"/>
      <c r="D138" s="17"/>
      <c r="E138" s="41"/>
      <c r="F138" s="41"/>
      <c r="G138" s="17"/>
      <c r="H138" s="41"/>
      <c r="I138" s="41"/>
      <c r="K138" s="34"/>
    </row>
    <row r="139" spans="2:11" x14ac:dyDescent="0.3">
      <c r="B139" s="40"/>
      <c r="C139" s="41"/>
      <c r="D139" s="17"/>
      <c r="E139" s="41"/>
      <c r="F139" s="41"/>
      <c r="G139" s="17"/>
      <c r="H139" s="41"/>
      <c r="I139" s="41"/>
      <c r="K139" s="34"/>
    </row>
    <row r="140" spans="2:11" x14ac:dyDescent="0.3">
      <c r="B140" s="40"/>
      <c r="C140" s="41"/>
      <c r="D140" s="17"/>
      <c r="E140" s="41"/>
      <c r="F140" s="41"/>
      <c r="G140" s="17"/>
      <c r="H140" s="41"/>
      <c r="I140" s="41"/>
      <c r="K140" s="34"/>
    </row>
    <row r="141" spans="2:11" x14ac:dyDescent="0.3">
      <c r="B141" s="40"/>
      <c r="C141" s="41"/>
      <c r="D141" s="17"/>
      <c r="E141" s="41"/>
      <c r="F141" s="41"/>
      <c r="G141" s="17"/>
      <c r="H141" s="41"/>
      <c r="I141" s="41"/>
      <c r="K141" s="34"/>
    </row>
    <row r="142" spans="2:11" x14ac:dyDescent="0.3">
      <c r="B142" s="40"/>
      <c r="C142" s="41"/>
      <c r="D142" s="17"/>
      <c r="E142" s="41"/>
      <c r="F142" s="41"/>
      <c r="G142" s="17"/>
      <c r="H142" s="41"/>
      <c r="I142" s="41"/>
      <c r="K142" s="34"/>
    </row>
    <row r="143" spans="2:11" x14ac:dyDescent="0.3">
      <c r="B143" s="40"/>
      <c r="C143" s="41"/>
      <c r="D143" s="17"/>
      <c r="E143" s="41"/>
      <c r="F143" s="41"/>
      <c r="G143" s="17"/>
      <c r="H143" s="41"/>
      <c r="I143" s="41"/>
      <c r="K143" s="34"/>
    </row>
    <row r="144" spans="2:11" x14ac:dyDescent="0.3">
      <c r="B144" s="40"/>
      <c r="C144" s="41"/>
      <c r="D144" s="17"/>
      <c r="E144" s="41"/>
      <c r="F144" s="41"/>
      <c r="G144" s="17"/>
      <c r="H144" s="41"/>
      <c r="I144" s="41"/>
      <c r="K144" s="34"/>
    </row>
    <row r="145" spans="2:11" x14ac:dyDescent="0.3">
      <c r="B145" s="40"/>
      <c r="C145" s="41"/>
      <c r="D145" s="17"/>
      <c r="E145" s="41"/>
      <c r="F145" s="41"/>
      <c r="G145" s="17"/>
      <c r="H145" s="41"/>
      <c r="I145" s="41"/>
      <c r="K145" s="34"/>
    </row>
    <row r="146" spans="2:11" x14ac:dyDescent="0.3">
      <c r="B146" s="40"/>
      <c r="C146" s="41"/>
      <c r="D146" s="17"/>
      <c r="E146" s="41"/>
      <c r="F146" s="41"/>
      <c r="G146" s="17"/>
      <c r="H146" s="41"/>
      <c r="I146" s="41"/>
      <c r="K146" s="34"/>
    </row>
    <row r="147" spans="2:11" x14ac:dyDescent="0.3">
      <c r="B147" s="40"/>
      <c r="C147" s="41"/>
      <c r="D147" s="17"/>
      <c r="E147" s="41"/>
      <c r="F147" s="41"/>
      <c r="G147" s="17"/>
      <c r="H147" s="41"/>
      <c r="I147" s="41"/>
      <c r="K147" s="34"/>
    </row>
    <row r="148" spans="2:11" x14ac:dyDescent="0.3">
      <c r="B148" s="40"/>
      <c r="C148" s="41"/>
      <c r="D148" s="17"/>
      <c r="E148" s="41"/>
      <c r="F148" s="41"/>
      <c r="G148" s="17"/>
      <c r="H148" s="41"/>
      <c r="I148" s="41"/>
      <c r="K148" s="34"/>
    </row>
    <row r="149" spans="2:11" x14ac:dyDescent="0.3">
      <c r="B149" s="40"/>
      <c r="C149" s="41"/>
      <c r="D149" s="17"/>
      <c r="E149" s="41"/>
      <c r="F149" s="41"/>
      <c r="G149" s="17"/>
      <c r="H149" s="41"/>
      <c r="I149" s="41"/>
      <c r="K149" s="34"/>
    </row>
    <row r="150" spans="2:11" x14ac:dyDescent="0.3">
      <c r="B150" s="40"/>
      <c r="C150" s="41"/>
      <c r="D150" s="17"/>
      <c r="E150" s="41"/>
      <c r="F150" s="41"/>
      <c r="G150" s="17"/>
      <c r="H150" s="41"/>
      <c r="I150" s="41"/>
      <c r="K150" s="34"/>
    </row>
    <row r="151" spans="2:11" x14ac:dyDescent="0.3">
      <c r="B151" s="40"/>
      <c r="C151" s="41"/>
      <c r="D151" s="17"/>
      <c r="E151" s="41"/>
      <c r="F151" s="41"/>
      <c r="G151" s="17"/>
      <c r="H151" s="41"/>
      <c r="I151" s="41"/>
      <c r="K151" s="34"/>
    </row>
    <row r="152" spans="2:11" x14ac:dyDescent="0.3">
      <c r="B152" s="40"/>
      <c r="C152" s="41"/>
      <c r="D152" s="17"/>
      <c r="E152" s="41"/>
      <c r="F152" s="41"/>
      <c r="G152" s="17"/>
      <c r="H152" s="41"/>
      <c r="I152" s="41"/>
      <c r="K152" s="34"/>
    </row>
    <row r="153" spans="2:11" x14ac:dyDescent="0.3">
      <c r="B153" s="40"/>
      <c r="C153" s="41"/>
      <c r="D153" s="17"/>
      <c r="E153" s="41"/>
      <c r="F153" s="41"/>
      <c r="G153" s="17"/>
      <c r="H153" s="41"/>
      <c r="I153" s="41"/>
      <c r="K153" s="34"/>
    </row>
    <row r="154" spans="2:11" x14ac:dyDescent="0.3">
      <c r="B154" s="40"/>
      <c r="C154" s="41"/>
      <c r="D154" s="17"/>
      <c r="E154" s="41"/>
      <c r="F154" s="41"/>
      <c r="G154" s="17"/>
      <c r="H154" s="41"/>
      <c r="I154" s="41"/>
      <c r="K154" s="34"/>
    </row>
    <row r="155" spans="2:11" x14ac:dyDescent="0.3">
      <c r="B155" s="40"/>
      <c r="C155" s="41"/>
      <c r="D155" s="17"/>
      <c r="E155" s="41"/>
      <c r="F155" s="41"/>
      <c r="G155" s="17"/>
      <c r="H155" s="41"/>
      <c r="I155" s="41"/>
      <c r="K155" s="34"/>
    </row>
    <row r="156" spans="2:11" x14ac:dyDescent="0.3">
      <c r="B156" s="40"/>
      <c r="C156" s="41"/>
      <c r="D156" s="17"/>
      <c r="E156" s="41"/>
      <c r="F156" s="41"/>
      <c r="G156" s="17"/>
      <c r="H156" s="41"/>
      <c r="I156" s="41"/>
      <c r="K156" s="34"/>
    </row>
    <row r="157" spans="2:11" x14ac:dyDescent="0.3">
      <c r="B157" s="40"/>
      <c r="C157" s="41"/>
      <c r="D157" s="17"/>
      <c r="E157" s="41"/>
      <c r="F157" s="41"/>
      <c r="G157" s="17"/>
      <c r="H157" s="41"/>
      <c r="I157" s="41"/>
      <c r="K157" s="34"/>
    </row>
    <row r="158" spans="2:11" x14ac:dyDescent="0.3">
      <c r="B158" s="40"/>
      <c r="C158" s="41"/>
      <c r="D158" s="17"/>
      <c r="E158" s="41"/>
      <c r="F158" s="41"/>
      <c r="G158" s="17"/>
      <c r="H158" s="41"/>
      <c r="I158" s="41"/>
      <c r="K158" s="34"/>
    </row>
    <row r="159" spans="2:11" x14ac:dyDescent="0.3">
      <c r="B159" s="40"/>
      <c r="C159" s="41"/>
      <c r="D159" s="17"/>
      <c r="E159" s="41"/>
      <c r="F159" s="41"/>
      <c r="G159" s="17"/>
      <c r="H159" s="41"/>
      <c r="I159" s="41"/>
      <c r="K159" s="34"/>
    </row>
    <row r="160" spans="2:11" x14ac:dyDescent="0.3">
      <c r="B160" s="40"/>
      <c r="C160" s="41"/>
      <c r="D160" s="17"/>
      <c r="E160" s="41"/>
      <c r="F160" s="41"/>
      <c r="G160" s="17"/>
      <c r="H160" s="41"/>
      <c r="I160" s="41"/>
      <c r="K160" s="34"/>
    </row>
    <row r="161" spans="2:11" x14ac:dyDescent="0.3">
      <c r="B161" s="40"/>
      <c r="C161" s="41"/>
      <c r="D161" s="17"/>
      <c r="E161" s="41"/>
      <c r="F161" s="41"/>
      <c r="G161" s="17"/>
      <c r="H161" s="41"/>
      <c r="I161" s="41"/>
      <c r="K161" s="34"/>
    </row>
    <row r="162" spans="2:11" x14ac:dyDescent="0.3">
      <c r="B162" s="40"/>
      <c r="C162" s="41"/>
      <c r="D162" s="17"/>
      <c r="E162" s="41"/>
      <c r="F162" s="41"/>
      <c r="G162" s="17"/>
      <c r="H162" s="41"/>
      <c r="I162" s="41"/>
      <c r="K162" s="34"/>
    </row>
    <row r="163" spans="2:11" x14ac:dyDescent="0.3">
      <c r="B163" s="40"/>
      <c r="C163" s="41"/>
      <c r="D163" s="17"/>
      <c r="E163" s="41"/>
      <c r="F163" s="41"/>
      <c r="G163" s="17"/>
      <c r="H163" s="41"/>
      <c r="I163" s="41"/>
      <c r="K163" s="34"/>
    </row>
    <row r="164" spans="2:11" x14ac:dyDescent="0.3">
      <c r="B164" s="40"/>
      <c r="C164" s="41"/>
      <c r="D164" s="17"/>
      <c r="E164" s="41"/>
      <c r="F164" s="41"/>
      <c r="G164" s="17"/>
      <c r="H164" s="41"/>
      <c r="I164" s="41"/>
      <c r="K164" s="34"/>
    </row>
    <row r="165" spans="2:11" x14ac:dyDescent="0.3">
      <c r="B165" s="40"/>
      <c r="C165" s="41"/>
      <c r="D165" s="17"/>
      <c r="E165" s="41"/>
      <c r="F165" s="41"/>
      <c r="G165" s="17"/>
      <c r="H165" s="41"/>
      <c r="I165" s="41"/>
      <c r="K165" s="34"/>
    </row>
    <row r="166" spans="2:11" x14ac:dyDescent="0.3">
      <c r="B166" s="40"/>
      <c r="C166" s="41"/>
      <c r="D166" s="17"/>
      <c r="E166" s="41"/>
      <c r="F166" s="41"/>
      <c r="G166" s="17"/>
      <c r="H166" s="41"/>
      <c r="I166" s="41"/>
      <c r="K166" s="34"/>
    </row>
    <row r="167" spans="2:11" x14ac:dyDescent="0.3">
      <c r="B167" s="40"/>
      <c r="C167" s="41"/>
      <c r="D167" s="17"/>
      <c r="E167" s="41"/>
      <c r="F167" s="41"/>
      <c r="G167" s="17"/>
      <c r="H167" s="41"/>
      <c r="I167" s="41"/>
      <c r="K167" s="34"/>
    </row>
    <row r="168" spans="2:11" x14ac:dyDescent="0.3">
      <c r="B168" s="40"/>
      <c r="C168" s="41"/>
      <c r="D168" s="17"/>
      <c r="E168" s="41"/>
      <c r="F168" s="41"/>
      <c r="G168" s="17"/>
      <c r="H168" s="41"/>
      <c r="I168" s="41"/>
      <c r="K168" s="34"/>
    </row>
    <row r="169" spans="2:11" x14ac:dyDescent="0.3">
      <c r="B169" s="40"/>
      <c r="C169" s="41"/>
      <c r="D169" s="17"/>
      <c r="E169" s="41"/>
      <c r="F169" s="41"/>
      <c r="G169" s="17"/>
      <c r="H169" s="41"/>
      <c r="I169" s="41"/>
      <c r="K169" s="34"/>
    </row>
    <row r="170" spans="2:11" x14ac:dyDescent="0.3">
      <c r="B170" s="40"/>
      <c r="C170" s="41"/>
      <c r="D170" s="17"/>
      <c r="E170" s="41"/>
      <c r="F170" s="41"/>
      <c r="G170" s="17"/>
      <c r="H170" s="41"/>
      <c r="I170" s="41"/>
      <c r="K170" s="34"/>
    </row>
    <row r="171" spans="2:11" x14ac:dyDescent="0.3">
      <c r="B171" s="40"/>
      <c r="C171" s="41"/>
      <c r="D171" s="17"/>
      <c r="E171" s="41"/>
      <c r="F171" s="41"/>
      <c r="G171" s="17"/>
      <c r="H171" s="41"/>
      <c r="I171" s="41"/>
      <c r="K171" s="34"/>
    </row>
    <row r="172" spans="2:11" x14ac:dyDescent="0.3">
      <c r="B172" s="40"/>
      <c r="C172" s="41"/>
      <c r="D172" s="17"/>
      <c r="E172" s="41"/>
      <c r="F172" s="41"/>
      <c r="G172" s="17"/>
      <c r="H172" s="41"/>
      <c r="I172" s="41"/>
      <c r="K172" s="34"/>
    </row>
    <row r="173" spans="2:11" x14ac:dyDescent="0.3">
      <c r="B173" s="40"/>
      <c r="C173" s="41"/>
      <c r="D173" s="17"/>
      <c r="E173" s="41"/>
      <c r="F173" s="41"/>
      <c r="G173" s="17"/>
      <c r="H173" s="41"/>
      <c r="I173" s="41"/>
      <c r="K173" s="34"/>
    </row>
    <row r="174" spans="2:11" x14ac:dyDescent="0.3">
      <c r="B174" s="40"/>
      <c r="C174" s="41"/>
      <c r="D174" s="17"/>
      <c r="E174" s="41"/>
      <c r="F174" s="41"/>
      <c r="G174" s="17"/>
      <c r="H174" s="41"/>
      <c r="I174" s="41"/>
      <c r="K174" s="34"/>
    </row>
    <row r="175" spans="2:11" x14ac:dyDescent="0.3">
      <c r="B175" s="40"/>
      <c r="C175" s="41"/>
      <c r="D175" s="17"/>
      <c r="E175" s="41"/>
      <c r="F175" s="41"/>
      <c r="G175" s="17"/>
      <c r="H175" s="41"/>
      <c r="I175" s="41"/>
      <c r="K175" s="34"/>
    </row>
    <row r="176" spans="2:11" x14ac:dyDescent="0.3">
      <c r="B176" s="40"/>
      <c r="C176" s="41"/>
      <c r="D176" s="17"/>
      <c r="E176" s="41"/>
      <c r="F176" s="41"/>
      <c r="G176" s="17"/>
      <c r="H176" s="41"/>
      <c r="I176" s="41"/>
      <c r="K176" s="34"/>
    </row>
    <row r="177" spans="2:11" x14ac:dyDescent="0.3">
      <c r="B177" s="40"/>
      <c r="C177" s="41"/>
      <c r="D177" s="17"/>
      <c r="E177" s="41"/>
      <c r="F177" s="41"/>
      <c r="G177" s="17"/>
      <c r="H177" s="41"/>
      <c r="I177" s="41"/>
      <c r="K177" s="34"/>
    </row>
    <row r="178" spans="2:11" x14ac:dyDescent="0.3">
      <c r="B178" s="40"/>
      <c r="C178" s="41"/>
      <c r="D178" s="17"/>
      <c r="E178" s="41"/>
      <c r="F178" s="41"/>
      <c r="G178" s="17"/>
      <c r="H178" s="41"/>
      <c r="I178" s="41"/>
      <c r="K178" s="34"/>
    </row>
    <row r="179" spans="2:11" x14ac:dyDescent="0.3">
      <c r="B179" s="40"/>
      <c r="C179" s="41"/>
      <c r="D179" s="17"/>
      <c r="E179" s="41"/>
      <c r="F179" s="41"/>
      <c r="G179" s="17"/>
      <c r="H179" s="41"/>
      <c r="I179" s="41"/>
      <c r="K179" s="34"/>
    </row>
    <row r="180" spans="2:11" x14ac:dyDescent="0.3">
      <c r="B180" s="40"/>
      <c r="C180" s="41"/>
      <c r="D180" s="17"/>
      <c r="E180" s="41"/>
      <c r="F180" s="41"/>
      <c r="G180" s="17"/>
      <c r="H180" s="41"/>
      <c r="I180" s="41"/>
      <c r="K180" s="34"/>
    </row>
    <row r="181" spans="2:11" x14ac:dyDescent="0.3">
      <c r="B181" s="40"/>
      <c r="C181" s="41"/>
      <c r="D181" s="17"/>
      <c r="E181" s="41"/>
      <c r="F181" s="41"/>
      <c r="G181" s="17"/>
      <c r="H181" s="41"/>
      <c r="I181" s="41"/>
      <c r="K181" s="34"/>
    </row>
    <row r="182" spans="2:11" x14ac:dyDescent="0.3">
      <c r="B182" s="40"/>
      <c r="C182" s="41"/>
      <c r="D182" s="17"/>
      <c r="E182" s="41"/>
      <c r="F182" s="41"/>
      <c r="G182" s="17"/>
      <c r="H182" s="41"/>
      <c r="I182" s="41"/>
      <c r="K182" s="34"/>
    </row>
    <row r="183" spans="2:11" x14ac:dyDescent="0.3">
      <c r="B183" s="40"/>
      <c r="C183" s="41"/>
      <c r="D183" s="17"/>
      <c r="E183" s="41"/>
      <c r="F183" s="41"/>
      <c r="G183" s="17"/>
      <c r="H183" s="41"/>
      <c r="I183" s="41"/>
      <c r="K183" s="34"/>
    </row>
    <row r="184" spans="2:11" x14ac:dyDescent="0.3">
      <c r="B184" s="40"/>
      <c r="C184" s="41"/>
      <c r="D184" s="17"/>
      <c r="E184" s="41"/>
      <c r="F184" s="41"/>
      <c r="G184" s="17"/>
      <c r="H184" s="41"/>
      <c r="I184" s="41"/>
      <c r="K184" s="34"/>
    </row>
    <row r="185" spans="2:11" x14ac:dyDescent="0.3">
      <c r="B185" s="40"/>
      <c r="C185" s="41"/>
      <c r="D185" s="17"/>
      <c r="E185" s="41"/>
      <c r="F185" s="41"/>
      <c r="G185" s="17"/>
      <c r="H185" s="41"/>
      <c r="I185" s="41"/>
      <c r="K185" s="34"/>
    </row>
    <row r="186" spans="2:11" x14ac:dyDescent="0.3">
      <c r="B186" s="40"/>
      <c r="C186" s="41"/>
      <c r="D186" s="17"/>
      <c r="E186" s="41"/>
      <c r="F186" s="41"/>
      <c r="G186" s="17"/>
      <c r="H186" s="41"/>
      <c r="I186" s="41"/>
      <c r="K186" s="34"/>
    </row>
    <row r="187" spans="2:11" x14ac:dyDescent="0.3">
      <c r="B187" s="40"/>
      <c r="C187" s="41"/>
      <c r="D187" s="17"/>
      <c r="E187" s="41"/>
      <c r="F187" s="41"/>
      <c r="G187" s="17"/>
      <c r="H187" s="41"/>
      <c r="I187" s="41"/>
      <c r="K187" s="34"/>
    </row>
    <row r="188" spans="2:11" x14ac:dyDescent="0.3">
      <c r="B188" s="40"/>
      <c r="C188" s="41"/>
      <c r="D188" s="17"/>
      <c r="E188" s="41"/>
      <c r="F188" s="41"/>
      <c r="G188" s="17"/>
      <c r="H188" s="41"/>
      <c r="I188" s="41"/>
      <c r="K188" s="34"/>
    </row>
    <row r="189" spans="2:11" x14ac:dyDescent="0.3">
      <c r="B189" s="40"/>
      <c r="C189" s="41"/>
      <c r="D189" s="17"/>
      <c r="E189" s="41"/>
      <c r="F189" s="41"/>
      <c r="G189" s="17"/>
      <c r="H189" s="41"/>
      <c r="I189" s="41"/>
      <c r="K189" s="34"/>
    </row>
    <row r="190" spans="2:11" x14ac:dyDescent="0.3">
      <c r="B190" s="40"/>
      <c r="C190" s="41"/>
      <c r="D190" s="17"/>
      <c r="E190" s="41"/>
      <c r="F190" s="41"/>
      <c r="G190" s="17"/>
      <c r="H190" s="41"/>
      <c r="I190" s="41"/>
      <c r="K190" s="34"/>
    </row>
    <row r="191" spans="2:11" x14ac:dyDescent="0.3">
      <c r="B191" s="40"/>
      <c r="C191" s="41"/>
      <c r="D191" s="17"/>
      <c r="E191" s="41"/>
      <c r="F191" s="41"/>
      <c r="G191" s="17"/>
      <c r="H191" s="41"/>
      <c r="I191" s="41"/>
      <c r="K191" s="34"/>
    </row>
    <row r="192" spans="2:11" x14ac:dyDescent="0.3">
      <c r="B192" s="40"/>
      <c r="C192" s="41"/>
      <c r="D192" s="17"/>
      <c r="E192" s="41"/>
      <c r="F192" s="41"/>
      <c r="G192" s="17"/>
      <c r="H192" s="41"/>
      <c r="I192" s="41"/>
      <c r="K192" s="34"/>
    </row>
    <row r="193" spans="2:11" x14ac:dyDescent="0.3">
      <c r="B193" s="40"/>
      <c r="C193" s="41"/>
      <c r="D193" s="17"/>
      <c r="E193" s="41"/>
      <c r="F193" s="41"/>
      <c r="G193" s="17"/>
      <c r="H193" s="41"/>
      <c r="I193" s="41"/>
      <c r="K193" s="34"/>
    </row>
    <row r="194" spans="2:11" x14ac:dyDescent="0.3">
      <c r="B194" s="40"/>
      <c r="C194" s="41"/>
      <c r="D194" s="17"/>
      <c r="E194" s="41"/>
      <c r="F194" s="41"/>
      <c r="G194" s="17"/>
      <c r="H194" s="41"/>
      <c r="I194" s="41"/>
      <c r="K194" s="34"/>
    </row>
    <row r="195" spans="2:11" x14ac:dyDescent="0.3">
      <c r="B195" s="40"/>
      <c r="C195" s="41"/>
      <c r="D195" s="17"/>
      <c r="E195" s="41"/>
      <c r="F195" s="41"/>
      <c r="G195" s="17"/>
      <c r="H195" s="41"/>
      <c r="I195" s="41"/>
      <c r="K195" s="34"/>
    </row>
    <row r="196" spans="2:11" x14ac:dyDescent="0.3">
      <c r="B196" s="40"/>
      <c r="C196" s="41"/>
      <c r="D196" s="17"/>
      <c r="E196" s="41"/>
      <c r="F196" s="41"/>
      <c r="G196" s="17"/>
      <c r="H196" s="41"/>
      <c r="I196" s="41"/>
      <c r="K196" s="34"/>
    </row>
    <row r="197" spans="2:11" x14ac:dyDescent="0.3">
      <c r="B197" s="40"/>
      <c r="C197" s="41"/>
      <c r="D197" s="17"/>
      <c r="E197" s="41"/>
      <c r="F197" s="41"/>
      <c r="G197" s="17"/>
      <c r="H197" s="41"/>
      <c r="I197" s="41"/>
      <c r="K197" s="34"/>
    </row>
    <row r="198" spans="2:11" x14ac:dyDescent="0.3">
      <c r="B198" s="40"/>
      <c r="C198" s="41"/>
      <c r="D198" s="17"/>
      <c r="E198" s="41"/>
      <c r="F198" s="41"/>
      <c r="G198" s="17"/>
      <c r="H198" s="41"/>
      <c r="I198" s="41"/>
      <c r="K198" s="34"/>
    </row>
    <row r="199" spans="2:11" x14ac:dyDescent="0.3">
      <c r="B199" s="40"/>
      <c r="C199" s="41"/>
      <c r="D199" s="17"/>
      <c r="E199" s="41"/>
      <c r="F199" s="41"/>
      <c r="G199" s="17"/>
      <c r="H199" s="41"/>
      <c r="I199" s="41"/>
      <c r="K199" s="34"/>
    </row>
    <row r="200" spans="2:11" x14ac:dyDescent="0.3">
      <c r="B200" s="40"/>
      <c r="C200" s="41"/>
      <c r="D200" s="17"/>
      <c r="E200" s="41"/>
      <c r="F200" s="41"/>
      <c r="G200" s="17"/>
      <c r="H200" s="41"/>
      <c r="I200" s="41"/>
      <c r="K200" s="34"/>
    </row>
    <row r="201" spans="2:11" x14ac:dyDescent="0.3">
      <c r="B201" s="40"/>
      <c r="C201" s="41"/>
      <c r="D201" s="17"/>
      <c r="E201" s="41"/>
      <c r="F201" s="41"/>
      <c r="G201" s="17"/>
      <c r="H201" s="41"/>
      <c r="I201" s="41"/>
      <c r="K201" s="34"/>
    </row>
    <row r="202" spans="2:11" x14ac:dyDescent="0.3">
      <c r="B202" s="40"/>
      <c r="C202" s="41"/>
      <c r="D202" s="17"/>
      <c r="E202" s="41"/>
      <c r="F202" s="41"/>
      <c r="G202" s="17"/>
      <c r="H202" s="41"/>
      <c r="I202" s="41"/>
      <c r="K202" s="34"/>
    </row>
    <row r="203" spans="2:11" x14ac:dyDescent="0.3">
      <c r="B203" s="40"/>
      <c r="C203" s="41"/>
      <c r="D203" s="17"/>
      <c r="E203" s="41"/>
      <c r="F203" s="41"/>
      <c r="G203" s="17"/>
      <c r="H203" s="41"/>
      <c r="I203" s="41"/>
      <c r="K203" s="34"/>
    </row>
    <row r="204" spans="2:11" x14ac:dyDescent="0.3">
      <c r="B204" s="40"/>
      <c r="C204" s="41"/>
      <c r="D204" s="17"/>
      <c r="E204" s="41"/>
      <c r="F204" s="41"/>
      <c r="G204" s="17"/>
      <c r="H204" s="41"/>
      <c r="I204" s="41"/>
      <c r="K204" s="34"/>
    </row>
    <row r="205" spans="2:11" x14ac:dyDescent="0.3">
      <c r="B205" s="40"/>
      <c r="C205" s="41"/>
      <c r="D205" s="17"/>
      <c r="E205" s="41"/>
      <c r="F205" s="41"/>
      <c r="G205" s="17"/>
      <c r="H205" s="41"/>
      <c r="I205" s="41"/>
      <c r="K205" s="34"/>
    </row>
    <row r="206" spans="2:11" x14ac:dyDescent="0.3">
      <c r="B206" s="40"/>
      <c r="C206" s="41"/>
      <c r="D206" s="17"/>
      <c r="E206" s="41"/>
      <c r="F206" s="41"/>
      <c r="G206" s="17"/>
      <c r="H206" s="41"/>
      <c r="I206" s="41"/>
      <c r="K206" s="34"/>
    </row>
    <row r="207" spans="2:11" x14ac:dyDescent="0.3">
      <c r="B207" s="40"/>
      <c r="C207" s="41"/>
      <c r="D207" s="17"/>
      <c r="E207" s="41"/>
      <c r="F207" s="41"/>
      <c r="G207" s="17"/>
      <c r="H207" s="41"/>
      <c r="I207" s="41"/>
      <c r="K207" s="34"/>
    </row>
    <row r="208" spans="2:11" x14ac:dyDescent="0.3">
      <c r="B208" s="40"/>
      <c r="C208" s="41"/>
      <c r="D208" s="17"/>
      <c r="E208" s="41"/>
      <c r="F208" s="41"/>
      <c r="G208" s="17"/>
      <c r="H208" s="41"/>
      <c r="I208" s="41"/>
      <c r="K208" s="34"/>
    </row>
    <row r="209" spans="2:11" x14ac:dyDescent="0.3">
      <c r="B209" s="40"/>
      <c r="C209" s="41"/>
      <c r="D209" s="17"/>
      <c r="E209" s="41"/>
      <c r="F209" s="41"/>
      <c r="G209" s="17"/>
      <c r="H209" s="41"/>
      <c r="I209" s="41"/>
      <c r="K209" s="34"/>
    </row>
    <row r="210" spans="2:11" x14ac:dyDescent="0.3">
      <c r="B210" s="40"/>
      <c r="C210" s="41"/>
      <c r="D210" s="17"/>
      <c r="E210" s="41"/>
      <c r="F210" s="41"/>
      <c r="G210" s="17"/>
      <c r="H210" s="41"/>
      <c r="I210" s="41"/>
      <c r="K210" s="34"/>
    </row>
    <row r="211" spans="2:11" x14ac:dyDescent="0.3">
      <c r="B211" s="40"/>
      <c r="C211" s="41"/>
      <c r="D211" s="17"/>
      <c r="E211" s="41"/>
      <c r="F211" s="41"/>
      <c r="G211" s="17"/>
      <c r="H211" s="41"/>
      <c r="I211" s="41"/>
      <c r="K211" s="34"/>
    </row>
    <row r="212" spans="2:11" x14ac:dyDescent="0.3">
      <c r="B212" s="40"/>
      <c r="C212" s="41"/>
      <c r="D212" s="17"/>
      <c r="E212" s="41"/>
      <c r="F212" s="41"/>
      <c r="G212" s="17"/>
      <c r="H212" s="41"/>
      <c r="I212" s="41"/>
      <c r="K212" s="34"/>
    </row>
    <row r="213" spans="2:11" x14ac:dyDescent="0.3">
      <c r="B213" s="40"/>
      <c r="C213" s="41"/>
      <c r="D213" s="17"/>
      <c r="E213" s="41"/>
      <c r="F213" s="41"/>
      <c r="G213" s="17"/>
      <c r="H213" s="41"/>
      <c r="I213" s="41"/>
      <c r="K213" s="34"/>
    </row>
    <row r="214" spans="2:11" x14ac:dyDescent="0.3">
      <c r="B214" s="40"/>
      <c r="C214" s="41"/>
      <c r="D214" s="17"/>
      <c r="E214" s="41"/>
      <c r="F214" s="41"/>
      <c r="G214" s="17"/>
      <c r="H214" s="41"/>
      <c r="I214" s="41"/>
      <c r="K214" s="34"/>
    </row>
    <row r="215" spans="2:11" x14ac:dyDescent="0.3">
      <c r="B215" s="40"/>
      <c r="C215" s="41"/>
      <c r="D215" s="17"/>
      <c r="E215" s="41"/>
      <c r="F215" s="41"/>
      <c r="G215" s="17"/>
      <c r="H215" s="41"/>
      <c r="I215" s="41"/>
      <c r="K215" s="34"/>
    </row>
    <row r="216" spans="2:11" x14ac:dyDescent="0.3">
      <c r="B216" s="40"/>
      <c r="C216" s="41"/>
      <c r="D216" s="17"/>
      <c r="E216" s="41"/>
      <c r="F216" s="41"/>
      <c r="G216" s="17"/>
      <c r="H216" s="41"/>
      <c r="I216" s="41"/>
      <c r="K216" s="34"/>
    </row>
    <row r="217" spans="2:11" x14ac:dyDescent="0.3">
      <c r="B217" s="40"/>
      <c r="C217" s="41"/>
      <c r="D217" s="17"/>
      <c r="E217" s="41"/>
      <c r="F217" s="41"/>
      <c r="G217" s="17"/>
      <c r="H217" s="41"/>
      <c r="I217" s="41"/>
      <c r="K217" s="34"/>
    </row>
    <row r="218" spans="2:11" x14ac:dyDescent="0.3">
      <c r="B218" s="40"/>
      <c r="C218" s="41"/>
      <c r="D218" s="17"/>
      <c r="E218" s="41"/>
      <c r="F218" s="41"/>
      <c r="G218" s="17"/>
      <c r="H218" s="41"/>
      <c r="I218" s="41"/>
      <c r="K218" s="34"/>
    </row>
    <row r="219" spans="2:11" x14ac:dyDescent="0.3">
      <c r="B219" s="40"/>
      <c r="C219" s="41"/>
      <c r="D219" s="17"/>
      <c r="E219" s="41"/>
      <c r="F219" s="41"/>
      <c r="G219" s="17"/>
      <c r="H219" s="41"/>
      <c r="I219" s="41"/>
      <c r="K219" s="34"/>
    </row>
    <row r="220" spans="2:11" x14ac:dyDescent="0.3">
      <c r="B220" s="40"/>
      <c r="C220" s="41"/>
      <c r="D220" s="17"/>
      <c r="E220" s="41"/>
      <c r="F220" s="41"/>
      <c r="G220" s="17"/>
      <c r="H220" s="41"/>
      <c r="I220" s="41"/>
      <c r="K220" s="34"/>
    </row>
    <row r="221" spans="2:11" x14ac:dyDescent="0.3">
      <c r="B221" s="40"/>
      <c r="C221" s="41"/>
      <c r="D221" s="17"/>
      <c r="E221" s="41"/>
      <c r="F221" s="41"/>
      <c r="G221" s="17"/>
      <c r="H221" s="41"/>
      <c r="I221" s="41"/>
      <c r="K221" s="34"/>
    </row>
    <row r="222" spans="2:11" x14ac:dyDescent="0.3">
      <c r="B222" s="40"/>
      <c r="C222" s="41"/>
      <c r="D222" s="17"/>
      <c r="E222" s="41"/>
      <c r="F222" s="41"/>
      <c r="G222" s="17"/>
      <c r="H222" s="41"/>
      <c r="I222" s="41"/>
      <c r="K222" s="34"/>
    </row>
    <row r="223" spans="2:11" x14ac:dyDescent="0.3">
      <c r="B223" s="40"/>
      <c r="C223" s="41"/>
      <c r="D223" s="17"/>
      <c r="E223" s="41"/>
      <c r="F223" s="41"/>
      <c r="G223" s="17"/>
      <c r="H223" s="41"/>
      <c r="I223" s="41"/>
      <c r="K223" s="34"/>
    </row>
    <row r="224" spans="2:11" x14ac:dyDescent="0.3">
      <c r="B224" s="40"/>
      <c r="C224" s="41"/>
      <c r="D224" s="17"/>
      <c r="E224" s="41"/>
      <c r="F224" s="41"/>
      <c r="G224" s="17"/>
      <c r="H224" s="41"/>
      <c r="I224" s="41"/>
      <c r="K224" s="34"/>
    </row>
    <row r="225" spans="2:11" x14ac:dyDescent="0.3">
      <c r="B225" s="40"/>
      <c r="C225" s="41"/>
      <c r="D225" s="17"/>
      <c r="E225" s="41"/>
      <c r="F225" s="41"/>
      <c r="G225" s="17"/>
      <c r="H225" s="41"/>
      <c r="I225" s="41"/>
      <c r="K225" s="34"/>
    </row>
    <row r="226" spans="2:11" x14ac:dyDescent="0.3">
      <c r="B226" s="40"/>
      <c r="C226" s="41"/>
      <c r="D226" s="17"/>
      <c r="E226" s="41"/>
      <c r="F226" s="41"/>
      <c r="G226" s="17"/>
      <c r="H226" s="41"/>
      <c r="I226" s="41"/>
      <c r="K226" s="34"/>
    </row>
    <row r="227" spans="2:11" x14ac:dyDescent="0.3">
      <c r="B227" s="40"/>
      <c r="C227" s="41"/>
      <c r="D227" s="17"/>
      <c r="E227" s="41"/>
      <c r="F227" s="41"/>
      <c r="G227" s="17"/>
      <c r="H227" s="41"/>
      <c r="I227" s="41"/>
      <c r="K227" s="34"/>
    </row>
    <row r="228" spans="2:11" x14ac:dyDescent="0.3">
      <c r="B228" s="40"/>
      <c r="C228" s="41"/>
      <c r="D228" s="17"/>
      <c r="E228" s="41"/>
      <c r="F228" s="41"/>
      <c r="G228" s="17"/>
      <c r="H228" s="41"/>
      <c r="I228" s="41"/>
      <c r="K228" s="34"/>
    </row>
    <row r="229" spans="2:11" x14ac:dyDescent="0.3">
      <c r="B229" s="40"/>
      <c r="C229" s="41"/>
      <c r="D229" s="17"/>
      <c r="E229" s="41"/>
      <c r="F229" s="41"/>
      <c r="G229" s="17"/>
      <c r="H229" s="41"/>
      <c r="I229" s="41"/>
      <c r="K229" s="34"/>
    </row>
    <row r="230" spans="2:11" x14ac:dyDescent="0.3">
      <c r="B230" s="40"/>
      <c r="C230" s="41"/>
      <c r="D230" s="17"/>
      <c r="E230" s="41"/>
      <c r="F230" s="41"/>
      <c r="G230" s="17"/>
      <c r="H230" s="41"/>
      <c r="I230" s="41"/>
      <c r="K230" s="34"/>
    </row>
    <row r="231" spans="2:11" x14ac:dyDescent="0.3">
      <c r="B231" s="40"/>
      <c r="C231" s="41"/>
      <c r="D231" s="17"/>
      <c r="E231" s="41"/>
      <c r="F231" s="41"/>
      <c r="G231" s="17"/>
      <c r="H231" s="41"/>
      <c r="I231" s="41"/>
      <c r="K231" s="34"/>
    </row>
    <row r="232" spans="2:11" x14ac:dyDescent="0.3">
      <c r="B232" s="40"/>
      <c r="C232" s="41"/>
      <c r="D232" s="17"/>
      <c r="E232" s="41"/>
      <c r="F232" s="41"/>
      <c r="G232" s="17"/>
      <c r="H232" s="41"/>
      <c r="I232" s="41"/>
      <c r="K232" s="34"/>
    </row>
    <row r="233" spans="2:11" x14ac:dyDescent="0.3">
      <c r="B233" s="40"/>
      <c r="C233" s="41"/>
      <c r="D233" s="17"/>
      <c r="E233" s="41"/>
      <c r="F233" s="41"/>
      <c r="G233" s="17"/>
      <c r="H233" s="41"/>
      <c r="I233" s="41"/>
      <c r="K233" s="34"/>
    </row>
    <row r="234" spans="2:11" x14ac:dyDescent="0.3">
      <c r="B234" s="40"/>
      <c r="C234" s="41"/>
      <c r="D234" s="17"/>
      <c r="E234" s="41"/>
      <c r="F234" s="41"/>
      <c r="G234" s="17"/>
      <c r="H234" s="41"/>
      <c r="I234" s="41"/>
      <c r="K234" s="34"/>
    </row>
    <row r="235" spans="2:11" x14ac:dyDescent="0.3">
      <c r="B235" s="40"/>
      <c r="C235" s="41"/>
      <c r="D235" s="17"/>
      <c r="E235" s="41"/>
      <c r="F235" s="41"/>
      <c r="G235" s="17"/>
      <c r="H235" s="41"/>
      <c r="I235" s="41"/>
      <c r="K235" s="34"/>
    </row>
    <row r="236" spans="2:11" x14ac:dyDescent="0.3">
      <c r="B236" s="40"/>
      <c r="C236" s="41"/>
      <c r="D236" s="17"/>
      <c r="E236" s="41"/>
      <c r="F236" s="41"/>
      <c r="G236" s="17"/>
      <c r="H236" s="41"/>
      <c r="I236" s="41"/>
      <c r="K236" s="34"/>
    </row>
    <row r="237" spans="2:11" x14ac:dyDescent="0.3">
      <c r="B237" s="40"/>
      <c r="C237" s="41"/>
      <c r="D237" s="17"/>
      <c r="E237" s="41"/>
      <c r="F237" s="41"/>
      <c r="G237" s="17"/>
      <c r="H237" s="41"/>
      <c r="I237" s="41"/>
      <c r="K237" s="34"/>
    </row>
    <row r="238" spans="2:11" x14ac:dyDescent="0.3">
      <c r="B238" s="40"/>
      <c r="C238" s="41"/>
      <c r="D238" s="17"/>
      <c r="E238" s="41"/>
      <c r="F238" s="41"/>
      <c r="G238" s="17"/>
      <c r="H238" s="41"/>
      <c r="I238" s="41"/>
      <c r="K238" s="34"/>
    </row>
    <row r="239" spans="2:11" x14ac:dyDescent="0.3">
      <c r="B239" s="40"/>
      <c r="C239" s="41"/>
      <c r="D239" s="17"/>
      <c r="E239" s="41"/>
      <c r="F239" s="41"/>
      <c r="G239" s="17"/>
      <c r="H239" s="41"/>
      <c r="I239" s="41"/>
      <c r="K239" s="34"/>
    </row>
    <row r="240" spans="2:11" x14ac:dyDescent="0.3">
      <c r="B240" s="40"/>
      <c r="C240" s="41"/>
      <c r="D240" s="17"/>
      <c r="E240" s="41"/>
      <c r="F240" s="41"/>
      <c r="G240" s="17"/>
      <c r="H240" s="41"/>
      <c r="I240" s="41"/>
      <c r="K240" s="34"/>
    </row>
    <row r="241" spans="2:11" x14ac:dyDescent="0.3">
      <c r="B241" s="40"/>
      <c r="C241" s="41"/>
      <c r="D241" s="17"/>
      <c r="E241" s="41"/>
      <c r="F241" s="41"/>
      <c r="G241" s="17"/>
      <c r="H241" s="41"/>
      <c r="I241" s="41"/>
      <c r="K241" s="34"/>
    </row>
    <row r="242" spans="2:11" x14ac:dyDescent="0.3">
      <c r="B242" s="40"/>
      <c r="C242" s="41"/>
      <c r="D242" s="17"/>
      <c r="E242" s="41"/>
      <c r="F242" s="41"/>
      <c r="G242" s="17"/>
      <c r="H242" s="41"/>
      <c r="I242" s="41"/>
      <c r="K242" s="34"/>
    </row>
    <row r="243" spans="2:11" x14ac:dyDescent="0.3">
      <c r="B243" s="40"/>
      <c r="C243" s="41"/>
      <c r="D243" s="17"/>
      <c r="E243" s="41"/>
      <c r="F243" s="41"/>
      <c r="G243" s="17"/>
      <c r="H243" s="41"/>
      <c r="I243" s="41"/>
      <c r="K243" s="34"/>
    </row>
    <row r="244" spans="2:11" x14ac:dyDescent="0.3">
      <c r="B244" s="40"/>
      <c r="C244" s="41"/>
      <c r="D244" s="17"/>
      <c r="E244" s="41"/>
      <c r="F244" s="41"/>
      <c r="G244" s="17"/>
      <c r="H244" s="41"/>
      <c r="I244" s="41"/>
      <c r="K244" s="34"/>
    </row>
    <row r="245" spans="2:11" x14ac:dyDescent="0.3">
      <c r="B245" s="40"/>
      <c r="C245" s="41"/>
      <c r="D245" s="17"/>
      <c r="E245" s="41"/>
      <c r="F245" s="41"/>
      <c r="G245" s="17"/>
      <c r="H245" s="41"/>
      <c r="I245" s="41"/>
      <c r="K245" s="34"/>
    </row>
    <row r="246" spans="2:11" x14ac:dyDescent="0.3">
      <c r="B246" s="40"/>
      <c r="C246" s="41"/>
      <c r="D246" s="17"/>
      <c r="E246" s="41"/>
      <c r="F246" s="41"/>
      <c r="G246" s="17"/>
      <c r="H246" s="41"/>
      <c r="I246" s="41"/>
      <c r="K246" s="34"/>
    </row>
    <row r="247" spans="2:11" x14ac:dyDescent="0.3">
      <c r="B247" s="40"/>
      <c r="C247" s="41"/>
      <c r="D247" s="17"/>
      <c r="E247" s="41"/>
      <c r="F247" s="41"/>
      <c r="G247" s="17"/>
      <c r="H247" s="41"/>
      <c r="I247" s="41"/>
      <c r="K247" s="34"/>
    </row>
    <row r="248" spans="2:11" x14ac:dyDescent="0.3">
      <c r="B248" s="40"/>
      <c r="C248" s="41"/>
      <c r="D248" s="17"/>
      <c r="E248" s="41"/>
      <c r="F248" s="41"/>
      <c r="G248" s="17"/>
      <c r="H248" s="41"/>
      <c r="I248" s="41"/>
      <c r="K248" s="34"/>
    </row>
    <row r="249" spans="2:11" x14ac:dyDescent="0.3">
      <c r="B249" s="40"/>
      <c r="C249" s="41"/>
      <c r="D249" s="17"/>
      <c r="E249" s="41"/>
      <c r="F249" s="41"/>
      <c r="G249" s="17"/>
      <c r="H249" s="41"/>
      <c r="I249" s="41"/>
      <c r="K249" s="34"/>
    </row>
    <row r="250" spans="2:11" x14ac:dyDescent="0.3">
      <c r="B250" s="40"/>
      <c r="C250" s="41"/>
      <c r="D250" s="17"/>
      <c r="E250" s="41"/>
      <c r="F250" s="41"/>
      <c r="G250" s="17"/>
      <c r="H250" s="41"/>
      <c r="I250" s="41"/>
      <c r="K250" s="34"/>
    </row>
    <row r="251" spans="2:11" x14ac:dyDescent="0.3">
      <c r="B251" s="40"/>
      <c r="C251" s="41"/>
      <c r="D251" s="17"/>
      <c r="E251" s="41"/>
      <c r="F251" s="41"/>
      <c r="G251" s="17"/>
      <c r="H251" s="41"/>
      <c r="I251" s="41"/>
      <c r="K251" s="34"/>
    </row>
    <row r="252" spans="2:11" x14ac:dyDescent="0.3">
      <c r="B252" s="40"/>
      <c r="C252" s="41"/>
      <c r="D252" s="17"/>
      <c r="E252" s="41"/>
      <c r="F252" s="41"/>
      <c r="G252" s="17"/>
      <c r="H252" s="41"/>
      <c r="I252" s="41"/>
      <c r="K252" s="34"/>
    </row>
    <row r="253" spans="2:11" x14ac:dyDescent="0.3">
      <c r="B253" s="40"/>
      <c r="C253" s="41"/>
      <c r="D253" s="17"/>
      <c r="E253" s="41"/>
      <c r="F253" s="41"/>
      <c r="G253" s="17"/>
      <c r="H253" s="41"/>
      <c r="I253" s="41"/>
      <c r="K253" s="34"/>
    </row>
    <row r="254" spans="2:11" x14ac:dyDescent="0.3">
      <c r="B254" s="40"/>
      <c r="C254" s="41"/>
      <c r="D254" s="17"/>
      <c r="E254" s="41"/>
      <c r="F254" s="41"/>
      <c r="G254" s="17"/>
      <c r="H254" s="41"/>
      <c r="I254" s="41"/>
      <c r="K254" s="34"/>
    </row>
    <row r="255" spans="2:11" x14ac:dyDescent="0.3">
      <c r="B255" s="40"/>
      <c r="C255" s="41"/>
      <c r="D255" s="17"/>
      <c r="E255" s="41"/>
      <c r="F255" s="41"/>
      <c r="G255" s="17"/>
      <c r="H255" s="41"/>
      <c r="I255" s="41"/>
      <c r="K255" s="34"/>
    </row>
    <row r="256" spans="2:11" x14ac:dyDescent="0.3">
      <c r="B256" s="40"/>
      <c r="C256" s="41"/>
      <c r="D256" s="17"/>
      <c r="E256" s="41"/>
      <c r="F256" s="41"/>
      <c r="G256" s="17"/>
      <c r="H256" s="41"/>
      <c r="I256" s="41"/>
      <c r="K256" s="34"/>
    </row>
    <row r="257" spans="2:11" x14ac:dyDescent="0.3">
      <c r="B257" s="40"/>
      <c r="C257" s="41"/>
      <c r="D257" s="17"/>
      <c r="E257" s="41"/>
      <c r="F257" s="41"/>
      <c r="G257" s="17"/>
      <c r="H257" s="41"/>
      <c r="I257" s="41"/>
      <c r="K257" s="34"/>
    </row>
    <row r="258" spans="2:11" x14ac:dyDescent="0.3">
      <c r="B258" s="40"/>
      <c r="C258" s="41"/>
      <c r="D258" s="17"/>
      <c r="E258" s="41"/>
      <c r="F258" s="41"/>
      <c r="G258" s="17"/>
      <c r="H258" s="41"/>
      <c r="I258" s="41"/>
      <c r="K258" s="34"/>
    </row>
    <row r="259" spans="2:11" x14ac:dyDescent="0.3">
      <c r="B259" s="40"/>
      <c r="C259" s="41"/>
      <c r="D259" s="17"/>
      <c r="E259" s="41"/>
      <c r="F259" s="41"/>
      <c r="G259" s="17"/>
      <c r="H259" s="41"/>
      <c r="I259" s="41"/>
      <c r="K259" s="34"/>
    </row>
    <row r="260" spans="2:11" x14ac:dyDescent="0.3">
      <c r="B260" s="40"/>
      <c r="C260" s="41"/>
      <c r="D260" s="17"/>
      <c r="E260" s="41"/>
      <c r="F260" s="41"/>
      <c r="G260" s="17"/>
      <c r="H260" s="41"/>
      <c r="I260" s="41"/>
      <c r="K260" s="34"/>
    </row>
    <row r="261" spans="2:11" x14ac:dyDescent="0.3">
      <c r="B261" s="40"/>
      <c r="C261" s="41"/>
      <c r="D261" s="17"/>
      <c r="E261" s="41"/>
      <c r="F261" s="41"/>
      <c r="G261" s="17"/>
      <c r="H261" s="41"/>
      <c r="I261" s="41"/>
      <c r="K261" s="34"/>
    </row>
    <row r="262" spans="2:11" x14ac:dyDescent="0.3">
      <c r="B262" s="40"/>
      <c r="C262" s="41"/>
      <c r="D262" s="17"/>
      <c r="E262" s="41"/>
      <c r="F262" s="41"/>
      <c r="G262" s="17"/>
      <c r="H262" s="41"/>
      <c r="I262" s="41"/>
      <c r="K262" s="34"/>
    </row>
    <row r="263" spans="2:11" x14ac:dyDescent="0.3">
      <c r="B263" s="40"/>
      <c r="C263" s="41"/>
      <c r="D263" s="17"/>
      <c r="E263" s="41"/>
      <c r="F263" s="41"/>
      <c r="G263" s="17"/>
      <c r="H263" s="41"/>
      <c r="I263" s="41"/>
      <c r="K263" s="34"/>
    </row>
    <row r="264" spans="2:11" x14ac:dyDescent="0.3">
      <c r="B264" s="40"/>
      <c r="C264" s="41"/>
      <c r="D264" s="17"/>
      <c r="E264" s="41"/>
      <c r="F264" s="41"/>
      <c r="G264" s="17"/>
      <c r="H264" s="41"/>
      <c r="I264" s="41"/>
      <c r="K264" s="34"/>
    </row>
    <row r="265" spans="2:11" x14ac:dyDescent="0.3">
      <c r="B265" s="40"/>
      <c r="C265" s="41"/>
      <c r="D265" s="17"/>
      <c r="E265" s="41"/>
      <c r="F265" s="41"/>
      <c r="G265" s="17"/>
      <c r="H265" s="41"/>
      <c r="I265" s="41"/>
      <c r="K265" s="34"/>
    </row>
    <row r="266" spans="2:11" x14ac:dyDescent="0.3">
      <c r="B266" s="40"/>
      <c r="C266" s="41"/>
      <c r="D266" s="17"/>
      <c r="E266" s="41"/>
      <c r="F266" s="41"/>
      <c r="G266" s="17"/>
      <c r="H266" s="41"/>
      <c r="I266" s="41"/>
      <c r="K266" s="34"/>
    </row>
    <row r="267" spans="2:11" x14ac:dyDescent="0.3">
      <c r="B267" s="40"/>
      <c r="C267" s="41"/>
      <c r="D267" s="17"/>
      <c r="E267" s="41"/>
      <c r="F267" s="41"/>
      <c r="G267" s="17"/>
      <c r="H267" s="41"/>
      <c r="I267" s="41"/>
      <c r="K267" s="34"/>
    </row>
    <row r="268" spans="2:11" x14ac:dyDescent="0.3">
      <c r="B268" s="40"/>
      <c r="C268" s="41"/>
      <c r="D268" s="17"/>
      <c r="E268" s="41"/>
      <c r="F268" s="41"/>
      <c r="G268" s="17"/>
      <c r="H268" s="41"/>
      <c r="I268" s="41"/>
      <c r="K268" s="34"/>
    </row>
    <row r="269" spans="2:11" x14ac:dyDescent="0.3">
      <c r="B269" s="40"/>
      <c r="C269" s="41"/>
      <c r="D269" s="17"/>
      <c r="E269" s="41"/>
      <c r="F269" s="41"/>
      <c r="G269" s="17"/>
      <c r="H269" s="41"/>
      <c r="I269" s="41"/>
      <c r="K269" s="34"/>
    </row>
    <row r="270" spans="2:11" x14ac:dyDescent="0.3">
      <c r="B270" s="40"/>
      <c r="C270" s="41"/>
      <c r="D270" s="17"/>
      <c r="E270" s="41"/>
      <c r="F270" s="41"/>
      <c r="G270" s="17"/>
      <c r="H270" s="41"/>
      <c r="I270" s="41"/>
      <c r="K270" s="34"/>
    </row>
    <row r="271" spans="2:11" x14ac:dyDescent="0.3">
      <c r="B271" s="40"/>
      <c r="C271" s="41"/>
      <c r="D271" s="17"/>
      <c r="E271" s="41"/>
      <c r="F271" s="41"/>
      <c r="G271" s="17"/>
      <c r="H271" s="41"/>
      <c r="I271" s="41"/>
      <c r="K271" s="34"/>
    </row>
    <row r="272" spans="2:11" x14ac:dyDescent="0.3">
      <c r="B272" s="40"/>
      <c r="C272" s="41"/>
      <c r="D272" s="17"/>
      <c r="E272" s="41"/>
      <c r="F272" s="41"/>
      <c r="G272" s="17"/>
      <c r="H272" s="41"/>
      <c r="I272" s="41"/>
      <c r="K272" s="34"/>
    </row>
    <row r="273" spans="2:11" x14ac:dyDescent="0.3">
      <c r="B273" s="40"/>
      <c r="C273" s="41"/>
      <c r="D273" s="17"/>
      <c r="E273" s="41"/>
      <c r="F273" s="41"/>
      <c r="G273" s="17"/>
      <c r="H273" s="41"/>
      <c r="I273" s="41"/>
      <c r="K273" s="34"/>
    </row>
    <row r="274" spans="2:11" x14ac:dyDescent="0.3">
      <c r="B274" s="40"/>
      <c r="C274" s="41"/>
      <c r="D274" s="17"/>
      <c r="E274" s="41"/>
      <c r="F274" s="41"/>
      <c r="G274" s="17"/>
      <c r="H274" s="41"/>
      <c r="I274" s="41"/>
      <c r="K274" s="34"/>
    </row>
    <row r="275" spans="2:11" x14ac:dyDescent="0.3">
      <c r="B275" s="40"/>
      <c r="C275" s="41"/>
      <c r="D275" s="17"/>
      <c r="E275" s="41"/>
      <c r="F275" s="41"/>
      <c r="G275" s="17"/>
      <c r="H275" s="41"/>
      <c r="I275" s="41"/>
      <c r="K275" s="34"/>
    </row>
    <row r="276" spans="2:11" x14ac:dyDescent="0.3">
      <c r="B276" s="40"/>
      <c r="C276" s="41"/>
      <c r="D276" s="17"/>
      <c r="E276" s="41"/>
      <c r="F276" s="41"/>
      <c r="G276" s="17"/>
      <c r="H276" s="41"/>
      <c r="I276" s="41"/>
      <c r="K276" s="34"/>
    </row>
    <row r="277" spans="2:11" x14ac:dyDescent="0.3">
      <c r="B277" s="40"/>
      <c r="C277" s="41"/>
      <c r="D277" s="17"/>
      <c r="E277" s="41"/>
      <c r="F277" s="41"/>
      <c r="G277" s="17"/>
      <c r="H277" s="41"/>
      <c r="I277" s="41"/>
      <c r="K277" s="34"/>
    </row>
    <row r="278" spans="2:11" x14ac:dyDescent="0.3">
      <c r="B278" s="40"/>
      <c r="C278" s="41"/>
      <c r="D278" s="17"/>
      <c r="E278" s="41"/>
      <c r="F278" s="41"/>
      <c r="G278" s="17"/>
      <c r="H278" s="41"/>
      <c r="I278" s="41"/>
      <c r="K278" s="34"/>
    </row>
    <row r="279" spans="2:11" x14ac:dyDescent="0.3">
      <c r="B279" s="40"/>
      <c r="C279" s="41"/>
      <c r="D279" s="17"/>
      <c r="E279" s="41"/>
      <c r="F279" s="41"/>
      <c r="G279" s="17"/>
      <c r="H279" s="41"/>
      <c r="I279" s="41"/>
      <c r="K279" s="34"/>
    </row>
    <row r="280" spans="2:11" x14ac:dyDescent="0.3">
      <c r="B280" s="40"/>
      <c r="C280" s="41"/>
      <c r="D280" s="17"/>
      <c r="E280" s="41"/>
      <c r="F280" s="41"/>
      <c r="G280" s="17"/>
      <c r="H280" s="41"/>
      <c r="I280" s="41"/>
      <c r="K280" s="34"/>
    </row>
    <row r="281" spans="2:11" x14ac:dyDescent="0.3">
      <c r="B281" s="40"/>
      <c r="C281" s="41"/>
      <c r="D281" s="17"/>
      <c r="E281" s="41"/>
      <c r="F281" s="41"/>
      <c r="G281" s="17"/>
      <c r="H281" s="41"/>
      <c r="I281" s="41"/>
      <c r="K281" s="34"/>
    </row>
    <row r="282" spans="2:11" x14ac:dyDescent="0.3">
      <c r="B282" s="40"/>
      <c r="C282" s="41"/>
      <c r="D282" s="17"/>
      <c r="E282" s="41"/>
      <c r="F282" s="41"/>
      <c r="G282" s="17"/>
      <c r="H282" s="41"/>
      <c r="I282" s="41"/>
      <c r="K282" s="34"/>
    </row>
    <row r="283" spans="2:11" x14ac:dyDescent="0.3">
      <c r="B283" s="40"/>
      <c r="C283" s="41"/>
      <c r="D283" s="17"/>
      <c r="E283" s="41"/>
      <c r="F283" s="41"/>
      <c r="G283" s="17"/>
      <c r="H283" s="41"/>
      <c r="I283" s="41"/>
      <c r="K283" s="34"/>
    </row>
    <row r="284" spans="2:11" x14ac:dyDescent="0.3">
      <c r="B284" s="40"/>
      <c r="C284" s="41"/>
      <c r="D284" s="17"/>
      <c r="E284" s="41"/>
      <c r="F284" s="41"/>
      <c r="G284" s="17"/>
      <c r="H284" s="41"/>
      <c r="I284" s="41"/>
      <c r="K284" s="34"/>
    </row>
    <row r="285" spans="2:11" x14ac:dyDescent="0.3">
      <c r="B285" s="40"/>
      <c r="C285" s="41"/>
      <c r="D285" s="17"/>
      <c r="E285" s="41"/>
      <c r="F285" s="41"/>
      <c r="G285" s="17"/>
      <c r="H285" s="41"/>
      <c r="I285" s="41"/>
      <c r="K285" s="34"/>
    </row>
    <row r="286" spans="2:11" x14ac:dyDescent="0.3">
      <c r="B286" s="40"/>
      <c r="C286" s="41"/>
      <c r="D286" s="17"/>
      <c r="E286" s="41"/>
      <c r="F286" s="41"/>
      <c r="G286" s="17"/>
      <c r="H286" s="41"/>
      <c r="I286" s="41"/>
      <c r="K286" s="34"/>
    </row>
    <row r="287" spans="2:11" x14ac:dyDescent="0.3">
      <c r="B287" s="40"/>
      <c r="C287" s="41"/>
      <c r="D287" s="17"/>
      <c r="E287" s="41"/>
      <c r="F287" s="41"/>
      <c r="G287" s="17"/>
      <c r="H287" s="41"/>
      <c r="I287" s="41"/>
      <c r="K287" s="34"/>
    </row>
    <row r="288" spans="2:11" x14ac:dyDescent="0.3">
      <c r="B288" s="40"/>
      <c r="C288" s="41"/>
      <c r="D288" s="17"/>
      <c r="E288" s="41"/>
      <c r="F288" s="41"/>
      <c r="G288" s="17"/>
      <c r="H288" s="41"/>
      <c r="I288" s="41"/>
      <c r="K288" s="34"/>
    </row>
    <row r="289" spans="2:11" x14ac:dyDescent="0.3">
      <c r="B289" s="40"/>
      <c r="C289" s="41"/>
      <c r="D289" s="17"/>
      <c r="E289" s="41"/>
      <c r="F289" s="41"/>
      <c r="G289" s="17"/>
      <c r="H289" s="41"/>
      <c r="I289" s="41"/>
      <c r="K289" s="34"/>
    </row>
    <row r="290" spans="2:11" x14ac:dyDescent="0.3">
      <c r="B290" s="40"/>
      <c r="C290" s="41"/>
      <c r="D290" s="17"/>
      <c r="E290" s="41"/>
      <c r="F290" s="41"/>
      <c r="G290" s="17"/>
      <c r="H290" s="41"/>
      <c r="I290" s="41"/>
      <c r="K290" s="34"/>
    </row>
    <row r="291" spans="2:11" x14ac:dyDescent="0.3">
      <c r="B291" s="40"/>
      <c r="C291" s="41"/>
      <c r="D291" s="17"/>
      <c r="E291" s="41"/>
      <c r="F291" s="41"/>
      <c r="G291" s="17"/>
      <c r="H291" s="41"/>
      <c r="I291" s="41"/>
      <c r="K291" s="34"/>
    </row>
    <row r="292" spans="2:11" x14ac:dyDescent="0.3">
      <c r="B292" s="40"/>
      <c r="C292" s="41"/>
      <c r="D292" s="17"/>
      <c r="E292" s="41"/>
      <c r="F292" s="41"/>
      <c r="G292" s="17"/>
      <c r="H292" s="41"/>
      <c r="I292" s="41"/>
      <c r="K292" s="34"/>
    </row>
    <row r="293" spans="2:11" x14ac:dyDescent="0.3">
      <c r="B293" s="40"/>
      <c r="C293" s="41"/>
      <c r="D293" s="17"/>
      <c r="E293" s="41"/>
      <c r="F293" s="41"/>
      <c r="G293" s="17"/>
      <c r="H293" s="41"/>
      <c r="I293" s="41"/>
      <c r="K293" s="34"/>
    </row>
    <row r="294" spans="2:11" x14ac:dyDescent="0.3">
      <c r="B294" s="40"/>
      <c r="C294" s="41"/>
      <c r="D294" s="17"/>
      <c r="E294" s="41"/>
      <c r="F294" s="41"/>
      <c r="G294" s="17"/>
      <c r="H294" s="41"/>
      <c r="I294" s="41"/>
      <c r="K294" s="34"/>
    </row>
    <row r="295" spans="2:11" x14ac:dyDescent="0.3">
      <c r="B295" s="40"/>
      <c r="C295" s="41"/>
      <c r="D295" s="17"/>
      <c r="E295" s="41"/>
      <c r="F295" s="41"/>
      <c r="G295" s="17"/>
      <c r="H295" s="41"/>
      <c r="I295" s="41"/>
      <c r="K295" s="34"/>
    </row>
    <row r="296" spans="2:11" x14ac:dyDescent="0.3">
      <c r="B296" s="40"/>
      <c r="C296" s="41"/>
      <c r="D296" s="17"/>
      <c r="E296" s="41"/>
      <c r="F296" s="41"/>
      <c r="G296" s="17"/>
      <c r="H296" s="41"/>
      <c r="I296" s="41"/>
      <c r="K296" s="34"/>
    </row>
    <row r="297" spans="2:11" x14ac:dyDescent="0.3">
      <c r="B297" s="40"/>
      <c r="C297" s="41"/>
      <c r="D297" s="17"/>
      <c r="E297" s="41"/>
      <c r="F297" s="41"/>
      <c r="G297" s="17"/>
      <c r="H297" s="41"/>
      <c r="I297" s="41"/>
      <c r="K297" s="34"/>
    </row>
    <row r="298" spans="2:11" x14ac:dyDescent="0.3">
      <c r="B298" s="40"/>
      <c r="C298" s="41"/>
      <c r="D298" s="17"/>
      <c r="E298" s="41"/>
      <c r="F298" s="41"/>
      <c r="G298" s="17"/>
      <c r="H298" s="41"/>
      <c r="I298" s="41"/>
      <c r="K298" s="34"/>
    </row>
    <row r="299" spans="2:11" x14ac:dyDescent="0.3">
      <c r="B299" s="40"/>
      <c r="C299" s="41"/>
      <c r="D299" s="17"/>
      <c r="E299" s="41"/>
      <c r="F299" s="41"/>
      <c r="G299" s="17"/>
      <c r="H299" s="41"/>
      <c r="I299" s="41"/>
      <c r="K299" s="34"/>
    </row>
    <row r="300" spans="2:11" x14ac:dyDescent="0.3">
      <c r="B300" s="40"/>
      <c r="C300" s="41"/>
      <c r="D300" s="17"/>
      <c r="E300" s="41"/>
      <c r="F300" s="41"/>
      <c r="G300" s="17"/>
      <c r="H300" s="41"/>
      <c r="I300" s="41"/>
      <c r="K300" s="34"/>
    </row>
    <row r="301" spans="2:11" x14ac:dyDescent="0.3">
      <c r="B301" s="40"/>
      <c r="C301" s="41"/>
      <c r="D301" s="17"/>
      <c r="E301" s="41"/>
      <c r="F301" s="41"/>
      <c r="G301" s="17"/>
      <c r="H301" s="41"/>
      <c r="I301" s="41"/>
      <c r="K301" s="34"/>
    </row>
    <row r="302" spans="2:11" x14ac:dyDescent="0.3">
      <c r="B302" s="40"/>
      <c r="C302" s="41"/>
      <c r="D302" s="17"/>
      <c r="E302" s="41"/>
      <c r="F302" s="41"/>
      <c r="G302" s="17"/>
      <c r="H302" s="41"/>
      <c r="I302" s="41"/>
      <c r="K302" s="34"/>
    </row>
    <row r="303" spans="2:11" x14ac:dyDescent="0.3">
      <c r="B303" s="40"/>
      <c r="C303" s="41"/>
      <c r="D303" s="17"/>
      <c r="E303" s="41"/>
      <c r="F303" s="41"/>
      <c r="G303" s="17"/>
      <c r="H303" s="41"/>
      <c r="I303" s="41"/>
      <c r="K303" s="34"/>
    </row>
    <row r="304" spans="2:11" x14ac:dyDescent="0.3">
      <c r="B304" s="40"/>
      <c r="C304" s="41"/>
      <c r="D304" s="17"/>
      <c r="E304" s="41"/>
      <c r="F304" s="41"/>
      <c r="G304" s="17"/>
      <c r="H304" s="41"/>
      <c r="I304" s="41"/>
      <c r="K304" s="34"/>
    </row>
    <row r="305" spans="2:11" x14ac:dyDescent="0.3">
      <c r="B305" s="40"/>
      <c r="C305" s="41"/>
      <c r="D305" s="17"/>
      <c r="E305" s="41"/>
      <c r="F305" s="41"/>
      <c r="G305" s="17"/>
      <c r="H305" s="41"/>
      <c r="I305" s="41"/>
      <c r="K305" s="34"/>
    </row>
    <row r="306" spans="2:11" x14ac:dyDescent="0.3">
      <c r="B306" s="40"/>
      <c r="C306" s="41"/>
      <c r="D306" s="17"/>
      <c r="E306" s="41"/>
      <c r="F306" s="41"/>
      <c r="G306" s="17"/>
      <c r="H306" s="41"/>
      <c r="I306" s="41"/>
      <c r="K306" s="34"/>
    </row>
    <row r="307" spans="2:11" x14ac:dyDescent="0.3">
      <c r="B307" s="40"/>
      <c r="C307" s="41"/>
      <c r="D307" s="17"/>
      <c r="E307" s="41"/>
      <c r="F307" s="41"/>
      <c r="G307" s="17"/>
      <c r="H307" s="41"/>
      <c r="I307" s="41"/>
      <c r="K307" s="34"/>
    </row>
    <row r="308" spans="2:11" x14ac:dyDescent="0.3">
      <c r="B308" s="40"/>
      <c r="C308" s="41"/>
      <c r="D308" s="17"/>
      <c r="E308" s="41"/>
      <c r="F308" s="41"/>
      <c r="G308" s="17"/>
      <c r="H308" s="41"/>
      <c r="I308" s="41"/>
      <c r="K308" s="34"/>
    </row>
    <row r="309" spans="2:11" x14ac:dyDescent="0.3">
      <c r="B309" s="40"/>
      <c r="C309" s="41"/>
      <c r="D309" s="17"/>
      <c r="E309" s="41"/>
      <c r="F309" s="41"/>
      <c r="G309" s="17"/>
      <c r="H309" s="41"/>
      <c r="I309" s="41"/>
      <c r="K309" s="34"/>
    </row>
    <row r="310" spans="2:11" x14ac:dyDescent="0.3">
      <c r="B310" s="40"/>
      <c r="C310" s="41"/>
      <c r="D310" s="17"/>
      <c r="E310" s="41"/>
      <c r="F310" s="41"/>
      <c r="G310" s="17"/>
      <c r="H310" s="41"/>
      <c r="I310" s="41"/>
      <c r="K310" s="34"/>
    </row>
    <row r="311" spans="2:11" x14ac:dyDescent="0.3">
      <c r="B311" s="40"/>
      <c r="C311" s="41"/>
      <c r="D311" s="17"/>
      <c r="E311" s="41"/>
      <c r="F311" s="41"/>
      <c r="G311" s="17"/>
      <c r="H311" s="41"/>
      <c r="I311" s="41"/>
      <c r="K311" s="34"/>
    </row>
    <row r="312" spans="2:11" x14ac:dyDescent="0.3">
      <c r="B312" s="40"/>
      <c r="C312" s="41"/>
      <c r="D312" s="17"/>
      <c r="E312" s="41"/>
      <c r="F312" s="41"/>
      <c r="G312" s="17"/>
      <c r="H312" s="41"/>
      <c r="I312" s="41"/>
      <c r="K312" s="34"/>
    </row>
    <row r="313" spans="2:11" x14ac:dyDescent="0.3">
      <c r="B313" s="40"/>
      <c r="C313" s="41"/>
      <c r="D313" s="17"/>
      <c r="E313" s="41"/>
      <c r="F313" s="41"/>
      <c r="G313" s="17"/>
      <c r="H313" s="41"/>
      <c r="I313" s="41"/>
      <c r="K313" s="34"/>
    </row>
    <row r="314" spans="2:11" x14ac:dyDescent="0.3">
      <c r="B314" s="40"/>
      <c r="C314" s="41"/>
      <c r="D314" s="17"/>
      <c r="E314" s="41"/>
      <c r="F314" s="41"/>
      <c r="G314" s="17"/>
      <c r="H314" s="41"/>
      <c r="I314" s="41"/>
      <c r="K314" s="34"/>
    </row>
    <row r="315" spans="2:11" x14ac:dyDescent="0.3">
      <c r="B315" s="40"/>
      <c r="C315" s="41"/>
      <c r="D315" s="17"/>
      <c r="E315" s="41"/>
      <c r="F315" s="41"/>
      <c r="G315" s="17"/>
      <c r="H315" s="41"/>
      <c r="I315" s="41"/>
      <c r="K315" s="34"/>
    </row>
    <row r="316" spans="2:11" x14ac:dyDescent="0.3">
      <c r="B316" s="40"/>
      <c r="C316" s="41"/>
      <c r="D316" s="17"/>
      <c r="E316" s="41"/>
      <c r="F316" s="41"/>
      <c r="G316" s="17"/>
      <c r="H316" s="41"/>
      <c r="I316" s="41"/>
      <c r="K316" s="34"/>
    </row>
    <row r="317" spans="2:11" x14ac:dyDescent="0.3">
      <c r="B317" s="40"/>
      <c r="C317" s="41"/>
      <c r="D317" s="17"/>
      <c r="E317" s="41"/>
      <c r="F317" s="41"/>
      <c r="G317" s="17"/>
      <c r="H317" s="41"/>
      <c r="I317" s="41"/>
      <c r="K317" s="34"/>
    </row>
    <row r="318" spans="2:11" x14ac:dyDescent="0.3">
      <c r="B318" s="40"/>
      <c r="C318" s="41"/>
      <c r="D318" s="17"/>
      <c r="E318" s="41"/>
      <c r="F318" s="41"/>
      <c r="G318" s="17"/>
      <c r="H318" s="41"/>
      <c r="I318" s="41"/>
      <c r="K318" s="34"/>
    </row>
    <row r="319" spans="2:11" x14ac:dyDescent="0.3">
      <c r="B319" s="40"/>
      <c r="C319" s="41"/>
      <c r="D319" s="17"/>
      <c r="E319" s="41"/>
      <c r="F319" s="41"/>
      <c r="G319" s="17"/>
      <c r="H319" s="41"/>
      <c r="I319" s="41"/>
      <c r="K319" s="34"/>
    </row>
    <row r="320" spans="2:11" x14ac:dyDescent="0.3">
      <c r="B320" s="40"/>
      <c r="C320" s="41"/>
      <c r="D320" s="17"/>
      <c r="E320" s="41"/>
      <c r="F320" s="41"/>
      <c r="G320" s="17"/>
      <c r="H320" s="41"/>
      <c r="I320" s="41"/>
      <c r="K320" s="34"/>
    </row>
    <row r="321" spans="2:11" x14ac:dyDescent="0.3">
      <c r="B321" s="40"/>
      <c r="C321" s="41"/>
      <c r="D321" s="17"/>
      <c r="E321" s="41"/>
      <c r="F321" s="41"/>
      <c r="G321" s="17"/>
      <c r="H321" s="41"/>
      <c r="I321" s="41"/>
      <c r="K321" s="34"/>
    </row>
    <row r="322" spans="2:11" x14ac:dyDescent="0.3">
      <c r="B322" s="40"/>
      <c r="C322" s="41"/>
      <c r="D322" s="17"/>
      <c r="E322" s="41"/>
      <c r="F322" s="41"/>
      <c r="G322" s="17"/>
      <c r="H322" s="41"/>
      <c r="I322" s="41"/>
      <c r="K322" s="34"/>
    </row>
    <row r="323" spans="2:11" x14ac:dyDescent="0.3">
      <c r="B323" s="40"/>
      <c r="C323" s="41"/>
      <c r="D323" s="17"/>
      <c r="E323" s="41"/>
      <c r="F323" s="41"/>
      <c r="G323" s="17"/>
      <c r="H323" s="41"/>
      <c r="I323" s="41"/>
      <c r="K323" s="34"/>
    </row>
    <row r="324" spans="2:11" x14ac:dyDescent="0.3">
      <c r="B324" s="40"/>
      <c r="C324" s="41"/>
      <c r="D324" s="17"/>
      <c r="E324" s="41"/>
      <c r="F324" s="41"/>
      <c r="G324" s="17"/>
      <c r="H324" s="41"/>
      <c r="I324" s="41"/>
      <c r="K324" s="34"/>
    </row>
    <row r="325" spans="2:11" x14ac:dyDescent="0.3">
      <c r="B325" s="40"/>
      <c r="C325" s="41"/>
      <c r="D325" s="17"/>
      <c r="E325" s="41"/>
      <c r="F325" s="41"/>
      <c r="G325" s="17"/>
      <c r="H325" s="41"/>
      <c r="I325" s="41"/>
      <c r="K325" s="34"/>
    </row>
    <row r="326" spans="2:11" x14ac:dyDescent="0.3">
      <c r="B326" s="40"/>
      <c r="C326" s="41"/>
      <c r="D326" s="17"/>
      <c r="E326" s="41"/>
      <c r="F326" s="41"/>
      <c r="G326" s="17"/>
      <c r="H326" s="41"/>
      <c r="I326" s="41"/>
      <c r="K326" s="34"/>
    </row>
    <row r="327" spans="2:11" x14ac:dyDescent="0.3">
      <c r="B327" s="40"/>
      <c r="C327" s="41"/>
      <c r="D327" s="17"/>
      <c r="E327" s="41"/>
      <c r="F327" s="41"/>
      <c r="G327" s="17"/>
      <c r="H327" s="41"/>
      <c r="I327" s="41"/>
      <c r="K327" s="34"/>
    </row>
    <row r="328" spans="2:11" x14ac:dyDescent="0.3">
      <c r="B328" s="40"/>
      <c r="C328" s="41"/>
      <c r="D328" s="17"/>
      <c r="E328" s="41"/>
      <c r="F328" s="41"/>
      <c r="G328" s="17"/>
      <c r="H328" s="41"/>
      <c r="I328" s="41"/>
      <c r="K328" s="34"/>
    </row>
    <row r="329" spans="2:11" x14ac:dyDescent="0.3">
      <c r="B329" s="40"/>
      <c r="C329" s="41"/>
      <c r="D329" s="17"/>
      <c r="E329" s="41"/>
      <c r="F329" s="41"/>
      <c r="G329" s="17"/>
      <c r="H329" s="41"/>
      <c r="I329" s="41"/>
      <c r="K329" s="34"/>
    </row>
    <row r="330" spans="2:11" x14ac:dyDescent="0.3">
      <c r="B330" s="40"/>
      <c r="C330" s="41"/>
      <c r="D330" s="17"/>
      <c r="E330" s="41"/>
      <c r="F330" s="41"/>
      <c r="G330" s="17"/>
      <c r="H330" s="41"/>
      <c r="I330" s="41"/>
      <c r="K330" s="34"/>
    </row>
    <row r="331" spans="2:11" x14ac:dyDescent="0.3">
      <c r="B331" s="40"/>
      <c r="C331" s="41"/>
      <c r="D331" s="17"/>
      <c r="E331" s="41"/>
      <c r="F331" s="41"/>
      <c r="G331" s="17"/>
      <c r="H331" s="41"/>
      <c r="I331" s="41"/>
      <c r="K331" s="34"/>
    </row>
    <row r="332" spans="2:11" x14ac:dyDescent="0.3">
      <c r="B332" s="40"/>
      <c r="C332" s="41"/>
      <c r="D332" s="17"/>
      <c r="E332" s="41"/>
      <c r="F332" s="41"/>
      <c r="G332" s="17"/>
      <c r="H332" s="41"/>
      <c r="I332" s="41"/>
      <c r="K332" s="34"/>
    </row>
    <row r="333" spans="2:11" x14ac:dyDescent="0.3">
      <c r="B333" s="40"/>
      <c r="C333" s="41"/>
      <c r="D333" s="17"/>
      <c r="E333" s="41"/>
      <c r="F333" s="41"/>
      <c r="G333" s="17"/>
      <c r="H333" s="41"/>
      <c r="I333" s="41"/>
      <c r="K333" s="34"/>
    </row>
    <row r="334" spans="2:11" x14ac:dyDescent="0.3">
      <c r="B334" s="40"/>
      <c r="C334" s="41"/>
      <c r="D334" s="17"/>
      <c r="E334" s="41"/>
      <c r="F334" s="41"/>
      <c r="G334" s="17"/>
      <c r="H334" s="41"/>
      <c r="I334" s="41"/>
      <c r="K334" s="34"/>
    </row>
    <row r="335" spans="2:11" x14ac:dyDescent="0.3">
      <c r="B335" s="40"/>
      <c r="C335" s="41"/>
      <c r="D335" s="17"/>
      <c r="E335" s="41"/>
      <c r="F335" s="41"/>
      <c r="G335" s="17"/>
      <c r="H335" s="41"/>
      <c r="I335" s="41"/>
      <c r="K335" s="34"/>
    </row>
    <row r="336" spans="2:11" x14ac:dyDescent="0.3">
      <c r="B336" s="40"/>
      <c r="C336" s="41"/>
      <c r="D336" s="17"/>
      <c r="E336" s="41"/>
      <c r="F336" s="41"/>
      <c r="G336" s="17"/>
      <c r="H336" s="41"/>
      <c r="I336" s="41"/>
      <c r="K336" s="34"/>
    </row>
    <row r="337" spans="2:11" x14ac:dyDescent="0.3">
      <c r="B337" s="40"/>
      <c r="C337" s="41"/>
      <c r="D337" s="17"/>
      <c r="E337" s="41"/>
      <c r="F337" s="41"/>
      <c r="G337" s="17"/>
      <c r="H337" s="41"/>
      <c r="I337" s="41"/>
      <c r="K337" s="34"/>
    </row>
    <row r="338" spans="2:11" x14ac:dyDescent="0.3">
      <c r="B338" s="40"/>
      <c r="C338" s="41"/>
      <c r="D338" s="17"/>
      <c r="E338" s="41"/>
      <c r="F338" s="41"/>
      <c r="G338" s="17"/>
      <c r="H338" s="41"/>
      <c r="I338" s="41"/>
      <c r="K338" s="34"/>
    </row>
    <row r="339" spans="2:11" x14ac:dyDescent="0.3">
      <c r="B339" s="40"/>
      <c r="C339" s="41"/>
      <c r="D339" s="17"/>
      <c r="E339" s="41"/>
      <c r="F339" s="41"/>
      <c r="G339" s="17"/>
      <c r="H339" s="41"/>
      <c r="I339" s="41"/>
      <c r="K339" s="34"/>
    </row>
    <row r="340" spans="2:11" x14ac:dyDescent="0.3">
      <c r="B340" s="40"/>
      <c r="C340" s="41"/>
      <c r="D340" s="17"/>
      <c r="E340" s="41"/>
      <c r="F340" s="41"/>
      <c r="G340" s="17"/>
      <c r="H340" s="41"/>
      <c r="I340" s="41"/>
      <c r="K340" s="34"/>
    </row>
    <row r="341" spans="2:11" x14ac:dyDescent="0.3">
      <c r="B341" s="40"/>
      <c r="C341" s="41"/>
      <c r="D341" s="17"/>
      <c r="E341" s="41"/>
      <c r="F341" s="41"/>
      <c r="G341" s="17"/>
      <c r="H341" s="41"/>
      <c r="I341" s="41"/>
      <c r="K341" s="34"/>
    </row>
    <row r="342" spans="2:11" x14ac:dyDescent="0.3">
      <c r="B342" s="40"/>
      <c r="C342" s="41"/>
      <c r="D342" s="17"/>
      <c r="E342" s="41"/>
      <c r="F342" s="41"/>
      <c r="G342" s="17"/>
      <c r="H342" s="41"/>
      <c r="I342" s="41"/>
      <c r="K342" s="34"/>
    </row>
    <row r="343" spans="2:11" x14ac:dyDescent="0.3">
      <c r="B343" s="40"/>
      <c r="C343" s="41"/>
      <c r="D343" s="17"/>
      <c r="E343" s="41"/>
      <c r="F343" s="41"/>
      <c r="G343" s="17"/>
      <c r="H343" s="41"/>
      <c r="I343" s="41"/>
      <c r="K343" s="34"/>
    </row>
    <row r="344" spans="2:11" x14ac:dyDescent="0.3">
      <c r="B344" s="40"/>
      <c r="C344" s="41"/>
      <c r="D344" s="17"/>
      <c r="E344" s="41"/>
      <c r="F344" s="41"/>
      <c r="G344" s="17"/>
      <c r="H344" s="41"/>
      <c r="I344" s="41"/>
      <c r="K344" s="34"/>
    </row>
    <row r="345" spans="2:11" x14ac:dyDescent="0.3">
      <c r="B345" s="40"/>
      <c r="C345" s="41"/>
      <c r="D345" s="17"/>
      <c r="E345" s="41"/>
      <c r="F345" s="41"/>
      <c r="G345" s="17"/>
      <c r="H345" s="41"/>
      <c r="I345" s="41"/>
      <c r="K345" s="34"/>
    </row>
    <row r="346" spans="2:11" x14ac:dyDescent="0.3">
      <c r="B346" s="40"/>
      <c r="C346" s="41"/>
      <c r="D346" s="17"/>
      <c r="E346" s="41"/>
      <c r="F346" s="41"/>
      <c r="G346" s="17"/>
      <c r="H346" s="41"/>
      <c r="I346" s="41"/>
      <c r="K346" s="34"/>
    </row>
    <row r="347" spans="2:11" x14ac:dyDescent="0.3">
      <c r="B347" s="40"/>
      <c r="C347" s="41"/>
      <c r="D347" s="17"/>
      <c r="E347" s="41"/>
      <c r="F347" s="41"/>
      <c r="G347" s="17"/>
      <c r="H347" s="41"/>
      <c r="I347" s="41"/>
      <c r="K347" s="34"/>
    </row>
    <row r="348" spans="2:11" x14ac:dyDescent="0.3">
      <c r="B348" s="40"/>
      <c r="C348" s="41"/>
      <c r="D348" s="17"/>
      <c r="E348" s="41"/>
      <c r="F348" s="41"/>
      <c r="G348" s="17"/>
      <c r="H348" s="41"/>
      <c r="I348" s="41"/>
      <c r="K348" s="34"/>
    </row>
    <row r="349" spans="2:11" x14ac:dyDescent="0.3">
      <c r="B349" s="40"/>
      <c r="C349" s="41"/>
      <c r="D349" s="17"/>
      <c r="E349" s="41"/>
      <c r="F349" s="41"/>
      <c r="G349" s="17"/>
      <c r="H349" s="41"/>
      <c r="I349" s="41"/>
      <c r="K349" s="34"/>
    </row>
    <row r="350" spans="2:11" x14ac:dyDescent="0.3">
      <c r="B350" s="40"/>
      <c r="C350" s="41"/>
      <c r="D350" s="17"/>
      <c r="E350" s="41"/>
      <c r="F350" s="41"/>
      <c r="G350" s="17"/>
      <c r="H350" s="41"/>
      <c r="I350" s="41"/>
      <c r="K350" s="34"/>
    </row>
    <row r="351" spans="2:11" x14ac:dyDescent="0.3">
      <c r="B351" s="40"/>
      <c r="C351" s="41"/>
      <c r="D351" s="17"/>
      <c r="E351" s="41"/>
      <c r="F351" s="41"/>
      <c r="G351" s="17"/>
      <c r="H351" s="41"/>
      <c r="I351" s="41"/>
      <c r="K351" s="34"/>
    </row>
    <row r="352" spans="2:11" x14ac:dyDescent="0.3">
      <c r="B352" s="40"/>
      <c r="C352" s="41"/>
      <c r="D352" s="17"/>
      <c r="E352" s="41"/>
      <c r="F352" s="41"/>
      <c r="G352" s="17"/>
      <c r="H352" s="41"/>
      <c r="I352" s="41"/>
      <c r="K352" s="34"/>
    </row>
    <row r="353" spans="2:11" x14ac:dyDescent="0.3">
      <c r="B353" s="40"/>
      <c r="C353" s="41"/>
      <c r="D353" s="17"/>
      <c r="E353" s="41"/>
      <c r="F353" s="41"/>
      <c r="G353" s="17"/>
      <c r="H353" s="41"/>
      <c r="I353" s="41"/>
      <c r="K353" s="34"/>
    </row>
    <row r="354" spans="2:11" x14ac:dyDescent="0.3">
      <c r="B354" s="40"/>
      <c r="C354" s="41"/>
      <c r="D354" s="17"/>
      <c r="E354" s="41"/>
      <c r="F354" s="41"/>
      <c r="G354" s="17"/>
      <c r="H354" s="41"/>
      <c r="I354" s="41"/>
      <c r="K354" s="34"/>
    </row>
    <row r="355" spans="2:11" x14ac:dyDescent="0.3">
      <c r="B355" s="40"/>
      <c r="C355" s="41"/>
      <c r="D355" s="17"/>
      <c r="E355" s="41"/>
      <c r="F355" s="41"/>
      <c r="G355" s="17"/>
      <c r="H355" s="41"/>
      <c r="I355" s="41"/>
      <c r="K355" s="34"/>
    </row>
    <row r="356" spans="2:11" x14ac:dyDescent="0.3">
      <c r="B356" s="40"/>
      <c r="C356" s="41"/>
      <c r="D356" s="17"/>
      <c r="E356" s="41"/>
      <c r="F356" s="41"/>
      <c r="G356" s="17"/>
      <c r="H356" s="41"/>
      <c r="I356" s="41"/>
      <c r="K356" s="34"/>
    </row>
    <row r="357" spans="2:11" x14ac:dyDescent="0.3">
      <c r="B357" s="40"/>
      <c r="C357" s="41"/>
      <c r="D357" s="17"/>
      <c r="E357" s="41"/>
      <c r="F357" s="41"/>
      <c r="G357" s="17"/>
      <c r="H357" s="41"/>
      <c r="I357" s="41"/>
      <c r="K357" s="34"/>
    </row>
    <row r="358" spans="2:11" x14ac:dyDescent="0.3">
      <c r="B358" s="40"/>
      <c r="C358" s="41"/>
      <c r="D358" s="17"/>
      <c r="E358" s="41"/>
      <c r="F358" s="41"/>
      <c r="G358" s="17"/>
      <c r="H358" s="41"/>
      <c r="I358" s="41"/>
      <c r="K358" s="34"/>
    </row>
    <row r="359" spans="2:11" x14ac:dyDescent="0.3">
      <c r="B359" s="40"/>
      <c r="C359" s="41"/>
      <c r="D359" s="17"/>
      <c r="E359" s="41"/>
      <c r="F359" s="41"/>
      <c r="G359" s="17"/>
      <c r="H359" s="41"/>
      <c r="I359" s="41"/>
      <c r="K359" s="34"/>
    </row>
    <row r="360" spans="2:11" x14ac:dyDescent="0.3">
      <c r="B360" s="40"/>
      <c r="C360" s="41"/>
      <c r="D360" s="17"/>
      <c r="E360" s="41"/>
      <c r="F360" s="41"/>
      <c r="G360" s="17"/>
      <c r="H360" s="41"/>
      <c r="I360" s="41"/>
      <c r="K360" s="34"/>
    </row>
    <row r="361" spans="2:11" x14ac:dyDescent="0.3">
      <c r="B361" s="40"/>
      <c r="C361" s="41"/>
      <c r="D361" s="17"/>
      <c r="E361" s="41"/>
      <c r="F361" s="41"/>
      <c r="G361" s="17"/>
      <c r="H361" s="41"/>
      <c r="I361" s="41"/>
      <c r="K361" s="34"/>
    </row>
    <row r="362" spans="2:11" x14ac:dyDescent="0.3">
      <c r="B362" s="40"/>
      <c r="C362" s="41"/>
      <c r="D362" s="17"/>
      <c r="E362" s="41"/>
      <c r="F362" s="41"/>
      <c r="G362" s="17"/>
      <c r="H362" s="41"/>
      <c r="I362" s="41"/>
      <c r="K362" s="34"/>
    </row>
    <row r="363" spans="2:11" x14ac:dyDescent="0.3">
      <c r="B363" s="40"/>
      <c r="C363" s="41"/>
      <c r="D363" s="17"/>
      <c r="E363" s="41"/>
      <c r="F363" s="41"/>
      <c r="G363" s="17"/>
      <c r="H363" s="41"/>
      <c r="I363" s="41"/>
      <c r="K363" s="34"/>
    </row>
    <row r="364" spans="2:11" x14ac:dyDescent="0.3">
      <c r="B364" s="40"/>
      <c r="C364" s="41"/>
      <c r="D364" s="17"/>
      <c r="E364" s="41"/>
      <c r="F364" s="41"/>
      <c r="G364" s="17"/>
      <c r="H364" s="41"/>
      <c r="I364" s="41"/>
      <c r="K364" s="34"/>
    </row>
    <row r="365" spans="2:11" x14ac:dyDescent="0.3">
      <c r="B365" s="40"/>
      <c r="C365" s="41"/>
      <c r="D365" s="17"/>
      <c r="E365" s="41"/>
      <c r="F365" s="41"/>
      <c r="G365" s="17"/>
      <c r="H365" s="41"/>
      <c r="I365" s="41"/>
      <c r="K365" s="34"/>
    </row>
    <row r="366" spans="2:11" x14ac:dyDescent="0.3">
      <c r="B366" s="40"/>
      <c r="C366" s="41"/>
      <c r="D366" s="17"/>
      <c r="E366" s="41"/>
      <c r="F366" s="41"/>
      <c r="G366" s="17"/>
      <c r="H366" s="41"/>
      <c r="I366" s="41"/>
      <c r="K366" s="34"/>
    </row>
    <row r="367" spans="2:11" x14ac:dyDescent="0.3">
      <c r="B367" s="40"/>
      <c r="C367" s="41"/>
      <c r="D367" s="17"/>
      <c r="E367" s="41"/>
      <c r="F367" s="41"/>
      <c r="G367" s="17"/>
      <c r="H367" s="41"/>
      <c r="I367" s="41"/>
      <c r="K367" s="34"/>
    </row>
    <row r="368" spans="2:11" x14ac:dyDescent="0.3">
      <c r="B368" s="40"/>
      <c r="C368" s="41"/>
      <c r="D368" s="17"/>
      <c r="E368" s="41"/>
      <c r="F368" s="41"/>
      <c r="G368" s="17"/>
      <c r="H368" s="41"/>
      <c r="I368" s="41"/>
      <c r="K368" s="34"/>
    </row>
    <row r="369" spans="2:11" x14ac:dyDescent="0.3">
      <c r="B369" s="40"/>
      <c r="C369" s="41"/>
      <c r="D369" s="17"/>
      <c r="E369" s="41"/>
      <c r="F369" s="41"/>
      <c r="G369" s="17"/>
      <c r="H369" s="41"/>
      <c r="I369" s="41"/>
      <c r="K369" s="34"/>
    </row>
    <row r="370" spans="2:11" x14ac:dyDescent="0.3">
      <c r="B370" s="40"/>
      <c r="C370" s="41"/>
      <c r="D370" s="17"/>
      <c r="E370" s="41"/>
      <c r="F370" s="41"/>
      <c r="G370" s="17"/>
      <c r="H370" s="41"/>
      <c r="I370" s="41"/>
      <c r="K370" s="34"/>
    </row>
    <row r="371" spans="2:11" x14ac:dyDescent="0.3">
      <c r="B371" s="40"/>
      <c r="C371" s="41"/>
      <c r="D371" s="17"/>
      <c r="E371" s="41"/>
      <c r="F371" s="41"/>
      <c r="G371" s="17"/>
      <c r="H371" s="41"/>
      <c r="I371" s="41"/>
      <c r="K371" s="34"/>
    </row>
    <row r="372" spans="2:11" x14ac:dyDescent="0.3">
      <c r="B372" s="40"/>
      <c r="C372" s="41"/>
      <c r="D372" s="17"/>
      <c r="E372" s="41"/>
      <c r="F372" s="41"/>
      <c r="G372" s="17"/>
      <c r="H372" s="41"/>
      <c r="I372" s="41"/>
      <c r="K372" s="34"/>
    </row>
    <row r="373" spans="2:11" x14ac:dyDescent="0.3">
      <c r="B373" s="40"/>
      <c r="C373" s="41"/>
      <c r="D373" s="17"/>
      <c r="E373" s="41"/>
      <c r="F373" s="41"/>
      <c r="G373" s="17"/>
      <c r="H373" s="41"/>
      <c r="I373" s="41"/>
      <c r="K373" s="34"/>
    </row>
    <row r="374" spans="2:11" x14ac:dyDescent="0.3">
      <c r="B374" s="40"/>
      <c r="C374" s="41"/>
      <c r="D374" s="17"/>
      <c r="E374" s="41"/>
      <c r="F374" s="41"/>
      <c r="G374" s="17"/>
      <c r="H374" s="41"/>
      <c r="I374" s="41"/>
      <c r="K374" s="34"/>
    </row>
    <row r="375" spans="2:11" x14ac:dyDescent="0.3">
      <c r="B375" s="40"/>
      <c r="C375" s="41"/>
      <c r="D375" s="17"/>
      <c r="E375" s="41"/>
      <c r="F375" s="41"/>
      <c r="G375" s="17"/>
      <c r="H375" s="41"/>
      <c r="I375" s="41"/>
      <c r="K375" s="34"/>
    </row>
    <row r="376" spans="2:11" x14ac:dyDescent="0.3">
      <c r="B376" s="40"/>
      <c r="C376" s="41"/>
      <c r="D376" s="17"/>
      <c r="E376" s="41"/>
      <c r="F376" s="41"/>
      <c r="G376" s="17"/>
      <c r="H376" s="41"/>
      <c r="I376" s="41"/>
      <c r="K376" s="34"/>
    </row>
    <row r="377" spans="2:11" x14ac:dyDescent="0.3">
      <c r="B377" s="40"/>
      <c r="C377" s="41"/>
      <c r="D377" s="17"/>
      <c r="E377" s="41"/>
      <c r="F377" s="41"/>
      <c r="G377" s="17"/>
      <c r="H377" s="41"/>
      <c r="I377" s="41"/>
      <c r="K377" s="34"/>
    </row>
    <row r="378" spans="2:11" x14ac:dyDescent="0.3">
      <c r="B378" s="40"/>
      <c r="C378" s="41"/>
      <c r="D378" s="17"/>
      <c r="E378" s="41"/>
      <c r="F378" s="41"/>
      <c r="G378" s="17"/>
      <c r="H378" s="41"/>
      <c r="I378" s="41"/>
      <c r="K378" s="34"/>
    </row>
    <row r="379" spans="2:11" x14ac:dyDescent="0.3">
      <c r="B379" s="40"/>
      <c r="C379" s="41"/>
      <c r="D379" s="17"/>
      <c r="E379" s="41"/>
      <c r="F379" s="41"/>
      <c r="G379" s="17"/>
      <c r="H379" s="41"/>
      <c r="I379" s="41"/>
      <c r="K379" s="34"/>
    </row>
    <row r="380" spans="2:11" x14ac:dyDescent="0.3">
      <c r="B380" s="40"/>
      <c r="C380" s="41"/>
      <c r="D380" s="17"/>
      <c r="E380" s="41"/>
      <c r="F380" s="41"/>
      <c r="G380" s="17"/>
      <c r="H380" s="41"/>
      <c r="I380" s="41"/>
      <c r="K380" s="34"/>
    </row>
    <row r="381" spans="2:11" x14ac:dyDescent="0.3">
      <c r="B381" s="40"/>
      <c r="C381" s="41"/>
      <c r="D381" s="17"/>
      <c r="E381" s="41"/>
      <c r="F381" s="41"/>
      <c r="G381" s="17"/>
      <c r="H381" s="41"/>
      <c r="I381" s="41"/>
      <c r="K381" s="34"/>
    </row>
    <row r="382" spans="2:11" x14ac:dyDescent="0.3">
      <c r="B382" s="40"/>
      <c r="C382" s="41"/>
      <c r="D382" s="17"/>
      <c r="E382" s="41"/>
      <c r="F382" s="41"/>
      <c r="G382" s="17"/>
      <c r="H382" s="41"/>
      <c r="I382" s="41"/>
      <c r="K382" s="34"/>
    </row>
    <row r="383" spans="2:11" x14ac:dyDescent="0.3">
      <c r="B383" s="40"/>
      <c r="C383" s="41"/>
      <c r="D383" s="17"/>
      <c r="E383" s="41"/>
      <c r="F383" s="41"/>
      <c r="G383" s="17"/>
      <c r="H383" s="41"/>
      <c r="I383" s="41"/>
      <c r="K383" s="34"/>
    </row>
    <row r="384" spans="2:11" x14ac:dyDescent="0.3">
      <c r="B384" s="40"/>
      <c r="C384" s="41"/>
      <c r="D384" s="17"/>
      <c r="E384" s="41"/>
      <c r="F384" s="41"/>
      <c r="G384" s="17"/>
      <c r="H384" s="41"/>
      <c r="I384" s="41"/>
      <c r="K384" s="34"/>
    </row>
    <row r="385" spans="2:11" x14ac:dyDescent="0.3">
      <c r="B385" s="40"/>
      <c r="C385" s="41"/>
      <c r="D385" s="17"/>
      <c r="E385" s="41"/>
      <c r="F385" s="41"/>
      <c r="G385" s="17"/>
      <c r="H385" s="41"/>
      <c r="I385" s="41"/>
      <c r="K385" s="34"/>
    </row>
    <row r="386" spans="2:11" x14ac:dyDescent="0.3">
      <c r="B386" s="40"/>
      <c r="C386" s="41"/>
      <c r="D386" s="17"/>
      <c r="E386" s="41"/>
      <c r="F386" s="41"/>
      <c r="G386" s="17"/>
      <c r="H386" s="41"/>
      <c r="I386" s="41"/>
      <c r="K386" s="34"/>
    </row>
    <row r="387" spans="2:11" x14ac:dyDescent="0.3">
      <c r="B387" s="40"/>
      <c r="C387" s="41"/>
      <c r="D387" s="17"/>
      <c r="E387" s="41"/>
      <c r="F387" s="41"/>
      <c r="G387" s="17"/>
      <c r="H387" s="41"/>
      <c r="I387" s="41"/>
      <c r="K387" s="34"/>
    </row>
    <row r="388" spans="2:11" x14ac:dyDescent="0.3">
      <c r="B388" s="40"/>
      <c r="C388" s="41"/>
      <c r="D388" s="17"/>
      <c r="E388" s="41"/>
      <c r="F388" s="41"/>
      <c r="G388" s="17"/>
      <c r="H388" s="41"/>
      <c r="I388" s="41"/>
      <c r="K388" s="34"/>
    </row>
    <row r="389" spans="2:11" x14ac:dyDescent="0.3">
      <c r="B389" s="40"/>
      <c r="C389" s="41"/>
      <c r="D389" s="17"/>
      <c r="E389" s="41"/>
      <c r="F389" s="41"/>
      <c r="G389" s="17"/>
      <c r="H389" s="41"/>
      <c r="I389" s="41"/>
      <c r="K389" s="34"/>
    </row>
    <row r="390" spans="2:11" x14ac:dyDescent="0.3">
      <c r="B390" s="40"/>
      <c r="C390" s="41"/>
      <c r="D390" s="17"/>
      <c r="E390" s="41"/>
      <c r="F390" s="41"/>
      <c r="G390" s="17"/>
      <c r="H390" s="41"/>
      <c r="I390" s="41"/>
      <c r="K390" s="34"/>
    </row>
    <row r="391" spans="2:11" x14ac:dyDescent="0.3">
      <c r="B391" s="40"/>
      <c r="C391" s="41"/>
      <c r="D391" s="17"/>
      <c r="E391" s="41"/>
      <c r="F391" s="41"/>
      <c r="G391" s="17"/>
      <c r="H391" s="41"/>
      <c r="I391" s="41"/>
      <c r="K391" s="34"/>
    </row>
    <row r="392" spans="2:11" x14ac:dyDescent="0.3">
      <c r="B392" s="40"/>
      <c r="C392" s="41"/>
      <c r="D392" s="17"/>
      <c r="E392" s="41"/>
      <c r="F392" s="41"/>
      <c r="G392" s="17"/>
      <c r="H392" s="41"/>
      <c r="I392" s="41"/>
      <c r="K392" s="34"/>
    </row>
    <row r="393" spans="2:11" x14ac:dyDescent="0.3">
      <c r="B393" s="40"/>
      <c r="C393" s="41"/>
      <c r="D393" s="17"/>
      <c r="E393" s="41"/>
      <c r="F393" s="41"/>
      <c r="G393" s="17"/>
      <c r="H393" s="41"/>
      <c r="I393" s="41"/>
      <c r="K393" s="34"/>
    </row>
    <row r="394" spans="2:11" x14ac:dyDescent="0.3">
      <c r="B394" s="40"/>
      <c r="C394" s="41"/>
      <c r="D394" s="17"/>
      <c r="E394" s="41"/>
      <c r="F394" s="41"/>
      <c r="G394" s="17"/>
      <c r="H394" s="41"/>
      <c r="I394" s="41"/>
      <c r="K394" s="34"/>
    </row>
    <row r="395" spans="2:11" x14ac:dyDescent="0.3">
      <c r="B395" s="40"/>
      <c r="C395" s="41"/>
      <c r="D395" s="17"/>
      <c r="E395" s="41"/>
      <c r="F395" s="41"/>
      <c r="G395" s="17"/>
      <c r="H395" s="41"/>
      <c r="I395" s="41"/>
      <c r="K395" s="34"/>
    </row>
    <row r="396" spans="2:11" x14ac:dyDescent="0.3">
      <c r="B396" s="40"/>
      <c r="C396" s="41"/>
      <c r="D396" s="17"/>
      <c r="E396" s="41"/>
      <c r="F396" s="41"/>
      <c r="G396" s="17"/>
      <c r="H396" s="41"/>
      <c r="I396" s="41"/>
      <c r="K396" s="34"/>
    </row>
    <row r="397" spans="2:11" x14ac:dyDescent="0.3">
      <c r="B397" s="40"/>
      <c r="C397" s="41"/>
      <c r="D397" s="17"/>
      <c r="E397" s="41"/>
      <c r="F397" s="41"/>
      <c r="G397" s="17"/>
      <c r="H397" s="41"/>
      <c r="I397" s="41"/>
      <c r="K397" s="34"/>
    </row>
    <row r="398" spans="2:11" x14ac:dyDescent="0.3">
      <c r="B398" s="40"/>
      <c r="C398" s="41"/>
      <c r="D398" s="17"/>
      <c r="E398" s="41"/>
      <c r="F398" s="41"/>
      <c r="G398" s="17"/>
      <c r="H398" s="41"/>
      <c r="I398" s="41"/>
      <c r="K398" s="34"/>
    </row>
    <row r="399" spans="2:11" x14ac:dyDescent="0.3">
      <c r="B399" s="40"/>
      <c r="C399" s="41"/>
      <c r="D399" s="17"/>
      <c r="E399" s="41"/>
      <c r="F399" s="41"/>
      <c r="G399" s="17"/>
      <c r="H399" s="41"/>
      <c r="I399" s="41"/>
      <c r="K399" s="34"/>
    </row>
    <row r="400" spans="2:11" x14ac:dyDescent="0.3">
      <c r="B400" s="40"/>
      <c r="C400" s="41"/>
      <c r="D400" s="17"/>
      <c r="E400" s="41"/>
      <c r="F400" s="41"/>
      <c r="G400" s="17"/>
      <c r="H400" s="41"/>
      <c r="I400" s="41"/>
      <c r="K400" s="34"/>
    </row>
    <row r="401" spans="2:11" x14ac:dyDescent="0.3">
      <c r="B401" s="40"/>
      <c r="C401" s="41"/>
      <c r="D401" s="17"/>
      <c r="E401" s="41"/>
      <c r="F401" s="41"/>
      <c r="G401" s="17"/>
      <c r="H401" s="41"/>
      <c r="I401" s="41"/>
      <c r="K401" s="34"/>
    </row>
    <row r="402" spans="2:11" x14ac:dyDescent="0.3">
      <c r="B402" s="40"/>
      <c r="C402" s="41"/>
      <c r="D402" s="17"/>
      <c r="E402" s="41"/>
      <c r="F402" s="41"/>
      <c r="G402" s="17"/>
      <c r="H402" s="41"/>
      <c r="I402" s="41"/>
      <c r="K402" s="34"/>
    </row>
    <row r="403" spans="2:11" x14ac:dyDescent="0.3">
      <c r="B403" s="40"/>
      <c r="C403" s="41"/>
      <c r="D403" s="17"/>
      <c r="E403" s="41"/>
      <c r="F403" s="41"/>
      <c r="G403" s="17"/>
      <c r="H403" s="41"/>
      <c r="I403" s="41"/>
      <c r="K403" s="34"/>
    </row>
    <row r="404" spans="2:11" x14ac:dyDescent="0.3">
      <c r="B404" s="40"/>
      <c r="C404" s="41"/>
      <c r="D404" s="17"/>
      <c r="E404" s="41"/>
      <c r="F404" s="41"/>
      <c r="G404" s="17"/>
      <c r="H404" s="41"/>
      <c r="I404" s="41"/>
      <c r="K404" s="34"/>
    </row>
    <row r="405" spans="2:11" x14ac:dyDescent="0.3">
      <c r="B405" s="40"/>
      <c r="C405" s="41"/>
      <c r="D405" s="17"/>
      <c r="E405" s="41"/>
      <c r="F405" s="41"/>
      <c r="G405" s="17"/>
      <c r="H405" s="41"/>
      <c r="I405" s="41"/>
      <c r="K405" s="34"/>
    </row>
    <row r="406" spans="2:11" x14ac:dyDescent="0.3">
      <c r="B406" s="40"/>
      <c r="C406" s="41"/>
      <c r="D406" s="17"/>
      <c r="E406" s="41"/>
      <c r="F406" s="41"/>
      <c r="G406" s="17"/>
      <c r="H406" s="41"/>
      <c r="I406" s="41"/>
      <c r="K406" s="34"/>
    </row>
    <row r="407" spans="2:11" x14ac:dyDescent="0.3">
      <c r="B407" s="40"/>
      <c r="C407" s="41"/>
      <c r="D407" s="17"/>
      <c r="E407" s="41"/>
      <c r="F407" s="41"/>
      <c r="G407" s="17"/>
      <c r="H407" s="41"/>
      <c r="I407" s="41"/>
      <c r="K407" s="34"/>
    </row>
    <row r="408" spans="2:11" x14ac:dyDescent="0.3">
      <c r="B408" s="40"/>
      <c r="C408" s="41"/>
      <c r="D408" s="17"/>
      <c r="E408" s="41"/>
      <c r="F408" s="41"/>
      <c r="G408" s="17"/>
      <c r="H408" s="41"/>
      <c r="I408" s="41"/>
      <c r="K408" s="34"/>
    </row>
    <row r="409" spans="2:11" x14ac:dyDescent="0.3">
      <c r="B409" s="40"/>
      <c r="C409" s="41"/>
      <c r="D409" s="17"/>
      <c r="E409" s="41"/>
      <c r="F409" s="41"/>
      <c r="G409" s="17"/>
      <c r="H409" s="41"/>
      <c r="I409" s="41"/>
      <c r="K409" s="34"/>
    </row>
    <row r="410" spans="2:11" x14ac:dyDescent="0.3">
      <c r="B410" s="40"/>
      <c r="C410" s="41"/>
      <c r="D410" s="17"/>
      <c r="E410" s="41"/>
      <c r="F410" s="41"/>
      <c r="G410" s="17"/>
      <c r="H410" s="41"/>
      <c r="I410" s="41"/>
      <c r="K410" s="34"/>
    </row>
    <row r="411" spans="2:11" x14ac:dyDescent="0.3">
      <c r="B411" s="40"/>
      <c r="C411" s="41"/>
      <c r="D411" s="17"/>
      <c r="E411" s="41"/>
      <c r="F411" s="41"/>
      <c r="G411" s="17"/>
      <c r="H411" s="41"/>
      <c r="I411" s="41"/>
      <c r="K411" s="34"/>
    </row>
    <row r="412" spans="2:11" x14ac:dyDescent="0.3">
      <c r="B412" s="40"/>
      <c r="C412" s="41"/>
      <c r="D412" s="17"/>
      <c r="E412" s="41"/>
      <c r="F412" s="41"/>
      <c r="G412" s="17"/>
      <c r="H412" s="41"/>
      <c r="I412" s="41"/>
      <c r="K412" s="34"/>
    </row>
    <row r="413" spans="2:11" x14ac:dyDescent="0.3">
      <c r="B413" s="40"/>
      <c r="C413" s="41"/>
      <c r="D413" s="17"/>
      <c r="E413" s="41"/>
      <c r="F413" s="41"/>
      <c r="G413" s="17"/>
      <c r="H413" s="41"/>
      <c r="I413" s="41"/>
      <c r="K413" s="34"/>
    </row>
    <row r="414" spans="2:11" x14ac:dyDescent="0.3">
      <c r="B414" s="40"/>
      <c r="C414" s="41"/>
      <c r="D414" s="17"/>
      <c r="E414" s="41"/>
      <c r="F414" s="41"/>
      <c r="G414" s="17"/>
      <c r="H414" s="41"/>
      <c r="I414" s="41"/>
      <c r="K414" s="34"/>
    </row>
    <row r="415" spans="2:11" x14ac:dyDescent="0.3">
      <c r="B415" s="40"/>
      <c r="C415" s="41"/>
      <c r="D415" s="17"/>
      <c r="E415" s="41"/>
      <c r="F415" s="41"/>
      <c r="G415" s="17"/>
      <c r="H415" s="41"/>
      <c r="I415" s="41"/>
      <c r="K415" s="34"/>
    </row>
    <row r="416" spans="2:11" x14ac:dyDescent="0.3">
      <c r="B416" s="40"/>
      <c r="C416" s="41"/>
      <c r="D416" s="17"/>
      <c r="E416" s="41"/>
      <c r="F416" s="41"/>
      <c r="G416" s="17"/>
      <c r="H416" s="41"/>
      <c r="I416" s="41"/>
      <c r="K416" s="34"/>
    </row>
    <row r="417" spans="2:11" x14ac:dyDescent="0.3">
      <c r="B417" s="40"/>
      <c r="C417" s="41"/>
      <c r="D417" s="17"/>
      <c r="E417" s="41"/>
      <c r="F417" s="41"/>
      <c r="G417" s="17"/>
      <c r="H417" s="41"/>
      <c r="I417" s="41"/>
      <c r="K417" s="34"/>
    </row>
    <row r="418" spans="2:11" x14ac:dyDescent="0.3">
      <c r="B418" s="40"/>
      <c r="C418" s="41"/>
      <c r="D418" s="17"/>
      <c r="E418" s="41"/>
      <c r="F418" s="41"/>
      <c r="G418" s="17"/>
      <c r="H418" s="41"/>
      <c r="I418" s="41"/>
      <c r="K418" s="34"/>
    </row>
    <row r="419" spans="2:11" x14ac:dyDescent="0.3">
      <c r="B419" s="40"/>
      <c r="C419" s="41"/>
      <c r="D419" s="17"/>
      <c r="E419" s="41"/>
      <c r="F419" s="41"/>
      <c r="G419" s="17"/>
      <c r="H419" s="41"/>
      <c r="I419" s="41"/>
      <c r="K419" s="34"/>
    </row>
    <row r="420" spans="2:11" x14ac:dyDescent="0.3">
      <c r="B420" s="40"/>
      <c r="C420" s="41"/>
      <c r="D420" s="17"/>
      <c r="E420" s="41"/>
      <c r="F420" s="41"/>
      <c r="G420" s="17"/>
      <c r="H420" s="41"/>
      <c r="I420" s="41"/>
      <c r="K420" s="34"/>
    </row>
    <row r="421" spans="2:11" x14ac:dyDescent="0.3">
      <c r="B421" s="40"/>
      <c r="C421" s="41"/>
      <c r="D421" s="17"/>
      <c r="E421" s="41"/>
      <c r="F421" s="41"/>
      <c r="G421" s="17"/>
      <c r="H421" s="41"/>
      <c r="I421" s="41"/>
      <c r="K421" s="34"/>
    </row>
    <row r="422" spans="2:11" x14ac:dyDescent="0.3">
      <c r="B422" s="40"/>
      <c r="C422" s="41"/>
      <c r="D422" s="17"/>
      <c r="E422" s="41"/>
      <c r="F422" s="41"/>
      <c r="G422" s="17"/>
      <c r="H422" s="41"/>
      <c r="I422" s="41"/>
      <c r="K422" s="34"/>
    </row>
    <row r="423" spans="2:11" x14ac:dyDescent="0.3">
      <c r="B423" s="40"/>
      <c r="C423" s="41"/>
      <c r="D423" s="17"/>
      <c r="E423" s="41"/>
      <c r="F423" s="41"/>
      <c r="G423" s="17"/>
      <c r="H423" s="41"/>
      <c r="I423" s="41"/>
      <c r="K423" s="34"/>
    </row>
    <row r="424" spans="2:11" x14ac:dyDescent="0.3">
      <c r="B424" s="40"/>
      <c r="C424" s="41"/>
      <c r="D424" s="17"/>
      <c r="E424" s="41"/>
      <c r="F424" s="41"/>
      <c r="G424" s="17"/>
      <c r="H424" s="41"/>
      <c r="I424" s="41"/>
      <c r="K424" s="34"/>
    </row>
    <row r="425" spans="2:11" x14ac:dyDescent="0.3">
      <c r="B425" s="40"/>
      <c r="C425" s="41"/>
      <c r="D425" s="17"/>
      <c r="E425" s="41"/>
      <c r="F425" s="41"/>
      <c r="G425" s="17"/>
      <c r="H425" s="41"/>
      <c r="I425" s="41"/>
      <c r="K425" s="34"/>
    </row>
    <row r="426" spans="2:11" x14ac:dyDescent="0.3">
      <c r="B426" s="40"/>
      <c r="C426" s="41"/>
      <c r="D426" s="17"/>
      <c r="E426" s="41"/>
      <c r="F426" s="41"/>
      <c r="G426" s="17"/>
      <c r="H426" s="41"/>
      <c r="I426" s="41"/>
      <c r="K426" s="34"/>
    </row>
    <row r="427" spans="2:11" x14ac:dyDescent="0.3">
      <c r="B427" s="40"/>
      <c r="C427" s="41"/>
      <c r="D427" s="17"/>
      <c r="E427" s="41"/>
      <c r="F427" s="41"/>
      <c r="G427" s="17"/>
      <c r="H427" s="41"/>
      <c r="I427" s="41"/>
      <c r="K427" s="34"/>
    </row>
    <row r="428" spans="2:11" x14ac:dyDescent="0.3">
      <c r="B428" s="40"/>
      <c r="C428" s="41"/>
      <c r="D428" s="17"/>
      <c r="E428" s="41"/>
      <c r="F428" s="41"/>
      <c r="G428" s="17"/>
      <c r="H428" s="41"/>
      <c r="I428" s="41"/>
      <c r="K428" s="34"/>
    </row>
    <row r="429" spans="2:11" x14ac:dyDescent="0.3">
      <c r="B429" s="40"/>
      <c r="C429" s="41"/>
      <c r="D429" s="17"/>
      <c r="E429" s="41"/>
      <c r="F429" s="41"/>
      <c r="G429" s="17"/>
      <c r="H429" s="41"/>
      <c r="I429" s="41"/>
      <c r="K429" s="34"/>
    </row>
    <row r="430" spans="2:11" x14ac:dyDescent="0.3">
      <c r="B430" s="40"/>
      <c r="C430" s="41"/>
      <c r="D430" s="17"/>
      <c r="E430" s="41"/>
      <c r="F430" s="41"/>
      <c r="G430" s="17"/>
      <c r="H430" s="41"/>
      <c r="I430" s="41"/>
      <c r="K430" s="34"/>
    </row>
    <row r="431" spans="2:11" x14ac:dyDescent="0.3">
      <c r="B431" s="40"/>
      <c r="C431" s="41"/>
      <c r="D431" s="17"/>
      <c r="E431" s="41"/>
      <c r="F431" s="41"/>
      <c r="G431" s="17"/>
      <c r="H431" s="41"/>
      <c r="I431" s="41"/>
      <c r="K431" s="34"/>
    </row>
    <row r="432" spans="2:11" x14ac:dyDescent="0.3">
      <c r="B432" s="40"/>
      <c r="C432" s="41"/>
      <c r="D432" s="17"/>
      <c r="E432" s="41"/>
      <c r="F432" s="41"/>
      <c r="G432" s="17"/>
      <c r="H432" s="41"/>
      <c r="I432" s="41"/>
      <c r="K432" s="34"/>
    </row>
    <row r="433" spans="2:11" x14ac:dyDescent="0.3">
      <c r="B433" s="40"/>
      <c r="C433" s="41"/>
      <c r="D433" s="17"/>
      <c r="E433" s="41"/>
      <c r="F433" s="41"/>
      <c r="G433" s="17"/>
      <c r="H433" s="41"/>
      <c r="I433" s="41"/>
      <c r="K433" s="34"/>
    </row>
    <row r="434" spans="2:11" x14ac:dyDescent="0.3">
      <c r="B434" s="40"/>
      <c r="C434" s="41"/>
      <c r="D434" s="17"/>
      <c r="E434" s="41"/>
      <c r="F434" s="41"/>
      <c r="G434" s="17"/>
      <c r="H434" s="41"/>
      <c r="I434" s="41"/>
      <c r="K434" s="34"/>
    </row>
    <row r="435" spans="2:11" x14ac:dyDescent="0.3">
      <c r="B435" s="40"/>
      <c r="C435" s="41"/>
      <c r="D435" s="17"/>
      <c r="E435" s="41"/>
      <c r="F435" s="41"/>
      <c r="G435" s="17"/>
      <c r="H435" s="41"/>
      <c r="I435" s="41"/>
      <c r="K435" s="34"/>
    </row>
    <row r="436" spans="2:11" x14ac:dyDescent="0.3">
      <c r="B436" s="40"/>
      <c r="C436" s="41"/>
      <c r="D436" s="17"/>
      <c r="E436" s="41"/>
      <c r="F436" s="41"/>
      <c r="G436" s="17"/>
      <c r="H436" s="41"/>
      <c r="I436" s="41"/>
      <c r="K436" s="34"/>
    </row>
    <row r="437" spans="2:11" x14ac:dyDescent="0.3">
      <c r="B437" s="40"/>
      <c r="C437" s="41"/>
      <c r="D437" s="17"/>
      <c r="E437" s="41"/>
      <c r="F437" s="41"/>
      <c r="G437" s="17"/>
      <c r="H437" s="41"/>
      <c r="I437" s="41"/>
      <c r="K437" s="34"/>
    </row>
    <row r="438" spans="2:11" x14ac:dyDescent="0.3">
      <c r="B438" s="40"/>
      <c r="C438" s="41"/>
      <c r="D438" s="17"/>
      <c r="E438" s="41"/>
      <c r="F438" s="41"/>
      <c r="G438" s="17"/>
      <c r="H438" s="41"/>
      <c r="I438" s="41"/>
      <c r="K438" s="34"/>
    </row>
    <row r="439" spans="2:11" x14ac:dyDescent="0.3">
      <c r="B439" s="40"/>
      <c r="C439" s="41"/>
      <c r="D439" s="17"/>
      <c r="E439" s="41"/>
      <c r="F439" s="41"/>
      <c r="G439" s="17"/>
      <c r="H439" s="41"/>
      <c r="I439" s="41"/>
      <c r="K439" s="34"/>
    </row>
    <row r="440" spans="2:11" x14ac:dyDescent="0.3">
      <c r="B440" s="40"/>
      <c r="C440" s="41"/>
      <c r="D440" s="17"/>
      <c r="E440" s="41"/>
      <c r="F440" s="41"/>
      <c r="G440" s="17"/>
      <c r="H440" s="41"/>
      <c r="I440" s="41"/>
      <c r="K440" s="34"/>
    </row>
    <row r="441" spans="2:11" x14ac:dyDescent="0.3">
      <c r="B441" s="40"/>
      <c r="C441" s="41"/>
      <c r="D441" s="17"/>
      <c r="E441" s="41"/>
      <c r="F441" s="41"/>
      <c r="G441" s="17"/>
      <c r="H441" s="41"/>
      <c r="I441" s="41"/>
      <c r="K441" s="34"/>
    </row>
    <row r="442" spans="2:11" x14ac:dyDescent="0.3">
      <c r="B442" s="40"/>
      <c r="C442" s="41"/>
      <c r="D442" s="17"/>
      <c r="E442" s="41"/>
      <c r="F442" s="41"/>
      <c r="G442" s="17"/>
      <c r="H442" s="41"/>
      <c r="I442" s="41"/>
      <c r="K442" s="34"/>
    </row>
    <row r="443" spans="2:11" x14ac:dyDescent="0.3">
      <c r="B443" s="40"/>
      <c r="C443" s="41"/>
      <c r="D443" s="17"/>
      <c r="E443" s="41"/>
      <c r="F443" s="41"/>
      <c r="G443" s="17"/>
      <c r="H443" s="41"/>
      <c r="I443" s="41"/>
      <c r="K443" s="34"/>
    </row>
    <row r="444" spans="2:11" x14ac:dyDescent="0.3">
      <c r="B444" s="40"/>
      <c r="C444" s="41"/>
      <c r="D444" s="17"/>
      <c r="E444" s="41"/>
      <c r="F444" s="41"/>
      <c r="G444" s="17"/>
      <c r="H444" s="41"/>
      <c r="I444" s="41"/>
      <c r="K444" s="34"/>
    </row>
    <row r="445" spans="2:11" x14ac:dyDescent="0.3">
      <c r="B445" s="40"/>
      <c r="C445" s="41"/>
      <c r="D445" s="17"/>
      <c r="E445" s="41"/>
      <c r="F445" s="41"/>
      <c r="G445" s="17"/>
      <c r="H445" s="41"/>
      <c r="I445" s="41"/>
      <c r="K445" s="34"/>
    </row>
    <row r="446" spans="2:11" x14ac:dyDescent="0.3">
      <c r="B446" s="40"/>
      <c r="C446" s="41"/>
      <c r="D446" s="17"/>
      <c r="E446" s="41"/>
      <c r="F446" s="41"/>
      <c r="G446" s="17"/>
      <c r="H446" s="41"/>
      <c r="I446" s="41"/>
      <c r="K446" s="34"/>
    </row>
    <row r="447" spans="2:11" x14ac:dyDescent="0.3">
      <c r="B447" s="40"/>
      <c r="C447" s="41"/>
      <c r="D447" s="17"/>
      <c r="E447" s="41"/>
      <c r="F447" s="41"/>
      <c r="G447" s="17"/>
      <c r="H447" s="41"/>
      <c r="I447" s="41"/>
      <c r="K447" s="34"/>
    </row>
    <row r="448" spans="2:11" x14ac:dyDescent="0.3">
      <c r="B448" s="40"/>
      <c r="C448" s="41"/>
      <c r="D448" s="17"/>
      <c r="E448" s="41"/>
      <c r="F448" s="41"/>
      <c r="G448" s="17"/>
      <c r="H448" s="41"/>
      <c r="I448" s="41"/>
      <c r="K448" s="34"/>
    </row>
    <row r="449" spans="2:11" x14ac:dyDescent="0.3">
      <c r="B449" s="40"/>
      <c r="C449" s="41"/>
      <c r="D449" s="17"/>
      <c r="E449" s="41"/>
      <c r="F449" s="41"/>
      <c r="G449" s="17"/>
      <c r="H449" s="41"/>
      <c r="I449" s="41"/>
      <c r="K449" s="34"/>
    </row>
    <row r="450" spans="2:11" x14ac:dyDescent="0.3">
      <c r="B450" s="40"/>
      <c r="C450" s="41"/>
      <c r="D450" s="17"/>
      <c r="E450" s="41"/>
      <c r="F450" s="41"/>
      <c r="G450" s="17"/>
      <c r="H450" s="41"/>
      <c r="I450" s="41"/>
      <c r="K450" s="34"/>
    </row>
    <row r="451" spans="2:11" x14ac:dyDescent="0.3">
      <c r="B451" s="40"/>
      <c r="C451" s="41"/>
      <c r="D451" s="17"/>
      <c r="E451" s="41"/>
      <c r="F451" s="41"/>
      <c r="G451" s="17"/>
      <c r="H451" s="41"/>
      <c r="I451" s="41"/>
      <c r="K451" s="34"/>
    </row>
    <row r="452" spans="2:11" x14ac:dyDescent="0.3">
      <c r="B452" s="40"/>
      <c r="C452" s="41"/>
      <c r="D452" s="17"/>
      <c r="E452" s="41"/>
      <c r="F452" s="41"/>
      <c r="G452" s="17"/>
      <c r="H452" s="41"/>
      <c r="I452" s="41"/>
      <c r="K452" s="34"/>
    </row>
    <row r="453" spans="2:11" x14ac:dyDescent="0.3">
      <c r="B453" s="40"/>
      <c r="C453" s="41"/>
      <c r="D453" s="17"/>
      <c r="E453" s="41"/>
      <c r="F453" s="41"/>
      <c r="G453" s="17"/>
      <c r="H453" s="41"/>
      <c r="I453" s="41"/>
      <c r="K453" s="34"/>
    </row>
    <row r="454" spans="2:11" x14ac:dyDescent="0.3">
      <c r="B454" s="40"/>
      <c r="C454" s="41"/>
      <c r="D454" s="17"/>
      <c r="E454" s="41"/>
      <c r="F454" s="41"/>
      <c r="G454" s="17"/>
      <c r="H454" s="41"/>
      <c r="I454" s="41"/>
      <c r="K454" s="34"/>
    </row>
    <row r="455" spans="2:11" x14ac:dyDescent="0.3">
      <c r="B455" s="40"/>
      <c r="C455" s="41"/>
      <c r="D455" s="17"/>
      <c r="E455" s="41"/>
      <c r="F455" s="41"/>
      <c r="G455" s="17"/>
      <c r="H455" s="41"/>
      <c r="I455" s="41"/>
      <c r="K455" s="34"/>
    </row>
    <row r="456" spans="2:11" x14ac:dyDescent="0.3">
      <c r="B456" s="40"/>
      <c r="C456" s="41"/>
      <c r="D456" s="17"/>
      <c r="E456" s="41"/>
      <c r="F456" s="41"/>
      <c r="G456" s="17"/>
      <c r="H456" s="41"/>
      <c r="I456" s="41"/>
      <c r="K456" s="34"/>
    </row>
    <row r="457" spans="2:11" x14ac:dyDescent="0.3">
      <c r="B457" s="40"/>
      <c r="C457" s="41"/>
      <c r="D457" s="17"/>
      <c r="E457" s="41"/>
      <c r="F457" s="41"/>
      <c r="G457" s="17"/>
      <c r="H457" s="41"/>
      <c r="I457" s="41"/>
      <c r="K457" s="34"/>
    </row>
    <row r="458" spans="2:11" x14ac:dyDescent="0.3">
      <c r="B458" s="40"/>
      <c r="C458" s="41"/>
      <c r="D458" s="17"/>
      <c r="E458" s="41"/>
      <c r="F458" s="41"/>
      <c r="G458" s="17"/>
      <c r="H458" s="41"/>
      <c r="I458" s="41"/>
      <c r="K458" s="34"/>
    </row>
    <row r="459" spans="2:11" x14ac:dyDescent="0.3">
      <c r="B459" s="40"/>
      <c r="C459" s="41"/>
      <c r="D459" s="17"/>
      <c r="E459" s="41"/>
      <c r="F459" s="41"/>
      <c r="G459" s="17"/>
      <c r="H459" s="41"/>
      <c r="I459" s="41"/>
      <c r="K459" s="34"/>
    </row>
    <row r="460" spans="2:11" x14ac:dyDescent="0.3">
      <c r="B460" s="40"/>
      <c r="C460" s="41"/>
      <c r="D460" s="17"/>
      <c r="E460" s="41"/>
      <c r="F460" s="41"/>
      <c r="G460" s="17"/>
      <c r="H460" s="41"/>
      <c r="I460" s="41"/>
      <c r="K460" s="34"/>
    </row>
    <row r="461" spans="2:11" x14ac:dyDescent="0.3">
      <c r="B461" s="40"/>
      <c r="C461" s="41"/>
      <c r="D461" s="17"/>
      <c r="E461" s="41"/>
      <c r="F461" s="41"/>
      <c r="G461" s="17"/>
      <c r="H461" s="41"/>
      <c r="I461" s="41"/>
      <c r="K461" s="34"/>
    </row>
    <row r="462" spans="2:11" x14ac:dyDescent="0.3">
      <c r="B462" s="40"/>
      <c r="C462" s="41"/>
      <c r="D462" s="17"/>
      <c r="E462" s="41"/>
      <c r="F462" s="41"/>
      <c r="G462" s="17"/>
      <c r="H462" s="41"/>
      <c r="I462" s="41"/>
      <c r="K462" s="34"/>
    </row>
    <row r="463" spans="2:11" x14ac:dyDescent="0.3">
      <c r="B463" s="40"/>
      <c r="C463" s="41"/>
      <c r="D463" s="17"/>
      <c r="E463" s="41"/>
      <c r="F463" s="41"/>
      <c r="G463" s="17"/>
      <c r="H463" s="41"/>
      <c r="I463" s="41"/>
      <c r="K463" s="34"/>
    </row>
    <row r="464" spans="2:11" x14ac:dyDescent="0.3">
      <c r="B464" s="40"/>
      <c r="C464" s="41"/>
      <c r="D464" s="17"/>
      <c r="E464" s="41"/>
      <c r="F464" s="41"/>
      <c r="G464" s="17"/>
      <c r="H464" s="41"/>
      <c r="I464" s="41"/>
      <c r="K464" s="34"/>
    </row>
    <row r="465" spans="2:11" x14ac:dyDescent="0.3">
      <c r="B465" s="40"/>
      <c r="C465" s="41"/>
      <c r="D465" s="17"/>
      <c r="E465" s="41"/>
      <c r="F465" s="41"/>
      <c r="G465" s="17"/>
      <c r="H465" s="41"/>
      <c r="I465" s="41"/>
      <c r="K465" s="34"/>
    </row>
    <row r="466" spans="2:11" x14ac:dyDescent="0.3">
      <c r="B466" s="40"/>
      <c r="C466" s="41"/>
      <c r="D466" s="17"/>
      <c r="E466" s="41"/>
      <c r="F466" s="41"/>
      <c r="G466" s="17"/>
      <c r="H466" s="41"/>
      <c r="I466" s="41"/>
      <c r="K466" s="34"/>
    </row>
    <row r="467" spans="2:11" x14ac:dyDescent="0.3">
      <c r="B467" s="40"/>
      <c r="C467" s="41"/>
      <c r="D467" s="17"/>
      <c r="E467" s="41"/>
      <c r="F467" s="41"/>
      <c r="G467" s="17"/>
      <c r="H467" s="41"/>
      <c r="I467" s="41"/>
      <c r="K467" s="34"/>
    </row>
    <row r="468" spans="2:11" x14ac:dyDescent="0.3">
      <c r="B468" s="40"/>
      <c r="C468" s="41"/>
      <c r="D468" s="17"/>
      <c r="E468" s="41"/>
      <c r="F468" s="41"/>
      <c r="G468" s="17"/>
      <c r="H468" s="41"/>
      <c r="I468" s="41"/>
      <c r="K468" s="34"/>
    </row>
    <row r="469" spans="2:11" x14ac:dyDescent="0.3">
      <c r="B469" s="40"/>
      <c r="C469" s="41"/>
      <c r="D469" s="17"/>
      <c r="E469" s="41"/>
      <c r="F469" s="41"/>
      <c r="G469" s="17"/>
      <c r="H469" s="41"/>
      <c r="I469" s="41"/>
      <c r="K469" s="34"/>
    </row>
    <row r="470" spans="2:11" x14ac:dyDescent="0.3">
      <c r="B470" s="40"/>
      <c r="C470" s="41"/>
      <c r="D470" s="17"/>
      <c r="E470" s="41"/>
      <c r="F470" s="41"/>
      <c r="G470" s="17"/>
      <c r="H470" s="41"/>
      <c r="I470" s="41"/>
      <c r="K470" s="34"/>
    </row>
    <row r="471" spans="2:11" x14ac:dyDescent="0.3">
      <c r="B471" s="40"/>
      <c r="C471" s="41"/>
      <c r="D471" s="17"/>
      <c r="E471" s="41"/>
      <c r="F471" s="41"/>
      <c r="G471" s="17"/>
      <c r="H471" s="41"/>
      <c r="I471" s="41"/>
      <c r="K471" s="34"/>
    </row>
    <row r="472" spans="2:11" x14ac:dyDescent="0.3">
      <c r="B472" s="40"/>
      <c r="C472" s="41"/>
      <c r="D472" s="17"/>
      <c r="E472" s="41"/>
      <c r="F472" s="41"/>
      <c r="G472" s="17"/>
      <c r="H472" s="41"/>
      <c r="I472" s="41"/>
      <c r="K472" s="34"/>
    </row>
    <row r="473" spans="2:11" x14ac:dyDescent="0.3">
      <c r="B473" s="40"/>
      <c r="C473" s="41"/>
      <c r="D473" s="17"/>
      <c r="E473" s="41"/>
      <c r="F473" s="41"/>
      <c r="G473" s="17"/>
      <c r="H473" s="41"/>
      <c r="I473" s="41"/>
      <c r="K473" s="34"/>
    </row>
    <row r="474" spans="2:11" x14ac:dyDescent="0.3">
      <c r="B474" s="40"/>
      <c r="C474" s="41"/>
      <c r="D474" s="17"/>
      <c r="E474" s="41"/>
      <c r="F474" s="41"/>
      <c r="G474" s="17"/>
      <c r="H474" s="41"/>
      <c r="I474" s="41"/>
      <c r="K474" s="34"/>
    </row>
    <row r="475" spans="2:11" x14ac:dyDescent="0.3">
      <c r="B475" s="40"/>
      <c r="C475" s="41"/>
      <c r="D475" s="17"/>
      <c r="E475" s="41"/>
      <c r="F475" s="41"/>
      <c r="G475" s="17"/>
      <c r="H475" s="41"/>
      <c r="I475" s="41"/>
      <c r="K475" s="34"/>
    </row>
    <row r="476" spans="2:11" x14ac:dyDescent="0.3">
      <c r="B476" s="40"/>
      <c r="C476" s="41"/>
      <c r="D476" s="17"/>
      <c r="E476" s="41"/>
      <c r="F476" s="41"/>
      <c r="G476" s="17"/>
      <c r="H476" s="41"/>
      <c r="I476" s="41"/>
      <c r="K476" s="34"/>
    </row>
    <row r="477" spans="2:11" x14ac:dyDescent="0.3">
      <c r="B477" s="40"/>
      <c r="C477" s="41"/>
      <c r="D477" s="17"/>
      <c r="E477" s="41"/>
      <c r="F477" s="41"/>
      <c r="G477" s="17"/>
      <c r="H477" s="41"/>
      <c r="I477" s="41"/>
      <c r="K477" s="34"/>
    </row>
    <row r="478" spans="2:11" x14ac:dyDescent="0.3">
      <c r="B478" s="40"/>
      <c r="C478" s="41"/>
      <c r="D478" s="17"/>
      <c r="E478" s="41"/>
      <c r="F478" s="41"/>
      <c r="G478" s="17"/>
      <c r="H478" s="41"/>
      <c r="I478" s="41"/>
      <c r="K478" s="34"/>
    </row>
    <row r="479" spans="2:11" x14ac:dyDescent="0.3">
      <c r="B479" s="40"/>
      <c r="C479" s="41"/>
      <c r="D479" s="17"/>
      <c r="E479" s="41"/>
      <c r="F479" s="41"/>
      <c r="G479" s="17"/>
      <c r="H479" s="41"/>
      <c r="I479" s="41"/>
      <c r="K479" s="34"/>
    </row>
    <row r="480" spans="2:11" x14ac:dyDescent="0.3">
      <c r="B480" s="40"/>
      <c r="C480" s="41"/>
      <c r="D480" s="17"/>
      <c r="E480" s="41"/>
      <c r="F480" s="41"/>
      <c r="G480" s="17"/>
      <c r="H480" s="41"/>
      <c r="I480" s="41"/>
      <c r="K480" s="34"/>
    </row>
    <row r="481" spans="2:11" x14ac:dyDescent="0.3">
      <c r="B481" s="40"/>
      <c r="C481" s="41"/>
      <c r="D481" s="17"/>
      <c r="E481" s="41"/>
      <c r="F481" s="41"/>
      <c r="G481" s="17"/>
      <c r="H481" s="41"/>
      <c r="I481" s="41"/>
      <c r="K481" s="34"/>
    </row>
    <row r="482" spans="2:11" x14ac:dyDescent="0.3">
      <c r="B482" s="40"/>
      <c r="C482" s="41"/>
      <c r="D482" s="17"/>
      <c r="E482" s="41"/>
      <c r="F482" s="41"/>
      <c r="G482" s="17"/>
      <c r="H482" s="41"/>
      <c r="I482" s="41"/>
      <c r="K482" s="34"/>
    </row>
    <row r="483" spans="2:11" x14ac:dyDescent="0.3">
      <c r="B483" s="40"/>
      <c r="C483" s="41"/>
      <c r="D483" s="17"/>
      <c r="E483" s="41"/>
      <c r="F483" s="41"/>
      <c r="G483" s="17"/>
      <c r="H483" s="41"/>
      <c r="I483" s="41"/>
      <c r="K483" s="34"/>
    </row>
    <row r="484" spans="2:11" x14ac:dyDescent="0.3">
      <c r="B484" s="40"/>
      <c r="C484" s="41"/>
      <c r="D484" s="17"/>
      <c r="E484" s="41"/>
      <c r="F484" s="41"/>
      <c r="G484" s="17"/>
      <c r="H484" s="41"/>
      <c r="I484" s="41"/>
      <c r="K484" s="34"/>
    </row>
    <row r="485" spans="2:11" x14ac:dyDescent="0.3">
      <c r="B485" s="40"/>
      <c r="C485" s="41"/>
      <c r="D485" s="17"/>
      <c r="E485" s="41"/>
      <c r="F485" s="41"/>
      <c r="G485" s="17"/>
      <c r="H485" s="41"/>
      <c r="I485" s="41"/>
      <c r="K485" s="34"/>
    </row>
    <row r="486" spans="2:11" x14ac:dyDescent="0.3">
      <c r="B486" s="40"/>
      <c r="C486" s="41"/>
      <c r="D486" s="17"/>
      <c r="E486" s="41"/>
      <c r="F486" s="41"/>
      <c r="G486" s="17"/>
      <c r="H486" s="41"/>
      <c r="I486" s="41"/>
      <c r="K486" s="34"/>
    </row>
    <row r="487" spans="2:11" x14ac:dyDescent="0.3">
      <c r="B487" s="40"/>
      <c r="C487" s="41"/>
      <c r="D487" s="17"/>
      <c r="E487" s="41"/>
      <c r="F487" s="41"/>
      <c r="G487" s="17"/>
      <c r="H487" s="41"/>
      <c r="I487" s="41"/>
      <c r="K487" s="34"/>
    </row>
    <row r="488" spans="2:11" x14ac:dyDescent="0.3">
      <c r="B488" s="40"/>
      <c r="C488" s="41"/>
      <c r="D488" s="17"/>
      <c r="E488" s="41"/>
      <c r="F488" s="41"/>
      <c r="G488" s="17"/>
      <c r="H488" s="41"/>
      <c r="I488" s="41"/>
      <c r="K488" s="34"/>
    </row>
    <row r="489" spans="2:11" x14ac:dyDescent="0.3">
      <c r="B489" s="40"/>
      <c r="C489" s="41"/>
      <c r="D489" s="17"/>
      <c r="E489" s="41"/>
      <c r="F489" s="41"/>
      <c r="G489" s="17"/>
      <c r="H489" s="41"/>
      <c r="I489" s="41"/>
      <c r="K489" s="34"/>
    </row>
    <row r="490" spans="2:11" x14ac:dyDescent="0.3">
      <c r="B490" s="40"/>
      <c r="C490" s="41"/>
      <c r="D490" s="17"/>
      <c r="E490" s="41"/>
      <c r="F490" s="41"/>
      <c r="G490" s="17"/>
      <c r="H490" s="41"/>
      <c r="I490" s="41"/>
      <c r="K490" s="34"/>
    </row>
    <row r="491" spans="2:11" x14ac:dyDescent="0.3">
      <c r="B491" s="40"/>
      <c r="C491" s="41"/>
      <c r="D491" s="17"/>
      <c r="E491" s="41"/>
      <c r="F491" s="41"/>
      <c r="G491" s="17"/>
      <c r="H491" s="41"/>
      <c r="I491" s="41"/>
      <c r="K491" s="34"/>
    </row>
    <row r="492" spans="2:11" x14ac:dyDescent="0.3">
      <c r="B492" s="40"/>
      <c r="C492" s="41"/>
      <c r="D492" s="17"/>
      <c r="E492" s="41"/>
      <c r="F492" s="41"/>
      <c r="G492" s="17"/>
      <c r="H492" s="41"/>
      <c r="I492" s="41"/>
      <c r="K492" s="34"/>
    </row>
    <row r="493" spans="2:11" x14ac:dyDescent="0.3">
      <c r="B493" s="40"/>
      <c r="C493" s="41"/>
      <c r="D493" s="17"/>
      <c r="E493" s="41"/>
      <c r="F493" s="41"/>
      <c r="G493" s="17"/>
      <c r="H493" s="41"/>
      <c r="I493" s="41"/>
      <c r="K493" s="34"/>
    </row>
    <row r="494" spans="2:11" x14ac:dyDescent="0.3">
      <c r="B494" s="40"/>
      <c r="C494" s="41"/>
      <c r="D494" s="17"/>
      <c r="E494" s="41"/>
      <c r="F494" s="41"/>
      <c r="G494" s="17"/>
      <c r="H494" s="41"/>
      <c r="I494" s="41"/>
      <c r="K494" s="34"/>
    </row>
    <row r="495" spans="2:11" x14ac:dyDescent="0.3">
      <c r="B495" s="40"/>
      <c r="C495" s="41"/>
      <c r="D495" s="17"/>
      <c r="E495" s="41"/>
      <c r="F495" s="41"/>
      <c r="G495" s="17"/>
      <c r="H495" s="41"/>
      <c r="I495" s="41"/>
      <c r="K495" s="34"/>
    </row>
    <row r="496" spans="2:11" x14ac:dyDescent="0.3">
      <c r="B496" s="40"/>
      <c r="C496" s="41"/>
      <c r="D496" s="17"/>
      <c r="E496" s="41"/>
      <c r="F496" s="41"/>
      <c r="G496" s="17"/>
      <c r="H496" s="41"/>
      <c r="I496" s="41"/>
      <c r="K496" s="34"/>
    </row>
    <row r="497" spans="2:11" x14ac:dyDescent="0.3">
      <c r="B497" s="40"/>
      <c r="C497" s="41"/>
      <c r="D497" s="17"/>
      <c r="E497" s="41"/>
      <c r="F497" s="41"/>
      <c r="G497" s="17"/>
      <c r="H497" s="41"/>
      <c r="I497" s="41"/>
      <c r="K497" s="34"/>
    </row>
    <row r="498" spans="2:11" x14ac:dyDescent="0.3">
      <c r="B498" s="40"/>
      <c r="C498" s="41"/>
      <c r="D498" s="17"/>
      <c r="E498" s="41"/>
      <c r="F498" s="41"/>
      <c r="G498" s="17"/>
      <c r="H498" s="41"/>
      <c r="I498" s="41"/>
      <c r="K498" s="34"/>
    </row>
    <row r="499" spans="2:11" x14ac:dyDescent="0.3">
      <c r="B499" s="40"/>
      <c r="C499" s="41"/>
      <c r="D499" s="17"/>
      <c r="E499" s="41"/>
      <c r="F499" s="41"/>
      <c r="G499" s="17"/>
      <c r="H499" s="41"/>
      <c r="I499" s="41"/>
      <c r="K499" s="34"/>
    </row>
    <row r="500" spans="2:11" x14ac:dyDescent="0.3">
      <c r="B500" s="40"/>
      <c r="C500" s="41"/>
      <c r="D500" s="17"/>
      <c r="E500" s="41"/>
      <c r="F500" s="41"/>
      <c r="G500" s="17"/>
      <c r="H500" s="41"/>
      <c r="I500" s="41"/>
      <c r="K500" s="34"/>
    </row>
    <row r="501" spans="2:11" x14ac:dyDescent="0.3">
      <c r="B501" s="40"/>
      <c r="C501" s="41"/>
      <c r="D501" s="17"/>
      <c r="E501" s="41"/>
      <c r="F501" s="41"/>
      <c r="G501" s="17"/>
      <c r="H501" s="41"/>
      <c r="I501" s="41"/>
      <c r="K501" s="34"/>
    </row>
    <row r="502" spans="2:11" x14ac:dyDescent="0.3">
      <c r="B502" s="40"/>
      <c r="C502" s="41"/>
      <c r="D502" s="17"/>
      <c r="E502" s="41"/>
      <c r="F502" s="41"/>
      <c r="G502" s="17"/>
      <c r="H502" s="41"/>
      <c r="I502" s="41"/>
      <c r="K502" s="34"/>
    </row>
    <row r="503" spans="2:11" x14ac:dyDescent="0.3">
      <c r="F503" s="41"/>
      <c r="H503" s="34"/>
    </row>
  </sheetData>
  <mergeCells count="3">
    <mergeCell ref="B3:D3"/>
    <mergeCell ref="F3:G3"/>
    <mergeCell ref="I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9F7A-CDC3-4C71-A6C7-9A5E81F67B41}">
  <dimension ref="B1:H109"/>
  <sheetViews>
    <sheetView topLeftCell="C1" workbookViewId="0">
      <selection activeCell="G15" sqref="G15"/>
    </sheetView>
  </sheetViews>
  <sheetFormatPr defaultRowHeight="14.4" x14ac:dyDescent="0.3"/>
  <cols>
    <col min="1" max="1" width="1.88671875" customWidth="1"/>
  </cols>
  <sheetData>
    <row r="1" spans="2:8" ht="33" customHeight="1" x14ac:dyDescent="0.35">
      <c r="B1" s="120" t="s">
        <v>214</v>
      </c>
      <c r="C1" s="120"/>
      <c r="D1" s="120"/>
      <c r="E1" s="120"/>
      <c r="F1" s="120"/>
      <c r="G1" s="120"/>
      <c r="H1" s="120"/>
    </row>
    <row r="4" spans="2:8" x14ac:dyDescent="0.3">
      <c r="B4" s="50" t="s">
        <v>162</v>
      </c>
      <c r="C4" s="51" t="s">
        <v>216</v>
      </c>
      <c r="H4" s="34"/>
    </row>
    <row r="5" spans="2:8" x14ac:dyDescent="0.3">
      <c r="B5" s="52">
        <v>2000</v>
      </c>
      <c r="C5" s="53">
        <v>-0.14649999999999999</v>
      </c>
      <c r="E5" t="s">
        <v>215</v>
      </c>
      <c r="G5" s="34">
        <f>AVERAGE(C5:C27)</f>
        <v>0.15411739130434784</v>
      </c>
      <c r="H5" s="34"/>
    </row>
    <row r="6" spans="2:8" ht="16.2" x14ac:dyDescent="0.3">
      <c r="B6" s="52">
        <v>2001</v>
      </c>
      <c r="C6" s="53">
        <v>-0.1618</v>
      </c>
      <c r="E6" t="s">
        <v>217</v>
      </c>
      <c r="G6" s="54" t="s">
        <v>218</v>
      </c>
      <c r="H6" s="34"/>
    </row>
    <row r="7" spans="2:8" x14ac:dyDescent="0.3">
      <c r="B7" s="52">
        <v>2002</v>
      </c>
      <c r="C7" s="53">
        <v>3.2500000000000001E-2</v>
      </c>
      <c r="E7" s="55" t="s">
        <v>219</v>
      </c>
      <c r="F7" s="55"/>
      <c r="G7" s="56">
        <f>SUM(G5:G6)</f>
        <v>0.15411739130434784</v>
      </c>
      <c r="H7" s="34"/>
    </row>
    <row r="8" spans="2:8" x14ac:dyDescent="0.3">
      <c r="B8" s="52">
        <v>2003</v>
      </c>
      <c r="C8" s="53">
        <v>0.71900000000000008</v>
      </c>
      <c r="H8" s="34"/>
    </row>
    <row r="9" spans="2:8" x14ac:dyDescent="0.3">
      <c r="B9" s="52">
        <v>2004</v>
      </c>
      <c r="C9" s="53">
        <v>0.10679999999999999</v>
      </c>
      <c r="H9" s="34"/>
    </row>
    <row r="10" spans="2:8" x14ac:dyDescent="0.3">
      <c r="B10" s="52">
        <v>2005</v>
      </c>
      <c r="C10" s="53">
        <v>0.36340000000000006</v>
      </c>
      <c r="H10" s="34"/>
    </row>
    <row r="11" spans="2:8" x14ac:dyDescent="0.3">
      <c r="B11" s="52">
        <v>2006</v>
      </c>
      <c r="C11" s="53">
        <v>0.39829999999999999</v>
      </c>
      <c r="H11" s="34"/>
    </row>
    <row r="12" spans="2:8" x14ac:dyDescent="0.3">
      <c r="B12" s="52">
        <v>2007</v>
      </c>
      <c r="C12" s="53">
        <v>0.54770000000000008</v>
      </c>
      <c r="H12" s="34"/>
    </row>
    <row r="13" spans="2:8" x14ac:dyDescent="0.3">
      <c r="B13" s="52">
        <v>2008</v>
      </c>
      <c r="C13" s="53">
        <v>-0.51790000000000003</v>
      </c>
      <c r="H13" s="34"/>
    </row>
    <row r="14" spans="2:8" x14ac:dyDescent="0.3">
      <c r="B14" s="52">
        <v>2009</v>
      </c>
      <c r="C14" s="53">
        <v>0.75760000000000005</v>
      </c>
      <c r="H14" s="34"/>
    </row>
    <row r="15" spans="2:8" x14ac:dyDescent="0.3">
      <c r="B15" s="52">
        <v>2010</v>
      </c>
      <c r="C15" s="53">
        <v>0.17949999999999999</v>
      </c>
      <c r="H15" s="34"/>
    </row>
    <row r="16" spans="2:8" x14ac:dyDescent="0.3">
      <c r="B16" s="52">
        <v>2011</v>
      </c>
      <c r="C16" s="53">
        <v>-0.2462</v>
      </c>
      <c r="H16" s="34"/>
    </row>
    <row r="17" spans="2:8" x14ac:dyDescent="0.3">
      <c r="B17" s="52">
        <v>2012</v>
      </c>
      <c r="C17" s="53">
        <v>0.27699999999999997</v>
      </c>
      <c r="H17" s="34"/>
    </row>
    <row r="18" spans="2:8" x14ac:dyDescent="0.3">
      <c r="B18" s="52">
        <v>2013</v>
      </c>
      <c r="C18" s="53">
        <v>6.7599999999999993E-2</v>
      </c>
      <c r="H18" s="34"/>
    </row>
    <row r="19" spans="2:8" x14ac:dyDescent="0.3">
      <c r="B19" s="52">
        <v>2014</v>
      </c>
      <c r="C19" s="53">
        <v>0.31390000000000001</v>
      </c>
      <c r="H19" s="34"/>
    </row>
    <row r="20" spans="2:8" x14ac:dyDescent="0.3">
      <c r="B20" s="52">
        <v>2015</v>
      </c>
      <c r="C20" s="53">
        <v>-4.0599999999999997E-2</v>
      </c>
      <c r="H20" s="34"/>
    </row>
    <row r="21" spans="2:8" x14ac:dyDescent="0.3">
      <c r="B21" s="52">
        <v>2016</v>
      </c>
      <c r="C21" s="53">
        <v>3.0099999999999998E-2</v>
      </c>
      <c r="H21" s="34"/>
    </row>
    <row r="22" spans="2:8" x14ac:dyDescent="0.3">
      <c r="B22" s="52">
        <v>2017</v>
      </c>
      <c r="C22" s="53">
        <v>0.28649999999999998</v>
      </c>
      <c r="H22" s="34"/>
    </row>
    <row r="23" spans="2:8" x14ac:dyDescent="0.3">
      <c r="B23" s="52">
        <v>2018</v>
      </c>
      <c r="C23" s="53">
        <v>3.15E-2</v>
      </c>
      <c r="H23" s="34"/>
    </row>
    <row r="24" spans="2:8" x14ac:dyDescent="0.3">
      <c r="B24" s="52">
        <v>2019</v>
      </c>
      <c r="C24" s="53">
        <v>0.1202</v>
      </c>
      <c r="H24" s="34"/>
    </row>
    <row r="25" spans="2:8" x14ac:dyDescent="0.3">
      <c r="B25" s="52">
        <v>2020</v>
      </c>
      <c r="C25" s="53">
        <v>0.14169999999999999</v>
      </c>
      <c r="H25" s="34"/>
    </row>
    <row r="26" spans="2:8" x14ac:dyDescent="0.3">
      <c r="B26" s="52">
        <v>2021</v>
      </c>
      <c r="C26" s="53">
        <v>0.2412</v>
      </c>
      <c r="H26" s="34"/>
    </row>
    <row r="27" spans="2:8" x14ac:dyDescent="0.3">
      <c r="B27" s="52">
        <v>2022</v>
      </c>
      <c r="C27" s="53">
        <v>4.3200000000000002E-2</v>
      </c>
      <c r="H27" s="34"/>
    </row>
    <row r="28" spans="2:8" x14ac:dyDescent="0.3">
      <c r="B28" s="40"/>
      <c r="C28" s="41"/>
      <c r="D28" s="17"/>
      <c r="E28" s="41"/>
      <c r="F28" s="41"/>
      <c r="H28" s="34"/>
    </row>
    <row r="29" spans="2:8" x14ac:dyDescent="0.3">
      <c r="B29" s="40"/>
      <c r="C29" s="41"/>
      <c r="D29" s="17"/>
      <c r="E29" s="41"/>
      <c r="F29" s="41"/>
      <c r="H29" s="34"/>
    </row>
    <row r="30" spans="2:8" x14ac:dyDescent="0.3">
      <c r="B30" s="40"/>
      <c r="C30" s="41"/>
      <c r="D30" s="17"/>
      <c r="E30" s="41"/>
      <c r="F30" s="41"/>
      <c r="H30" s="34"/>
    </row>
    <row r="31" spans="2:8" x14ac:dyDescent="0.3">
      <c r="B31" s="40"/>
      <c r="C31" s="41"/>
      <c r="D31" s="17"/>
      <c r="E31" s="41"/>
      <c r="F31" s="41"/>
      <c r="H31" s="34"/>
    </row>
    <row r="32" spans="2:8" x14ac:dyDescent="0.3">
      <c r="B32" s="40"/>
      <c r="C32" s="41"/>
      <c r="D32" s="17"/>
      <c r="E32" s="41"/>
      <c r="F32" s="41"/>
      <c r="H32" s="34"/>
    </row>
    <row r="33" spans="2:8" x14ac:dyDescent="0.3">
      <c r="B33" s="40"/>
      <c r="C33" s="41"/>
      <c r="D33" s="17"/>
      <c r="E33" s="41"/>
      <c r="F33" s="41"/>
      <c r="H33" s="34"/>
    </row>
    <row r="34" spans="2:8" x14ac:dyDescent="0.3">
      <c r="B34" s="40"/>
      <c r="C34" s="41"/>
      <c r="D34" s="17"/>
      <c r="E34" s="41"/>
      <c r="F34" s="41"/>
      <c r="H34" s="34"/>
    </row>
    <row r="35" spans="2:8" x14ac:dyDescent="0.3">
      <c r="B35" s="40"/>
      <c r="C35" s="41"/>
      <c r="D35" s="17"/>
      <c r="E35" s="41"/>
      <c r="F35" s="41"/>
      <c r="H35" s="34"/>
    </row>
    <row r="36" spans="2:8" x14ac:dyDescent="0.3">
      <c r="B36" s="40"/>
      <c r="C36" s="41"/>
      <c r="D36" s="17"/>
      <c r="E36" s="41"/>
      <c r="F36" s="41"/>
      <c r="H36" s="34"/>
    </row>
    <row r="37" spans="2:8" x14ac:dyDescent="0.3">
      <c r="B37" s="40"/>
      <c r="C37" s="41"/>
      <c r="D37" s="17"/>
      <c r="E37" s="41"/>
      <c r="F37" s="41"/>
      <c r="H37" s="34"/>
    </row>
    <row r="38" spans="2:8" x14ac:dyDescent="0.3">
      <c r="B38" s="40"/>
      <c r="C38" s="41"/>
      <c r="D38" s="17"/>
      <c r="E38" s="41"/>
      <c r="F38" s="41"/>
      <c r="H38" s="34"/>
    </row>
    <row r="39" spans="2:8" x14ac:dyDescent="0.3">
      <c r="B39" s="40"/>
      <c r="C39" s="41"/>
      <c r="D39" s="17"/>
      <c r="E39" s="41"/>
      <c r="F39" s="41"/>
      <c r="H39" s="34"/>
    </row>
    <row r="40" spans="2:8" x14ac:dyDescent="0.3">
      <c r="B40" s="40"/>
      <c r="C40" s="41"/>
      <c r="D40" s="17"/>
      <c r="E40" s="41"/>
      <c r="F40" s="41"/>
      <c r="H40" s="34"/>
    </row>
    <row r="41" spans="2:8" x14ac:dyDescent="0.3">
      <c r="B41" s="40"/>
      <c r="C41" s="41"/>
      <c r="D41" s="17"/>
      <c r="E41" s="41"/>
      <c r="F41" s="41"/>
      <c r="H41" s="34"/>
    </row>
    <row r="42" spans="2:8" x14ac:dyDescent="0.3">
      <c r="B42" s="40"/>
      <c r="C42" s="41"/>
      <c r="D42" s="17"/>
      <c r="E42" s="41"/>
      <c r="F42" s="41"/>
      <c r="H42" s="34"/>
    </row>
    <row r="43" spans="2:8" x14ac:dyDescent="0.3">
      <c r="B43" s="40"/>
      <c r="C43" s="41"/>
      <c r="D43" s="17"/>
      <c r="E43" s="41"/>
      <c r="F43" s="41"/>
      <c r="H43" s="34"/>
    </row>
    <row r="44" spans="2:8" x14ac:dyDescent="0.3">
      <c r="B44" s="40"/>
      <c r="C44" s="41"/>
      <c r="D44" s="17"/>
      <c r="E44" s="41"/>
      <c r="F44" s="41"/>
      <c r="H44" s="34"/>
    </row>
    <row r="45" spans="2:8" x14ac:dyDescent="0.3">
      <c r="B45" s="40"/>
      <c r="C45" s="41"/>
      <c r="D45" s="17"/>
      <c r="E45" s="41"/>
      <c r="F45" s="41"/>
      <c r="H45" s="34"/>
    </row>
    <row r="46" spans="2:8" x14ac:dyDescent="0.3">
      <c r="B46" s="40"/>
      <c r="C46" s="41"/>
      <c r="D46" s="17"/>
      <c r="E46" s="41"/>
      <c r="F46" s="41"/>
      <c r="H46" s="34"/>
    </row>
    <row r="47" spans="2:8" x14ac:dyDescent="0.3">
      <c r="B47" s="40"/>
      <c r="C47" s="41"/>
      <c r="D47" s="17"/>
      <c r="E47" s="41"/>
      <c r="F47" s="41"/>
      <c r="H47" s="34"/>
    </row>
    <row r="48" spans="2:8" x14ac:dyDescent="0.3">
      <c r="B48" s="40"/>
      <c r="C48" s="41"/>
      <c r="D48" s="17"/>
      <c r="E48" s="41"/>
      <c r="F48" s="41"/>
      <c r="H48" s="34"/>
    </row>
    <row r="49" spans="2:8" x14ac:dyDescent="0.3">
      <c r="B49" s="40"/>
      <c r="C49" s="41"/>
      <c r="D49" s="17"/>
      <c r="E49" s="41"/>
      <c r="F49" s="41"/>
      <c r="H49" s="34"/>
    </row>
    <row r="50" spans="2:8" x14ac:dyDescent="0.3">
      <c r="B50" s="40"/>
      <c r="C50" s="41"/>
      <c r="D50" s="17"/>
      <c r="E50" s="41"/>
      <c r="F50" s="41"/>
      <c r="H50" s="34"/>
    </row>
    <row r="51" spans="2:8" x14ac:dyDescent="0.3">
      <c r="B51" s="40"/>
      <c r="C51" s="41"/>
      <c r="D51" s="17"/>
      <c r="E51" s="41"/>
      <c r="F51" s="41"/>
      <c r="H51" s="34"/>
    </row>
    <row r="52" spans="2:8" x14ac:dyDescent="0.3">
      <c r="B52" s="40"/>
      <c r="C52" s="41"/>
      <c r="D52" s="17"/>
      <c r="E52" s="41"/>
      <c r="F52" s="41"/>
      <c r="H52" s="34"/>
    </row>
    <row r="53" spans="2:8" x14ac:dyDescent="0.3">
      <c r="B53" s="40"/>
      <c r="C53" s="41"/>
      <c r="D53" s="17"/>
      <c r="E53" s="41"/>
      <c r="F53" s="41"/>
      <c r="H53" s="34"/>
    </row>
    <row r="54" spans="2:8" x14ac:dyDescent="0.3">
      <c r="B54" s="40"/>
      <c r="C54" s="41"/>
      <c r="D54" s="17"/>
      <c r="E54" s="41"/>
      <c r="F54" s="41"/>
      <c r="H54" s="34"/>
    </row>
    <row r="55" spans="2:8" x14ac:dyDescent="0.3">
      <c r="B55" s="40"/>
      <c r="C55" s="41"/>
      <c r="D55" s="17"/>
      <c r="E55" s="41"/>
      <c r="F55" s="41"/>
      <c r="H55" s="34"/>
    </row>
    <row r="56" spans="2:8" x14ac:dyDescent="0.3">
      <c r="B56" s="40"/>
      <c r="C56" s="41"/>
      <c r="D56" s="17"/>
      <c r="E56" s="41"/>
      <c r="F56" s="41"/>
      <c r="H56" s="34"/>
    </row>
    <row r="57" spans="2:8" x14ac:dyDescent="0.3">
      <c r="B57" s="40"/>
      <c r="C57" s="41"/>
      <c r="D57" s="17"/>
      <c r="E57" s="41"/>
      <c r="F57" s="41"/>
      <c r="H57" s="34"/>
    </row>
    <row r="58" spans="2:8" x14ac:dyDescent="0.3">
      <c r="B58" s="40"/>
      <c r="C58" s="41"/>
      <c r="D58" s="17"/>
      <c r="E58" s="41"/>
      <c r="F58" s="41"/>
      <c r="H58" s="34"/>
    </row>
    <row r="59" spans="2:8" x14ac:dyDescent="0.3">
      <c r="B59" s="40"/>
      <c r="C59" s="41"/>
      <c r="D59" s="17"/>
      <c r="E59" s="41"/>
      <c r="F59" s="41"/>
      <c r="H59" s="34"/>
    </row>
    <row r="60" spans="2:8" x14ac:dyDescent="0.3">
      <c r="B60" s="40"/>
      <c r="C60" s="41"/>
      <c r="D60" s="17"/>
      <c r="E60" s="41"/>
      <c r="F60" s="41"/>
      <c r="H60" s="34"/>
    </row>
    <row r="61" spans="2:8" x14ac:dyDescent="0.3">
      <c r="B61" s="40"/>
      <c r="C61" s="41"/>
      <c r="D61" s="17"/>
      <c r="E61" s="41"/>
      <c r="F61" s="41"/>
      <c r="H61" s="34"/>
    </row>
    <row r="62" spans="2:8" x14ac:dyDescent="0.3">
      <c r="B62" s="40"/>
      <c r="C62" s="41"/>
      <c r="D62" s="17"/>
      <c r="E62" s="41"/>
      <c r="F62" s="41"/>
      <c r="H62" s="34"/>
    </row>
    <row r="63" spans="2:8" x14ac:dyDescent="0.3">
      <c r="B63" s="40"/>
      <c r="C63" s="41"/>
      <c r="D63" s="17"/>
      <c r="E63" s="41"/>
      <c r="F63" s="41"/>
      <c r="H63" s="34"/>
    </row>
    <row r="64" spans="2:8" x14ac:dyDescent="0.3">
      <c r="B64" s="40"/>
      <c r="C64" s="41"/>
      <c r="D64" s="17"/>
      <c r="E64" s="41"/>
      <c r="F64" s="41"/>
      <c r="H64" s="34"/>
    </row>
    <row r="65" spans="2:8" x14ac:dyDescent="0.3">
      <c r="B65" s="40"/>
      <c r="C65" s="41"/>
      <c r="D65" s="17"/>
      <c r="E65" s="41"/>
      <c r="F65" s="41"/>
      <c r="H65" s="34"/>
    </row>
    <row r="66" spans="2:8" x14ac:dyDescent="0.3">
      <c r="B66" s="40"/>
      <c r="C66" s="41"/>
      <c r="D66" s="17"/>
      <c r="E66" s="41"/>
      <c r="F66" s="41"/>
      <c r="H66" s="34"/>
    </row>
    <row r="67" spans="2:8" x14ac:dyDescent="0.3">
      <c r="B67" s="40"/>
      <c r="C67" s="41"/>
      <c r="D67" s="17"/>
      <c r="E67" s="41"/>
      <c r="F67" s="41"/>
      <c r="H67" s="34"/>
    </row>
    <row r="68" spans="2:8" x14ac:dyDescent="0.3">
      <c r="B68" s="40"/>
      <c r="C68" s="41"/>
      <c r="D68" s="17"/>
      <c r="E68" s="41"/>
      <c r="F68" s="41"/>
      <c r="H68" s="34"/>
    </row>
    <row r="69" spans="2:8" x14ac:dyDescent="0.3">
      <c r="B69" s="40"/>
      <c r="C69" s="41"/>
      <c r="D69" s="17"/>
      <c r="E69" s="41"/>
      <c r="F69" s="41"/>
      <c r="H69" s="34"/>
    </row>
    <row r="70" spans="2:8" x14ac:dyDescent="0.3">
      <c r="B70" s="40"/>
      <c r="C70" s="41"/>
      <c r="D70" s="17"/>
      <c r="E70" s="41"/>
      <c r="F70" s="41"/>
      <c r="H70" s="34"/>
    </row>
    <row r="71" spans="2:8" x14ac:dyDescent="0.3">
      <c r="B71" s="40"/>
      <c r="C71" s="41"/>
      <c r="D71" s="17"/>
      <c r="E71" s="41"/>
      <c r="F71" s="41"/>
      <c r="H71" s="34"/>
    </row>
    <row r="72" spans="2:8" x14ac:dyDescent="0.3">
      <c r="B72" s="40"/>
      <c r="C72" s="41"/>
      <c r="D72" s="17"/>
      <c r="E72" s="41"/>
      <c r="F72" s="41"/>
      <c r="H72" s="34"/>
    </row>
    <row r="73" spans="2:8" x14ac:dyDescent="0.3">
      <c r="B73" s="40"/>
      <c r="C73" s="41"/>
      <c r="D73" s="17"/>
      <c r="E73" s="41"/>
      <c r="F73" s="41"/>
      <c r="H73" s="34"/>
    </row>
    <row r="74" spans="2:8" x14ac:dyDescent="0.3">
      <c r="B74" s="40"/>
      <c r="C74" s="41"/>
      <c r="D74" s="17"/>
      <c r="E74" s="41"/>
      <c r="F74" s="41"/>
      <c r="H74" s="34"/>
    </row>
    <row r="75" spans="2:8" x14ac:dyDescent="0.3">
      <c r="B75" s="40"/>
      <c r="C75" s="41"/>
      <c r="D75" s="17"/>
      <c r="E75" s="41"/>
      <c r="F75" s="41"/>
      <c r="H75" s="34"/>
    </row>
    <row r="76" spans="2:8" x14ac:dyDescent="0.3">
      <c r="B76" s="40"/>
      <c r="C76" s="41"/>
      <c r="D76" s="17"/>
      <c r="E76" s="41"/>
      <c r="F76" s="41"/>
      <c r="H76" s="34"/>
    </row>
    <row r="77" spans="2:8" x14ac:dyDescent="0.3">
      <c r="B77" s="40"/>
      <c r="C77" s="41"/>
      <c r="D77" s="17"/>
      <c r="E77" s="41"/>
      <c r="F77" s="41"/>
      <c r="H77" s="34"/>
    </row>
    <row r="78" spans="2:8" x14ac:dyDescent="0.3">
      <c r="B78" s="40"/>
      <c r="C78" s="41"/>
      <c r="D78" s="17"/>
      <c r="E78" s="41"/>
      <c r="F78" s="41"/>
      <c r="H78" s="34"/>
    </row>
    <row r="79" spans="2:8" x14ac:dyDescent="0.3">
      <c r="B79" s="40"/>
      <c r="C79" s="41"/>
      <c r="D79" s="17"/>
      <c r="E79" s="41"/>
      <c r="F79" s="41"/>
      <c r="H79" s="34"/>
    </row>
    <row r="80" spans="2:8" x14ac:dyDescent="0.3">
      <c r="B80" s="40"/>
      <c r="C80" s="41"/>
      <c r="D80" s="17"/>
      <c r="E80" s="41"/>
      <c r="F80" s="41"/>
      <c r="H80" s="34"/>
    </row>
    <row r="81" spans="2:8" x14ac:dyDescent="0.3">
      <c r="B81" s="40"/>
      <c r="C81" s="41"/>
      <c r="D81" s="17"/>
      <c r="E81" s="41"/>
      <c r="F81" s="41"/>
      <c r="H81" s="34"/>
    </row>
    <row r="82" spans="2:8" x14ac:dyDescent="0.3">
      <c r="B82" s="40"/>
      <c r="C82" s="41"/>
      <c r="D82" s="17"/>
      <c r="E82" s="41"/>
      <c r="F82" s="41"/>
      <c r="H82" s="34"/>
    </row>
    <row r="83" spans="2:8" x14ac:dyDescent="0.3">
      <c r="B83" s="40"/>
      <c r="C83" s="41"/>
      <c r="D83" s="17"/>
      <c r="E83" s="41"/>
      <c r="F83" s="41"/>
      <c r="H83" s="34"/>
    </row>
    <row r="84" spans="2:8" x14ac:dyDescent="0.3">
      <c r="B84" s="40"/>
      <c r="C84" s="41"/>
      <c r="D84" s="17"/>
      <c r="E84" s="41"/>
      <c r="F84" s="41"/>
      <c r="H84" s="34"/>
    </row>
    <row r="85" spans="2:8" x14ac:dyDescent="0.3">
      <c r="B85" s="40"/>
      <c r="C85" s="41"/>
      <c r="D85" s="17"/>
      <c r="E85" s="41"/>
      <c r="F85" s="41"/>
      <c r="H85" s="34"/>
    </row>
    <row r="86" spans="2:8" x14ac:dyDescent="0.3">
      <c r="B86" s="40"/>
      <c r="C86" s="41"/>
      <c r="D86" s="17"/>
      <c r="E86" s="41"/>
      <c r="F86" s="41"/>
      <c r="H86" s="34"/>
    </row>
    <row r="87" spans="2:8" x14ac:dyDescent="0.3">
      <c r="B87" s="40"/>
      <c r="C87" s="41"/>
      <c r="D87" s="17"/>
      <c r="E87" s="41"/>
      <c r="F87" s="41"/>
      <c r="H87" s="34"/>
    </row>
    <row r="88" spans="2:8" x14ac:dyDescent="0.3">
      <c r="B88" s="40"/>
      <c r="C88" s="41"/>
      <c r="D88" s="17"/>
      <c r="E88" s="41"/>
      <c r="F88" s="41"/>
      <c r="H88" s="34"/>
    </row>
    <row r="89" spans="2:8" x14ac:dyDescent="0.3">
      <c r="B89" s="40"/>
      <c r="C89" s="41"/>
      <c r="D89" s="17"/>
      <c r="E89" s="41"/>
      <c r="F89" s="41"/>
      <c r="H89" s="34"/>
    </row>
    <row r="90" spans="2:8" x14ac:dyDescent="0.3">
      <c r="B90" s="40"/>
      <c r="C90" s="41"/>
      <c r="D90" s="17"/>
      <c r="E90" s="41"/>
      <c r="F90" s="41"/>
      <c r="H90" s="34"/>
    </row>
    <row r="91" spans="2:8" x14ac:dyDescent="0.3">
      <c r="B91" s="40"/>
      <c r="C91" s="41"/>
      <c r="D91" s="17"/>
      <c r="E91" s="41"/>
      <c r="F91" s="41"/>
      <c r="H91" s="34"/>
    </row>
    <row r="92" spans="2:8" x14ac:dyDescent="0.3">
      <c r="B92" s="40"/>
      <c r="C92" s="41"/>
      <c r="D92" s="17"/>
      <c r="E92" s="41"/>
      <c r="F92" s="41"/>
      <c r="H92" s="34"/>
    </row>
    <row r="93" spans="2:8" x14ac:dyDescent="0.3">
      <c r="B93" s="40"/>
      <c r="C93" s="41"/>
      <c r="D93" s="17"/>
      <c r="E93" s="41"/>
      <c r="F93" s="41"/>
      <c r="H93" s="34"/>
    </row>
    <row r="94" spans="2:8" x14ac:dyDescent="0.3">
      <c r="B94" s="40"/>
      <c r="C94" s="41"/>
      <c r="D94" s="17"/>
      <c r="E94" s="41"/>
      <c r="F94" s="41"/>
      <c r="H94" s="34"/>
    </row>
    <row r="95" spans="2:8" x14ac:dyDescent="0.3">
      <c r="B95" s="40"/>
      <c r="C95" s="41"/>
      <c r="D95" s="17"/>
      <c r="E95" s="41"/>
      <c r="F95" s="41"/>
      <c r="H95" s="34"/>
    </row>
    <row r="96" spans="2:8" x14ac:dyDescent="0.3">
      <c r="B96" s="40"/>
      <c r="C96" s="41"/>
      <c r="D96" s="17"/>
      <c r="E96" s="41"/>
      <c r="F96" s="41"/>
      <c r="H96" s="34"/>
    </row>
    <row r="97" spans="2:8" x14ac:dyDescent="0.3">
      <c r="B97" s="40"/>
      <c r="C97" s="41"/>
      <c r="D97" s="17"/>
      <c r="E97" s="41"/>
      <c r="F97" s="41"/>
      <c r="H97" s="34"/>
    </row>
    <row r="98" spans="2:8" x14ac:dyDescent="0.3">
      <c r="B98" s="40"/>
      <c r="C98" s="41"/>
      <c r="D98" s="17"/>
      <c r="E98" s="41"/>
      <c r="F98" s="41"/>
      <c r="H98" s="34"/>
    </row>
    <row r="99" spans="2:8" x14ac:dyDescent="0.3">
      <c r="B99" s="40"/>
      <c r="C99" s="41"/>
      <c r="D99" s="17"/>
      <c r="E99" s="41"/>
      <c r="F99" s="41"/>
      <c r="H99" s="34"/>
    </row>
    <row r="100" spans="2:8" x14ac:dyDescent="0.3">
      <c r="B100" s="40"/>
      <c r="C100" s="41"/>
      <c r="D100" s="17"/>
      <c r="E100" s="41"/>
      <c r="F100" s="41"/>
      <c r="H100" s="34"/>
    </row>
    <row r="101" spans="2:8" x14ac:dyDescent="0.3">
      <c r="B101" s="40"/>
      <c r="C101" s="41"/>
      <c r="D101" s="17"/>
      <c r="E101" s="41"/>
      <c r="F101" s="41"/>
      <c r="H101" s="34"/>
    </row>
    <row r="102" spans="2:8" x14ac:dyDescent="0.3">
      <c r="B102" s="40"/>
      <c r="C102" s="41"/>
      <c r="D102" s="17"/>
      <c r="E102" s="41"/>
      <c r="F102" s="41"/>
      <c r="H102" s="34"/>
    </row>
    <row r="103" spans="2:8" x14ac:dyDescent="0.3">
      <c r="B103" s="40"/>
      <c r="C103" s="41"/>
      <c r="D103" s="17"/>
      <c r="E103" s="41"/>
      <c r="F103" s="41"/>
      <c r="H103" s="34"/>
    </row>
    <row r="104" spans="2:8" x14ac:dyDescent="0.3">
      <c r="B104" s="40"/>
      <c r="C104" s="41"/>
      <c r="D104" s="17"/>
      <c r="E104" s="41"/>
      <c r="F104" s="41"/>
      <c r="H104" s="34"/>
    </row>
    <row r="105" spans="2:8" x14ac:dyDescent="0.3">
      <c r="B105" s="40"/>
      <c r="C105" s="41"/>
      <c r="D105" s="17"/>
      <c r="E105" s="41"/>
      <c r="F105" s="41"/>
      <c r="H105" s="34"/>
    </row>
    <row r="106" spans="2:8" x14ac:dyDescent="0.3">
      <c r="B106" s="40"/>
      <c r="C106" s="41"/>
      <c r="D106" s="17"/>
      <c r="E106" s="41"/>
      <c r="F106" s="41"/>
      <c r="H106" s="34"/>
    </row>
    <row r="107" spans="2:8" x14ac:dyDescent="0.3">
      <c r="B107" s="40"/>
      <c r="C107" s="41"/>
      <c r="D107" s="17"/>
      <c r="E107" s="41"/>
      <c r="F107" s="41"/>
      <c r="H107" s="34"/>
    </row>
    <row r="108" spans="2:8" x14ac:dyDescent="0.3">
      <c r="B108" s="40"/>
      <c r="C108" s="41"/>
      <c r="D108" s="17"/>
      <c r="E108" s="41"/>
      <c r="F108" s="41"/>
      <c r="H108" s="34"/>
    </row>
    <row r="109" spans="2:8" x14ac:dyDescent="0.3">
      <c r="B109" s="40"/>
      <c r="C109" s="41"/>
      <c r="D109" s="17"/>
      <c r="E109" s="41"/>
      <c r="F109" s="41"/>
      <c r="H109" s="34"/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5984-D7BA-4F93-8B64-4596F4EFE49C}">
  <dimension ref="B3:K7"/>
  <sheetViews>
    <sheetView showGridLines="0" workbookViewId="0">
      <selection activeCell="J40" sqref="J40"/>
    </sheetView>
  </sheetViews>
  <sheetFormatPr defaultRowHeight="14.4" x14ac:dyDescent="0.3"/>
  <cols>
    <col min="1" max="1" width="1.88671875" customWidth="1"/>
    <col min="2" max="2" width="5.44140625" bestFit="1" customWidth="1"/>
    <col min="3" max="3" width="14.88671875" bestFit="1" customWidth="1"/>
    <col min="4" max="4" width="6" bestFit="1" customWidth="1"/>
    <col min="5" max="5" width="17.6640625" bestFit="1" customWidth="1"/>
    <col min="8" max="8" width="9" bestFit="1" customWidth="1"/>
    <col min="9" max="9" width="13.21875" bestFit="1" customWidth="1"/>
    <col min="10" max="10" width="10.109375" bestFit="1" customWidth="1"/>
    <col min="11" max="11" width="8.5546875" bestFit="1" customWidth="1"/>
  </cols>
  <sheetData>
    <row r="3" spans="2:11" x14ac:dyDescent="0.3">
      <c r="B3" t="s">
        <v>180</v>
      </c>
      <c r="C3" t="s">
        <v>181</v>
      </c>
      <c r="D3" t="s">
        <v>182</v>
      </c>
      <c r="E3" t="s">
        <v>189</v>
      </c>
      <c r="H3" t="s">
        <v>187</v>
      </c>
      <c r="I3" t="s">
        <v>188</v>
      </c>
      <c r="J3" t="s">
        <v>257</v>
      </c>
      <c r="K3" t="s">
        <v>258</v>
      </c>
    </row>
    <row r="4" spans="2:11" x14ac:dyDescent="0.3">
      <c r="B4">
        <v>1</v>
      </c>
      <c r="C4" t="s">
        <v>183</v>
      </c>
      <c r="D4">
        <v>54.54</v>
      </c>
      <c r="E4" s="44">
        <f>'Beta calculation of firm '!J11</f>
        <v>0.68800940839438907</v>
      </c>
      <c r="H4">
        <v>2376.1999999999998</v>
      </c>
      <c r="I4">
        <v>558483.94999999995</v>
      </c>
      <c r="J4">
        <v>1651</v>
      </c>
      <c r="K4">
        <v>0.03</v>
      </c>
    </row>
    <row r="5" spans="2:11" x14ac:dyDescent="0.3">
      <c r="B5">
        <v>2</v>
      </c>
      <c r="C5" t="s">
        <v>184</v>
      </c>
      <c r="D5">
        <v>51.49</v>
      </c>
      <c r="E5">
        <v>0.84899999999999998</v>
      </c>
      <c r="H5">
        <v>2753.45</v>
      </c>
      <c r="I5">
        <v>74900.509999999995</v>
      </c>
      <c r="J5">
        <v>70.05</v>
      </c>
      <c r="K5">
        <v>0.04</v>
      </c>
    </row>
    <row r="6" spans="2:11" x14ac:dyDescent="0.3">
      <c r="B6">
        <v>3</v>
      </c>
      <c r="C6" t="s">
        <v>185</v>
      </c>
      <c r="D6">
        <v>69.709999999999994</v>
      </c>
      <c r="E6">
        <v>0.154</v>
      </c>
      <c r="H6">
        <v>14653.25</v>
      </c>
      <c r="I6">
        <v>47604.91</v>
      </c>
      <c r="J6">
        <v>3.08</v>
      </c>
      <c r="K6">
        <v>0</v>
      </c>
    </row>
    <row r="7" spans="2:11" x14ac:dyDescent="0.3">
      <c r="B7">
        <v>4</v>
      </c>
      <c r="C7" t="s">
        <v>186</v>
      </c>
      <c r="D7">
        <v>70.22</v>
      </c>
      <c r="E7">
        <v>0.876</v>
      </c>
      <c r="H7">
        <v>9585.15</v>
      </c>
      <c r="I7">
        <v>31242.89</v>
      </c>
      <c r="J7">
        <v>0.05</v>
      </c>
      <c r="K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CD48-A510-495E-A9DA-DCFE3C91094B}">
  <sheetPr>
    <pageSetUpPr fitToPage="1"/>
  </sheetPr>
  <dimension ref="B2:J42"/>
  <sheetViews>
    <sheetView showGridLines="0" workbookViewId="0">
      <selection activeCell="I12" sqref="I12"/>
    </sheetView>
  </sheetViews>
  <sheetFormatPr defaultRowHeight="14.4" x14ac:dyDescent="0.3"/>
  <cols>
    <col min="1" max="1" width="1.88671875" customWidth="1"/>
    <col min="2" max="2" width="46" bestFit="1" customWidth="1"/>
    <col min="3" max="3" width="9.44140625" bestFit="1" customWidth="1"/>
    <col min="5" max="5" width="10.6640625" bestFit="1" customWidth="1"/>
  </cols>
  <sheetData>
    <row r="2" spans="2:10" ht="18" x14ac:dyDescent="0.35">
      <c r="B2" s="57" t="s">
        <v>256</v>
      </c>
      <c r="C2" s="58"/>
      <c r="D2" s="58"/>
      <c r="E2" s="58"/>
      <c r="F2" s="27"/>
      <c r="G2" s="27"/>
      <c r="H2" s="27"/>
      <c r="I2" s="27"/>
      <c r="J2" s="27"/>
    </row>
    <row r="4" spans="2:10" x14ac:dyDescent="0.3">
      <c r="B4" s="59" t="s">
        <v>224</v>
      </c>
    </row>
    <row r="6" spans="2:10" x14ac:dyDescent="0.3">
      <c r="B6" s="15" t="s">
        <v>225</v>
      </c>
    </row>
    <row r="7" spans="2:10" x14ac:dyDescent="0.3">
      <c r="B7" s="60"/>
      <c r="C7" s="60"/>
      <c r="D7" s="60"/>
      <c r="E7" s="60"/>
      <c r="F7" s="61"/>
      <c r="G7" s="61" t="s">
        <v>226</v>
      </c>
      <c r="H7" s="61" t="s">
        <v>226</v>
      </c>
      <c r="I7" s="61" t="s">
        <v>227</v>
      </c>
      <c r="J7" s="61" t="s">
        <v>228</v>
      </c>
    </row>
    <row r="8" spans="2:10" ht="16.2" x14ac:dyDescent="0.3">
      <c r="B8" s="62" t="s">
        <v>181</v>
      </c>
      <c r="C8" s="62" t="s">
        <v>220</v>
      </c>
      <c r="D8" s="63" t="s">
        <v>221</v>
      </c>
      <c r="E8" s="63" t="s">
        <v>229</v>
      </c>
      <c r="F8" s="63" t="s">
        <v>230</v>
      </c>
      <c r="G8" s="63" t="s">
        <v>231</v>
      </c>
      <c r="H8" s="63" t="s">
        <v>232</v>
      </c>
      <c r="I8" s="63" t="s">
        <v>177</v>
      </c>
      <c r="J8" s="63" t="s">
        <v>178</v>
      </c>
    </row>
    <row r="9" spans="2:10" x14ac:dyDescent="0.3">
      <c r="B9" s="64"/>
      <c r="C9" s="64"/>
      <c r="D9" s="64"/>
      <c r="E9" s="64"/>
      <c r="F9" s="64"/>
      <c r="G9" s="64"/>
      <c r="H9" s="64"/>
      <c r="I9" s="64"/>
      <c r="J9" s="64"/>
    </row>
    <row r="10" spans="2:10" x14ac:dyDescent="0.3">
      <c r="B10" t="s">
        <v>183</v>
      </c>
      <c r="C10" s="65" t="s">
        <v>233</v>
      </c>
      <c r="D10" s="89">
        <f>'Beta Comps'!J4</f>
        <v>1651</v>
      </c>
      <c r="E10" s="89">
        <f>'Beta Comps'!I4</f>
        <v>558483.94999999995</v>
      </c>
      <c r="F10" s="67">
        <v>0.3</v>
      </c>
      <c r="G10" s="68">
        <f>'Beta Comps'!K4</f>
        <v>0.03</v>
      </c>
      <c r="H10" s="68">
        <f>D10/SUM(D10:E10)</f>
        <v>2.9475039898867231E-3</v>
      </c>
      <c r="I10" s="41">
        <f>'Beta Comps'!E4</f>
        <v>0.68800940839438907</v>
      </c>
      <c r="J10" s="69">
        <f>I10/(1+(1-F10)*G10)</f>
        <v>0.67385838236472984</v>
      </c>
    </row>
    <row r="11" spans="2:10" x14ac:dyDescent="0.3">
      <c r="B11" t="s">
        <v>184</v>
      </c>
      <c r="C11" s="65" t="s">
        <v>233</v>
      </c>
      <c r="D11" s="89">
        <f>'Beta Comps'!J5</f>
        <v>70.05</v>
      </c>
      <c r="E11" s="89">
        <f>'Beta Comps'!I5</f>
        <v>74900.509999999995</v>
      </c>
      <c r="F11" s="67">
        <v>0.3</v>
      </c>
      <c r="G11" s="68">
        <f>'Beta Comps'!K5</f>
        <v>0.04</v>
      </c>
      <c r="H11" s="68">
        <f>D11/SUM(D11:E11)</f>
        <v>9.3436677010282434E-4</v>
      </c>
      <c r="I11" s="41">
        <f>'Beta Comps'!E5</f>
        <v>0.84899999999999998</v>
      </c>
      <c r="J11" s="69">
        <f>I11/(1+(1-F11)*G11)</f>
        <v>0.82587548638132291</v>
      </c>
    </row>
    <row r="12" spans="2:10" x14ac:dyDescent="0.3">
      <c r="B12" t="s">
        <v>185</v>
      </c>
      <c r="C12" s="65" t="s">
        <v>233</v>
      </c>
      <c r="D12" s="89">
        <f>'Beta Comps'!J6</f>
        <v>3.08</v>
      </c>
      <c r="E12" s="89">
        <f>'Beta Comps'!I6</f>
        <v>47604.91</v>
      </c>
      <c r="F12" s="67">
        <v>0.3</v>
      </c>
      <c r="G12" s="68">
        <f>'Beta Comps'!K6</f>
        <v>0</v>
      </c>
      <c r="H12" s="68">
        <f>D12/SUM(D12:E12)</f>
        <v>6.4695022831251636E-5</v>
      </c>
      <c r="I12" s="41">
        <f>'Beta Comps'!E6</f>
        <v>0.154</v>
      </c>
      <c r="J12" s="69">
        <f>I12/(1+(1-F12)*G12)</f>
        <v>0.154</v>
      </c>
    </row>
    <row r="13" spans="2:10" x14ac:dyDescent="0.3">
      <c r="B13" t="s">
        <v>186</v>
      </c>
      <c r="C13" s="65" t="s">
        <v>233</v>
      </c>
      <c r="D13" s="89">
        <f>'Beta Comps'!J7</f>
        <v>0.05</v>
      </c>
      <c r="E13" s="89">
        <f>'Beta Comps'!I7</f>
        <v>31242.89</v>
      </c>
      <c r="F13" s="67">
        <v>0.3</v>
      </c>
      <c r="G13" s="68">
        <f>'Beta Comps'!K7</f>
        <v>0</v>
      </c>
      <c r="H13" s="68">
        <f>D13/SUM(D13:E13)</f>
        <v>1.6003615536822081E-6</v>
      </c>
      <c r="I13" s="41">
        <f>'Beta Comps'!E7</f>
        <v>0.876</v>
      </c>
      <c r="J13" s="69">
        <f>I13/(1+(1-F13)*G13)</f>
        <v>0.876</v>
      </c>
    </row>
    <row r="14" spans="2:10" x14ac:dyDescent="0.3">
      <c r="F14" s="34"/>
    </row>
    <row r="15" spans="2:10" x14ac:dyDescent="0.3">
      <c r="E15" s="70" t="s">
        <v>159</v>
      </c>
      <c r="F15" s="71">
        <f>AVERAGE(F10:F13)</f>
        <v>0.3</v>
      </c>
      <c r="G15" s="71">
        <f>AVERAGE(G10:G13)</f>
        <v>1.7500000000000002E-2</v>
      </c>
      <c r="H15" s="71">
        <f>AVERAGE(H10:H13)</f>
        <v>9.8704153609362015E-4</v>
      </c>
      <c r="I15" s="90">
        <f>AVERAGE(I10:I13)</f>
        <v>0.64175235209859727</v>
      </c>
      <c r="J15" s="90">
        <f>AVERAGE(J10:J13)</f>
        <v>0.63243346718651317</v>
      </c>
    </row>
    <row r="16" spans="2:10" x14ac:dyDescent="0.3">
      <c r="E16" s="72" t="s">
        <v>160</v>
      </c>
      <c r="F16" s="73">
        <f>MEDIAN(F10:F13)</f>
        <v>0.3</v>
      </c>
      <c r="G16" s="73">
        <f>MEDIAN(G10:G13)</f>
        <v>1.4999999999999999E-2</v>
      </c>
      <c r="H16" s="73">
        <f>MEDIAN(H10:H13)</f>
        <v>4.9953089646703796E-4</v>
      </c>
      <c r="I16" s="91">
        <f>MEDIAN(I10:I13)</f>
        <v>0.76850470419719452</v>
      </c>
      <c r="J16" s="91">
        <f>MEDIAN(J10:J13)</f>
        <v>0.74986693437302643</v>
      </c>
    </row>
    <row r="17" spans="2:10" x14ac:dyDescent="0.3">
      <c r="G17" s="44"/>
    </row>
    <row r="18" spans="2:10" x14ac:dyDescent="0.3">
      <c r="G18" s="44"/>
    </row>
    <row r="19" spans="2:10" x14ac:dyDescent="0.3">
      <c r="B19" s="72" t="s">
        <v>234</v>
      </c>
      <c r="C19" s="43"/>
      <c r="D19" s="43"/>
      <c r="E19" s="43"/>
      <c r="G19" s="72" t="s">
        <v>235</v>
      </c>
      <c r="H19" s="43"/>
      <c r="I19" s="43"/>
      <c r="J19" s="43"/>
    </row>
    <row r="20" spans="2:10" x14ac:dyDescent="0.3">
      <c r="B20" s="44"/>
      <c r="G20" s="44"/>
    </row>
    <row r="21" spans="2:10" x14ac:dyDescent="0.3">
      <c r="B21" t="s">
        <v>236</v>
      </c>
      <c r="E21" s="74">
        <f>HistoricalFS!L21/HistoricalFS!L49</f>
        <v>0.22506738544474394</v>
      </c>
      <c r="G21" t="s">
        <v>237</v>
      </c>
      <c r="J21" s="75">
        <v>7.3899999999999993E-2</v>
      </c>
    </row>
    <row r="22" spans="2:10" x14ac:dyDescent="0.3">
      <c r="B22" t="s">
        <v>222</v>
      </c>
      <c r="E22" s="34">
        <f>F10</f>
        <v>0.3</v>
      </c>
      <c r="G22" t="s">
        <v>238</v>
      </c>
      <c r="J22" s="54">
        <f>'Market Return'!G7-Wacc!J21</f>
        <v>8.0217391304347851E-2</v>
      </c>
    </row>
    <row r="23" spans="2:10" ht="16.2" x14ac:dyDescent="0.3">
      <c r="B23" s="76" t="s">
        <v>239</v>
      </c>
      <c r="C23" s="76"/>
      <c r="D23" s="76"/>
      <c r="E23" s="77">
        <f>E21*(1-E22)</f>
        <v>0.15754716981132075</v>
      </c>
      <c r="G23" t="s">
        <v>240</v>
      </c>
      <c r="J23" s="78">
        <f>J32</f>
        <v>0.75038555113685212</v>
      </c>
    </row>
    <row r="24" spans="2:10" x14ac:dyDescent="0.3">
      <c r="G24" s="76" t="s">
        <v>235</v>
      </c>
      <c r="H24" s="76"/>
      <c r="I24" s="76"/>
      <c r="J24" s="79">
        <f>J21+J22*J23</f>
        <v>0.13409397138467358</v>
      </c>
    </row>
    <row r="27" spans="2:10" x14ac:dyDescent="0.3">
      <c r="B27" s="72" t="s">
        <v>241</v>
      </c>
      <c r="C27" s="43"/>
      <c r="D27" s="43"/>
      <c r="E27" s="43"/>
      <c r="G27" s="72" t="s">
        <v>242</v>
      </c>
      <c r="H27" s="43"/>
      <c r="I27" s="43"/>
      <c r="J27" s="43"/>
    </row>
    <row r="28" spans="2:10" x14ac:dyDescent="0.3">
      <c r="G28" s="15"/>
    </row>
    <row r="29" spans="2:10" x14ac:dyDescent="0.3">
      <c r="D29" s="80" t="s">
        <v>243</v>
      </c>
      <c r="E29" s="80" t="s">
        <v>244</v>
      </c>
      <c r="G29" s="44" t="s">
        <v>245</v>
      </c>
      <c r="J29" s="44">
        <f>J16</f>
        <v>0.74986693437302643</v>
      </c>
    </row>
    <row r="30" spans="2:10" x14ac:dyDescent="0.3">
      <c r="B30" t="s">
        <v>221</v>
      </c>
      <c r="C30" s="66">
        <f>D10</f>
        <v>1651</v>
      </c>
      <c r="D30" s="17">
        <f>C30/C32</f>
        <v>2.9475039898867231E-3</v>
      </c>
      <c r="E30" s="81">
        <f>H15</f>
        <v>9.8704153609362015E-4</v>
      </c>
      <c r="G30" t="s">
        <v>246</v>
      </c>
      <c r="J30" s="82">
        <f>E34</f>
        <v>9.8801674966389474E-4</v>
      </c>
    </row>
    <row r="31" spans="2:10" x14ac:dyDescent="0.3">
      <c r="B31" t="s">
        <v>9</v>
      </c>
      <c r="C31" s="66">
        <f>E10</f>
        <v>558483.94999999995</v>
      </c>
      <c r="D31" s="17">
        <f>C31/C32</f>
        <v>0.99705249601011325</v>
      </c>
      <c r="E31" s="34">
        <f>1-E30</f>
        <v>0.99901295846390636</v>
      </c>
      <c r="G31" t="s">
        <v>222</v>
      </c>
      <c r="J31" s="34">
        <f>F13</f>
        <v>0.3</v>
      </c>
    </row>
    <row r="32" spans="2:10" x14ac:dyDescent="0.3">
      <c r="B32" t="s">
        <v>247</v>
      </c>
      <c r="C32" s="92">
        <f>SUM(C30:C31)</f>
        <v>560134.94999999995</v>
      </c>
      <c r="D32" s="17">
        <f>SUM(D30:D31)</f>
        <v>1</v>
      </c>
      <c r="E32" s="17">
        <f>SUM(E30:E31)</f>
        <v>1</v>
      </c>
      <c r="G32" s="76" t="s">
        <v>172</v>
      </c>
      <c r="H32" s="76"/>
      <c r="I32" s="76"/>
      <c r="J32" s="83">
        <f>J29*(1+(1-J31)*J30)</f>
        <v>0.75038555113685212</v>
      </c>
    </row>
    <row r="34" spans="2:10" x14ac:dyDescent="0.3">
      <c r="B34" t="s">
        <v>248</v>
      </c>
      <c r="D34" s="84">
        <f>D30/D31</f>
        <v>2.9562174526233031E-3</v>
      </c>
      <c r="E34" s="84">
        <f>E30/E31</f>
        <v>9.8801674966389474E-4</v>
      </c>
      <c r="G34" s="72" t="s">
        <v>223</v>
      </c>
      <c r="H34" s="43"/>
      <c r="I34" s="43"/>
      <c r="J34" s="43"/>
    </row>
    <row r="35" spans="2:10" x14ac:dyDescent="0.3">
      <c r="G35" s="44"/>
    </row>
    <row r="36" spans="2:10" x14ac:dyDescent="0.3">
      <c r="B36" s="85" t="s">
        <v>249</v>
      </c>
      <c r="G36" t="s">
        <v>235</v>
      </c>
      <c r="J36" s="86">
        <f>J24</f>
        <v>0.13409397138467358</v>
      </c>
    </row>
    <row r="37" spans="2:10" x14ac:dyDescent="0.3">
      <c r="B37" s="85" t="s">
        <v>250</v>
      </c>
      <c r="G37" t="s">
        <v>251</v>
      </c>
      <c r="J37" s="34">
        <f>E31</f>
        <v>0.99901295846390636</v>
      </c>
    </row>
    <row r="38" spans="2:10" x14ac:dyDescent="0.3">
      <c r="B38" s="85" t="s">
        <v>252</v>
      </c>
      <c r="J38" s="86"/>
    </row>
    <row r="39" spans="2:10" x14ac:dyDescent="0.3">
      <c r="B39" s="85" t="s">
        <v>253</v>
      </c>
      <c r="G39" t="s">
        <v>234</v>
      </c>
      <c r="J39" s="34">
        <f>E23</f>
        <v>0.15754716981132075</v>
      </c>
    </row>
    <row r="40" spans="2:10" x14ac:dyDescent="0.3">
      <c r="G40" t="s">
        <v>254</v>
      </c>
      <c r="J40" s="34">
        <f>D30</f>
        <v>2.9475039898867231E-3</v>
      </c>
    </row>
    <row r="42" spans="2:10" x14ac:dyDescent="0.3">
      <c r="G42" s="87" t="s">
        <v>255</v>
      </c>
      <c r="H42" s="87"/>
      <c r="I42" s="87"/>
      <c r="J42" s="88">
        <f>(J36*J37)+(J39*J40)</f>
        <v>0.13442598597679137</v>
      </c>
    </row>
  </sheetData>
  <pageMargins left="0.23622047244094491" right="0.23622047244094491" top="0.15748031496062992" bottom="0.15748031496062992" header="0" footer="0.31496062992125984"/>
  <pageSetup paperSize="9" scale="92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60D1-25CC-4584-A37C-EF67AD4F6D3B}">
  <sheetPr>
    <pageSetUpPr fitToPage="1"/>
  </sheetPr>
  <dimension ref="B1:K42"/>
  <sheetViews>
    <sheetView workbookViewId="0">
      <selection activeCell="B1" sqref="B1:K1"/>
    </sheetView>
  </sheetViews>
  <sheetFormatPr defaultRowHeight="14.4" x14ac:dyDescent="0.3"/>
  <cols>
    <col min="1" max="1" width="1.88671875" customWidth="1"/>
    <col min="5" max="5" width="11.5546875" bestFit="1" customWidth="1"/>
    <col min="6" max="7" width="9.5546875" bestFit="1" customWidth="1"/>
  </cols>
  <sheetData>
    <row r="1" spans="2:11" ht="18" x14ac:dyDescent="0.35">
      <c r="B1" s="133" t="s">
        <v>331</v>
      </c>
      <c r="C1" s="133"/>
      <c r="D1" s="133"/>
      <c r="E1" s="133"/>
      <c r="F1" s="133"/>
      <c r="G1" s="133"/>
      <c r="H1" s="133"/>
      <c r="I1" s="133"/>
      <c r="J1" s="133"/>
      <c r="K1" s="133"/>
    </row>
    <row r="3" spans="2:11" x14ac:dyDescent="0.3">
      <c r="B3" s="93" t="s">
        <v>259</v>
      </c>
      <c r="C3" s="94"/>
      <c r="D3" s="94"/>
      <c r="E3" s="131">
        <f>'intrinsic growth'!K2</f>
        <v>45352</v>
      </c>
      <c r="F3" s="95">
        <f>E3+365</f>
        <v>45717</v>
      </c>
      <c r="G3" s="95">
        <f t="shared" ref="G3:K3" si="0">F3+365</f>
        <v>46082</v>
      </c>
      <c r="H3" s="95">
        <f t="shared" si="0"/>
        <v>46447</v>
      </c>
      <c r="I3" s="95">
        <f>H3+370</f>
        <v>46817</v>
      </c>
      <c r="J3" s="95">
        <f t="shared" si="0"/>
        <v>47182</v>
      </c>
      <c r="K3" s="95">
        <f t="shared" si="0"/>
        <v>47547</v>
      </c>
    </row>
    <row r="5" spans="2:11" x14ac:dyDescent="0.3">
      <c r="B5" t="s">
        <v>260</v>
      </c>
      <c r="E5">
        <f>'intrinsic growth'!K35</f>
        <v>13443</v>
      </c>
      <c r="F5">
        <f>E5*(1+E19)</f>
        <v>14746.971</v>
      </c>
      <c r="G5">
        <f t="shared" ref="G5:K5" si="1">F5*(1+F19)</f>
        <v>14746.971</v>
      </c>
      <c r="H5">
        <f t="shared" si="1"/>
        <v>14746.971</v>
      </c>
      <c r="I5">
        <f t="shared" si="1"/>
        <v>14746.971</v>
      </c>
      <c r="J5">
        <f t="shared" si="1"/>
        <v>14746.971</v>
      </c>
      <c r="K5">
        <f t="shared" si="1"/>
        <v>14746.971</v>
      </c>
    </row>
    <row r="7" spans="2:11" x14ac:dyDescent="0.3">
      <c r="B7" t="s">
        <v>222</v>
      </c>
      <c r="E7" s="17">
        <f>25%</f>
        <v>0.25</v>
      </c>
      <c r="F7" s="17">
        <f>25%</f>
        <v>0.25</v>
      </c>
      <c r="G7" s="17">
        <f>25%</f>
        <v>0.25</v>
      </c>
      <c r="H7" s="17">
        <f>25%</f>
        <v>0.25</v>
      </c>
      <c r="I7" s="17">
        <f>25%</f>
        <v>0.25</v>
      </c>
      <c r="J7" s="17">
        <f>25%</f>
        <v>0.25</v>
      </c>
      <c r="K7" s="17">
        <f>25%</f>
        <v>0.25</v>
      </c>
    </row>
    <row r="9" spans="2:11" x14ac:dyDescent="0.3">
      <c r="B9" t="s">
        <v>261</v>
      </c>
      <c r="E9">
        <f>E5*(1-E7)</f>
        <v>10082.25</v>
      </c>
      <c r="F9">
        <f t="shared" ref="F9:K9" si="2">F5*(1-F7)</f>
        <v>11060.22825</v>
      </c>
      <c r="G9">
        <f t="shared" si="2"/>
        <v>11060.22825</v>
      </c>
      <c r="H9">
        <f t="shared" si="2"/>
        <v>11060.22825</v>
      </c>
      <c r="I9">
        <f t="shared" si="2"/>
        <v>11060.22825</v>
      </c>
      <c r="J9">
        <f t="shared" si="2"/>
        <v>11060.22825</v>
      </c>
      <c r="K9">
        <f t="shared" si="2"/>
        <v>11060.22825</v>
      </c>
    </row>
    <row r="11" spans="2:11" x14ac:dyDescent="0.3">
      <c r="B11" t="s">
        <v>262</v>
      </c>
      <c r="E11" s="34">
        <f>'intrinsic growth'!$K$54</f>
        <v>-4.0909095327365919E-2</v>
      </c>
      <c r="F11" s="34">
        <f>E11+($K$11-$E$11)/5</f>
        <v>5.0652723738107266E-2</v>
      </c>
      <c r="G11" s="34">
        <f t="shared" ref="G11:J11" si="3">F11+($K$11-$E$11)/5</f>
        <v>0.14221454280358045</v>
      </c>
      <c r="H11" s="34">
        <f t="shared" si="3"/>
        <v>0.23377636186905365</v>
      </c>
      <c r="I11" s="34">
        <f t="shared" si="3"/>
        <v>0.32533818093452682</v>
      </c>
      <c r="J11" s="34">
        <f t="shared" si="3"/>
        <v>0.41689999999999999</v>
      </c>
      <c r="K11" s="34">
        <v>0.41689999999999999</v>
      </c>
    </row>
    <row r="13" spans="2:11" ht="15" thickBot="1" x14ac:dyDescent="0.35">
      <c r="B13" s="97" t="s">
        <v>263</v>
      </c>
      <c r="C13" s="97"/>
      <c r="D13" s="97"/>
      <c r="E13" s="97">
        <f>E9*(1-E11)</f>
        <v>10494.705726364335</v>
      </c>
      <c r="F13" s="97">
        <f t="shared" ref="F13:K13" si="4">F9*(1-F11)</f>
        <v>10499.99756397234</v>
      </c>
      <c r="G13" s="97">
        <f t="shared" si="4"/>
        <v>9487.3029461230053</v>
      </c>
      <c r="H13" s="97">
        <f t="shared" si="4"/>
        <v>8474.6083282736708</v>
      </c>
      <c r="I13" s="97">
        <f t="shared" si="4"/>
        <v>7461.9137104243355</v>
      </c>
      <c r="J13" s="97">
        <f t="shared" si="4"/>
        <v>6449.2190925749992</v>
      </c>
      <c r="K13" s="97">
        <f t="shared" si="4"/>
        <v>6449.2190925749992</v>
      </c>
    </row>
    <row r="14" spans="2:11" x14ac:dyDescent="0.3">
      <c r="B14" t="s">
        <v>332</v>
      </c>
      <c r="E14">
        <v>0</v>
      </c>
      <c r="F14">
        <v>0.5</v>
      </c>
      <c r="G14">
        <v>1.5</v>
      </c>
      <c r="H14">
        <v>2.5</v>
      </c>
      <c r="I14">
        <v>3.5</v>
      </c>
      <c r="J14">
        <v>4.5</v>
      </c>
      <c r="K14">
        <v>5.5</v>
      </c>
    </row>
    <row r="15" spans="2:11" x14ac:dyDescent="0.3">
      <c r="B15" t="s">
        <v>264</v>
      </c>
      <c r="E15" s="44">
        <f>1/(1+$E$26)^E14</f>
        <v>1</v>
      </c>
      <c r="F15" s="44">
        <f t="shared" ref="F15:K15" si="5">1/(1+$E$26)^F14</f>
        <v>0.93888395417585191</v>
      </c>
      <c r="G15" s="44">
        <f t="shared" si="5"/>
        <v>0.82762909681360208</v>
      </c>
      <c r="H15" s="44">
        <f t="shared" si="5"/>
        <v>0.72955759744958293</v>
      </c>
      <c r="I15" s="44">
        <f t="shared" si="5"/>
        <v>0.64310726875795365</v>
      </c>
      <c r="J15" s="44">
        <f t="shared" si="5"/>
        <v>0.56690103780037226</v>
      </c>
      <c r="K15" s="44">
        <f t="shared" si="5"/>
        <v>0.49972501054111984</v>
      </c>
    </row>
    <row r="17" spans="2:11" ht="15" thickBot="1" x14ac:dyDescent="0.35">
      <c r="B17" s="97" t="s">
        <v>265</v>
      </c>
      <c r="C17" s="97"/>
      <c r="D17" s="97"/>
      <c r="E17" s="97">
        <f>E15*E13</f>
        <v>10494.705726364335</v>
      </c>
      <c r="F17" s="97">
        <f t="shared" ref="F17:K17" si="6">F15*F13</f>
        <v>9858.2792316991636</v>
      </c>
      <c r="G17" s="97">
        <f t="shared" si="6"/>
        <v>7851.9679684968087</v>
      </c>
      <c r="H17" s="97">
        <f t="shared" si="6"/>
        <v>6182.7148913015653</v>
      </c>
      <c r="I17" s="97">
        <f t="shared" si="6"/>
        <v>4798.8109460185224</v>
      </c>
      <c r="J17" s="97">
        <f t="shared" si="6"/>
        <v>3656.0689965827423</v>
      </c>
      <c r="K17" s="97">
        <f t="shared" si="6"/>
        <v>3222.8360790190327</v>
      </c>
    </row>
    <row r="19" spans="2:11" x14ac:dyDescent="0.3">
      <c r="B19" s="99" t="s">
        <v>266</v>
      </c>
      <c r="C19" s="99"/>
      <c r="D19" s="100"/>
      <c r="E19" s="100">
        <f>9.7%</f>
        <v>9.6999999999999989E-2</v>
      </c>
    </row>
    <row r="20" spans="2:11" x14ac:dyDescent="0.3">
      <c r="B20" s="99" t="s">
        <v>267</v>
      </c>
      <c r="C20" s="99"/>
      <c r="D20" s="100"/>
      <c r="E20" s="100">
        <v>0.06</v>
      </c>
    </row>
    <row r="23" spans="2:11" x14ac:dyDescent="0.3">
      <c r="B23" s="93" t="s">
        <v>268</v>
      </c>
      <c r="C23" s="94"/>
      <c r="D23" s="94"/>
      <c r="E23" s="94"/>
    </row>
    <row r="25" spans="2:11" x14ac:dyDescent="0.3">
      <c r="B25" t="s">
        <v>269</v>
      </c>
      <c r="E25" s="96">
        <f>K13*(1+E19)</f>
        <v>7074.7933445547742</v>
      </c>
    </row>
    <row r="26" spans="2:11" x14ac:dyDescent="0.3">
      <c r="B26" t="s">
        <v>255</v>
      </c>
      <c r="E26" s="34">
        <f>Wacc!J42</f>
        <v>0.13442598597679137</v>
      </c>
    </row>
    <row r="27" spans="2:11" x14ac:dyDescent="0.3">
      <c r="B27" t="s">
        <v>270</v>
      </c>
      <c r="E27" s="34">
        <f>E20</f>
        <v>0.06</v>
      </c>
    </row>
    <row r="29" spans="2:11" ht="15" thickBot="1" x14ac:dyDescent="0.35">
      <c r="B29" s="97" t="s">
        <v>271</v>
      </c>
      <c r="C29" s="97"/>
      <c r="D29" s="97"/>
      <c r="E29" s="98">
        <f>E25/(E26-E27)</f>
        <v>95058.10708051543</v>
      </c>
    </row>
    <row r="32" spans="2:11" x14ac:dyDescent="0.3">
      <c r="B32" s="93" t="s">
        <v>272</v>
      </c>
      <c r="C32" s="94"/>
      <c r="D32" s="94"/>
      <c r="E32" s="94"/>
    </row>
    <row r="34" spans="2:5" x14ac:dyDescent="0.3">
      <c r="B34" t="s">
        <v>265</v>
      </c>
      <c r="E34" s="96">
        <f>SUM(E17:K17)</f>
        <v>46065.383839482165</v>
      </c>
    </row>
    <row r="35" spans="2:5" x14ac:dyDescent="0.3">
      <c r="B35" t="s">
        <v>273</v>
      </c>
      <c r="E35" s="101">
        <f>E29</f>
        <v>95058.10708051543</v>
      </c>
    </row>
    <row r="36" spans="2:5" x14ac:dyDescent="0.3">
      <c r="B36" s="15" t="s">
        <v>274</v>
      </c>
      <c r="C36" s="15"/>
      <c r="D36" s="15"/>
      <c r="E36" s="102">
        <f>E35+E34</f>
        <v>141123.4909199976</v>
      </c>
    </row>
    <row r="38" spans="2:5" x14ac:dyDescent="0.3">
      <c r="B38" t="s">
        <v>275</v>
      </c>
      <c r="E38" s="29">
        <f>RawFS!N38</f>
        <v>7559</v>
      </c>
    </row>
    <row r="39" spans="2:5" x14ac:dyDescent="0.3">
      <c r="B39" t="s">
        <v>276</v>
      </c>
      <c r="E39">
        <f>SUM(RawFS!N7:N8)</f>
        <v>13</v>
      </c>
    </row>
    <row r="40" spans="2:5" x14ac:dyDescent="0.3">
      <c r="B40" s="15" t="s">
        <v>277</v>
      </c>
      <c r="C40" s="15"/>
      <c r="D40" s="15"/>
      <c r="E40" s="102">
        <f>E36+E38-E39</f>
        <v>148669.4909199976</v>
      </c>
    </row>
    <row r="41" spans="2:5" x14ac:dyDescent="0.3">
      <c r="B41" t="s">
        <v>278</v>
      </c>
      <c r="E41" s="96">
        <f>'Data Sheet'!B6</f>
        <v>234.95914554426216</v>
      </c>
    </row>
    <row r="42" spans="2:5" x14ac:dyDescent="0.3">
      <c r="B42" t="s">
        <v>279</v>
      </c>
      <c r="E42" s="101">
        <f>E40/E41</f>
        <v>632.74613369748954</v>
      </c>
    </row>
  </sheetData>
  <mergeCells count="1">
    <mergeCell ref="B1:K1"/>
  </mergeCells>
  <pageMargins left="0.7" right="0.7" top="0.75" bottom="0.75" header="0.3" footer="0.3"/>
  <pageSetup paperSize="9" scale="92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A09C-3C6D-4DDA-A7C4-13B3292D8263}">
  <sheetPr>
    <pageSetUpPr fitToPage="1"/>
  </sheetPr>
  <dimension ref="B1:K64"/>
  <sheetViews>
    <sheetView showGridLines="0" workbookViewId="0">
      <selection activeCell="L7" sqref="L7"/>
    </sheetView>
  </sheetViews>
  <sheetFormatPr defaultRowHeight="14.4" x14ac:dyDescent="0.3"/>
  <cols>
    <col min="1" max="1" width="1.88671875" customWidth="1"/>
    <col min="10" max="10" width="13.5546875" bestFit="1" customWidth="1"/>
    <col min="11" max="11" width="9.44140625" bestFit="1" customWidth="1"/>
  </cols>
  <sheetData>
    <row r="1" spans="2:11" x14ac:dyDescent="0.3">
      <c r="B1" s="132" t="s">
        <v>333</v>
      </c>
      <c r="C1" s="132"/>
      <c r="D1" s="132"/>
      <c r="E1" s="132"/>
      <c r="F1" s="132"/>
      <c r="G1" s="132"/>
      <c r="H1" s="132"/>
      <c r="I1" s="132"/>
      <c r="J1" s="132"/>
      <c r="K1" s="132"/>
    </row>
    <row r="2" spans="2:11" x14ac:dyDescent="0.3">
      <c r="B2" s="93" t="s">
        <v>280</v>
      </c>
      <c r="C2" s="94"/>
      <c r="D2" s="94"/>
      <c r="E2" s="94"/>
      <c r="F2" s="94"/>
      <c r="G2" s="131">
        <f>RawFS!J2</f>
        <v>43891</v>
      </c>
      <c r="H2" s="131">
        <f>RawFS!K2</f>
        <v>44256</v>
      </c>
      <c r="I2" s="131">
        <f>RawFS!L2</f>
        <v>44621</v>
      </c>
      <c r="J2" s="131">
        <f>RawFS!M2</f>
        <v>44986</v>
      </c>
      <c r="K2" s="131">
        <f>RawFS!N2</f>
        <v>45352</v>
      </c>
    </row>
    <row r="4" spans="2:11" x14ac:dyDescent="0.3">
      <c r="B4" s="15" t="s">
        <v>281</v>
      </c>
    </row>
    <row r="5" spans="2:11" x14ac:dyDescent="0.3">
      <c r="B5" s="103" t="s">
        <v>302</v>
      </c>
      <c r="C5" s="103"/>
      <c r="D5" s="103"/>
      <c r="E5" s="103"/>
      <c r="F5" s="103"/>
      <c r="G5" s="104">
        <f>RawFS!J36</f>
        <v>2767</v>
      </c>
      <c r="H5" s="104">
        <f>RawFS!K36</f>
        <v>3579</v>
      </c>
      <c r="I5" s="104">
        <f>RawFS!L36</f>
        <v>4096</v>
      </c>
      <c r="J5" s="104">
        <f>RawFS!M36</f>
        <v>4251</v>
      </c>
      <c r="K5" s="104">
        <f>RawFS!N36</f>
        <v>4022</v>
      </c>
    </row>
    <row r="6" spans="2:11" x14ac:dyDescent="0.3">
      <c r="B6" s="103" t="s">
        <v>303</v>
      </c>
      <c r="C6" s="103"/>
      <c r="D6" s="103"/>
      <c r="E6" s="103"/>
      <c r="F6" s="103"/>
      <c r="G6" s="104">
        <f>RawFS!J37</f>
        <v>1149</v>
      </c>
      <c r="H6" s="104">
        <f>RawFS!K37</f>
        <v>1758</v>
      </c>
      <c r="I6" s="104">
        <f>RawFS!L37</f>
        <v>2236</v>
      </c>
      <c r="J6" s="104">
        <f>RawFS!M37</f>
        <v>3079</v>
      </c>
      <c r="K6" s="104">
        <f>RawFS!N37</f>
        <v>2997</v>
      </c>
    </row>
    <row r="7" spans="2:11" x14ac:dyDescent="0.3">
      <c r="B7" s="103" t="s">
        <v>304</v>
      </c>
      <c r="C7" s="103"/>
      <c r="D7" s="103"/>
      <c r="E7" s="103"/>
      <c r="F7" s="103"/>
      <c r="G7" s="104">
        <f>RawFS!J39</f>
        <v>19</v>
      </c>
      <c r="H7" s="104">
        <f>RawFS!K39</f>
        <v>78</v>
      </c>
      <c r="I7" s="104">
        <f>RawFS!L39</f>
        <v>170</v>
      </c>
      <c r="J7" s="104">
        <f>RawFS!M39</f>
        <v>188</v>
      </c>
      <c r="K7" s="104">
        <f>RawFS!N39</f>
        <v>172</v>
      </c>
    </row>
    <row r="8" spans="2:11" x14ac:dyDescent="0.3">
      <c r="B8" t="s">
        <v>305</v>
      </c>
      <c r="G8" s="104">
        <f>RawFS!J40</f>
        <v>3774</v>
      </c>
      <c r="H8" s="104">
        <f>RawFS!K40</f>
        <v>3957</v>
      </c>
      <c r="I8" s="104">
        <f>RawFS!L40</f>
        <v>3851</v>
      </c>
      <c r="J8" s="104">
        <f>RawFS!M40</f>
        <v>4189</v>
      </c>
      <c r="K8" s="104">
        <f>RawFS!N40</f>
        <v>4345</v>
      </c>
    </row>
    <row r="9" spans="2:11" x14ac:dyDescent="0.3">
      <c r="B9" s="106" t="s">
        <v>85</v>
      </c>
      <c r="C9" s="60"/>
      <c r="D9" s="60"/>
      <c r="E9" s="60"/>
      <c r="F9" s="60"/>
      <c r="G9" s="107"/>
      <c r="H9" s="107"/>
      <c r="I9" s="107"/>
      <c r="J9" s="107"/>
      <c r="K9" s="107"/>
    </row>
    <row r="10" spans="2:11" x14ac:dyDescent="0.3">
      <c r="G10" s="105"/>
      <c r="H10" s="105"/>
      <c r="I10" s="105"/>
      <c r="J10" s="105"/>
      <c r="K10" s="105"/>
    </row>
    <row r="11" spans="2:11" x14ac:dyDescent="0.3">
      <c r="B11" s="15" t="s">
        <v>282</v>
      </c>
      <c r="G11" s="105"/>
      <c r="H11" s="105"/>
      <c r="I11" s="105"/>
      <c r="J11" s="105"/>
      <c r="K11" s="105"/>
    </row>
    <row r="12" spans="2:11" x14ac:dyDescent="0.3">
      <c r="B12" s="103" t="s">
        <v>306</v>
      </c>
      <c r="C12" s="103"/>
      <c r="D12" s="103"/>
      <c r="E12" s="103"/>
      <c r="F12" s="103"/>
      <c r="G12" s="104">
        <f>RawFS!J13</f>
        <v>7535</v>
      </c>
      <c r="H12" s="104">
        <f>RawFS!K13</f>
        <v>8802</v>
      </c>
      <c r="I12" s="104">
        <f>RawFS!L13</f>
        <v>9068</v>
      </c>
      <c r="J12" s="104">
        <f>RawFS!M13</f>
        <v>9574</v>
      </c>
      <c r="K12" s="104">
        <f>RawFS!N13</f>
        <v>10486</v>
      </c>
    </row>
    <row r="13" spans="2:11" x14ac:dyDescent="0.3">
      <c r="B13" s="103" t="s">
        <v>307</v>
      </c>
      <c r="C13" s="103"/>
      <c r="D13" s="103"/>
      <c r="E13" s="103"/>
      <c r="F13" s="103"/>
      <c r="G13" s="104">
        <f>RawFS!J14</f>
        <v>158</v>
      </c>
      <c r="H13" s="104">
        <f>RawFS!K14</f>
        <v>96</v>
      </c>
      <c r="I13" s="104">
        <f>RawFS!L14</f>
        <v>119</v>
      </c>
      <c r="J13" s="104">
        <f>RawFS!M14</f>
        <v>98</v>
      </c>
      <c r="K13" s="104">
        <f>RawFS!N14</f>
        <v>91</v>
      </c>
    </row>
    <row r="14" spans="2:11" x14ac:dyDescent="0.3">
      <c r="B14" s="103" t="s">
        <v>308</v>
      </c>
      <c r="C14" s="103"/>
      <c r="D14" s="103"/>
      <c r="E14" s="103"/>
      <c r="F14" s="103"/>
      <c r="G14" s="104">
        <f>RawFS!J15</f>
        <v>4214</v>
      </c>
      <c r="H14" s="104">
        <f>RawFS!K15</f>
        <v>12148</v>
      </c>
      <c r="I14" s="104">
        <f>RawFS!L15</f>
        <v>11189</v>
      </c>
      <c r="J14" s="104">
        <f>RawFS!M15</f>
        <v>11664</v>
      </c>
      <c r="K14" s="104">
        <f>RawFS!N15</f>
        <v>15005</v>
      </c>
    </row>
    <row r="15" spans="2:11" x14ac:dyDescent="0.3">
      <c r="B15" s="106" t="s">
        <v>283</v>
      </c>
      <c r="C15" s="60"/>
      <c r="D15" s="60"/>
      <c r="E15" s="60"/>
      <c r="F15" s="60"/>
      <c r="G15" s="107"/>
      <c r="H15" s="107"/>
      <c r="I15" s="107"/>
      <c r="J15" s="107"/>
      <c r="K15" s="107"/>
    </row>
    <row r="16" spans="2:11" x14ac:dyDescent="0.3">
      <c r="G16" s="105"/>
      <c r="H16" s="105"/>
      <c r="I16" s="105"/>
      <c r="J16" s="105"/>
      <c r="K16" s="105"/>
    </row>
    <row r="17" spans="2:11" ht="15" thickBot="1" x14ac:dyDescent="0.35">
      <c r="B17" s="97" t="s">
        <v>284</v>
      </c>
      <c r="C17" s="97"/>
      <c r="D17" s="97"/>
      <c r="E17" s="97"/>
      <c r="F17" s="97"/>
      <c r="G17" s="108">
        <f>G8-G14</f>
        <v>-440</v>
      </c>
      <c r="H17" s="108">
        <f t="shared" ref="H17:K17" si="0">H8-H14</f>
        <v>-8191</v>
      </c>
      <c r="I17" s="108">
        <f t="shared" si="0"/>
        <v>-7338</v>
      </c>
      <c r="J17" s="108">
        <f t="shared" si="0"/>
        <v>-7475</v>
      </c>
      <c r="K17" s="108">
        <f t="shared" si="0"/>
        <v>-10660</v>
      </c>
    </row>
    <row r="18" spans="2:11" x14ac:dyDescent="0.3">
      <c r="G18" s="105"/>
      <c r="H18" s="105"/>
      <c r="I18" s="105"/>
      <c r="J18" s="105"/>
      <c r="K18" s="105"/>
    </row>
    <row r="19" spans="2:11" x14ac:dyDescent="0.3">
      <c r="B19" s="15" t="s">
        <v>285</v>
      </c>
      <c r="G19" s="105"/>
      <c r="H19" s="105"/>
      <c r="I19" s="105"/>
      <c r="J19" s="105"/>
      <c r="K19" s="105"/>
    </row>
    <row r="20" spans="2:11" x14ac:dyDescent="0.3">
      <c r="B20" s="103" t="s">
        <v>309</v>
      </c>
      <c r="C20" s="103"/>
      <c r="D20" s="103"/>
      <c r="E20" s="103"/>
      <c r="F20" s="103"/>
      <c r="G20" s="104">
        <f>RawFS!J19</f>
        <v>59</v>
      </c>
      <c r="H20" s="104">
        <f>RawFS!K19</f>
        <v>477</v>
      </c>
      <c r="I20" s="104">
        <f>RawFS!L19</f>
        <v>477</v>
      </c>
      <c r="J20" s="104">
        <f>RawFS!M19</f>
        <v>609</v>
      </c>
      <c r="K20" s="104">
        <f>RawFS!N19</f>
        <v>618</v>
      </c>
    </row>
    <row r="21" spans="2:11" x14ac:dyDescent="0.3">
      <c r="B21" s="103" t="s">
        <v>310</v>
      </c>
      <c r="C21" s="103"/>
      <c r="D21" s="103"/>
      <c r="E21" s="103"/>
      <c r="F21" s="103"/>
      <c r="G21" s="104">
        <f>RawFS!J20</f>
        <v>2044</v>
      </c>
      <c r="H21" s="104">
        <f>RawFS!K20</f>
        <v>2602</v>
      </c>
      <c r="I21" s="104">
        <f>RawFS!L20</f>
        <v>2788</v>
      </c>
      <c r="J21" s="104">
        <f>RawFS!M20</f>
        <v>3101</v>
      </c>
      <c r="K21" s="104">
        <f>RawFS!N20</f>
        <v>3518</v>
      </c>
    </row>
    <row r="22" spans="2:11" x14ac:dyDescent="0.3">
      <c r="B22" s="103" t="s">
        <v>311</v>
      </c>
      <c r="C22" s="103"/>
      <c r="D22" s="103"/>
      <c r="E22" s="103"/>
      <c r="F22" s="103"/>
      <c r="G22" s="104">
        <f>RawFS!J21</f>
        <v>5001</v>
      </c>
      <c r="H22" s="104">
        <f>RawFS!K21</f>
        <v>6097</v>
      </c>
      <c r="I22" s="104">
        <f>RawFS!L21</f>
        <v>6566</v>
      </c>
      <c r="J22" s="104">
        <f>RawFS!M21</f>
        <v>7612</v>
      </c>
      <c r="K22" s="104">
        <f>RawFS!N21</f>
        <v>8832</v>
      </c>
    </row>
    <row r="23" spans="2:11" x14ac:dyDescent="0.3">
      <c r="B23" s="103" t="s">
        <v>312</v>
      </c>
      <c r="C23" s="103"/>
      <c r="D23" s="103"/>
      <c r="E23" s="103"/>
      <c r="F23" s="103"/>
      <c r="G23" s="104">
        <f>RawFS!J22</f>
        <v>139</v>
      </c>
      <c r="H23" s="104">
        <f>RawFS!K22</f>
        <v>175</v>
      </c>
      <c r="I23" s="104">
        <f>RawFS!L22</f>
        <v>181</v>
      </c>
      <c r="J23" s="104">
        <f>RawFS!M22</f>
        <v>185</v>
      </c>
      <c r="K23" s="104">
        <f>RawFS!N22</f>
        <v>206</v>
      </c>
    </row>
    <row r="24" spans="2:11" x14ac:dyDescent="0.3">
      <c r="B24" s="103" t="s">
        <v>313</v>
      </c>
      <c r="C24" s="103"/>
      <c r="D24" s="103"/>
      <c r="E24" s="103"/>
      <c r="F24" s="103"/>
      <c r="G24" s="104">
        <f>RawFS!J23</f>
        <v>154</v>
      </c>
      <c r="H24" s="104">
        <f>RawFS!K23</f>
        <v>156</v>
      </c>
      <c r="I24" s="104">
        <f>RawFS!L23</f>
        <v>152</v>
      </c>
      <c r="J24" s="104">
        <f>RawFS!M23</f>
        <v>161</v>
      </c>
      <c r="K24" s="104">
        <f>RawFS!N23</f>
        <v>165</v>
      </c>
    </row>
    <row r="25" spans="2:11" x14ac:dyDescent="0.3">
      <c r="B25" s="103" t="s">
        <v>330</v>
      </c>
      <c r="C25" s="103"/>
      <c r="D25" s="103"/>
      <c r="E25" s="103"/>
      <c r="F25" s="103"/>
      <c r="G25" s="104">
        <f>RawFS!J24</f>
        <v>0</v>
      </c>
      <c r="H25" s="104">
        <f>RawFS!K24</f>
        <v>0</v>
      </c>
      <c r="I25" s="104">
        <f>RawFS!L24</f>
        <v>0</v>
      </c>
      <c r="J25" s="104">
        <f>RawFS!M24</f>
        <v>0</v>
      </c>
      <c r="K25" s="104">
        <f>RawFS!N24</f>
        <v>0</v>
      </c>
    </row>
    <row r="26" spans="2:11" x14ac:dyDescent="0.3">
      <c r="B26" s="103" t="s">
        <v>314</v>
      </c>
      <c r="C26" s="103"/>
      <c r="D26" s="103"/>
      <c r="E26" s="103"/>
      <c r="F26" s="103"/>
      <c r="G26" s="104">
        <f>RawFS!J25</f>
        <v>0</v>
      </c>
      <c r="H26" s="104">
        <f>RawFS!K25</f>
        <v>0</v>
      </c>
      <c r="I26" s="104">
        <f>RawFS!L25</f>
        <v>0</v>
      </c>
      <c r="J26" s="104">
        <f>RawFS!M25</f>
        <v>33</v>
      </c>
      <c r="K26" s="104">
        <f>RawFS!N25</f>
        <v>37</v>
      </c>
    </row>
    <row r="27" spans="2:11" x14ac:dyDescent="0.3">
      <c r="B27" s="103" t="s">
        <v>315</v>
      </c>
      <c r="C27" s="103"/>
      <c r="D27" s="103"/>
      <c r="E27" s="103"/>
      <c r="F27" s="103"/>
      <c r="G27" s="104">
        <f>RawFS!J26</f>
        <v>511</v>
      </c>
      <c r="H27" s="104">
        <f>RawFS!K26</f>
        <v>45262</v>
      </c>
      <c r="I27" s="104">
        <f>RawFS!L26</f>
        <v>45262</v>
      </c>
      <c r="J27" s="104">
        <f>RawFS!M26</f>
        <v>45692</v>
      </c>
      <c r="K27" s="104">
        <f>RawFS!N26</f>
        <v>45692</v>
      </c>
    </row>
    <row r="28" spans="2:11" x14ac:dyDescent="0.3">
      <c r="B28" s="103" t="s">
        <v>316</v>
      </c>
      <c r="C28" s="103"/>
      <c r="D28" s="103"/>
      <c r="E28" s="103"/>
      <c r="F28" s="103"/>
      <c r="G28" s="104">
        <f>RawFS!J27</f>
        <v>71</v>
      </c>
      <c r="H28" s="104">
        <f>RawFS!K27</f>
        <v>155</v>
      </c>
      <c r="I28" s="104">
        <f>RawFS!L27</f>
        <v>152</v>
      </c>
      <c r="J28" s="104">
        <f>RawFS!M27</f>
        <v>171</v>
      </c>
      <c r="K28" s="104">
        <f>RawFS!N27</f>
        <v>180</v>
      </c>
    </row>
    <row r="29" spans="2:11" x14ac:dyDescent="0.3">
      <c r="B29" s="103"/>
      <c r="C29" s="103"/>
      <c r="D29" s="103"/>
      <c r="E29" s="103"/>
      <c r="F29" s="103"/>
      <c r="G29" s="104"/>
      <c r="H29" s="104"/>
      <c r="I29" s="104"/>
      <c r="J29" s="104"/>
      <c r="K29" s="104"/>
    </row>
    <row r="30" spans="2:11" x14ac:dyDescent="0.3">
      <c r="B30" s="106" t="s">
        <v>286</v>
      </c>
      <c r="C30" s="60"/>
      <c r="D30" s="60"/>
      <c r="E30" s="60"/>
      <c r="F30" s="60"/>
      <c r="G30" s="107">
        <f>SUM(G20:G28)</f>
        <v>7979</v>
      </c>
      <c r="H30" s="107">
        <f t="shared" ref="H30:K30" si="1">SUM(H20:H28)</f>
        <v>54924</v>
      </c>
      <c r="I30" s="107">
        <f t="shared" si="1"/>
        <v>55578</v>
      </c>
      <c r="J30" s="107">
        <f t="shared" si="1"/>
        <v>57564</v>
      </c>
      <c r="K30" s="107">
        <f t="shared" si="1"/>
        <v>59248</v>
      </c>
    </row>
    <row r="31" spans="2:11" x14ac:dyDescent="0.3">
      <c r="B31" t="s">
        <v>287</v>
      </c>
      <c r="G31" s="105">
        <f>RawFS!J29</f>
        <v>2500</v>
      </c>
      <c r="H31" s="105">
        <f>RawFS!K29</f>
        <v>3481</v>
      </c>
      <c r="I31" s="105">
        <f>RawFS!L29</f>
        <v>4105</v>
      </c>
      <c r="J31" s="105">
        <f>RawFS!M29</f>
        <v>4886</v>
      </c>
      <c r="K31" s="105">
        <f>RawFS!N29</f>
        <v>5504</v>
      </c>
    </row>
    <row r="32" spans="2:11" ht="15" thickBot="1" x14ac:dyDescent="0.35">
      <c r="B32" s="97" t="s">
        <v>288</v>
      </c>
      <c r="C32" s="97"/>
      <c r="D32" s="97"/>
      <c r="E32" s="97"/>
      <c r="F32" s="97"/>
      <c r="G32" s="108">
        <f>G30-G31</f>
        <v>5479</v>
      </c>
      <c r="H32" s="108">
        <f t="shared" ref="H32:K32" si="2">H30-H31</f>
        <v>51443</v>
      </c>
      <c r="I32" s="108">
        <f t="shared" si="2"/>
        <v>51473</v>
      </c>
      <c r="J32" s="108">
        <f t="shared" si="2"/>
        <v>52678</v>
      </c>
      <c r="K32" s="108">
        <f t="shared" si="2"/>
        <v>53744</v>
      </c>
    </row>
    <row r="33" spans="2:11" x14ac:dyDescent="0.3">
      <c r="G33" s="105"/>
      <c r="H33" s="105"/>
      <c r="I33" s="105"/>
      <c r="J33" s="105"/>
      <c r="K33" s="105"/>
    </row>
    <row r="34" spans="2:11" x14ac:dyDescent="0.3">
      <c r="B34" s="15" t="s">
        <v>289</v>
      </c>
      <c r="C34" s="15"/>
      <c r="D34" s="15"/>
      <c r="E34" s="15"/>
      <c r="F34" s="15"/>
      <c r="G34" s="109">
        <f>G32+G17</f>
        <v>5039</v>
      </c>
      <c r="H34" s="109">
        <f t="shared" ref="H34:K34" si="3">H32+H17</f>
        <v>43252</v>
      </c>
      <c r="I34" s="109">
        <f t="shared" si="3"/>
        <v>44135</v>
      </c>
      <c r="J34" s="109">
        <f t="shared" si="3"/>
        <v>45203</v>
      </c>
      <c r="K34" s="109">
        <f t="shared" si="3"/>
        <v>43084</v>
      </c>
    </row>
    <row r="35" spans="2:11" x14ac:dyDescent="0.3">
      <c r="B35" s="15" t="s">
        <v>260</v>
      </c>
      <c r="C35" s="15"/>
      <c r="D35" s="15"/>
      <c r="E35" s="15"/>
      <c r="F35" s="15"/>
      <c r="G35" s="109">
        <f>HistoricalFS!H27+HistoricalFS!H21</f>
        <v>8859</v>
      </c>
      <c r="H35" s="109">
        <f>HistoricalFS!I27+HistoricalFS!I21</f>
        <v>10552</v>
      </c>
      <c r="I35" s="109">
        <f>HistoricalFS!J27+HistoricalFS!J21</f>
        <v>11766</v>
      </c>
      <c r="J35" s="109">
        <f>HistoricalFS!K27+HistoricalFS!K21</f>
        <v>13010</v>
      </c>
      <c r="K35" s="109">
        <f>HistoricalFS!L27+HistoricalFS!L21</f>
        <v>13443</v>
      </c>
    </row>
    <row r="37" spans="2:11" ht="15" thickBot="1" x14ac:dyDescent="0.35">
      <c r="B37" s="97" t="s">
        <v>290</v>
      </c>
      <c r="C37" s="110"/>
      <c r="D37" s="110"/>
      <c r="E37" s="110"/>
      <c r="F37" s="110"/>
      <c r="G37" s="111">
        <f>G35/G34</f>
        <v>1.7580869220083351</v>
      </c>
      <c r="H37" s="111">
        <f t="shared" ref="H37:K37" si="4">H35/H34</f>
        <v>0.24396559696661427</v>
      </c>
      <c r="I37" s="111">
        <f t="shared" si="4"/>
        <v>0.26659114081794494</v>
      </c>
      <c r="J37" s="111">
        <f t="shared" si="4"/>
        <v>0.28781275579054488</v>
      </c>
      <c r="K37" s="111">
        <f t="shared" si="4"/>
        <v>0.31201838269427168</v>
      </c>
    </row>
    <row r="40" spans="2:11" x14ac:dyDescent="0.3">
      <c r="B40" s="93" t="s">
        <v>291</v>
      </c>
      <c r="C40" s="94"/>
      <c r="D40" s="94"/>
      <c r="E40" s="94"/>
      <c r="F40" s="94"/>
      <c r="G40" s="95"/>
      <c r="H40" s="95"/>
      <c r="I40" s="95"/>
      <c r="J40" s="95"/>
      <c r="K40" s="95"/>
    </row>
    <row r="42" spans="2:11" x14ac:dyDescent="0.3">
      <c r="B42" s="103" t="s">
        <v>292</v>
      </c>
      <c r="C42" s="103"/>
      <c r="D42" s="103"/>
      <c r="E42" s="103"/>
      <c r="F42" s="103"/>
      <c r="G42" s="104">
        <f>-SUM(RawFS!J60:J61)</f>
        <v>810</v>
      </c>
      <c r="H42" s="104">
        <f>-SUM(RawFS!K60:K61)</f>
        <v>4066</v>
      </c>
      <c r="I42" s="104">
        <f>-SUM(RawFS!L60:L61)</f>
        <v>1053</v>
      </c>
      <c r="J42" s="104">
        <f>-SUM(RawFS!M60:M61)</f>
        <v>1011</v>
      </c>
      <c r="K42" s="104">
        <f>-SUM(RawFS!N60:N61)</f>
        <v>1457</v>
      </c>
    </row>
    <row r="43" spans="2:11" x14ac:dyDescent="0.3">
      <c r="B43" s="103" t="s">
        <v>293</v>
      </c>
      <c r="C43" s="103"/>
      <c r="D43" s="103"/>
      <c r="E43" s="103"/>
      <c r="F43" s="103"/>
      <c r="G43" s="104"/>
      <c r="H43" s="104">
        <f>H17-G17</f>
        <v>-7751</v>
      </c>
      <c r="I43" s="104">
        <f t="shared" ref="I43:K43" si="5">I17-H17</f>
        <v>853</v>
      </c>
      <c r="J43" s="104">
        <f t="shared" si="5"/>
        <v>-137</v>
      </c>
      <c r="K43" s="104">
        <f t="shared" si="5"/>
        <v>-3185</v>
      </c>
    </row>
    <row r="44" spans="2:11" x14ac:dyDescent="0.3">
      <c r="B44" s="103"/>
      <c r="C44" s="103"/>
      <c r="D44" s="103"/>
      <c r="E44" s="103"/>
      <c r="F44" s="103"/>
      <c r="G44" s="104"/>
      <c r="H44" s="104"/>
      <c r="I44" s="104"/>
      <c r="J44" s="104"/>
      <c r="K44" s="104"/>
    </row>
    <row r="45" spans="2:11" x14ac:dyDescent="0.3">
      <c r="B45" s="103" t="s">
        <v>260</v>
      </c>
      <c r="C45" s="103"/>
      <c r="D45" s="103"/>
      <c r="E45" s="103"/>
      <c r="F45" s="103"/>
      <c r="G45" s="104">
        <f>G35</f>
        <v>8859</v>
      </c>
      <c r="H45" s="104">
        <f t="shared" ref="H45:K45" si="6">H35</f>
        <v>10552</v>
      </c>
      <c r="I45" s="104">
        <f t="shared" si="6"/>
        <v>11766</v>
      </c>
      <c r="J45" s="104">
        <f t="shared" si="6"/>
        <v>13010</v>
      </c>
      <c r="K45" s="104">
        <f t="shared" si="6"/>
        <v>13443</v>
      </c>
    </row>
    <row r="46" spans="2:11" x14ac:dyDescent="0.3">
      <c r="B46" s="103" t="s">
        <v>294</v>
      </c>
      <c r="C46" s="103"/>
      <c r="D46" s="103"/>
      <c r="E46" s="103"/>
      <c r="F46" s="103"/>
      <c r="G46" s="112"/>
      <c r="H46" s="112">
        <v>0.25</v>
      </c>
      <c r="I46" s="112">
        <v>0.25</v>
      </c>
      <c r="J46" s="112">
        <v>0.25</v>
      </c>
      <c r="K46" s="112">
        <v>0.25</v>
      </c>
    </row>
    <row r="47" spans="2:11" x14ac:dyDescent="0.3">
      <c r="B47" s="103" t="s">
        <v>295</v>
      </c>
      <c r="C47" s="103"/>
      <c r="D47" s="103"/>
      <c r="E47" s="103"/>
      <c r="F47" s="103"/>
      <c r="G47" s="113"/>
      <c r="H47" s="113">
        <f>H45*(1-H46)</f>
        <v>7914</v>
      </c>
      <c r="I47" s="113">
        <f t="shared" ref="I47:K47" si="7">I45*(1-I46)</f>
        <v>8824.5</v>
      </c>
      <c r="J47" s="113">
        <f t="shared" si="7"/>
        <v>9757.5</v>
      </c>
      <c r="K47" s="113">
        <f t="shared" si="7"/>
        <v>10082.25</v>
      </c>
    </row>
    <row r="48" spans="2:11" x14ac:dyDescent="0.3">
      <c r="B48" s="103"/>
      <c r="C48" s="103"/>
      <c r="D48" s="103"/>
      <c r="E48" s="103"/>
      <c r="F48" s="103"/>
      <c r="G48" s="104"/>
      <c r="H48" s="104"/>
      <c r="I48" s="104"/>
      <c r="J48" s="104"/>
      <c r="K48" s="104"/>
    </row>
    <row r="49" spans="2:11" x14ac:dyDescent="0.3">
      <c r="B49" s="103" t="s">
        <v>296</v>
      </c>
      <c r="C49" s="103"/>
      <c r="D49" s="103"/>
      <c r="E49" s="103"/>
      <c r="F49" s="103"/>
      <c r="G49" s="104"/>
      <c r="H49" s="104">
        <f>SUM(H42:H43)</f>
        <v>-3685</v>
      </c>
      <c r="I49" s="104">
        <f t="shared" ref="I49:K49" si="8">SUM(I42:I43)</f>
        <v>1906</v>
      </c>
      <c r="J49" s="104">
        <f t="shared" si="8"/>
        <v>874</v>
      </c>
      <c r="K49" s="104">
        <f t="shared" si="8"/>
        <v>-1728</v>
      </c>
    </row>
    <row r="50" spans="2:11" x14ac:dyDescent="0.3">
      <c r="H50" s="29"/>
      <c r="I50" s="29"/>
      <c r="J50" s="29"/>
      <c r="K50" s="29"/>
    </row>
    <row r="51" spans="2:11" ht="15" thickBot="1" x14ac:dyDescent="0.35">
      <c r="B51" s="97" t="s">
        <v>297</v>
      </c>
      <c r="C51" s="97"/>
      <c r="D51" s="97"/>
      <c r="E51" s="97"/>
      <c r="F51" s="97"/>
      <c r="G51" s="97"/>
      <c r="H51" s="111">
        <f>H49/H47</f>
        <v>-0.46563052817791256</v>
      </c>
      <c r="I51" s="111">
        <f t="shared" ref="I51:K51" si="9">I49/I47</f>
        <v>0.21598957448014053</v>
      </c>
      <c r="J51" s="111">
        <f t="shared" si="9"/>
        <v>8.9572124007173973E-2</v>
      </c>
      <c r="K51" s="111">
        <f t="shared" si="9"/>
        <v>-0.17139031466190582</v>
      </c>
    </row>
    <row r="52" spans="2:11" x14ac:dyDescent="0.3">
      <c r="H52" s="17"/>
      <c r="I52" s="17"/>
      <c r="J52" s="17"/>
      <c r="K52" s="17"/>
    </row>
    <row r="53" spans="2:11" x14ac:dyDescent="0.3">
      <c r="J53" s="87" t="s">
        <v>298</v>
      </c>
      <c r="K53" s="88">
        <f>AVERAGE(H51:K51)</f>
        <v>-8.2864786088125975E-2</v>
      </c>
    </row>
    <row r="54" spans="2:11" x14ac:dyDescent="0.3">
      <c r="J54" s="87" t="s">
        <v>299</v>
      </c>
      <c r="K54" s="88">
        <f>MEDIAN(H51:K51)</f>
        <v>-4.0909095327365919E-2</v>
      </c>
    </row>
    <row r="56" spans="2:11" x14ac:dyDescent="0.3">
      <c r="B56" s="93" t="s">
        <v>300</v>
      </c>
      <c r="C56" s="94"/>
      <c r="D56" s="94"/>
      <c r="E56" s="94"/>
      <c r="F56" s="94"/>
      <c r="G56" s="95"/>
      <c r="H56" s="95"/>
      <c r="I56" s="95"/>
      <c r="J56" s="95"/>
      <c r="K56" s="95"/>
    </row>
    <row r="58" spans="2:11" x14ac:dyDescent="0.3">
      <c r="B58" s="103" t="s">
        <v>297</v>
      </c>
      <c r="C58" s="103"/>
      <c r="D58" s="103"/>
      <c r="E58" s="103"/>
      <c r="F58" s="103"/>
      <c r="G58" s="103"/>
      <c r="H58" s="114">
        <f>H51</f>
        <v>-0.46563052817791256</v>
      </c>
      <c r="I58" s="114">
        <f t="shared" ref="I58:K58" si="10">I51</f>
        <v>0.21598957448014053</v>
      </c>
      <c r="J58" s="114">
        <f t="shared" si="10"/>
        <v>8.9572124007173973E-2</v>
      </c>
      <c r="K58" s="114">
        <f t="shared" si="10"/>
        <v>-0.17139031466190582</v>
      </c>
    </row>
    <row r="59" spans="2:11" x14ac:dyDescent="0.3">
      <c r="B59" s="103" t="s">
        <v>290</v>
      </c>
      <c r="C59" s="103"/>
      <c r="D59" s="103"/>
      <c r="E59" s="103"/>
      <c r="F59" s="103"/>
      <c r="G59" s="103"/>
      <c r="H59" s="114">
        <f>H37</f>
        <v>0.24396559696661427</v>
      </c>
      <c r="I59" s="114">
        <f t="shared" ref="I59:K59" si="11">I37</f>
        <v>0.26659114081794494</v>
      </c>
      <c r="J59" s="114">
        <f t="shared" si="11"/>
        <v>0.28781275579054488</v>
      </c>
      <c r="K59" s="114">
        <f t="shared" si="11"/>
        <v>0.31201838269427168</v>
      </c>
    </row>
    <row r="61" spans="2:11" ht="15" thickBot="1" x14ac:dyDescent="0.35">
      <c r="B61" s="97" t="s">
        <v>301</v>
      </c>
      <c r="C61" s="97"/>
      <c r="D61" s="97"/>
      <c r="E61" s="97"/>
      <c r="F61" s="97"/>
      <c r="G61" s="97"/>
      <c r="H61" s="115">
        <f>H58*H59</f>
        <v>-0.11359782977280435</v>
      </c>
      <c r="I61" s="115">
        <f t="shared" ref="I61:K61" si="12">I58*I59</f>
        <v>5.7580907065443152E-2</v>
      </c>
      <c r="J61" s="115">
        <f t="shared" si="12"/>
        <v>2.5779999852517166E-2</v>
      </c>
      <c r="K61" s="115">
        <f t="shared" si="12"/>
        <v>-5.3476928790270176E-2</v>
      </c>
    </row>
    <row r="63" spans="2:11" x14ac:dyDescent="0.3">
      <c r="J63" s="87" t="s">
        <v>298</v>
      </c>
      <c r="K63" s="88">
        <f>AVERAGE(H61:K61)</f>
        <v>-2.0928462911278551E-2</v>
      </c>
    </row>
    <row r="64" spans="2:11" x14ac:dyDescent="0.3">
      <c r="J64" s="87" t="s">
        <v>299</v>
      </c>
      <c r="K64" s="88">
        <f>MEDIAN(H61:K61)</f>
        <v>-1.3848464468876505E-2</v>
      </c>
    </row>
  </sheetData>
  <mergeCells count="1">
    <mergeCell ref="B1:K1"/>
  </mergeCells>
  <pageMargins left="0.70866141732283472" right="0.70866141732283472" top="3.937007874015748E-2" bottom="3.937007874015748E-2" header="0.31496062992125984" footer="0.31496062992125984"/>
  <pageSetup paperSize="9" scale="89" orientation="portrait" r:id="rId1"/>
  <ignoredErrors>
    <ignoredError sqref="G42 H42:K42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EAB5-1258-49C9-9C0B-A8027D874526}">
  <sheetPr>
    <tabColor theme="8" tint="-0.499984740745262"/>
  </sheetPr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B414-43EE-4FFE-B14C-A002C9EDC0A7}">
  <dimension ref="A1:L93"/>
  <sheetViews>
    <sheetView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B82" sqref="B82"/>
    </sheetView>
  </sheetViews>
  <sheetFormatPr defaultColWidth="10.44140625" defaultRowHeight="13.2" x14ac:dyDescent="0.25"/>
  <cols>
    <col min="1" max="1" width="26.6640625" style="2" bestFit="1" customWidth="1"/>
    <col min="2" max="11" width="11.44140625" style="2" bestFit="1" customWidth="1"/>
    <col min="12" max="16384" width="10.44140625" style="2"/>
  </cols>
  <sheetData>
    <row r="1" spans="1:11" s="1" customFormat="1" x14ac:dyDescent="0.25">
      <c r="A1" s="1" t="s">
        <v>0</v>
      </c>
      <c r="B1" s="1" t="s">
        <v>1</v>
      </c>
      <c r="E1" s="121" t="str">
        <f>IF(B2&lt;&gt;B3, "A NEW VERSION OF THE WORKSHEET IS AVAILABLE", "")</f>
        <v/>
      </c>
      <c r="F1" s="121"/>
      <c r="G1" s="121"/>
      <c r="H1" s="121"/>
      <c r="I1" s="121"/>
      <c r="J1" s="121"/>
      <c r="K1" s="121"/>
    </row>
    <row r="2" spans="1:11" x14ac:dyDescent="0.25">
      <c r="A2" s="1" t="s">
        <v>2</v>
      </c>
      <c r="B2" s="2">
        <v>2.1</v>
      </c>
      <c r="E2" s="122" t="s">
        <v>3</v>
      </c>
      <c r="F2" s="122"/>
      <c r="G2" s="122"/>
      <c r="H2" s="122"/>
      <c r="I2" s="122"/>
      <c r="J2" s="122"/>
      <c r="K2" s="122"/>
    </row>
    <row r="3" spans="1:11" x14ac:dyDescent="0.25">
      <c r="A3" s="1" t="s">
        <v>4</v>
      </c>
      <c r="B3" s="2">
        <v>2.1</v>
      </c>
    </row>
    <row r="4" spans="1:11" x14ac:dyDescent="0.25">
      <c r="A4" s="1"/>
    </row>
    <row r="5" spans="1:11" x14ac:dyDescent="0.25">
      <c r="A5" s="1" t="s">
        <v>5</v>
      </c>
    </row>
    <row r="6" spans="1:11" x14ac:dyDescent="0.25">
      <c r="A6" s="2" t="s">
        <v>6</v>
      </c>
      <c r="B6" s="2">
        <f>IF(B9&gt;0, B9/B8, 0)</f>
        <v>234.95914554426216</v>
      </c>
    </row>
    <row r="7" spans="1:11" x14ac:dyDescent="0.25">
      <c r="A7" s="2" t="s">
        <v>7</v>
      </c>
      <c r="B7" s="3">
        <v>1</v>
      </c>
    </row>
    <row r="8" spans="1:11" x14ac:dyDescent="0.25">
      <c r="A8" s="2" t="s">
        <v>8</v>
      </c>
      <c r="B8" s="3">
        <v>2371.1</v>
      </c>
    </row>
    <row r="9" spans="1:11" x14ac:dyDescent="0.25">
      <c r="A9" s="2" t="s">
        <v>9</v>
      </c>
      <c r="B9" s="3">
        <v>557111.63</v>
      </c>
    </row>
    <row r="15" spans="1:11" x14ac:dyDescent="0.25">
      <c r="A15" s="1" t="s">
        <v>10</v>
      </c>
      <c r="B15" s="2">
        <f>B26+B34</f>
        <v>6969.56</v>
      </c>
      <c r="K15" s="2">
        <f>K17-K18-K20-K21-K22-K23-K19</f>
        <v>17450</v>
      </c>
    </row>
    <row r="16" spans="1:11" s="6" customFormat="1" x14ac:dyDescent="0.25">
      <c r="A16" s="4" t="s">
        <v>11</v>
      </c>
      <c r="B16" s="5">
        <v>42094</v>
      </c>
      <c r="C16" s="5">
        <v>42460</v>
      </c>
      <c r="D16" s="5">
        <v>42825</v>
      </c>
      <c r="E16" s="5">
        <v>43190</v>
      </c>
      <c r="F16" s="5">
        <v>43555</v>
      </c>
      <c r="G16" s="5">
        <v>43921</v>
      </c>
      <c r="H16" s="5">
        <v>44286</v>
      </c>
      <c r="I16" s="5">
        <v>44651</v>
      </c>
      <c r="J16" s="5">
        <v>45016</v>
      </c>
      <c r="K16" s="5">
        <v>45382</v>
      </c>
    </row>
    <row r="17" spans="1:11" x14ac:dyDescent="0.25">
      <c r="A17" s="2" t="s">
        <v>12</v>
      </c>
      <c r="B17" s="3">
        <v>31972.19</v>
      </c>
      <c r="C17" s="3">
        <v>32186</v>
      </c>
      <c r="D17" s="3">
        <v>33162</v>
      </c>
      <c r="E17" s="3">
        <v>35545</v>
      </c>
      <c r="F17" s="3">
        <v>39310</v>
      </c>
      <c r="G17" s="3">
        <v>39783</v>
      </c>
      <c r="H17" s="3">
        <v>47028</v>
      </c>
      <c r="I17" s="3">
        <v>52446</v>
      </c>
      <c r="J17" s="3">
        <v>60580</v>
      </c>
      <c r="K17" s="3">
        <v>61896</v>
      </c>
    </row>
    <row r="18" spans="1:11" ht="14.4" x14ac:dyDescent="0.3">
      <c r="A18" s="2" t="s">
        <v>13</v>
      </c>
      <c r="B18" s="7">
        <v>13509.4</v>
      </c>
      <c r="C18" s="7">
        <v>13184</v>
      </c>
      <c r="D18" s="7">
        <v>13606</v>
      </c>
      <c r="E18" s="7">
        <v>14233</v>
      </c>
      <c r="F18" s="7">
        <v>15845</v>
      </c>
      <c r="G18" s="7">
        <v>15697</v>
      </c>
      <c r="H18" s="7">
        <v>20141</v>
      </c>
      <c r="I18" s="7">
        <v>22871</v>
      </c>
      <c r="J18" s="7">
        <v>28427</v>
      </c>
      <c r="K18" s="7">
        <v>26822</v>
      </c>
    </row>
    <row r="19" spans="1:11" ht="14.4" x14ac:dyDescent="0.3">
      <c r="A19" s="2" t="s">
        <v>14</v>
      </c>
      <c r="B19" s="7">
        <v>-57.04</v>
      </c>
      <c r="C19" s="7">
        <v>-83</v>
      </c>
      <c r="D19" s="7">
        <v>-144</v>
      </c>
      <c r="E19" s="7">
        <v>72</v>
      </c>
      <c r="F19" s="7">
        <v>-12</v>
      </c>
      <c r="G19" s="7">
        <v>108</v>
      </c>
      <c r="H19" s="7">
        <v>405</v>
      </c>
      <c r="I19" s="7">
        <v>22</v>
      </c>
      <c r="J19" s="7">
        <v>75</v>
      </c>
      <c r="K19" s="7">
        <v>11</v>
      </c>
    </row>
    <row r="20" spans="1:11" x14ac:dyDescent="0.25">
      <c r="A20" s="2" t="s">
        <v>15</v>
      </c>
      <c r="B20" s="3">
        <v>346.97</v>
      </c>
      <c r="C20" s="3">
        <v>309</v>
      </c>
      <c r="D20" s="3">
        <v>295</v>
      </c>
      <c r="E20" s="3">
        <v>295</v>
      </c>
      <c r="F20" s="3">
        <v>308</v>
      </c>
      <c r="G20" s="3">
        <v>299</v>
      </c>
      <c r="H20" s="3">
        <v>339</v>
      </c>
      <c r="I20" s="3">
        <v>318</v>
      </c>
      <c r="J20" s="3">
        <v>384</v>
      </c>
      <c r="K20" s="3">
        <v>446</v>
      </c>
    </row>
    <row r="21" spans="1:11" x14ac:dyDescent="0.25">
      <c r="A21" s="2" t="s">
        <v>16</v>
      </c>
      <c r="B21" s="3">
        <v>3164.64</v>
      </c>
      <c r="C21" s="3">
        <v>2966</v>
      </c>
      <c r="D21" s="3">
        <v>2887</v>
      </c>
      <c r="E21" s="3">
        <v>2998</v>
      </c>
      <c r="F21" s="3">
        <v>3041</v>
      </c>
      <c r="G21" s="3">
        <v>2906</v>
      </c>
      <c r="H21" s="3">
        <v>2868</v>
      </c>
      <c r="I21" s="3">
        <v>3354</v>
      </c>
      <c r="J21" s="3">
        <v>3791</v>
      </c>
      <c r="K21" s="3">
        <v>3385</v>
      </c>
    </row>
    <row r="22" spans="1:11" x14ac:dyDescent="0.25">
      <c r="A22" s="2" t="s">
        <v>17</v>
      </c>
      <c r="B22" s="3">
        <v>1723.87</v>
      </c>
      <c r="C22" s="3">
        <v>1680</v>
      </c>
      <c r="D22" s="3">
        <v>1743</v>
      </c>
      <c r="E22" s="3">
        <v>1860</v>
      </c>
      <c r="F22" s="3">
        <v>1875</v>
      </c>
      <c r="G22" s="3">
        <v>1820</v>
      </c>
      <c r="H22" s="3">
        <v>2358</v>
      </c>
      <c r="I22" s="3">
        <v>2545</v>
      </c>
      <c r="J22" s="3">
        <v>2854</v>
      </c>
      <c r="K22" s="3">
        <v>3009</v>
      </c>
    </row>
    <row r="23" spans="1:11" x14ac:dyDescent="0.25">
      <c r="A23" s="2" t="s">
        <v>18</v>
      </c>
      <c r="B23" s="3">
        <v>6769.04</v>
      </c>
      <c r="C23" s="3">
        <v>6741</v>
      </c>
      <c r="D23" s="3">
        <v>6689</v>
      </c>
      <c r="E23" s="3">
        <v>7252</v>
      </c>
      <c r="F23" s="3">
        <v>7796</v>
      </c>
      <c r="G23" s="3">
        <v>7620</v>
      </c>
      <c r="H23" s="3">
        <v>7906</v>
      </c>
      <c r="I23" s="3">
        <v>8164</v>
      </c>
      <c r="J23" s="3">
        <v>8785</v>
      </c>
      <c r="K23" s="3">
        <v>10773</v>
      </c>
    </row>
    <row r="24" spans="1:11" x14ac:dyDescent="0.25">
      <c r="A24" s="2" t="s">
        <v>19</v>
      </c>
      <c r="B24" s="3">
        <v>988.81</v>
      </c>
      <c r="C24" s="3">
        <v>1313</v>
      </c>
      <c r="D24" s="3">
        <v>1470</v>
      </c>
      <c r="E24" s="3">
        <v>1480</v>
      </c>
      <c r="F24" s="3">
        <v>1553</v>
      </c>
      <c r="G24" s="3">
        <v>1688</v>
      </c>
      <c r="H24" s="3">
        <v>2195</v>
      </c>
      <c r="I24" s="3">
        <v>2359</v>
      </c>
      <c r="J24" s="3">
        <v>2267</v>
      </c>
      <c r="K24" s="3">
        <v>2813</v>
      </c>
    </row>
    <row r="25" spans="1:11" x14ac:dyDescent="0.25">
      <c r="A25" s="2" t="s">
        <v>20</v>
      </c>
      <c r="B25" s="3">
        <v>1247.18</v>
      </c>
      <c r="C25" s="3">
        <v>486</v>
      </c>
      <c r="D25" s="3">
        <v>606</v>
      </c>
      <c r="E25" s="3">
        <v>353</v>
      </c>
      <c r="F25" s="3">
        <v>322</v>
      </c>
      <c r="G25" s="3">
        <v>424</v>
      </c>
      <c r="H25" s="3">
        <v>170</v>
      </c>
      <c r="I25" s="3">
        <v>219</v>
      </c>
      <c r="J25" s="3">
        <v>448</v>
      </c>
      <c r="K25" s="3">
        <v>817</v>
      </c>
    </row>
    <row r="26" spans="1:11" x14ac:dyDescent="0.25">
      <c r="A26" s="2" t="s">
        <v>21</v>
      </c>
      <c r="B26" s="3">
        <v>322.39</v>
      </c>
      <c r="C26" s="3">
        <v>353</v>
      </c>
      <c r="D26" s="3">
        <v>432</v>
      </c>
      <c r="E26" s="3">
        <v>520</v>
      </c>
      <c r="F26" s="3">
        <v>565</v>
      </c>
      <c r="G26" s="3">
        <v>1002</v>
      </c>
      <c r="H26" s="3">
        <v>1074</v>
      </c>
      <c r="I26" s="3">
        <v>1091</v>
      </c>
      <c r="J26" s="3">
        <v>1137</v>
      </c>
      <c r="K26" s="3">
        <v>1216</v>
      </c>
    </row>
    <row r="27" spans="1:11" ht="14.4" x14ac:dyDescent="0.3">
      <c r="A27" s="2" t="s">
        <v>22</v>
      </c>
      <c r="B27" s="3">
        <v>17.7</v>
      </c>
      <c r="C27" s="3">
        <v>17</v>
      </c>
      <c r="D27" s="3">
        <v>35</v>
      </c>
      <c r="E27" s="3">
        <v>26</v>
      </c>
      <c r="F27" s="3">
        <v>33</v>
      </c>
      <c r="G27" s="3">
        <v>118</v>
      </c>
      <c r="H27" s="3">
        <v>117</v>
      </c>
      <c r="I27" s="3">
        <v>106</v>
      </c>
      <c r="J27" s="7">
        <v>114</v>
      </c>
      <c r="K27" s="7">
        <v>334</v>
      </c>
    </row>
    <row r="28" spans="1:11" x14ac:dyDescent="0.25">
      <c r="A28" s="2" t="s">
        <v>23</v>
      </c>
      <c r="B28" s="3">
        <v>6319.51</v>
      </c>
      <c r="C28" s="3">
        <v>6026</v>
      </c>
      <c r="D28" s="3">
        <v>6467</v>
      </c>
      <c r="E28" s="3">
        <v>7306</v>
      </c>
      <c r="F28" s="3">
        <v>8604</v>
      </c>
      <c r="G28" s="3">
        <v>9165</v>
      </c>
      <c r="H28" s="3">
        <v>10605</v>
      </c>
      <c r="I28" s="3">
        <v>11879</v>
      </c>
      <c r="J28" s="3">
        <v>13344</v>
      </c>
      <c r="K28" s="3">
        <v>13926</v>
      </c>
    </row>
    <row r="29" spans="1:11" x14ac:dyDescent="0.25">
      <c r="A29" s="2" t="s">
        <v>24</v>
      </c>
      <c r="B29" s="3">
        <v>1944</v>
      </c>
      <c r="C29" s="3">
        <v>1875</v>
      </c>
      <c r="D29" s="3">
        <v>1977</v>
      </c>
      <c r="E29" s="3">
        <v>2079</v>
      </c>
      <c r="F29" s="3">
        <v>2544</v>
      </c>
      <c r="G29" s="3">
        <v>2409</v>
      </c>
      <c r="H29" s="3">
        <v>2606</v>
      </c>
      <c r="I29" s="3">
        <v>2987</v>
      </c>
      <c r="J29" s="3">
        <v>3201</v>
      </c>
      <c r="K29" s="3">
        <v>3644</v>
      </c>
    </row>
    <row r="30" spans="1:11" x14ac:dyDescent="0.25">
      <c r="A30" s="2" t="s">
        <v>25</v>
      </c>
      <c r="B30" s="3">
        <v>4363.08</v>
      </c>
      <c r="C30" s="3">
        <v>4151</v>
      </c>
      <c r="D30" s="3">
        <v>4476</v>
      </c>
      <c r="E30" s="3">
        <v>5214</v>
      </c>
      <c r="F30" s="3">
        <v>6054</v>
      </c>
      <c r="G30" s="3">
        <v>6748</v>
      </c>
      <c r="H30" s="3">
        <v>7995</v>
      </c>
      <c r="I30" s="3">
        <v>8879</v>
      </c>
      <c r="J30" s="3">
        <v>10120</v>
      </c>
      <c r="K30" s="3">
        <v>10277</v>
      </c>
    </row>
    <row r="31" spans="1:11" x14ac:dyDescent="0.25">
      <c r="A31" s="2" t="s">
        <v>26</v>
      </c>
      <c r="B31" s="3">
        <v>3245.25</v>
      </c>
      <c r="C31" s="3">
        <v>3456</v>
      </c>
      <c r="D31" s="3">
        <v>3672</v>
      </c>
      <c r="E31" s="3">
        <v>4320</v>
      </c>
      <c r="F31" s="3">
        <v>4752</v>
      </c>
      <c r="G31" s="3">
        <v>5400</v>
      </c>
      <c r="H31" s="3">
        <v>9517.5</v>
      </c>
      <c r="I31" s="3">
        <v>7990</v>
      </c>
      <c r="J31" s="3">
        <v>9165</v>
      </c>
      <c r="K31" s="3">
        <v>9870</v>
      </c>
    </row>
    <row r="32" spans="1:11" x14ac:dyDescent="0.25">
      <c r="A32" s="2" t="s">
        <v>27</v>
      </c>
      <c r="B32" s="8">
        <f>B29/B28</f>
        <v>0.30761878689961719</v>
      </c>
      <c r="C32" s="8">
        <f t="shared" ref="C32:K32" si="0">C29/C28</f>
        <v>0.31115167607036176</v>
      </c>
      <c r="D32" s="8">
        <f t="shared" si="0"/>
        <v>0.30570589144889437</v>
      </c>
      <c r="E32" s="8">
        <f t="shared" si="0"/>
        <v>0.2845606350944429</v>
      </c>
      <c r="F32" s="8">
        <f t="shared" si="0"/>
        <v>0.29567642956764295</v>
      </c>
      <c r="G32" s="8">
        <f t="shared" si="0"/>
        <v>0.26284779050736495</v>
      </c>
      <c r="H32" s="8">
        <f t="shared" si="0"/>
        <v>0.24573314474304572</v>
      </c>
      <c r="I32" s="8">
        <f t="shared" si="0"/>
        <v>0.25145214243623198</v>
      </c>
      <c r="J32" s="8">
        <f t="shared" si="0"/>
        <v>0.23988309352517986</v>
      </c>
      <c r="K32" s="8">
        <f t="shared" si="0"/>
        <v>0.26166882091052707</v>
      </c>
    </row>
    <row r="34" spans="1:11" x14ac:dyDescent="0.25">
      <c r="A34" s="2" t="s">
        <v>28</v>
      </c>
      <c r="B34" s="2">
        <f>+B30+B29+B27+B26</f>
        <v>6647.17</v>
      </c>
      <c r="C34" s="2">
        <f t="shared" ref="C34:K34" si="1">+C30+C29+C27+C26</f>
        <v>6396</v>
      </c>
      <c r="D34" s="2">
        <f t="shared" si="1"/>
        <v>6920</v>
      </c>
      <c r="E34" s="2">
        <f t="shared" si="1"/>
        <v>7839</v>
      </c>
      <c r="F34" s="2">
        <f t="shared" si="1"/>
        <v>9196</v>
      </c>
      <c r="G34" s="2">
        <f t="shared" si="1"/>
        <v>10277</v>
      </c>
      <c r="H34" s="2">
        <f t="shared" si="1"/>
        <v>11792</v>
      </c>
      <c r="I34" s="2">
        <f t="shared" si="1"/>
        <v>13063</v>
      </c>
      <c r="J34" s="2">
        <f t="shared" si="1"/>
        <v>14572</v>
      </c>
      <c r="K34" s="2">
        <f t="shared" si="1"/>
        <v>15471</v>
      </c>
    </row>
    <row r="40" spans="1:11" x14ac:dyDescent="0.25">
      <c r="A40" s="1" t="s">
        <v>29</v>
      </c>
    </row>
    <row r="41" spans="1:11" s="6" customFormat="1" x14ac:dyDescent="0.25">
      <c r="A41" s="4" t="s">
        <v>11</v>
      </c>
      <c r="B41" s="5">
        <v>44742</v>
      </c>
      <c r="C41" s="5">
        <v>44834</v>
      </c>
      <c r="D41" s="5">
        <v>44926</v>
      </c>
      <c r="E41" s="5">
        <v>45016</v>
      </c>
      <c r="F41" s="5">
        <v>45107</v>
      </c>
      <c r="G41" s="5">
        <v>45199</v>
      </c>
      <c r="H41" s="5">
        <v>45291</v>
      </c>
      <c r="I41" s="5">
        <v>45382</v>
      </c>
      <c r="J41" s="5">
        <v>45473</v>
      </c>
      <c r="K41" s="5">
        <v>45565</v>
      </c>
    </row>
    <row r="42" spans="1:11" x14ac:dyDescent="0.25">
      <c r="A42" s="2" t="s">
        <v>12</v>
      </c>
      <c r="B42" s="3">
        <v>14624</v>
      </c>
      <c r="C42" s="3">
        <v>15144</v>
      </c>
      <c r="D42" s="3">
        <v>15597</v>
      </c>
      <c r="E42" s="3">
        <v>15215</v>
      </c>
      <c r="F42" s="3">
        <v>15496</v>
      </c>
      <c r="G42" s="3">
        <v>15623</v>
      </c>
      <c r="H42" s="3">
        <v>15567</v>
      </c>
      <c r="I42" s="3">
        <v>15210</v>
      </c>
      <c r="J42" s="3">
        <v>15707</v>
      </c>
      <c r="K42" s="3">
        <v>15926</v>
      </c>
    </row>
    <row r="43" spans="1:11" x14ac:dyDescent="0.25">
      <c r="A43" s="2" t="s">
        <v>30</v>
      </c>
      <c r="B43" s="3">
        <v>11222</v>
      </c>
      <c r="C43" s="3">
        <v>11665</v>
      </c>
      <c r="D43" s="3">
        <v>11903</v>
      </c>
      <c r="E43" s="3">
        <v>11643</v>
      </c>
      <c r="F43" s="3">
        <v>11832</v>
      </c>
      <c r="G43" s="3">
        <v>11828</v>
      </c>
      <c r="H43" s="3">
        <v>11902</v>
      </c>
      <c r="I43" s="3">
        <v>11675</v>
      </c>
      <c r="J43" s="3">
        <v>11965</v>
      </c>
      <c r="K43" s="3">
        <v>12139</v>
      </c>
    </row>
    <row r="44" spans="1:11" x14ac:dyDescent="0.25">
      <c r="A44" s="2" t="s">
        <v>20</v>
      </c>
      <c r="B44" s="3">
        <v>121</v>
      </c>
      <c r="C44" s="3">
        <v>80</v>
      </c>
      <c r="D44" s="3">
        <v>7</v>
      </c>
      <c r="E44" s="3">
        <v>240</v>
      </c>
      <c r="F44" s="3">
        <v>146</v>
      </c>
      <c r="G44" s="3">
        <v>178</v>
      </c>
      <c r="H44" s="3">
        <v>184</v>
      </c>
      <c r="I44" s="3">
        <v>309</v>
      </c>
      <c r="J44" s="3">
        <v>209</v>
      </c>
      <c r="K44" s="3">
        <v>203</v>
      </c>
    </row>
    <row r="45" spans="1:11" x14ac:dyDescent="0.25">
      <c r="A45" s="2" t="s">
        <v>21</v>
      </c>
      <c r="B45" s="3">
        <v>281</v>
      </c>
      <c r="C45" s="3">
        <v>272</v>
      </c>
      <c r="D45" s="3">
        <v>293</v>
      </c>
      <c r="E45" s="3">
        <v>291</v>
      </c>
      <c r="F45" s="3">
        <v>286</v>
      </c>
      <c r="G45" s="3">
        <v>297</v>
      </c>
      <c r="H45" s="3">
        <v>313</v>
      </c>
      <c r="I45" s="3">
        <v>320</v>
      </c>
      <c r="J45" s="3">
        <v>329</v>
      </c>
      <c r="K45" s="3">
        <v>338</v>
      </c>
    </row>
    <row r="46" spans="1:11" ht="14.4" x14ac:dyDescent="0.3">
      <c r="A46" s="2" t="s">
        <v>22</v>
      </c>
      <c r="B46" s="7">
        <v>28</v>
      </c>
      <c r="C46" s="7">
        <v>28</v>
      </c>
      <c r="D46" s="7">
        <v>29</v>
      </c>
      <c r="E46" s="7">
        <v>29</v>
      </c>
      <c r="F46" s="7">
        <v>50</v>
      </c>
      <c r="G46" s="7">
        <v>88</v>
      </c>
      <c r="H46" s="7">
        <v>91</v>
      </c>
      <c r="I46" s="7">
        <v>105</v>
      </c>
      <c r="J46" s="7">
        <v>93</v>
      </c>
      <c r="K46" s="7">
        <v>110</v>
      </c>
    </row>
    <row r="47" spans="1:11" x14ac:dyDescent="0.25">
      <c r="A47" s="2" t="s">
        <v>23</v>
      </c>
      <c r="B47" s="3">
        <v>3214</v>
      </c>
      <c r="C47" s="3">
        <v>3259</v>
      </c>
      <c r="D47" s="3">
        <v>3379</v>
      </c>
      <c r="E47" s="3">
        <v>3492</v>
      </c>
      <c r="F47" s="3">
        <v>3474</v>
      </c>
      <c r="G47" s="3">
        <v>3588</v>
      </c>
      <c r="H47" s="3">
        <v>3445</v>
      </c>
      <c r="I47" s="3">
        <v>3419</v>
      </c>
      <c r="J47" s="3">
        <v>3529</v>
      </c>
      <c r="K47" s="3">
        <v>3542</v>
      </c>
    </row>
    <row r="48" spans="1:11" x14ac:dyDescent="0.25">
      <c r="A48" s="2" t="s">
        <v>24</v>
      </c>
      <c r="B48" s="3">
        <v>823</v>
      </c>
      <c r="C48" s="3">
        <v>589</v>
      </c>
      <c r="D48" s="3">
        <v>898</v>
      </c>
      <c r="E48" s="3">
        <v>891</v>
      </c>
      <c r="F48" s="3">
        <v>918</v>
      </c>
      <c r="G48" s="3">
        <v>931</v>
      </c>
      <c r="H48" s="3">
        <v>937</v>
      </c>
      <c r="I48" s="3">
        <v>858</v>
      </c>
      <c r="J48" s="3">
        <v>917</v>
      </c>
      <c r="K48" s="3">
        <v>947</v>
      </c>
    </row>
    <row r="49" spans="1:11" x14ac:dyDescent="0.25">
      <c r="A49" s="2" t="s">
        <v>25</v>
      </c>
      <c r="B49" s="3">
        <v>2381</v>
      </c>
      <c r="C49" s="3">
        <v>2665</v>
      </c>
      <c r="D49" s="3">
        <v>2474</v>
      </c>
      <c r="E49" s="3">
        <v>2600</v>
      </c>
      <c r="F49" s="3">
        <v>2554</v>
      </c>
      <c r="G49" s="3">
        <v>2656</v>
      </c>
      <c r="H49" s="3">
        <v>2509</v>
      </c>
      <c r="I49" s="3">
        <v>2558</v>
      </c>
      <c r="J49" s="3">
        <v>2610</v>
      </c>
      <c r="K49" s="3">
        <v>2591</v>
      </c>
    </row>
    <row r="50" spans="1:11" x14ac:dyDescent="0.25">
      <c r="A50" s="2" t="s">
        <v>31</v>
      </c>
      <c r="B50" s="3">
        <v>3402</v>
      </c>
      <c r="C50" s="3">
        <v>3479</v>
      </c>
      <c r="D50" s="3">
        <v>3694</v>
      </c>
      <c r="E50" s="3">
        <v>3572</v>
      </c>
      <c r="F50" s="3">
        <v>3664</v>
      </c>
      <c r="G50" s="3">
        <v>3795</v>
      </c>
      <c r="H50" s="3">
        <v>3665</v>
      </c>
      <c r="I50" s="3">
        <v>3535</v>
      </c>
      <c r="J50" s="3">
        <v>3742</v>
      </c>
      <c r="K50" s="3">
        <v>3787</v>
      </c>
    </row>
    <row r="51" spans="1:11" x14ac:dyDescent="0.25">
      <c r="A51" s="2" t="s">
        <v>28</v>
      </c>
      <c r="B51" s="2">
        <f>B49+B48+B46+B45</f>
        <v>3513</v>
      </c>
      <c r="C51" s="2">
        <f t="shared" ref="C51:K51" si="2">C49+C48+C46+C45</f>
        <v>3554</v>
      </c>
      <c r="D51" s="2">
        <f t="shared" si="2"/>
        <v>3694</v>
      </c>
      <c r="E51" s="2">
        <f t="shared" si="2"/>
        <v>3811</v>
      </c>
      <c r="F51" s="2">
        <f t="shared" si="2"/>
        <v>3808</v>
      </c>
      <c r="G51" s="2">
        <f t="shared" si="2"/>
        <v>3972</v>
      </c>
      <c r="H51" s="2">
        <f t="shared" si="2"/>
        <v>3850</v>
      </c>
      <c r="I51" s="2">
        <f t="shared" si="2"/>
        <v>3841</v>
      </c>
      <c r="J51" s="2">
        <f t="shared" si="2"/>
        <v>3949</v>
      </c>
      <c r="K51" s="2">
        <f t="shared" si="2"/>
        <v>3986</v>
      </c>
    </row>
    <row r="55" spans="1:11" x14ac:dyDescent="0.25">
      <c r="A55" s="1" t="s">
        <v>32</v>
      </c>
    </row>
    <row r="56" spans="1:11" s="6" customFormat="1" x14ac:dyDescent="0.25">
      <c r="A56" s="4" t="s">
        <v>11</v>
      </c>
      <c r="B56" s="5">
        <v>42094</v>
      </c>
      <c r="C56" s="5">
        <v>42460</v>
      </c>
      <c r="D56" s="5">
        <v>42825</v>
      </c>
      <c r="E56" s="5">
        <v>43190</v>
      </c>
      <c r="F56" s="5">
        <v>43555</v>
      </c>
      <c r="G56" s="5">
        <v>43921</v>
      </c>
      <c r="H56" s="5">
        <v>44286</v>
      </c>
      <c r="I56" s="5">
        <v>44651</v>
      </c>
      <c r="J56" s="5">
        <v>45016</v>
      </c>
      <c r="K56" s="5">
        <v>45382</v>
      </c>
    </row>
    <row r="57" spans="1:11" x14ac:dyDescent="0.25">
      <c r="A57" s="2" t="s">
        <v>33</v>
      </c>
      <c r="B57" s="3">
        <v>216.35</v>
      </c>
      <c r="C57" s="3">
        <v>216</v>
      </c>
      <c r="D57" s="3">
        <v>216</v>
      </c>
      <c r="E57" s="3">
        <v>216</v>
      </c>
      <c r="F57" s="3">
        <v>216</v>
      </c>
      <c r="G57" s="3">
        <v>216</v>
      </c>
      <c r="H57" s="3">
        <v>235</v>
      </c>
      <c r="I57" s="3">
        <v>235</v>
      </c>
      <c r="J57" s="3">
        <v>235</v>
      </c>
      <c r="K57" s="3">
        <v>235</v>
      </c>
    </row>
    <row r="58" spans="1:11" x14ac:dyDescent="0.25">
      <c r="A58" s="2" t="s">
        <v>34</v>
      </c>
      <c r="B58" s="3">
        <v>3811.13</v>
      </c>
      <c r="C58" s="3">
        <v>6357</v>
      </c>
      <c r="D58" s="3">
        <v>6528</v>
      </c>
      <c r="E58" s="3">
        <v>7065</v>
      </c>
      <c r="F58" s="3">
        <v>7651</v>
      </c>
      <c r="G58" s="3">
        <v>8013</v>
      </c>
      <c r="H58" s="3">
        <v>47439</v>
      </c>
      <c r="I58" s="3">
        <v>48826</v>
      </c>
      <c r="J58" s="3">
        <v>50069</v>
      </c>
      <c r="K58" s="3">
        <v>50983</v>
      </c>
    </row>
    <row r="59" spans="1:11" ht="14.4" x14ac:dyDescent="0.3">
      <c r="A59" s="2" t="s">
        <v>35</v>
      </c>
      <c r="B59" s="7">
        <v>43.04</v>
      </c>
      <c r="C59" s="7">
        <v>177</v>
      </c>
      <c r="D59" s="7">
        <v>277</v>
      </c>
      <c r="E59" s="7"/>
      <c r="F59" s="7">
        <v>99</v>
      </c>
      <c r="G59" s="7"/>
      <c r="H59" s="7"/>
      <c r="I59" s="7">
        <v>1043</v>
      </c>
      <c r="J59" s="7">
        <v>1219</v>
      </c>
      <c r="K59" s="7">
        <v>1484</v>
      </c>
    </row>
    <row r="60" spans="1:11" x14ac:dyDescent="0.25">
      <c r="A60" s="2" t="s">
        <v>36</v>
      </c>
      <c r="B60" s="3">
        <v>10359.01</v>
      </c>
      <c r="C60" s="3">
        <v>8043</v>
      </c>
      <c r="D60" s="3">
        <v>8685</v>
      </c>
      <c r="E60" s="3">
        <v>10581</v>
      </c>
      <c r="F60" s="3">
        <v>10663</v>
      </c>
      <c r="G60" s="3">
        <v>11924</v>
      </c>
      <c r="H60" s="3">
        <v>21066</v>
      </c>
      <c r="I60" s="3">
        <v>20402</v>
      </c>
      <c r="J60" s="3">
        <v>21554</v>
      </c>
      <c r="K60" s="3">
        <v>25787</v>
      </c>
    </row>
    <row r="61" spans="1:11" s="1" customFormat="1" x14ac:dyDescent="0.25">
      <c r="A61" s="1" t="s">
        <v>37</v>
      </c>
      <c r="B61" s="3">
        <v>14429.53</v>
      </c>
      <c r="C61" s="3">
        <v>14793</v>
      </c>
      <c r="D61" s="3">
        <v>15706</v>
      </c>
      <c r="E61" s="3">
        <v>17862</v>
      </c>
      <c r="F61" s="3">
        <v>18629</v>
      </c>
      <c r="G61" s="3">
        <v>20153</v>
      </c>
      <c r="H61" s="3">
        <v>68740</v>
      </c>
      <c r="I61" s="3">
        <v>70506</v>
      </c>
      <c r="J61" s="3">
        <v>73077</v>
      </c>
      <c r="K61" s="3">
        <v>78489</v>
      </c>
    </row>
    <row r="62" spans="1:11" x14ac:dyDescent="0.25">
      <c r="A62" s="2" t="s">
        <v>38</v>
      </c>
      <c r="B62" s="3">
        <v>2821.01</v>
      </c>
      <c r="C62" s="3">
        <v>3258</v>
      </c>
      <c r="D62" s="3">
        <v>4419</v>
      </c>
      <c r="E62" s="3">
        <v>4528</v>
      </c>
      <c r="F62" s="3">
        <v>4715</v>
      </c>
      <c r="G62" s="3">
        <v>5479</v>
      </c>
      <c r="H62" s="3">
        <v>51443</v>
      </c>
      <c r="I62" s="3">
        <v>51473</v>
      </c>
      <c r="J62" s="3">
        <v>52678</v>
      </c>
      <c r="K62" s="3">
        <v>53744</v>
      </c>
    </row>
    <row r="63" spans="1:11" x14ac:dyDescent="0.25">
      <c r="A63" s="2" t="s">
        <v>39</v>
      </c>
      <c r="B63" s="3">
        <v>516.29999999999995</v>
      </c>
      <c r="C63" s="3">
        <v>408</v>
      </c>
      <c r="D63" s="3">
        <v>229</v>
      </c>
      <c r="E63" s="3">
        <v>461</v>
      </c>
      <c r="F63" s="3">
        <v>406</v>
      </c>
      <c r="G63" s="3">
        <v>597</v>
      </c>
      <c r="H63" s="3">
        <v>745</v>
      </c>
      <c r="I63" s="3">
        <v>1313</v>
      </c>
      <c r="J63" s="3">
        <v>1132</v>
      </c>
      <c r="K63" s="3">
        <v>1025</v>
      </c>
    </row>
    <row r="64" spans="1:11" ht="14.4" x14ac:dyDescent="0.3">
      <c r="A64" s="2" t="s">
        <v>40</v>
      </c>
      <c r="B64" s="3">
        <v>3025.08</v>
      </c>
      <c r="C64" s="7">
        <v>2592</v>
      </c>
      <c r="D64" s="3">
        <v>3794</v>
      </c>
      <c r="E64" s="3">
        <v>2873</v>
      </c>
      <c r="F64" s="3">
        <v>2716</v>
      </c>
      <c r="G64" s="3">
        <v>1255</v>
      </c>
      <c r="H64" s="3">
        <v>2709</v>
      </c>
      <c r="I64" s="3">
        <v>3521</v>
      </c>
      <c r="J64" s="3">
        <v>2882</v>
      </c>
      <c r="K64" s="3">
        <v>4625</v>
      </c>
    </row>
    <row r="65" spans="1:11" x14ac:dyDescent="0.25">
      <c r="A65" s="2" t="s">
        <v>41</v>
      </c>
      <c r="B65" s="3">
        <v>8067.14</v>
      </c>
      <c r="C65" s="3">
        <v>8535</v>
      </c>
      <c r="D65" s="3">
        <v>7264</v>
      </c>
      <c r="E65" s="3">
        <v>10000</v>
      </c>
      <c r="F65" s="3">
        <v>10792</v>
      </c>
      <c r="G65" s="3">
        <v>12822</v>
      </c>
      <c r="H65" s="3">
        <v>13843</v>
      </c>
      <c r="I65" s="3">
        <v>14199</v>
      </c>
      <c r="J65" s="3">
        <v>16385</v>
      </c>
      <c r="K65" s="3">
        <v>19095</v>
      </c>
    </row>
    <row r="66" spans="1:11" s="1" customFormat="1" x14ac:dyDescent="0.25">
      <c r="A66" s="1" t="s">
        <v>37</v>
      </c>
      <c r="B66" s="3">
        <v>14429.53</v>
      </c>
      <c r="C66" s="3">
        <v>14793</v>
      </c>
      <c r="D66" s="3">
        <v>15706</v>
      </c>
      <c r="E66" s="3">
        <v>17862</v>
      </c>
      <c r="F66" s="3">
        <v>18629</v>
      </c>
      <c r="G66" s="3">
        <v>20153</v>
      </c>
      <c r="H66" s="3">
        <v>68740</v>
      </c>
      <c r="I66" s="3">
        <v>70506</v>
      </c>
      <c r="J66" s="3">
        <v>73077</v>
      </c>
      <c r="K66" s="3">
        <v>78489</v>
      </c>
    </row>
    <row r="67" spans="1:11" x14ac:dyDescent="0.25">
      <c r="A67" s="2" t="s">
        <v>42</v>
      </c>
      <c r="B67" s="3">
        <v>1010.28</v>
      </c>
      <c r="C67" s="3">
        <v>1264</v>
      </c>
      <c r="D67" s="3">
        <v>1085</v>
      </c>
      <c r="E67" s="3">
        <v>1310</v>
      </c>
      <c r="F67" s="3">
        <v>1816</v>
      </c>
      <c r="G67" s="3">
        <v>1149</v>
      </c>
      <c r="H67" s="3">
        <v>1758</v>
      </c>
      <c r="I67" s="3">
        <v>2236</v>
      </c>
      <c r="J67" s="3">
        <v>3079</v>
      </c>
      <c r="K67" s="3">
        <v>2997</v>
      </c>
    </row>
    <row r="68" spans="1:11" ht="14.4" x14ac:dyDescent="0.3">
      <c r="A68" s="2" t="s">
        <v>43</v>
      </c>
      <c r="B68" s="7">
        <v>2848.79</v>
      </c>
      <c r="C68" s="7">
        <v>2726</v>
      </c>
      <c r="D68" s="7">
        <v>2541</v>
      </c>
      <c r="E68" s="7">
        <v>2513</v>
      </c>
      <c r="F68" s="7">
        <v>2574</v>
      </c>
      <c r="G68" s="7">
        <v>2767</v>
      </c>
      <c r="H68" s="7">
        <v>3579</v>
      </c>
      <c r="I68" s="7">
        <v>4096</v>
      </c>
      <c r="J68" s="7">
        <v>4251</v>
      </c>
      <c r="K68" s="7">
        <v>4022</v>
      </c>
    </row>
    <row r="69" spans="1:11" x14ac:dyDescent="0.25">
      <c r="A69" s="2" t="s">
        <v>44</v>
      </c>
      <c r="B69" s="3">
        <v>2689.49</v>
      </c>
      <c r="C69" s="3">
        <v>3009</v>
      </c>
      <c r="D69" s="3">
        <v>1828</v>
      </c>
      <c r="E69" s="3">
        <v>3485</v>
      </c>
      <c r="F69" s="3">
        <v>3757</v>
      </c>
      <c r="G69" s="3">
        <v>5113</v>
      </c>
      <c r="H69" s="3">
        <v>4471</v>
      </c>
      <c r="I69" s="3">
        <v>3846</v>
      </c>
      <c r="J69" s="3">
        <v>4678</v>
      </c>
      <c r="K69" s="3">
        <v>7559</v>
      </c>
    </row>
    <row r="70" spans="1:11" x14ac:dyDescent="0.25">
      <c r="A70" s="2" t="s">
        <v>45</v>
      </c>
      <c r="B70" s="3">
        <v>2163464851</v>
      </c>
      <c r="C70" s="3">
        <v>2163936971</v>
      </c>
      <c r="D70" s="3">
        <v>2164349639</v>
      </c>
      <c r="E70" s="3">
        <v>2164528777</v>
      </c>
      <c r="F70" s="3">
        <v>2164704405</v>
      </c>
      <c r="G70" s="3">
        <v>2164704405</v>
      </c>
      <c r="H70" s="3">
        <v>2349567819</v>
      </c>
      <c r="I70" s="3">
        <v>2349591262</v>
      </c>
      <c r="J70" s="3">
        <v>2349591262</v>
      </c>
      <c r="K70" s="3">
        <v>2349591262</v>
      </c>
    </row>
    <row r="71" spans="1:11" ht="13.8" x14ac:dyDescent="0.25">
      <c r="A71" s="2" t="s">
        <v>46</v>
      </c>
      <c r="B71" s="9"/>
      <c r="C71" s="9"/>
      <c r="G71" s="9"/>
      <c r="H71" s="9"/>
    </row>
    <row r="72" spans="1:11" x14ac:dyDescent="0.25">
      <c r="A72" s="2" t="s">
        <v>47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</row>
    <row r="73" spans="1:11" x14ac:dyDescent="0.25">
      <c r="H73" s="2">
        <f>H62-G62+H45</f>
        <v>46277</v>
      </c>
      <c r="I73" s="2">
        <f>I62-H62+I45</f>
        <v>350</v>
      </c>
      <c r="J73" s="2">
        <f>J62-I62+J45</f>
        <v>1534</v>
      </c>
      <c r="K73" s="2">
        <f>K62-J62+K45</f>
        <v>1404</v>
      </c>
    </row>
    <row r="80" spans="1:11" x14ac:dyDescent="0.25">
      <c r="A80" s="1" t="s">
        <v>48</v>
      </c>
    </row>
    <row r="81" spans="1:12" s="6" customFormat="1" x14ac:dyDescent="0.25">
      <c r="A81" s="4" t="s">
        <v>11</v>
      </c>
      <c r="B81" s="5">
        <v>42094</v>
      </c>
      <c r="C81" s="5">
        <v>42460</v>
      </c>
      <c r="D81" s="5">
        <v>42825</v>
      </c>
      <c r="E81" s="5">
        <v>43190</v>
      </c>
      <c r="F81" s="5">
        <v>43555</v>
      </c>
      <c r="G81" s="5">
        <v>43921</v>
      </c>
      <c r="H81" s="5">
        <v>44286</v>
      </c>
      <c r="I81" s="5">
        <v>44651</v>
      </c>
      <c r="J81" s="5">
        <v>45016</v>
      </c>
      <c r="K81" s="5">
        <v>45382</v>
      </c>
      <c r="L81" s="5"/>
    </row>
    <row r="82" spans="1:12" s="1" customFormat="1" x14ac:dyDescent="0.25">
      <c r="A82" s="2" t="s">
        <v>49</v>
      </c>
      <c r="B82" s="3">
        <v>3291.91</v>
      </c>
      <c r="C82" s="3">
        <v>4171</v>
      </c>
      <c r="D82" s="3">
        <v>5185</v>
      </c>
      <c r="E82" s="3">
        <v>6059</v>
      </c>
      <c r="F82" s="3">
        <v>5800</v>
      </c>
      <c r="G82" s="3">
        <v>7623</v>
      </c>
      <c r="H82" s="3">
        <v>9163</v>
      </c>
      <c r="I82" s="3">
        <v>9048</v>
      </c>
      <c r="J82" s="3">
        <v>9991</v>
      </c>
      <c r="K82" s="3">
        <v>15469</v>
      </c>
    </row>
    <row r="83" spans="1:12" x14ac:dyDescent="0.25">
      <c r="A83" s="2" t="s">
        <v>50</v>
      </c>
      <c r="B83" s="3">
        <v>137.97</v>
      </c>
      <c r="C83" s="3">
        <v>-282</v>
      </c>
      <c r="D83" s="3">
        <v>-1173</v>
      </c>
      <c r="E83" s="3">
        <v>-1063</v>
      </c>
      <c r="F83" s="3">
        <v>-438</v>
      </c>
      <c r="G83" s="3">
        <v>1791</v>
      </c>
      <c r="H83" s="3">
        <v>-1228</v>
      </c>
      <c r="I83" s="3">
        <v>-1728</v>
      </c>
      <c r="J83" s="3">
        <v>-1484</v>
      </c>
      <c r="K83" s="3">
        <v>-5324</v>
      </c>
    </row>
    <row r="84" spans="1:12" x14ac:dyDescent="0.25">
      <c r="A84" s="2" t="s">
        <v>51</v>
      </c>
      <c r="B84" s="3">
        <v>-3462.42</v>
      </c>
      <c r="C84" s="3">
        <v>-3864</v>
      </c>
      <c r="D84" s="3">
        <v>-4214</v>
      </c>
      <c r="E84" s="3">
        <v>-4975</v>
      </c>
      <c r="F84" s="3">
        <v>-5390</v>
      </c>
      <c r="G84" s="3">
        <v>-6819</v>
      </c>
      <c r="H84" s="3">
        <v>-9309</v>
      </c>
      <c r="I84" s="3">
        <v>-8015</v>
      </c>
      <c r="J84" s="3">
        <v>-8953</v>
      </c>
      <c r="K84" s="3">
        <v>-10034</v>
      </c>
    </row>
    <row r="85" spans="1:12" s="1" customFormat="1" x14ac:dyDescent="0.25">
      <c r="A85" s="2" t="s">
        <v>52</v>
      </c>
      <c r="B85" s="3">
        <v>-32.54</v>
      </c>
      <c r="C85" s="3">
        <v>25</v>
      </c>
      <c r="D85" s="3">
        <v>-202</v>
      </c>
      <c r="E85" s="3">
        <v>21</v>
      </c>
      <c r="F85" s="3">
        <v>-28</v>
      </c>
      <c r="G85" s="3">
        <v>2595</v>
      </c>
      <c r="H85" s="3">
        <v>-1374</v>
      </c>
      <c r="I85" s="3">
        <v>-695</v>
      </c>
      <c r="J85" s="3">
        <v>-446</v>
      </c>
      <c r="K85" s="3">
        <v>111</v>
      </c>
    </row>
    <row r="90" spans="1:12" s="1" customFormat="1" x14ac:dyDescent="0.25">
      <c r="A90" s="1" t="s">
        <v>53</v>
      </c>
      <c r="B90" s="3">
        <v>873.55</v>
      </c>
      <c r="C90" s="3">
        <v>869.5</v>
      </c>
      <c r="D90" s="3">
        <v>911.75</v>
      </c>
      <c r="E90" s="3">
        <v>1333.35</v>
      </c>
      <c r="F90" s="3">
        <v>1706.8</v>
      </c>
      <c r="G90" s="3">
        <v>2298.5</v>
      </c>
      <c r="H90" s="3">
        <v>2431.5</v>
      </c>
      <c r="I90" s="3">
        <v>2048.65</v>
      </c>
      <c r="J90" s="3">
        <v>2560.35</v>
      </c>
      <c r="K90" s="3">
        <v>2264.35</v>
      </c>
    </row>
    <row r="92" spans="1:12" s="1" customFormat="1" x14ac:dyDescent="0.25">
      <c r="A92" s="1" t="s">
        <v>54</v>
      </c>
    </row>
    <row r="93" spans="1:12" x14ac:dyDescent="0.25">
      <c r="A93" s="2" t="s">
        <v>55</v>
      </c>
      <c r="B93" s="10">
        <v>216.35</v>
      </c>
      <c r="C93" s="10">
        <v>216.39</v>
      </c>
      <c r="D93" s="10">
        <v>216.43</v>
      </c>
      <c r="E93" s="10">
        <v>216.45</v>
      </c>
      <c r="F93" s="10">
        <v>216.47</v>
      </c>
      <c r="G93" s="10">
        <v>216.48</v>
      </c>
      <c r="H93" s="10">
        <v>234.96</v>
      </c>
      <c r="I93" s="10">
        <v>234.96</v>
      </c>
      <c r="J93" s="10">
        <v>234.96</v>
      </c>
      <c r="K93" s="10">
        <v>234.96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53704CA6-975E-49B1-B117-50092339EC09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331A-BDD7-4BA4-B330-A42F092009EB}">
  <dimension ref="B2:AC35"/>
  <sheetViews>
    <sheetView workbookViewId="0">
      <selection activeCell="Q9" sqref="Q9"/>
    </sheetView>
  </sheetViews>
  <sheetFormatPr defaultRowHeight="14.4" x14ac:dyDescent="0.3"/>
  <cols>
    <col min="2" max="2" width="25.77734375" bestFit="1" customWidth="1"/>
    <col min="3" max="14" width="7.109375" bestFit="1" customWidth="1"/>
    <col min="17" max="17" width="25.77734375" bestFit="1" customWidth="1"/>
    <col min="18" max="18" width="7.109375" bestFit="1" customWidth="1"/>
    <col min="19" max="19" width="7" bestFit="1" customWidth="1"/>
    <col min="20" max="29" width="7.109375" bestFit="1" customWidth="1"/>
  </cols>
  <sheetData>
    <row r="2" spans="2:29" x14ac:dyDescent="0.3">
      <c r="C2" s="11">
        <v>40603</v>
      </c>
      <c r="D2" s="11">
        <v>40969</v>
      </c>
      <c r="E2" s="11">
        <v>41334</v>
      </c>
      <c r="F2" s="11">
        <v>41699</v>
      </c>
      <c r="G2" s="11">
        <v>42064</v>
      </c>
      <c r="H2" s="11">
        <v>42430</v>
      </c>
      <c r="I2" s="11">
        <v>42795</v>
      </c>
      <c r="J2" s="11">
        <v>43160</v>
      </c>
      <c r="K2" s="11">
        <v>43525</v>
      </c>
      <c r="L2" s="11">
        <v>43891</v>
      </c>
      <c r="M2" s="11">
        <v>44256</v>
      </c>
      <c r="N2" s="11">
        <v>44621</v>
      </c>
      <c r="R2" s="11">
        <v>41334</v>
      </c>
      <c r="S2" s="11">
        <v>41699</v>
      </c>
      <c r="T2" s="11">
        <v>42064</v>
      </c>
      <c r="U2" s="11">
        <v>42430</v>
      </c>
      <c r="V2" s="11">
        <v>42795</v>
      </c>
      <c r="W2" s="11">
        <v>43160</v>
      </c>
      <c r="X2" s="11">
        <v>43525</v>
      </c>
      <c r="Y2" s="11">
        <v>43891</v>
      </c>
      <c r="Z2" s="11">
        <v>44256</v>
      </c>
      <c r="AA2" s="11">
        <v>44621</v>
      </c>
      <c r="AB2" s="11">
        <v>44986</v>
      </c>
      <c r="AC2" s="11">
        <v>45352</v>
      </c>
    </row>
    <row r="3" spans="2:29" x14ac:dyDescent="0.3">
      <c r="B3" t="s">
        <v>115</v>
      </c>
      <c r="C3" s="29">
        <v>11240</v>
      </c>
      <c r="D3" s="29">
        <v>18384</v>
      </c>
      <c r="E3" s="29">
        <v>22163</v>
      </c>
      <c r="F3" s="29">
        <v>36151</v>
      </c>
      <c r="G3" s="29">
        <v>35531</v>
      </c>
      <c r="H3" s="29">
        <v>37900</v>
      </c>
      <c r="I3" s="29">
        <v>30199</v>
      </c>
      <c r="J3" s="29">
        <v>23857</v>
      </c>
      <c r="K3" s="29">
        <v>18891</v>
      </c>
      <c r="L3" s="29">
        <v>26633</v>
      </c>
      <c r="M3" s="29">
        <v>29001</v>
      </c>
      <c r="N3" s="29">
        <v>14283</v>
      </c>
      <c r="P3">
        <f>IF(Q3=B3,1,0)</f>
        <v>1</v>
      </c>
      <c r="Q3" t="s">
        <v>115</v>
      </c>
      <c r="R3" s="29">
        <v>3605</v>
      </c>
      <c r="S3" s="29">
        <v>3818</v>
      </c>
      <c r="T3" s="29">
        <v>3292</v>
      </c>
      <c r="U3" s="29">
        <v>4171</v>
      </c>
      <c r="V3" s="29">
        <v>5185</v>
      </c>
      <c r="W3" s="29">
        <v>6059</v>
      </c>
      <c r="X3" s="29">
        <v>5800</v>
      </c>
      <c r="Y3" s="29">
        <v>7623</v>
      </c>
      <c r="Z3" s="29">
        <v>9163</v>
      </c>
      <c r="AA3" s="29">
        <v>9048</v>
      </c>
      <c r="AB3" s="29">
        <v>9991</v>
      </c>
      <c r="AC3" s="29">
        <v>15469</v>
      </c>
    </row>
    <row r="4" spans="2:29" x14ac:dyDescent="0.3">
      <c r="B4" t="s">
        <v>88</v>
      </c>
      <c r="C4" s="29">
        <v>16680</v>
      </c>
      <c r="D4" s="29">
        <v>22432</v>
      </c>
      <c r="E4" s="29">
        <v>24406</v>
      </c>
      <c r="F4" s="29">
        <v>36303</v>
      </c>
      <c r="G4" s="29">
        <v>43397</v>
      </c>
      <c r="H4" s="29">
        <v>38626</v>
      </c>
      <c r="I4" s="29">
        <v>28840</v>
      </c>
      <c r="J4" s="29">
        <v>33312</v>
      </c>
      <c r="K4" s="29">
        <v>28771</v>
      </c>
      <c r="L4" s="29">
        <v>23352</v>
      </c>
      <c r="M4" s="29">
        <v>31198</v>
      </c>
      <c r="N4" s="29">
        <v>26666</v>
      </c>
      <c r="P4">
        <f t="shared" ref="P4:P35" si="0">IF(Q4=B4,1,0)</f>
        <v>1</v>
      </c>
      <c r="Q4" t="s">
        <v>88</v>
      </c>
      <c r="R4" s="29">
        <v>4266</v>
      </c>
      <c r="S4" s="29">
        <v>4802</v>
      </c>
      <c r="T4" s="29">
        <v>5510</v>
      </c>
      <c r="U4" s="29">
        <v>6025</v>
      </c>
      <c r="V4" s="29">
        <v>6512</v>
      </c>
      <c r="W4" s="29">
        <v>7485</v>
      </c>
      <c r="X4" s="29">
        <v>8909</v>
      </c>
      <c r="Y4" s="29">
        <v>9723</v>
      </c>
      <c r="Z4" s="29">
        <v>11672</v>
      </c>
      <c r="AA4" s="29">
        <v>12829</v>
      </c>
      <c r="AB4" s="29">
        <v>14089</v>
      </c>
      <c r="AC4" s="29">
        <v>14537</v>
      </c>
    </row>
    <row r="5" spans="2:29" x14ac:dyDescent="0.3">
      <c r="B5" t="s">
        <v>42</v>
      </c>
      <c r="C5" s="29">
        <v>-1422</v>
      </c>
      <c r="D5" s="29">
        <v>-6659</v>
      </c>
      <c r="E5" s="29">
        <v>-5177</v>
      </c>
      <c r="F5">
        <v>445</v>
      </c>
      <c r="G5" s="29">
        <v>-3179</v>
      </c>
      <c r="H5" s="29">
        <v>-2223</v>
      </c>
      <c r="I5" s="29">
        <v>-4152</v>
      </c>
      <c r="J5" s="29">
        <v>-10688</v>
      </c>
      <c r="K5" s="29">
        <v>-9109</v>
      </c>
      <c r="L5" s="29">
        <v>9950</v>
      </c>
      <c r="M5" s="29">
        <v>-5505</v>
      </c>
      <c r="N5">
        <v>337</v>
      </c>
      <c r="P5">
        <f t="shared" si="0"/>
        <v>1</v>
      </c>
      <c r="Q5" t="s">
        <v>42</v>
      </c>
      <c r="R5">
        <v>-149</v>
      </c>
      <c r="S5">
        <v>-17</v>
      </c>
      <c r="T5">
        <v>3</v>
      </c>
      <c r="U5">
        <v>-257</v>
      </c>
      <c r="V5">
        <v>173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2:29" x14ac:dyDescent="0.3">
      <c r="B6" t="s">
        <v>43</v>
      </c>
      <c r="C6" s="29">
        <v>-2411</v>
      </c>
      <c r="D6" s="29">
        <v>-2719</v>
      </c>
      <c r="E6" s="29">
        <v>-2656</v>
      </c>
      <c r="F6" s="29">
        <v>-2853</v>
      </c>
      <c r="G6" s="29">
        <v>-3692</v>
      </c>
      <c r="H6" s="29">
        <v>-5743</v>
      </c>
      <c r="I6" s="29">
        <v>-6621</v>
      </c>
      <c r="J6" s="29">
        <v>-3560</v>
      </c>
      <c r="K6" s="29">
        <v>2069</v>
      </c>
      <c r="L6" s="29">
        <v>2326</v>
      </c>
      <c r="M6" s="29">
        <v>3814</v>
      </c>
      <c r="N6">
        <v>597</v>
      </c>
      <c r="P6">
        <f t="shared" si="0"/>
        <v>1</v>
      </c>
      <c r="Q6" t="s">
        <v>43</v>
      </c>
      <c r="R6">
        <v>-39</v>
      </c>
      <c r="S6">
        <v>-201</v>
      </c>
      <c r="T6">
        <v>91</v>
      </c>
      <c r="U6">
        <v>89</v>
      </c>
      <c r="V6">
        <v>37</v>
      </c>
      <c r="W6">
        <v>-146</v>
      </c>
      <c r="X6">
        <v>-195</v>
      </c>
      <c r="Y6">
        <v>-331</v>
      </c>
      <c r="Z6">
        <v>-543</v>
      </c>
      <c r="AA6">
        <v>-758</v>
      </c>
      <c r="AB6">
        <v>-339</v>
      </c>
      <c r="AC6">
        <v>74</v>
      </c>
    </row>
    <row r="7" spans="2:29" x14ac:dyDescent="0.3">
      <c r="B7" t="s">
        <v>89</v>
      </c>
      <c r="C7">
        <v>344</v>
      </c>
      <c r="D7" s="29">
        <v>5867</v>
      </c>
      <c r="E7" s="29">
        <v>8132</v>
      </c>
      <c r="F7" s="29">
        <v>4694</v>
      </c>
      <c r="G7" s="29">
        <v>3598</v>
      </c>
      <c r="H7" s="29">
        <v>3947</v>
      </c>
      <c r="I7" s="29">
        <v>9301</v>
      </c>
      <c r="J7" s="29">
        <v>7320</v>
      </c>
      <c r="K7" s="29">
        <v>-4692</v>
      </c>
      <c r="L7" s="29">
        <v>-8085</v>
      </c>
      <c r="M7" s="29">
        <v>5748</v>
      </c>
      <c r="N7" s="29">
        <v>-7012</v>
      </c>
      <c r="P7">
        <f t="shared" si="0"/>
        <v>1</v>
      </c>
      <c r="Q7" t="s">
        <v>89</v>
      </c>
      <c r="R7">
        <v>493</v>
      </c>
      <c r="S7">
        <v>546</v>
      </c>
      <c r="T7">
        <v>-327</v>
      </c>
      <c r="U7">
        <v>164</v>
      </c>
      <c r="V7">
        <v>501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2:29" x14ac:dyDescent="0.3"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-520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f t="shared" si="0"/>
        <v>1</v>
      </c>
      <c r="Q8" t="s">
        <v>90</v>
      </c>
      <c r="R8">
        <v>-152</v>
      </c>
      <c r="S8">
        <v>-4</v>
      </c>
      <c r="T8">
        <v>-148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2:29" x14ac:dyDescent="0.3">
      <c r="B9" t="s">
        <v>91</v>
      </c>
      <c r="C9">
        <v>-559</v>
      </c>
      <c r="D9" s="29">
        <v>1231</v>
      </c>
      <c r="E9">
        <v>-303</v>
      </c>
      <c r="F9" s="29">
        <v>1870</v>
      </c>
      <c r="G9">
        <v>-398</v>
      </c>
      <c r="H9" s="29">
        <v>5852</v>
      </c>
      <c r="I9" s="29">
        <v>4727</v>
      </c>
      <c r="J9">
        <v>494</v>
      </c>
      <c r="K9" s="29">
        <v>4512</v>
      </c>
      <c r="L9">
        <v>875</v>
      </c>
      <c r="M9" s="29">
        <v>-4150</v>
      </c>
      <c r="N9" s="29">
        <v>-4396</v>
      </c>
      <c r="P9">
        <f t="shared" si="0"/>
        <v>0</v>
      </c>
      <c r="Q9" t="s">
        <v>125</v>
      </c>
      <c r="R9">
        <v>0</v>
      </c>
      <c r="S9">
        <v>0</v>
      </c>
      <c r="T9">
        <v>0</v>
      </c>
      <c r="U9">
        <v>0</v>
      </c>
      <c r="V9">
        <v>-46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2:29" x14ac:dyDescent="0.3">
      <c r="B10" t="s">
        <v>92</v>
      </c>
      <c r="C10" s="29">
        <v>-4048</v>
      </c>
      <c r="D10" s="29">
        <v>-2280</v>
      </c>
      <c r="E10">
        <v>-3</v>
      </c>
      <c r="F10" s="29">
        <v>4157</v>
      </c>
      <c r="G10" s="29">
        <v>-3672</v>
      </c>
      <c r="H10" s="29">
        <v>1313</v>
      </c>
      <c r="I10" s="29">
        <v>3254</v>
      </c>
      <c r="J10" s="29">
        <v>-6434</v>
      </c>
      <c r="K10" s="29">
        <v>-7221</v>
      </c>
      <c r="L10" s="29">
        <v>5065</v>
      </c>
      <c r="M10">
        <v>-93</v>
      </c>
      <c r="N10" s="29">
        <v>-10474</v>
      </c>
      <c r="P10">
        <f t="shared" si="0"/>
        <v>0</v>
      </c>
      <c r="Q10" t="s">
        <v>91</v>
      </c>
      <c r="R10">
        <v>276</v>
      </c>
      <c r="S10">
        <v>81</v>
      </c>
      <c r="T10">
        <v>38</v>
      </c>
      <c r="U10">
        <v>-77</v>
      </c>
      <c r="V10">
        <v>-99</v>
      </c>
      <c r="W10">
        <v>982</v>
      </c>
      <c r="X10">
        <v>-147</v>
      </c>
      <c r="Y10">
        <v>742</v>
      </c>
      <c r="Z10">
        <v>442</v>
      </c>
      <c r="AA10">
        <v>-242</v>
      </c>
      <c r="AB10">
        <v>-621</v>
      </c>
      <c r="AC10" s="29">
        <v>1239</v>
      </c>
    </row>
    <row r="11" spans="2:29" x14ac:dyDescent="0.3">
      <c r="B11" t="s">
        <v>93</v>
      </c>
      <c r="C11" s="29">
        <v>-1391</v>
      </c>
      <c r="D11" s="29">
        <v>-1768</v>
      </c>
      <c r="E11" s="29">
        <v>-2240</v>
      </c>
      <c r="F11" s="29">
        <v>-4308</v>
      </c>
      <c r="G11" s="29">
        <v>-4194</v>
      </c>
      <c r="H11" s="29">
        <v>-2040</v>
      </c>
      <c r="I11" s="29">
        <v>-1895</v>
      </c>
      <c r="J11" s="29">
        <v>-3021</v>
      </c>
      <c r="K11" s="29">
        <v>-2659</v>
      </c>
      <c r="L11" s="29">
        <v>-1785</v>
      </c>
      <c r="M11" s="29">
        <v>-2105</v>
      </c>
      <c r="N11" s="29">
        <v>-1910</v>
      </c>
      <c r="P11">
        <f t="shared" si="0"/>
        <v>0</v>
      </c>
      <c r="Q11" t="s">
        <v>92</v>
      </c>
      <c r="R11">
        <v>429</v>
      </c>
      <c r="S11">
        <v>405</v>
      </c>
      <c r="T11">
        <v>-342</v>
      </c>
      <c r="U11">
        <v>-81</v>
      </c>
      <c r="V11">
        <v>566</v>
      </c>
      <c r="W11">
        <v>836</v>
      </c>
      <c r="X11">
        <v>-342</v>
      </c>
      <c r="Y11">
        <v>411</v>
      </c>
      <c r="Z11">
        <v>-101</v>
      </c>
      <c r="AA11" s="29">
        <v>-1000</v>
      </c>
      <c r="AB11">
        <v>-960</v>
      </c>
      <c r="AC11" s="29">
        <v>1313</v>
      </c>
    </row>
    <row r="12" spans="2:29" x14ac:dyDescent="0.3">
      <c r="B12" t="s">
        <v>116</v>
      </c>
      <c r="C12" s="29">
        <v>-7023</v>
      </c>
      <c r="D12" s="29">
        <v>-19464</v>
      </c>
      <c r="E12" s="29">
        <v>-22969</v>
      </c>
      <c r="F12" s="29">
        <v>-27991</v>
      </c>
      <c r="G12" s="29">
        <v>-36232</v>
      </c>
      <c r="H12" s="29">
        <v>-36694</v>
      </c>
      <c r="I12" s="29">
        <v>-39571</v>
      </c>
      <c r="J12" s="29">
        <v>-25139</v>
      </c>
      <c r="K12" s="29">
        <v>-20878</v>
      </c>
      <c r="L12" s="29">
        <v>-33115</v>
      </c>
      <c r="M12" s="29">
        <v>-25672</v>
      </c>
      <c r="N12" s="29">
        <v>-4444</v>
      </c>
      <c r="P12">
        <f t="shared" si="0"/>
        <v>0</v>
      </c>
      <c r="Q12" t="s">
        <v>93</v>
      </c>
      <c r="R12" s="29">
        <v>-1074</v>
      </c>
      <c r="S12" s="29">
        <v>-1384</v>
      </c>
      <c r="T12" s="29">
        <v>-1862</v>
      </c>
      <c r="U12" s="29">
        <v>-1765</v>
      </c>
      <c r="V12" s="29">
        <v>-1859</v>
      </c>
      <c r="W12" s="29">
        <v>-2264</v>
      </c>
      <c r="X12" s="29">
        <v>-2767</v>
      </c>
      <c r="Y12" s="29">
        <v>-2505</v>
      </c>
      <c r="Z12" s="29">
        <v>-2407</v>
      </c>
      <c r="AA12" s="29">
        <v>-2784</v>
      </c>
      <c r="AB12" s="29">
        <v>-3138</v>
      </c>
      <c r="AC12">
        <v>-381</v>
      </c>
    </row>
    <row r="13" spans="2:29" x14ac:dyDescent="0.3">
      <c r="B13" t="s">
        <v>94</v>
      </c>
      <c r="C13" s="29">
        <v>-8124</v>
      </c>
      <c r="D13" s="29">
        <v>-13876</v>
      </c>
      <c r="E13" s="29">
        <v>-18863</v>
      </c>
      <c r="F13" s="29">
        <v>-26975</v>
      </c>
      <c r="G13" s="29">
        <v>-31962</v>
      </c>
      <c r="H13" s="29">
        <v>-31503</v>
      </c>
      <c r="I13" s="29">
        <v>-16072</v>
      </c>
      <c r="J13" s="29">
        <v>-35079</v>
      </c>
      <c r="K13" s="29">
        <v>-35304</v>
      </c>
      <c r="L13" s="29">
        <v>-29702</v>
      </c>
      <c r="M13" s="29">
        <v>-20205</v>
      </c>
      <c r="N13" s="29">
        <v>-15168</v>
      </c>
      <c r="P13">
        <f t="shared" si="0"/>
        <v>0</v>
      </c>
      <c r="Q13" t="s">
        <v>126</v>
      </c>
      <c r="R13">
        <v>0</v>
      </c>
      <c r="S13">
        <v>-5</v>
      </c>
      <c r="T13">
        <v>-14</v>
      </c>
      <c r="U13">
        <v>-8</v>
      </c>
      <c r="V13">
        <v>-21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2:29" x14ac:dyDescent="0.3">
      <c r="B14" t="s">
        <v>95</v>
      </c>
      <c r="C14">
        <v>11</v>
      </c>
      <c r="D14">
        <v>93</v>
      </c>
      <c r="E14">
        <v>37</v>
      </c>
      <c r="F14">
        <v>50</v>
      </c>
      <c r="G14">
        <v>74</v>
      </c>
      <c r="H14">
        <v>59</v>
      </c>
      <c r="I14">
        <v>53</v>
      </c>
      <c r="J14">
        <v>30</v>
      </c>
      <c r="K14">
        <v>67</v>
      </c>
      <c r="L14">
        <v>171</v>
      </c>
      <c r="M14">
        <v>351</v>
      </c>
      <c r="N14">
        <v>230</v>
      </c>
      <c r="P14">
        <f t="shared" si="0"/>
        <v>0</v>
      </c>
      <c r="Q14" t="s">
        <v>127</v>
      </c>
      <c r="R14">
        <v>-17</v>
      </c>
      <c r="S14">
        <v>0</v>
      </c>
      <c r="T14">
        <v>0</v>
      </c>
      <c r="U14">
        <v>0</v>
      </c>
      <c r="V14">
        <v>-13</v>
      </c>
      <c r="W14">
        <v>2</v>
      </c>
      <c r="X14">
        <v>0</v>
      </c>
      <c r="Y14">
        <v>-6</v>
      </c>
      <c r="Z14">
        <v>-1</v>
      </c>
      <c r="AA14">
        <v>3</v>
      </c>
      <c r="AB14">
        <v>0</v>
      </c>
      <c r="AC14">
        <v>0</v>
      </c>
    </row>
    <row r="15" spans="2:29" x14ac:dyDescent="0.3">
      <c r="B15" t="s">
        <v>96</v>
      </c>
      <c r="C15">
        <v>-147</v>
      </c>
      <c r="D15" s="29">
        <v>-5857</v>
      </c>
      <c r="E15">
        <v>73</v>
      </c>
      <c r="F15">
        <v>-429</v>
      </c>
      <c r="G15" s="29">
        <v>-5461</v>
      </c>
      <c r="H15" s="29">
        <v>-4728</v>
      </c>
      <c r="I15">
        <v>-6</v>
      </c>
      <c r="J15">
        <v>-329</v>
      </c>
      <c r="K15">
        <v>-130</v>
      </c>
      <c r="L15" s="29">
        <v>-1439</v>
      </c>
      <c r="M15" s="29">
        <v>-7530</v>
      </c>
      <c r="N15" s="29">
        <v>-3008</v>
      </c>
      <c r="P15">
        <f t="shared" si="0"/>
        <v>0</v>
      </c>
      <c r="Q15" t="s">
        <v>116</v>
      </c>
      <c r="R15">
        <v>63</v>
      </c>
      <c r="S15">
        <v>-475</v>
      </c>
      <c r="T15">
        <v>138</v>
      </c>
      <c r="U15">
        <v>-282</v>
      </c>
      <c r="V15" s="29">
        <v>-1173</v>
      </c>
      <c r="W15" s="29">
        <v>-1063</v>
      </c>
      <c r="X15">
        <v>-438</v>
      </c>
      <c r="Y15" s="29">
        <v>1791</v>
      </c>
      <c r="Z15" s="29">
        <v>-1228</v>
      </c>
      <c r="AA15" s="29">
        <v>-1728</v>
      </c>
      <c r="AB15" s="29">
        <v>-1484</v>
      </c>
      <c r="AC15" s="29">
        <v>-5324</v>
      </c>
    </row>
    <row r="16" spans="2:29" x14ac:dyDescent="0.3">
      <c r="B16" t="s">
        <v>97</v>
      </c>
      <c r="C16">
        <v>7</v>
      </c>
      <c r="D16">
        <v>84</v>
      </c>
      <c r="E16">
        <v>34</v>
      </c>
      <c r="F16">
        <v>4</v>
      </c>
      <c r="G16">
        <v>42</v>
      </c>
      <c r="H16">
        <v>89</v>
      </c>
      <c r="I16" s="29">
        <v>1965</v>
      </c>
      <c r="J16" s="29">
        <v>2381</v>
      </c>
      <c r="K16" s="29">
        <v>5644</v>
      </c>
      <c r="L16">
        <v>21</v>
      </c>
      <c r="M16">
        <v>226</v>
      </c>
      <c r="N16">
        <v>104</v>
      </c>
      <c r="P16">
        <f t="shared" si="0"/>
        <v>0</v>
      </c>
      <c r="Q16" t="s">
        <v>94</v>
      </c>
      <c r="R16">
        <v>-441</v>
      </c>
      <c r="S16">
        <v>-606</v>
      </c>
      <c r="T16">
        <v>-606</v>
      </c>
      <c r="U16">
        <v>-810</v>
      </c>
      <c r="V16" s="29">
        <v>-1113</v>
      </c>
      <c r="W16">
        <v>-895</v>
      </c>
      <c r="X16">
        <v>-767</v>
      </c>
      <c r="Y16">
        <v>-862</v>
      </c>
      <c r="Z16" s="29">
        <v>-4163</v>
      </c>
      <c r="AA16" s="29">
        <v>-1228</v>
      </c>
      <c r="AB16" s="29">
        <v>-1192</v>
      </c>
      <c r="AC16" s="29">
        <v>-1477</v>
      </c>
    </row>
    <row r="17" spans="2:29" x14ac:dyDescent="0.3">
      <c r="B17" t="s">
        <v>98</v>
      </c>
      <c r="C17">
        <v>314</v>
      </c>
      <c r="D17">
        <v>467</v>
      </c>
      <c r="E17">
        <v>713</v>
      </c>
      <c r="F17">
        <v>653</v>
      </c>
      <c r="G17">
        <v>698</v>
      </c>
      <c r="H17">
        <v>731</v>
      </c>
      <c r="I17">
        <v>638</v>
      </c>
      <c r="J17">
        <v>690</v>
      </c>
      <c r="K17">
        <v>761</v>
      </c>
      <c r="L17" s="29">
        <v>1104</v>
      </c>
      <c r="M17">
        <v>428</v>
      </c>
      <c r="N17">
        <v>653</v>
      </c>
      <c r="P17">
        <f t="shared" si="0"/>
        <v>0</v>
      </c>
      <c r="Q17" t="s">
        <v>95</v>
      </c>
      <c r="R17">
        <v>1</v>
      </c>
      <c r="S17">
        <v>229</v>
      </c>
      <c r="T17">
        <v>560</v>
      </c>
      <c r="U17">
        <v>99</v>
      </c>
      <c r="V17">
        <v>176</v>
      </c>
      <c r="W17">
        <v>32</v>
      </c>
      <c r="X17">
        <v>13</v>
      </c>
      <c r="Y17">
        <v>52</v>
      </c>
      <c r="Z17">
        <v>97</v>
      </c>
      <c r="AA17">
        <v>175</v>
      </c>
      <c r="AB17">
        <v>181</v>
      </c>
      <c r="AC17">
        <v>20</v>
      </c>
    </row>
    <row r="18" spans="2:29" x14ac:dyDescent="0.3">
      <c r="B18" t="s">
        <v>99</v>
      </c>
      <c r="C18">
        <v>98</v>
      </c>
      <c r="D18">
        <v>70</v>
      </c>
      <c r="E18">
        <v>95</v>
      </c>
      <c r="F18">
        <v>40</v>
      </c>
      <c r="G18">
        <v>80</v>
      </c>
      <c r="H18">
        <v>58</v>
      </c>
      <c r="I18">
        <v>620</v>
      </c>
      <c r="J18" s="29">
        <v>1797</v>
      </c>
      <c r="K18">
        <v>232</v>
      </c>
      <c r="L18">
        <v>21</v>
      </c>
      <c r="M18">
        <v>18</v>
      </c>
      <c r="N18">
        <v>32</v>
      </c>
      <c r="P18">
        <f t="shared" si="0"/>
        <v>0</v>
      </c>
      <c r="Q18" t="s">
        <v>96</v>
      </c>
      <c r="R18" s="29">
        <v>-15854</v>
      </c>
      <c r="S18" s="29">
        <v>-9538</v>
      </c>
      <c r="T18" s="29">
        <v>-19353</v>
      </c>
      <c r="U18" s="29">
        <v>-20666</v>
      </c>
      <c r="V18" s="29">
        <v>-31214</v>
      </c>
      <c r="W18" s="29">
        <v>-51855</v>
      </c>
      <c r="X18" s="29">
        <v>-74365</v>
      </c>
      <c r="Y18" s="29">
        <v>-36090</v>
      </c>
      <c r="Z18" s="29">
        <v>-39920</v>
      </c>
      <c r="AA18" s="29">
        <v>-48522</v>
      </c>
      <c r="AB18" s="29">
        <v>-22649</v>
      </c>
      <c r="AC18" s="29">
        <v>-21337</v>
      </c>
    </row>
    <row r="19" spans="2:29" x14ac:dyDescent="0.3">
      <c r="B19" t="s">
        <v>100</v>
      </c>
      <c r="C19">
        <v>-70</v>
      </c>
      <c r="D19">
        <v>-304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f t="shared" si="0"/>
        <v>0</v>
      </c>
      <c r="Q19" t="s">
        <v>97</v>
      </c>
      <c r="R19" s="29">
        <v>16122</v>
      </c>
      <c r="S19" s="29">
        <v>9213</v>
      </c>
      <c r="T19" s="29">
        <v>19461</v>
      </c>
      <c r="U19" s="29">
        <v>20937</v>
      </c>
      <c r="V19" s="29">
        <v>30083</v>
      </c>
      <c r="W19" s="29">
        <v>52897</v>
      </c>
      <c r="X19" s="29">
        <v>74691</v>
      </c>
      <c r="Y19" s="29">
        <v>37690</v>
      </c>
      <c r="Z19" s="29">
        <v>38486</v>
      </c>
      <c r="AA19" s="29">
        <v>47786</v>
      </c>
      <c r="AB19" s="29">
        <v>23462</v>
      </c>
      <c r="AC19" s="29">
        <v>19846</v>
      </c>
    </row>
    <row r="20" spans="2:29" x14ac:dyDescent="0.3">
      <c r="B20" t="s">
        <v>101</v>
      </c>
      <c r="C20">
        <v>-4</v>
      </c>
      <c r="D20">
        <v>-9</v>
      </c>
      <c r="E20">
        <v>0</v>
      </c>
      <c r="F20">
        <v>0</v>
      </c>
      <c r="G20">
        <v>-160</v>
      </c>
      <c r="H20">
        <v>0</v>
      </c>
      <c r="I20">
        <v>-107</v>
      </c>
      <c r="J20">
        <v>-4</v>
      </c>
      <c r="K20">
        <v>-9</v>
      </c>
      <c r="L20">
        <v>-606</v>
      </c>
      <c r="M20">
        <v>-10</v>
      </c>
      <c r="N20">
        <v>0</v>
      </c>
      <c r="P20">
        <f t="shared" si="0"/>
        <v>0</v>
      </c>
      <c r="Q20" t="s">
        <v>98</v>
      </c>
      <c r="R20">
        <v>214</v>
      </c>
      <c r="S20">
        <v>232</v>
      </c>
      <c r="T20">
        <v>218</v>
      </c>
      <c r="U20">
        <v>315</v>
      </c>
      <c r="V20">
        <v>264</v>
      </c>
      <c r="W20">
        <v>297</v>
      </c>
      <c r="X20">
        <v>289</v>
      </c>
      <c r="Y20">
        <v>351</v>
      </c>
      <c r="Z20">
        <v>277</v>
      </c>
      <c r="AA20">
        <v>161</v>
      </c>
      <c r="AB20">
        <v>259</v>
      </c>
      <c r="AC20">
        <v>425</v>
      </c>
    </row>
    <row r="21" spans="2:29" x14ac:dyDescent="0.3">
      <c r="B21" t="s">
        <v>102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14</v>
      </c>
      <c r="K21">
        <v>533</v>
      </c>
      <c r="L21">
        <v>0</v>
      </c>
      <c r="M21">
        <v>0</v>
      </c>
      <c r="N21">
        <v>0</v>
      </c>
      <c r="P21">
        <f t="shared" si="0"/>
        <v>0</v>
      </c>
      <c r="Q21" t="s">
        <v>99</v>
      </c>
      <c r="R21">
        <v>38</v>
      </c>
      <c r="S21">
        <v>16</v>
      </c>
      <c r="T21">
        <v>24</v>
      </c>
      <c r="U21">
        <v>33</v>
      </c>
      <c r="V21">
        <v>14</v>
      </c>
      <c r="W21">
        <v>0</v>
      </c>
      <c r="X21">
        <v>1</v>
      </c>
      <c r="Y21">
        <v>1</v>
      </c>
      <c r="Z21">
        <v>1</v>
      </c>
      <c r="AA21">
        <v>1</v>
      </c>
      <c r="AB21">
        <v>2</v>
      </c>
      <c r="AC21">
        <v>3</v>
      </c>
    </row>
    <row r="22" spans="2:29" x14ac:dyDescent="0.3">
      <c r="B22" t="s">
        <v>103</v>
      </c>
      <c r="C22">
        <v>2</v>
      </c>
      <c r="D22">
        <v>0</v>
      </c>
      <c r="E22">
        <v>0</v>
      </c>
      <c r="F22">
        <v>-185</v>
      </c>
      <c r="G22">
        <v>0</v>
      </c>
      <c r="H22">
        <v>-111</v>
      </c>
      <c r="I22">
        <v>0</v>
      </c>
      <c r="J22">
        <v>0</v>
      </c>
      <c r="K22">
        <v>-8</v>
      </c>
      <c r="L22">
        <v>-27</v>
      </c>
      <c r="M22">
        <v>0</v>
      </c>
      <c r="N22">
        <v>-98</v>
      </c>
      <c r="P22">
        <f t="shared" si="0"/>
        <v>0</v>
      </c>
      <c r="Q22" t="s">
        <v>100</v>
      </c>
      <c r="R22">
        <v>0</v>
      </c>
      <c r="S22">
        <v>-101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2:29" x14ac:dyDescent="0.3">
      <c r="B23" t="s">
        <v>104</v>
      </c>
      <c r="C23">
        <v>5</v>
      </c>
      <c r="D23">
        <v>-3</v>
      </c>
      <c r="E23">
        <v>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f t="shared" si="0"/>
        <v>0</v>
      </c>
      <c r="Q23" t="s">
        <v>128</v>
      </c>
      <c r="R23">
        <v>-89</v>
      </c>
      <c r="S23">
        <v>-104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2:29" x14ac:dyDescent="0.3">
      <c r="B24" t="s">
        <v>105</v>
      </c>
      <c r="C24">
        <v>884</v>
      </c>
      <c r="D24">
        <v>-129</v>
      </c>
      <c r="E24" s="29">
        <v>-5103</v>
      </c>
      <c r="F24" s="29">
        <v>-1149</v>
      </c>
      <c r="G24">
        <v>456</v>
      </c>
      <c r="H24" s="29">
        <v>-1289</v>
      </c>
      <c r="I24" s="29">
        <v>-26663</v>
      </c>
      <c r="J24" s="29">
        <v>5360</v>
      </c>
      <c r="K24" s="29">
        <v>7335</v>
      </c>
      <c r="L24" s="29">
        <v>-2659</v>
      </c>
      <c r="M24" s="29">
        <v>1051</v>
      </c>
      <c r="N24" s="29">
        <v>12813</v>
      </c>
      <c r="P24">
        <f t="shared" si="0"/>
        <v>0</v>
      </c>
      <c r="Q24" t="s">
        <v>102</v>
      </c>
      <c r="R24">
        <v>0</v>
      </c>
      <c r="S24">
        <v>0</v>
      </c>
      <c r="T24">
        <v>200</v>
      </c>
      <c r="U24">
        <v>161</v>
      </c>
      <c r="V24">
        <v>20</v>
      </c>
      <c r="W24">
        <v>73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2:29" x14ac:dyDescent="0.3">
      <c r="B25" t="s">
        <v>117</v>
      </c>
      <c r="C25" s="29">
        <v>-1401</v>
      </c>
      <c r="D25" s="29">
        <v>6567</v>
      </c>
      <c r="E25" s="29">
        <v>-1692</v>
      </c>
      <c r="F25" s="29">
        <v>-3883</v>
      </c>
      <c r="G25" s="29">
        <v>5201</v>
      </c>
      <c r="H25" s="29">
        <v>-3795</v>
      </c>
      <c r="I25" s="29">
        <v>6205</v>
      </c>
      <c r="J25" s="29">
        <v>2012</v>
      </c>
      <c r="K25" s="29">
        <v>8830</v>
      </c>
      <c r="L25" s="29">
        <v>3390</v>
      </c>
      <c r="M25" s="29">
        <v>9904</v>
      </c>
      <c r="N25" s="29">
        <v>-3380</v>
      </c>
      <c r="P25">
        <f t="shared" si="0"/>
        <v>0</v>
      </c>
      <c r="Q25" t="s">
        <v>103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-334</v>
      </c>
      <c r="AC25">
        <v>0</v>
      </c>
    </row>
    <row r="26" spans="2:29" x14ac:dyDescent="0.3">
      <c r="B26" t="s">
        <v>106</v>
      </c>
      <c r="C26" s="29">
        <v>3258</v>
      </c>
      <c r="D26">
        <v>139</v>
      </c>
      <c r="E26">
        <v>1</v>
      </c>
      <c r="F26">
        <v>0</v>
      </c>
      <c r="G26">
        <v>0</v>
      </c>
      <c r="H26" s="29">
        <v>7433</v>
      </c>
      <c r="I26">
        <v>5</v>
      </c>
      <c r="J26">
        <v>0</v>
      </c>
      <c r="K26">
        <v>0</v>
      </c>
      <c r="L26" s="29">
        <v>3889</v>
      </c>
      <c r="M26" s="29">
        <v>2603</v>
      </c>
      <c r="N26">
        <v>19</v>
      </c>
      <c r="P26">
        <f t="shared" si="0"/>
        <v>0</v>
      </c>
      <c r="Q26" t="s">
        <v>105</v>
      </c>
      <c r="R26">
        <v>72</v>
      </c>
      <c r="S26">
        <v>183</v>
      </c>
      <c r="T26">
        <v>-367</v>
      </c>
      <c r="U26">
        <v>-351</v>
      </c>
      <c r="V26">
        <v>597</v>
      </c>
      <c r="W26" s="29">
        <v>-1612</v>
      </c>
      <c r="X26">
        <v>-300</v>
      </c>
      <c r="Y26">
        <v>649</v>
      </c>
      <c r="Z26" s="29">
        <v>3994</v>
      </c>
      <c r="AA26">
        <v>-101</v>
      </c>
      <c r="AB26" s="29">
        <v>-1213</v>
      </c>
      <c r="AC26" s="29">
        <v>-2804</v>
      </c>
    </row>
    <row r="27" spans="2:29" x14ac:dyDescent="0.3">
      <c r="B27" t="s">
        <v>107</v>
      </c>
      <c r="C27">
        <v>0</v>
      </c>
      <c r="D27">
        <v>0</v>
      </c>
      <c r="E27">
        <v>-97</v>
      </c>
      <c r="F27">
        <v>-658</v>
      </c>
      <c r="G27">
        <v>-744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f t="shared" si="0"/>
        <v>0</v>
      </c>
      <c r="Q27" t="s">
        <v>117</v>
      </c>
      <c r="R27" s="29">
        <v>-4147</v>
      </c>
      <c r="S27" s="29">
        <v>-2960</v>
      </c>
      <c r="T27" s="29">
        <v>-3462</v>
      </c>
      <c r="U27" s="29">
        <v>-3864</v>
      </c>
      <c r="V27" s="29">
        <v>-4214</v>
      </c>
      <c r="W27" s="29">
        <v>-4975</v>
      </c>
      <c r="X27" s="29">
        <v>-5390</v>
      </c>
      <c r="Y27" s="29">
        <v>-6819</v>
      </c>
      <c r="Z27" s="29">
        <v>-9309</v>
      </c>
      <c r="AA27" s="29">
        <v>-8015</v>
      </c>
      <c r="AB27" s="29">
        <v>-8953</v>
      </c>
      <c r="AC27" s="29">
        <v>-10034</v>
      </c>
    </row>
    <row r="28" spans="2:29" x14ac:dyDescent="0.3">
      <c r="B28" t="s">
        <v>108</v>
      </c>
      <c r="C28" s="29">
        <v>15530</v>
      </c>
      <c r="D28" s="29">
        <v>27462</v>
      </c>
      <c r="E28" s="29">
        <v>27863</v>
      </c>
      <c r="F28" s="29">
        <v>33258</v>
      </c>
      <c r="G28" s="29">
        <v>36363</v>
      </c>
      <c r="H28" s="29">
        <v>19519</v>
      </c>
      <c r="I28" s="29">
        <v>33390</v>
      </c>
      <c r="J28" s="29">
        <v>37482</v>
      </c>
      <c r="K28" s="29">
        <v>51128</v>
      </c>
      <c r="L28" s="29">
        <v>38297</v>
      </c>
      <c r="M28" s="29">
        <v>46641</v>
      </c>
      <c r="N28" s="29">
        <v>46578</v>
      </c>
      <c r="P28">
        <f t="shared" si="0"/>
        <v>0</v>
      </c>
      <c r="Q28" t="s">
        <v>106</v>
      </c>
      <c r="R28">
        <v>7</v>
      </c>
      <c r="S28">
        <v>2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2:29" x14ac:dyDescent="0.3">
      <c r="B29" t="s">
        <v>109</v>
      </c>
      <c r="C29" s="29">
        <v>-16641</v>
      </c>
      <c r="D29" s="29">
        <v>-15010</v>
      </c>
      <c r="E29" s="29">
        <v>-20395</v>
      </c>
      <c r="F29" s="29">
        <v>-29141</v>
      </c>
      <c r="G29" s="29">
        <v>-23332</v>
      </c>
      <c r="H29" s="29">
        <v>-24924</v>
      </c>
      <c r="I29" s="29">
        <v>-21732</v>
      </c>
      <c r="J29" s="29">
        <v>-29964</v>
      </c>
      <c r="K29" s="29">
        <v>-35198</v>
      </c>
      <c r="L29" s="29">
        <v>-29847</v>
      </c>
      <c r="M29" s="29">
        <v>-29709</v>
      </c>
      <c r="N29" s="29">
        <v>-42816</v>
      </c>
      <c r="P29">
        <f t="shared" si="0"/>
        <v>0</v>
      </c>
      <c r="Q29" t="s">
        <v>108</v>
      </c>
      <c r="R29">
        <v>25</v>
      </c>
      <c r="S29">
        <v>0</v>
      </c>
      <c r="T29">
        <v>0</v>
      </c>
      <c r="U29">
        <v>177</v>
      </c>
      <c r="V29">
        <v>460</v>
      </c>
      <c r="W29">
        <v>0</v>
      </c>
      <c r="X29">
        <v>99</v>
      </c>
      <c r="Y29">
        <v>0</v>
      </c>
      <c r="Z29">
        <v>188</v>
      </c>
      <c r="AA29">
        <v>55</v>
      </c>
      <c r="AB29">
        <v>286</v>
      </c>
      <c r="AC29">
        <v>0</v>
      </c>
    </row>
    <row r="30" spans="2:29" x14ac:dyDescent="0.3">
      <c r="B30" t="s">
        <v>110</v>
      </c>
      <c r="C30">
        <v>339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f t="shared" si="0"/>
        <v>0</v>
      </c>
      <c r="Q30" t="s">
        <v>109</v>
      </c>
      <c r="R30">
        <v>0</v>
      </c>
      <c r="S30">
        <v>-15</v>
      </c>
      <c r="T30">
        <v>-3</v>
      </c>
      <c r="U30">
        <v>0</v>
      </c>
      <c r="V30">
        <v>-360</v>
      </c>
      <c r="W30">
        <v>-277</v>
      </c>
      <c r="X30">
        <v>0</v>
      </c>
      <c r="Y30">
        <v>-99</v>
      </c>
      <c r="Z30">
        <v>-188</v>
      </c>
      <c r="AA30">
        <v>-55</v>
      </c>
      <c r="AB30">
        <v>-208</v>
      </c>
      <c r="AC30">
        <v>-85</v>
      </c>
    </row>
    <row r="31" spans="2:29" x14ac:dyDescent="0.3">
      <c r="B31" t="s">
        <v>111</v>
      </c>
      <c r="C31" s="29">
        <v>-2469</v>
      </c>
      <c r="D31" s="29">
        <v>-3374</v>
      </c>
      <c r="E31" s="29">
        <v>-4666</v>
      </c>
      <c r="F31" s="29">
        <v>-6171</v>
      </c>
      <c r="G31" s="29">
        <v>-6307</v>
      </c>
      <c r="H31" s="29">
        <v>-5716</v>
      </c>
      <c r="I31" s="29">
        <v>-5336</v>
      </c>
      <c r="J31" s="29">
        <v>-5411</v>
      </c>
      <c r="K31" s="29">
        <v>-7005</v>
      </c>
      <c r="L31" s="29">
        <v>-7518</v>
      </c>
      <c r="M31" s="29">
        <v>-8123</v>
      </c>
      <c r="N31" s="29">
        <v>-9251</v>
      </c>
      <c r="P31">
        <f t="shared" si="0"/>
        <v>1</v>
      </c>
      <c r="Q31" t="s">
        <v>111</v>
      </c>
      <c r="R31">
        <v>-26</v>
      </c>
      <c r="S31">
        <v>-29</v>
      </c>
      <c r="T31">
        <v>-18</v>
      </c>
      <c r="U31">
        <v>-2</v>
      </c>
      <c r="V31">
        <v>-14</v>
      </c>
      <c r="W31">
        <v>-6</v>
      </c>
      <c r="X31">
        <v>-7</v>
      </c>
      <c r="Y31">
        <v>-90</v>
      </c>
      <c r="Z31">
        <v>-92</v>
      </c>
      <c r="AA31">
        <v>-82</v>
      </c>
      <c r="AB31">
        <v>-88</v>
      </c>
      <c r="AC31">
        <v>-110</v>
      </c>
    </row>
    <row r="32" spans="2:29" x14ac:dyDescent="0.3">
      <c r="B32" t="s">
        <v>112</v>
      </c>
      <c r="C32" s="29">
        <v>-1020</v>
      </c>
      <c r="D32" s="29">
        <v>-1503</v>
      </c>
      <c r="E32" s="29">
        <v>-1551</v>
      </c>
      <c r="F32">
        <v>-722</v>
      </c>
      <c r="G32">
        <v>-720</v>
      </c>
      <c r="H32">
        <v>-108</v>
      </c>
      <c r="I32">
        <v>-121</v>
      </c>
      <c r="J32">
        <v>-96</v>
      </c>
      <c r="K32">
        <v>-95</v>
      </c>
      <c r="L32">
        <v>-57</v>
      </c>
      <c r="M32">
        <v>-30</v>
      </c>
      <c r="N32">
        <v>-100</v>
      </c>
      <c r="P32">
        <f t="shared" si="0"/>
        <v>1</v>
      </c>
      <c r="Q32" t="s">
        <v>112</v>
      </c>
      <c r="R32" s="29">
        <v>-3558</v>
      </c>
      <c r="S32" s="29">
        <v>-2481</v>
      </c>
      <c r="T32" s="29">
        <v>-2912</v>
      </c>
      <c r="U32" s="29">
        <v>-3354</v>
      </c>
      <c r="V32" s="29">
        <v>-3572</v>
      </c>
      <c r="W32" s="29">
        <v>-3911</v>
      </c>
      <c r="X32" s="29">
        <v>-4554</v>
      </c>
      <c r="Y32" s="29">
        <v>-5196</v>
      </c>
      <c r="Z32" s="29">
        <v>-8811</v>
      </c>
      <c r="AA32" s="29">
        <v>-7526</v>
      </c>
      <c r="AB32" s="29">
        <v>-8474</v>
      </c>
      <c r="AC32" s="29">
        <v>-9416</v>
      </c>
    </row>
    <row r="33" spans="2:29" x14ac:dyDescent="0.3">
      <c r="B33" t="s">
        <v>113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29">
        <v>-1346</v>
      </c>
      <c r="M33" s="29">
        <v>-1477</v>
      </c>
      <c r="N33" s="29">
        <v>-1559</v>
      </c>
      <c r="P33">
        <f t="shared" si="0"/>
        <v>1</v>
      </c>
      <c r="Q33" t="s">
        <v>113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-373</v>
      </c>
      <c r="Z33">
        <v>-406</v>
      </c>
      <c r="AA33">
        <v>-407</v>
      </c>
      <c r="AB33">
        <v>-467</v>
      </c>
      <c r="AC33">
        <v>-423</v>
      </c>
    </row>
    <row r="34" spans="2:29" x14ac:dyDescent="0.3">
      <c r="B34" t="s">
        <v>114</v>
      </c>
      <c r="C34">
        <v>-399</v>
      </c>
      <c r="D34" s="29">
        <v>-1147</v>
      </c>
      <c r="E34" s="29">
        <v>-2849</v>
      </c>
      <c r="F34">
        <v>-450</v>
      </c>
      <c r="G34">
        <v>-57</v>
      </c>
      <c r="H34">
        <v>0</v>
      </c>
      <c r="I34">
        <v>0</v>
      </c>
      <c r="J34">
        <v>0</v>
      </c>
      <c r="K34">
        <v>0</v>
      </c>
      <c r="L34">
        <v>-29</v>
      </c>
      <c r="M34">
        <v>0</v>
      </c>
      <c r="N34" s="29">
        <v>3750</v>
      </c>
      <c r="P34">
        <f t="shared" si="0"/>
        <v>1</v>
      </c>
      <c r="Q34" t="s">
        <v>114</v>
      </c>
      <c r="R34">
        <v>-596</v>
      </c>
      <c r="S34">
        <v>-437</v>
      </c>
      <c r="T34">
        <v>-533</v>
      </c>
      <c r="U34">
        <v>-685</v>
      </c>
      <c r="V34">
        <v>-728</v>
      </c>
      <c r="W34">
        <v>-781</v>
      </c>
      <c r="X34">
        <v>-928</v>
      </c>
      <c r="Y34" s="29">
        <v>-1061</v>
      </c>
      <c r="Z34">
        <v>0</v>
      </c>
      <c r="AA34">
        <v>0</v>
      </c>
      <c r="AB34">
        <v>-2</v>
      </c>
      <c r="AC34">
        <v>0</v>
      </c>
    </row>
    <row r="35" spans="2:29" x14ac:dyDescent="0.3">
      <c r="B35" t="s">
        <v>52</v>
      </c>
      <c r="C35" s="29">
        <v>2815</v>
      </c>
      <c r="D35" s="29">
        <v>5488</v>
      </c>
      <c r="E35" s="29">
        <v>-2499</v>
      </c>
      <c r="F35" s="29">
        <v>4277</v>
      </c>
      <c r="G35" s="29">
        <v>4500</v>
      </c>
      <c r="H35" s="29">
        <v>-2589</v>
      </c>
      <c r="I35" s="29">
        <v>-3167</v>
      </c>
      <c r="J35">
        <v>730</v>
      </c>
      <c r="K35" s="29">
        <v>6843</v>
      </c>
      <c r="L35" s="29">
        <v>-3092</v>
      </c>
      <c r="M35" s="29">
        <v>13232</v>
      </c>
      <c r="N35" s="29">
        <v>6459</v>
      </c>
      <c r="P35">
        <f t="shared" si="0"/>
        <v>1</v>
      </c>
      <c r="Q35" t="s">
        <v>52</v>
      </c>
      <c r="R35">
        <v>-480</v>
      </c>
      <c r="S35">
        <v>383</v>
      </c>
      <c r="T35">
        <v>-33</v>
      </c>
      <c r="U35">
        <v>25</v>
      </c>
      <c r="V35">
        <v>-202</v>
      </c>
      <c r="W35">
        <v>21</v>
      </c>
      <c r="X35">
        <v>-28</v>
      </c>
      <c r="Y35" s="29">
        <v>2595</v>
      </c>
      <c r="Z35" s="29">
        <v>-1374</v>
      </c>
      <c r="AA35">
        <v>-695</v>
      </c>
      <c r="AB35">
        <v>-446</v>
      </c>
      <c r="AC35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B62C-3C76-4CCF-8916-1C906FABDF68}">
  <dimension ref="B2:O79"/>
  <sheetViews>
    <sheetView showGridLines="0" workbookViewId="0">
      <selection activeCell="J61" sqref="J61"/>
    </sheetView>
  </sheetViews>
  <sheetFormatPr defaultRowHeight="14.4" x14ac:dyDescent="0.3"/>
  <cols>
    <col min="2" max="2" width="22.77734375" bestFit="1" customWidth="1"/>
  </cols>
  <sheetData>
    <row r="2" spans="2:15" x14ac:dyDescent="0.3">
      <c r="C2" s="123">
        <v>41334</v>
      </c>
      <c r="D2" s="123">
        <v>41699</v>
      </c>
      <c r="E2" s="123">
        <v>42064</v>
      </c>
      <c r="F2" s="123">
        <v>42430</v>
      </c>
      <c r="G2" s="123">
        <v>42795</v>
      </c>
      <c r="H2" s="123">
        <v>43160</v>
      </c>
      <c r="I2" s="123">
        <v>43525</v>
      </c>
      <c r="J2" s="123">
        <v>43891</v>
      </c>
      <c r="K2" s="123">
        <v>44256</v>
      </c>
      <c r="L2" s="123">
        <v>44621</v>
      </c>
      <c r="M2" s="123">
        <v>44986</v>
      </c>
      <c r="N2" s="123">
        <v>45352</v>
      </c>
      <c r="O2" s="11"/>
    </row>
    <row r="4" spans="2:15" x14ac:dyDescent="0.3">
      <c r="B4" s="15" t="s">
        <v>317</v>
      </c>
      <c r="C4">
        <v>216</v>
      </c>
      <c r="D4">
        <v>216</v>
      </c>
      <c r="E4">
        <v>216</v>
      </c>
      <c r="F4">
        <v>216</v>
      </c>
      <c r="G4">
        <v>216</v>
      </c>
      <c r="H4">
        <v>216</v>
      </c>
      <c r="I4">
        <v>216</v>
      </c>
      <c r="J4">
        <v>216</v>
      </c>
      <c r="K4">
        <v>235</v>
      </c>
      <c r="L4">
        <v>235</v>
      </c>
      <c r="M4">
        <v>235</v>
      </c>
      <c r="N4">
        <v>235</v>
      </c>
    </row>
    <row r="5" spans="2:15" x14ac:dyDescent="0.3">
      <c r="B5" s="15" t="s">
        <v>34</v>
      </c>
      <c r="C5" s="29">
        <v>2649</v>
      </c>
      <c r="D5" s="29">
        <v>3321</v>
      </c>
      <c r="E5" s="29">
        <v>3811</v>
      </c>
      <c r="F5" s="29">
        <v>6357</v>
      </c>
      <c r="G5" s="29">
        <v>6528</v>
      </c>
      <c r="H5" s="29">
        <v>7065</v>
      </c>
      <c r="I5" s="29">
        <v>7651</v>
      </c>
      <c r="J5" s="29">
        <v>8013</v>
      </c>
      <c r="K5" s="29">
        <v>47439</v>
      </c>
      <c r="L5" s="29">
        <v>48826</v>
      </c>
      <c r="M5" s="29">
        <v>50069</v>
      </c>
      <c r="N5" s="29">
        <v>50983</v>
      </c>
      <c r="O5" s="29"/>
    </row>
    <row r="6" spans="2:15" x14ac:dyDescent="0.3">
      <c r="B6" s="15" t="s">
        <v>318</v>
      </c>
      <c r="L6" s="29"/>
      <c r="M6" s="29"/>
      <c r="N6" s="29"/>
      <c r="O6" s="29"/>
    </row>
    <row r="7" spans="2:15" x14ac:dyDescent="0.3">
      <c r="B7" t="s">
        <v>319</v>
      </c>
      <c r="C7">
        <v>8</v>
      </c>
      <c r="D7">
        <v>8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2:15" x14ac:dyDescent="0.3">
      <c r="B8" t="s">
        <v>320</v>
      </c>
      <c r="C8">
        <v>16</v>
      </c>
      <c r="D8">
        <v>37</v>
      </c>
      <c r="E8">
        <v>36</v>
      </c>
      <c r="F8">
        <v>177</v>
      </c>
      <c r="G8">
        <v>277</v>
      </c>
      <c r="H8">
        <v>0</v>
      </c>
      <c r="I8">
        <v>99</v>
      </c>
      <c r="J8">
        <v>0</v>
      </c>
      <c r="K8">
        <v>0</v>
      </c>
      <c r="L8">
        <v>0</v>
      </c>
      <c r="M8">
        <v>98</v>
      </c>
      <c r="N8">
        <v>13</v>
      </c>
    </row>
    <row r="9" spans="2:15" x14ac:dyDescent="0.3">
      <c r="B9" t="s">
        <v>321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29">
        <v>1043</v>
      </c>
      <c r="M9" s="29">
        <v>1121</v>
      </c>
      <c r="N9" s="29">
        <v>1471</v>
      </c>
      <c r="O9" s="29"/>
    </row>
    <row r="10" spans="2:15" x14ac:dyDescent="0.3">
      <c r="L10" s="29"/>
      <c r="M10" s="29"/>
      <c r="N10" s="29"/>
      <c r="O10" s="29"/>
    </row>
    <row r="11" spans="2:15" x14ac:dyDescent="0.3">
      <c r="B11" s="15" t="s">
        <v>322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</row>
    <row r="12" spans="2:15" x14ac:dyDescent="0.3">
      <c r="B12" t="s">
        <v>323</v>
      </c>
      <c r="C12">
        <v>21</v>
      </c>
      <c r="D12">
        <v>22</v>
      </c>
      <c r="E12">
        <v>25</v>
      </c>
      <c r="F12">
        <v>20</v>
      </c>
      <c r="G12">
        <v>22</v>
      </c>
      <c r="H12">
        <v>20</v>
      </c>
      <c r="I12">
        <v>18</v>
      </c>
      <c r="J12">
        <v>17</v>
      </c>
      <c r="K12">
        <v>20</v>
      </c>
      <c r="L12">
        <v>26</v>
      </c>
      <c r="M12">
        <v>218</v>
      </c>
      <c r="N12">
        <v>205</v>
      </c>
    </row>
    <row r="13" spans="2:15" x14ac:dyDescent="0.3">
      <c r="B13" t="s">
        <v>306</v>
      </c>
      <c r="C13" s="29">
        <v>5342</v>
      </c>
      <c r="D13" s="29">
        <v>5825</v>
      </c>
      <c r="E13" s="29">
        <v>5506</v>
      </c>
      <c r="F13" s="29">
        <v>5685</v>
      </c>
      <c r="G13" s="29">
        <v>6186</v>
      </c>
      <c r="H13" s="29">
        <v>7170</v>
      </c>
      <c r="I13" s="29">
        <v>7206</v>
      </c>
      <c r="J13" s="29">
        <v>7535</v>
      </c>
      <c r="K13" s="29">
        <v>8802</v>
      </c>
      <c r="L13" s="29">
        <v>9068</v>
      </c>
      <c r="M13" s="29">
        <v>9574</v>
      </c>
      <c r="N13" s="29">
        <v>10486</v>
      </c>
      <c r="O13" s="29"/>
    </row>
    <row r="14" spans="2:15" x14ac:dyDescent="0.3">
      <c r="B14" t="s">
        <v>307</v>
      </c>
      <c r="C14">
        <v>48</v>
      </c>
      <c r="D14">
        <v>37</v>
      </c>
      <c r="E14">
        <v>45</v>
      </c>
      <c r="F14">
        <v>45</v>
      </c>
      <c r="G14">
        <v>78</v>
      </c>
      <c r="H14">
        <v>62</v>
      </c>
      <c r="I14">
        <v>43</v>
      </c>
      <c r="J14">
        <v>158</v>
      </c>
      <c r="K14">
        <v>96</v>
      </c>
      <c r="L14">
        <v>119</v>
      </c>
      <c r="M14">
        <v>98</v>
      </c>
      <c r="N14">
        <v>91</v>
      </c>
    </row>
    <row r="15" spans="2:15" x14ac:dyDescent="0.3">
      <c r="B15" t="s">
        <v>308</v>
      </c>
      <c r="C15" s="29">
        <v>3792</v>
      </c>
      <c r="D15" s="29">
        <v>4287</v>
      </c>
      <c r="E15" s="29">
        <v>4783</v>
      </c>
      <c r="F15" s="29">
        <v>2293</v>
      </c>
      <c r="G15" s="29">
        <v>2399</v>
      </c>
      <c r="H15" s="29">
        <v>3329</v>
      </c>
      <c r="I15" s="29">
        <v>3396</v>
      </c>
      <c r="J15" s="29">
        <v>4214</v>
      </c>
      <c r="K15" s="29">
        <v>12148</v>
      </c>
      <c r="L15" s="29">
        <v>11189</v>
      </c>
      <c r="M15" s="29">
        <v>11664</v>
      </c>
      <c r="N15" s="29">
        <v>15005</v>
      </c>
      <c r="O15" s="29"/>
    </row>
    <row r="16" spans="2:15" s="15" customFormat="1" ht="15" thickBot="1" x14ac:dyDescent="0.35">
      <c r="B16" s="125" t="s">
        <v>82</v>
      </c>
      <c r="C16" s="126">
        <v>12092</v>
      </c>
      <c r="D16" s="126">
        <v>13754</v>
      </c>
      <c r="E16" s="126">
        <v>14430</v>
      </c>
      <c r="F16" s="126">
        <v>14793</v>
      </c>
      <c r="G16" s="126">
        <v>15706</v>
      </c>
      <c r="H16" s="126">
        <v>17862</v>
      </c>
      <c r="I16" s="126">
        <v>18629</v>
      </c>
      <c r="J16" s="126">
        <v>20153</v>
      </c>
      <c r="K16" s="126">
        <v>68740</v>
      </c>
      <c r="L16" s="126">
        <v>70506</v>
      </c>
      <c r="M16" s="126">
        <v>73077</v>
      </c>
      <c r="N16" s="126">
        <v>78489</v>
      </c>
      <c r="O16" s="124"/>
    </row>
    <row r="17" spans="2:15" s="15" customFormat="1" x14ac:dyDescent="0.3">
      <c r="B17" s="127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4"/>
    </row>
    <row r="18" spans="2:15" x14ac:dyDescent="0.3">
      <c r="B18" s="15" t="s">
        <v>324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2:15" x14ac:dyDescent="0.3">
      <c r="B19" t="s">
        <v>309</v>
      </c>
      <c r="C19">
        <v>133</v>
      </c>
      <c r="D19">
        <v>133</v>
      </c>
      <c r="E19">
        <v>102</v>
      </c>
      <c r="F19">
        <v>88</v>
      </c>
      <c r="G19">
        <v>89</v>
      </c>
      <c r="H19">
        <v>87</v>
      </c>
      <c r="I19">
        <v>86</v>
      </c>
      <c r="J19">
        <v>59</v>
      </c>
      <c r="K19">
        <v>477</v>
      </c>
      <c r="L19">
        <v>477</v>
      </c>
      <c r="M19">
        <v>609</v>
      </c>
      <c r="N19">
        <v>618</v>
      </c>
    </row>
    <row r="20" spans="2:15" x14ac:dyDescent="0.3">
      <c r="B20" t="s">
        <v>310</v>
      </c>
      <c r="C20" s="29">
        <v>1030</v>
      </c>
      <c r="D20" s="29">
        <v>1133</v>
      </c>
      <c r="E20" s="29">
        <v>1173</v>
      </c>
      <c r="F20">
        <v>931</v>
      </c>
      <c r="G20" s="29">
        <v>1210</v>
      </c>
      <c r="H20" s="29">
        <v>1343</v>
      </c>
      <c r="I20" s="29">
        <v>1527</v>
      </c>
      <c r="J20" s="29">
        <v>2044</v>
      </c>
      <c r="K20" s="29">
        <v>2602</v>
      </c>
      <c r="L20" s="29">
        <v>2788</v>
      </c>
      <c r="M20" s="29">
        <v>3101</v>
      </c>
      <c r="N20" s="29">
        <v>3518</v>
      </c>
    </row>
    <row r="21" spans="2:15" x14ac:dyDescent="0.3">
      <c r="B21" t="s">
        <v>311</v>
      </c>
      <c r="C21" s="29">
        <v>2716</v>
      </c>
      <c r="D21" s="29">
        <v>3176</v>
      </c>
      <c r="E21" s="29">
        <v>3481</v>
      </c>
      <c r="F21" s="29">
        <v>2370</v>
      </c>
      <c r="G21" s="29">
        <v>3270</v>
      </c>
      <c r="H21" s="29">
        <v>3691</v>
      </c>
      <c r="I21" s="29">
        <v>4092</v>
      </c>
      <c r="J21" s="29">
        <v>5001</v>
      </c>
      <c r="K21" s="29">
        <v>6097</v>
      </c>
      <c r="L21" s="29">
        <v>6566</v>
      </c>
      <c r="M21" s="29">
        <v>7612</v>
      </c>
      <c r="N21" s="29">
        <v>8832</v>
      </c>
    </row>
    <row r="22" spans="2:15" x14ac:dyDescent="0.3">
      <c r="B22" t="s">
        <v>312</v>
      </c>
      <c r="C22">
        <v>100</v>
      </c>
      <c r="D22">
        <v>104</v>
      </c>
      <c r="E22">
        <v>106</v>
      </c>
      <c r="F22">
        <v>41</v>
      </c>
      <c r="G22">
        <v>62</v>
      </c>
      <c r="H22">
        <v>74</v>
      </c>
      <c r="I22">
        <v>95</v>
      </c>
      <c r="J22">
        <v>139</v>
      </c>
      <c r="K22">
        <v>175</v>
      </c>
      <c r="L22">
        <v>181</v>
      </c>
      <c r="M22">
        <v>185</v>
      </c>
      <c r="N22">
        <v>206</v>
      </c>
    </row>
    <row r="23" spans="2:15" x14ac:dyDescent="0.3">
      <c r="B23" t="s">
        <v>313</v>
      </c>
      <c r="C23">
        <v>94</v>
      </c>
      <c r="D23">
        <v>102</v>
      </c>
      <c r="E23">
        <v>108</v>
      </c>
      <c r="F23">
        <v>61</v>
      </c>
      <c r="G23">
        <v>66</v>
      </c>
      <c r="H23">
        <v>76</v>
      </c>
      <c r="I23">
        <v>88</v>
      </c>
      <c r="J23">
        <v>154</v>
      </c>
      <c r="K23">
        <v>156</v>
      </c>
      <c r="L23">
        <v>152</v>
      </c>
      <c r="M23">
        <v>161</v>
      </c>
      <c r="N23">
        <v>165</v>
      </c>
    </row>
    <row r="24" spans="2:15" x14ac:dyDescent="0.3">
      <c r="B24" t="s">
        <v>325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2:15" x14ac:dyDescent="0.3">
      <c r="B25" t="s">
        <v>314</v>
      </c>
      <c r="C25">
        <v>2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33</v>
      </c>
      <c r="N25">
        <v>37</v>
      </c>
    </row>
    <row r="26" spans="2:15" x14ac:dyDescent="0.3">
      <c r="B26" t="s">
        <v>315</v>
      </c>
      <c r="C26">
        <v>166</v>
      </c>
      <c r="D26">
        <v>247</v>
      </c>
      <c r="E26">
        <v>247</v>
      </c>
      <c r="F26">
        <v>85</v>
      </c>
      <c r="G26">
        <v>455</v>
      </c>
      <c r="H26">
        <v>455</v>
      </c>
      <c r="I26">
        <v>511</v>
      </c>
      <c r="J26">
        <v>511</v>
      </c>
      <c r="K26" s="29">
        <v>45262</v>
      </c>
      <c r="L26" s="29">
        <v>45262</v>
      </c>
      <c r="M26" s="29">
        <v>45692</v>
      </c>
      <c r="N26" s="29">
        <v>45692</v>
      </c>
      <c r="O26" s="29"/>
    </row>
    <row r="27" spans="2:15" x14ac:dyDescent="0.3">
      <c r="B27" t="s">
        <v>316</v>
      </c>
      <c r="C27">
        <v>177</v>
      </c>
      <c r="D27">
        <v>183</v>
      </c>
      <c r="E27">
        <v>193</v>
      </c>
      <c r="F27">
        <v>19</v>
      </c>
      <c r="G27">
        <v>19</v>
      </c>
      <c r="H27">
        <v>26</v>
      </c>
      <c r="I27">
        <v>60</v>
      </c>
      <c r="J27">
        <v>71</v>
      </c>
      <c r="K27">
        <v>155</v>
      </c>
      <c r="L27">
        <v>152</v>
      </c>
      <c r="M27">
        <v>171</v>
      </c>
      <c r="N27">
        <v>180</v>
      </c>
    </row>
    <row r="28" spans="2:15" x14ac:dyDescent="0.3">
      <c r="B28" s="129" t="s">
        <v>286</v>
      </c>
      <c r="C28" s="130">
        <v>4418</v>
      </c>
      <c r="D28" s="130">
        <v>5079</v>
      </c>
      <c r="E28" s="130">
        <v>5412</v>
      </c>
      <c r="F28" s="130">
        <v>3595</v>
      </c>
      <c r="G28" s="130">
        <v>5171</v>
      </c>
      <c r="H28" s="130">
        <v>5752</v>
      </c>
      <c r="I28" s="130">
        <v>6459</v>
      </c>
      <c r="J28" s="130">
        <v>7979</v>
      </c>
      <c r="K28" s="130">
        <v>54924</v>
      </c>
      <c r="L28" s="130">
        <v>55578</v>
      </c>
      <c r="M28" s="130">
        <v>57564</v>
      </c>
      <c r="N28" s="130">
        <v>59248</v>
      </c>
    </row>
    <row r="29" spans="2:15" x14ac:dyDescent="0.3">
      <c r="B29" t="s">
        <v>287</v>
      </c>
      <c r="C29" s="29">
        <v>1986</v>
      </c>
      <c r="D29" s="29">
        <v>2333</v>
      </c>
      <c r="E29" s="29">
        <v>2591</v>
      </c>
      <c r="F29">
        <v>337</v>
      </c>
      <c r="G29">
        <v>752</v>
      </c>
      <c r="H29" s="29">
        <v>1224</v>
      </c>
      <c r="I29" s="29">
        <v>1744</v>
      </c>
      <c r="J29" s="29">
        <v>2500</v>
      </c>
      <c r="K29" s="29">
        <v>3481</v>
      </c>
      <c r="L29" s="29">
        <v>4105</v>
      </c>
      <c r="M29" s="29">
        <v>4886</v>
      </c>
      <c r="N29" s="29">
        <v>5504</v>
      </c>
    </row>
    <row r="30" spans="2:15" ht="15" thickBot="1" x14ac:dyDescent="0.35">
      <c r="B30" s="125" t="s">
        <v>38</v>
      </c>
      <c r="C30" s="126">
        <f>C28-C29</f>
        <v>2432</v>
      </c>
      <c r="D30" s="126">
        <f t="shared" ref="D30:N30" si="0">D28-D29</f>
        <v>2746</v>
      </c>
      <c r="E30" s="126">
        <f t="shared" si="0"/>
        <v>2821</v>
      </c>
      <c r="F30" s="126">
        <f t="shared" si="0"/>
        <v>3258</v>
      </c>
      <c r="G30" s="126">
        <f t="shared" si="0"/>
        <v>4419</v>
      </c>
      <c r="H30" s="126">
        <f t="shared" si="0"/>
        <v>4528</v>
      </c>
      <c r="I30" s="126">
        <f t="shared" si="0"/>
        <v>4715</v>
      </c>
      <c r="J30" s="126">
        <f t="shared" si="0"/>
        <v>5479</v>
      </c>
      <c r="K30" s="126">
        <f t="shared" si="0"/>
        <v>51443</v>
      </c>
      <c r="L30" s="126">
        <f t="shared" si="0"/>
        <v>51473</v>
      </c>
      <c r="M30" s="126">
        <f t="shared" si="0"/>
        <v>52678</v>
      </c>
      <c r="N30" s="126">
        <f t="shared" si="0"/>
        <v>53744</v>
      </c>
    </row>
    <row r="31" spans="2:15" x14ac:dyDescent="0.3">
      <c r="B31" s="127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</row>
    <row r="32" spans="2:15" x14ac:dyDescent="0.3">
      <c r="B32" s="15" t="s">
        <v>326</v>
      </c>
      <c r="C32">
        <v>222</v>
      </c>
      <c r="D32">
        <v>373</v>
      </c>
      <c r="E32">
        <v>516</v>
      </c>
      <c r="F32">
        <v>408</v>
      </c>
      <c r="G32">
        <v>229</v>
      </c>
      <c r="H32">
        <v>461</v>
      </c>
      <c r="I32">
        <v>406</v>
      </c>
      <c r="J32">
        <v>597</v>
      </c>
      <c r="K32">
        <v>745</v>
      </c>
      <c r="L32" s="29">
        <v>1313</v>
      </c>
      <c r="M32" s="29">
        <v>1132</v>
      </c>
      <c r="N32" s="29">
        <v>1025</v>
      </c>
      <c r="O32" s="29"/>
    </row>
    <row r="33" spans="2:15" x14ac:dyDescent="0.3">
      <c r="B33" s="15" t="s">
        <v>40</v>
      </c>
      <c r="C33" s="29">
        <v>2252</v>
      </c>
      <c r="D33" s="29">
        <v>2838</v>
      </c>
      <c r="E33" s="29">
        <v>3025</v>
      </c>
      <c r="F33" s="29">
        <v>2592</v>
      </c>
      <c r="G33" s="29">
        <v>3794</v>
      </c>
      <c r="H33" s="29">
        <v>2873</v>
      </c>
      <c r="I33" s="29">
        <v>2716</v>
      </c>
      <c r="J33" s="29">
        <v>1255</v>
      </c>
      <c r="K33" s="29">
        <v>2709</v>
      </c>
      <c r="L33" s="29">
        <v>3521</v>
      </c>
      <c r="M33" s="29">
        <v>2882</v>
      </c>
      <c r="N33" s="29">
        <v>4625</v>
      </c>
      <c r="O33" s="29"/>
    </row>
    <row r="34" spans="2:15" x14ac:dyDescent="0.3">
      <c r="B34" s="15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2:15" x14ac:dyDescent="0.3">
      <c r="B35" s="15" t="s">
        <v>327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2:15" x14ac:dyDescent="0.3">
      <c r="B36" t="s">
        <v>302</v>
      </c>
      <c r="C36" s="29">
        <v>2706</v>
      </c>
      <c r="D36" s="29">
        <v>2940</v>
      </c>
      <c r="E36" s="29">
        <v>2849</v>
      </c>
      <c r="F36" s="29">
        <v>2726</v>
      </c>
      <c r="G36" s="29">
        <v>2541</v>
      </c>
      <c r="H36" s="29">
        <v>2513</v>
      </c>
      <c r="I36" s="29">
        <v>2574</v>
      </c>
      <c r="J36" s="29">
        <v>2767</v>
      </c>
      <c r="K36" s="29">
        <v>3579</v>
      </c>
      <c r="L36" s="29">
        <v>4096</v>
      </c>
      <c r="M36" s="29">
        <v>4251</v>
      </c>
      <c r="N36" s="29">
        <v>4022</v>
      </c>
      <c r="O36" s="29"/>
    </row>
    <row r="37" spans="2:15" x14ac:dyDescent="0.3">
      <c r="B37" t="s">
        <v>328</v>
      </c>
      <c r="C37">
        <v>997</v>
      </c>
      <c r="D37" s="29">
        <v>1017</v>
      </c>
      <c r="E37" s="29">
        <v>1010</v>
      </c>
      <c r="F37" s="29">
        <v>1264</v>
      </c>
      <c r="G37" s="29">
        <v>1085</v>
      </c>
      <c r="H37" s="29">
        <v>1310</v>
      </c>
      <c r="I37" s="29">
        <v>1816</v>
      </c>
      <c r="J37" s="29">
        <v>1149</v>
      </c>
      <c r="K37" s="29">
        <v>1758</v>
      </c>
      <c r="L37" s="29">
        <v>2236</v>
      </c>
      <c r="M37" s="29">
        <v>3079</v>
      </c>
      <c r="N37" s="29">
        <v>2997</v>
      </c>
      <c r="O37" s="29"/>
    </row>
    <row r="38" spans="2:15" x14ac:dyDescent="0.3">
      <c r="B38" t="s">
        <v>329</v>
      </c>
      <c r="C38" s="29">
        <v>1901</v>
      </c>
      <c r="D38" s="29">
        <v>2516</v>
      </c>
      <c r="E38" s="29">
        <v>2689</v>
      </c>
      <c r="F38" s="29">
        <v>3009</v>
      </c>
      <c r="G38" s="29">
        <v>1828</v>
      </c>
      <c r="H38" s="29">
        <v>3485</v>
      </c>
      <c r="I38" s="29">
        <v>3757</v>
      </c>
      <c r="J38" s="29">
        <v>5113</v>
      </c>
      <c r="K38" s="29">
        <v>4471</v>
      </c>
      <c r="L38" s="29">
        <v>3846</v>
      </c>
      <c r="M38" s="29">
        <v>4678</v>
      </c>
      <c r="N38" s="29">
        <v>7559</v>
      </c>
      <c r="O38" s="29"/>
    </row>
    <row r="39" spans="2:15" x14ac:dyDescent="0.3">
      <c r="B39" t="s">
        <v>304</v>
      </c>
      <c r="C39">
        <v>0</v>
      </c>
      <c r="D39">
        <v>0</v>
      </c>
      <c r="E39">
        <v>0</v>
      </c>
      <c r="F39">
        <v>0</v>
      </c>
      <c r="G39">
        <v>71</v>
      </c>
      <c r="H39">
        <v>40</v>
      </c>
      <c r="I39">
        <v>26</v>
      </c>
      <c r="J39">
        <v>19</v>
      </c>
      <c r="K39">
        <v>78</v>
      </c>
      <c r="L39">
        <v>170</v>
      </c>
      <c r="M39">
        <v>188</v>
      </c>
      <c r="N39">
        <v>172</v>
      </c>
    </row>
    <row r="40" spans="2:15" x14ac:dyDescent="0.3">
      <c r="B40" t="s">
        <v>305</v>
      </c>
      <c r="C40" s="29">
        <v>1582</v>
      </c>
      <c r="D40" s="29">
        <v>1324</v>
      </c>
      <c r="E40" s="29">
        <v>1519</v>
      </c>
      <c r="F40" s="29">
        <v>1536</v>
      </c>
      <c r="G40" s="29">
        <v>1739</v>
      </c>
      <c r="H40" s="29">
        <v>2652</v>
      </c>
      <c r="I40" s="29">
        <v>2619</v>
      </c>
      <c r="J40" s="29">
        <v>3774</v>
      </c>
      <c r="K40" s="29">
        <v>3957</v>
      </c>
      <c r="L40" s="29">
        <v>3851</v>
      </c>
      <c r="M40" s="29">
        <v>4189</v>
      </c>
      <c r="N40" s="29">
        <v>4345</v>
      </c>
      <c r="O40" s="29"/>
    </row>
    <row r="41" spans="2:15" ht="15" thickBot="1" x14ac:dyDescent="0.35">
      <c r="B41" s="125" t="s">
        <v>86</v>
      </c>
      <c r="C41" s="126">
        <v>12092</v>
      </c>
      <c r="D41" s="126">
        <v>13754</v>
      </c>
      <c r="E41" s="126">
        <v>14430</v>
      </c>
      <c r="F41" s="126">
        <v>14793</v>
      </c>
      <c r="G41" s="126">
        <v>15706</v>
      </c>
      <c r="H41" s="126">
        <v>17862</v>
      </c>
      <c r="I41" s="126">
        <v>18629</v>
      </c>
      <c r="J41" s="126">
        <v>20153</v>
      </c>
      <c r="K41" s="126">
        <v>68740</v>
      </c>
      <c r="L41" s="126">
        <v>70506</v>
      </c>
      <c r="M41" s="126">
        <v>73077</v>
      </c>
      <c r="N41" s="126">
        <v>78489</v>
      </c>
      <c r="O41" s="29"/>
    </row>
    <row r="46" spans="2:15" x14ac:dyDescent="0.3">
      <c r="C46" s="11">
        <v>41334</v>
      </c>
      <c r="D46" s="11">
        <v>41699</v>
      </c>
      <c r="E46" s="11">
        <v>42064</v>
      </c>
      <c r="F46" s="11">
        <v>42430</v>
      </c>
      <c r="G46" s="11">
        <v>42795</v>
      </c>
      <c r="H46" s="11">
        <v>43160</v>
      </c>
      <c r="I46" s="11">
        <v>43525</v>
      </c>
      <c r="J46" s="11">
        <v>43891</v>
      </c>
      <c r="K46" s="11">
        <v>44256</v>
      </c>
      <c r="L46" s="11">
        <v>44621</v>
      </c>
      <c r="M46" s="11">
        <v>44986</v>
      </c>
      <c r="N46" s="11">
        <v>45352</v>
      </c>
    </row>
    <row r="47" spans="2:15" x14ac:dyDescent="0.3">
      <c r="B47" t="s">
        <v>115</v>
      </c>
      <c r="C47" s="29">
        <v>3605</v>
      </c>
      <c r="D47" s="29">
        <v>3818</v>
      </c>
      <c r="E47" s="29">
        <v>3292</v>
      </c>
      <c r="F47" s="29">
        <v>4171</v>
      </c>
      <c r="G47" s="29">
        <v>5185</v>
      </c>
      <c r="H47" s="29">
        <v>6059</v>
      </c>
      <c r="I47" s="29">
        <v>5800</v>
      </c>
      <c r="J47" s="29">
        <v>7623</v>
      </c>
      <c r="K47" s="29">
        <v>9163</v>
      </c>
      <c r="L47" s="29">
        <v>9048</v>
      </c>
      <c r="M47" s="29">
        <v>9991</v>
      </c>
      <c r="N47" s="29">
        <v>15469</v>
      </c>
    </row>
    <row r="48" spans="2:15" x14ac:dyDescent="0.3">
      <c r="B48" t="s">
        <v>88</v>
      </c>
      <c r="C48" s="29">
        <v>4266</v>
      </c>
      <c r="D48" s="29">
        <v>4802</v>
      </c>
      <c r="E48" s="29">
        <v>5510</v>
      </c>
      <c r="F48" s="29">
        <v>6025</v>
      </c>
      <c r="G48" s="29">
        <v>6512</v>
      </c>
      <c r="H48" s="29">
        <v>7485</v>
      </c>
      <c r="I48" s="29">
        <v>8909</v>
      </c>
      <c r="J48" s="29">
        <v>9723</v>
      </c>
      <c r="K48" s="29">
        <v>11672</v>
      </c>
      <c r="L48" s="29">
        <v>12829</v>
      </c>
      <c r="M48" s="29">
        <v>14089</v>
      </c>
      <c r="N48" s="29">
        <v>14537</v>
      </c>
    </row>
    <row r="49" spans="2:14" x14ac:dyDescent="0.3">
      <c r="B49" t="s">
        <v>42</v>
      </c>
      <c r="C49">
        <v>-149</v>
      </c>
      <c r="D49">
        <v>-17</v>
      </c>
      <c r="E49">
        <v>3</v>
      </c>
      <c r="F49">
        <v>-257</v>
      </c>
      <c r="G49">
        <v>173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2:14" x14ac:dyDescent="0.3">
      <c r="B50" t="s">
        <v>43</v>
      </c>
      <c r="C50">
        <v>-39</v>
      </c>
      <c r="D50">
        <v>-201</v>
      </c>
      <c r="E50">
        <v>91</v>
      </c>
      <c r="F50">
        <v>89</v>
      </c>
      <c r="G50">
        <v>37</v>
      </c>
      <c r="H50">
        <v>-146</v>
      </c>
      <c r="I50">
        <v>-195</v>
      </c>
      <c r="J50">
        <v>-331</v>
      </c>
      <c r="K50">
        <v>-543</v>
      </c>
      <c r="L50">
        <v>-758</v>
      </c>
      <c r="M50">
        <v>-339</v>
      </c>
      <c r="N50">
        <v>74</v>
      </c>
    </row>
    <row r="51" spans="2:14" x14ac:dyDescent="0.3">
      <c r="B51" t="s">
        <v>89</v>
      </c>
      <c r="C51">
        <v>493</v>
      </c>
      <c r="D51">
        <v>546</v>
      </c>
      <c r="E51">
        <v>-327</v>
      </c>
      <c r="F51">
        <v>164</v>
      </c>
      <c r="G51">
        <v>501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2:14" x14ac:dyDescent="0.3">
      <c r="B52" t="s">
        <v>90</v>
      </c>
      <c r="C52">
        <v>-152</v>
      </c>
      <c r="D52">
        <v>-4</v>
      </c>
      <c r="E52">
        <v>-148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2:14" x14ac:dyDescent="0.3">
      <c r="B53" t="s">
        <v>125</v>
      </c>
      <c r="C53">
        <v>0</v>
      </c>
      <c r="D53">
        <v>0</v>
      </c>
      <c r="E53">
        <v>0</v>
      </c>
      <c r="F53">
        <v>0</v>
      </c>
      <c r="G53">
        <v>-46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2:14" x14ac:dyDescent="0.3">
      <c r="B54" t="s">
        <v>91</v>
      </c>
      <c r="C54">
        <v>276</v>
      </c>
      <c r="D54">
        <v>81</v>
      </c>
      <c r="E54">
        <v>38</v>
      </c>
      <c r="F54">
        <v>-77</v>
      </c>
      <c r="G54">
        <v>-99</v>
      </c>
      <c r="H54">
        <v>982</v>
      </c>
      <c r="I54">
        <v>-147</v>
      </c>
      <c r="J54">
        <v>742</v>
      </c>
      <c r="K54">
        <v>442</v>
      </c>
      <c r="L54">
        <v>-242</v>
      </c>
      <c r="M54">
        <v>-621</v>
      </c>
      <c r="N54" s="29">
        <v>1239</v>
      </c>
    </row>
    <row r="55" spans="2:14" x14ac:dyDescent="0.3">
      <c r="B55" t="s">
        <v>92</v>
      </c>
      <c r="C55">
        <v>429</v>
      </c>
      <c r="D55">
        <v>405</v>
      </c>
      <c r="E55">
        <v>-342</v>
      </c>
      <c r="F55">
        <v>-81</v>
      </c>
      <c r="G55">
        <v>566</v>
      </c>
      <c r="H55">
        <v>836</v>
      </c>
      <c r="I55">
        <v>-342</v>
      </c>
      <c r="J55">
        <v>411</v>
      </c>
      <c r="K55">
        <v>-101</v>
      </c>
      <c r="L55" s="29">
        <v>-1000</v>
      </c>
      <c r="M55">
        <v>-960</v>
      </c>
      <c r="N55" s="29">
        <v>1313</v>
      </c>
    </row>
    <row r="56" spans="2:14" x14ac:dyDescent="0.3">
      <c r="B56" t="s">
        <v>93</v>
      </c>
      <c r="C56" s="29">
        <v>-1074</v>
      </c>
      <c r="D56" s="29">
        <v>-1384</v>
      </c>
      <c r="E56" s="29">
        <v>-1862</v>
      </c>
      <c r="F56" s="29">
        <v>-1765</v>
      </c>
      <c r="G56" s="29">
        <v>-1859</v>
      </c>
      <c r="H56" s="29">
        <v>-2264</v>
      </c>
      <c r="I56" s="29">
        <v>-2767</v>
      </c>
      <c r="J56" s="29">
        <v>-2505</v>
      </c>
      <c r="K56" s="29">
        <v>-2407</v>
      </c>
      <c r="L56" s="29">
        <v>-2784</v>
      </c>
      <c r="M56" s="29">
        <v>-3138</v>
      </c>
      <c r="N56">
        <v>-381</v>
      </c>
    </row>
    <row r="57" spans="2:14" x14ac:dyDescent="0.3">
      <c r="B57" t="s">
        <v>126</v>
      </c>
      <c r="C57">
        <v>0</v>
      </c>
      <c r="D57">
        <v>-5</v>
      </c>
      <c r="E57">
        <v>-14</v>
      </c>
      <c r="F57">
        <v>-8</v>
      </c>
      <c r="G57">
        <v>-21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2:14" x14ac:dyDescent="0.3">
      <c r="B58" t="s">
        <v>127</v>
      </c>
      <c r="C58">
        <v>-17</v>
      </c>
      <c r="D58">
        <v>0</v>
      </c>
      <c r="E58">
        <v>0</v>
      </c>
      <c r="F58">
        <v>0</v>
      </c>
      <c r="G58">
        <v>-13</v>
      </c>
      <c r="H58">
        <v>2</v>
      </c>
      <c r="I58">
        <v>0</v>
      </c>
      <c r="J58">
        <v>-6</v>
      </c>
      <c r="K58">
        <v>-1</v>
      </c>
      <c r="L58">
        <v>3</v>
      </c>
      <c r="M58">
        <v>0</v>
      </c>
      <c r="N58">
        <v>0</v>
      </c>
    </row>
    <row r="59" spans="2:14" x14ac:dyDescent="0.3">
      <c r="B59" t="s">
        <v>116</v>
      </c>
      <c r="C59">
        <v>63</v>
      </c>
      <c r="D59">
        <v>-475</v>
      </c>
      <c r="E59">
        <v>138</v>
      </c>
      <c r="F59">
        <v>-282</v>
      </c>
      <c r="G59" s="29">
        <v>-1173</v>
      </c>
      <c r="H59" s="29">
        <v>-1063</v>
      </c>
      <c r="I59">
        <v>-438</v>
      </c>
      <c r="J59" s="29">
        <v>1791</v>
      </c>
      <c r="K59" s="29">
        <v>-1228</v>
      </c>
      <c r="L59" s="29">
        <v>-1728</v>
      </c>
      <c r="M59" s="29">
        <v>-1484</v>
      </c>
      <c r="N59" s="29">
        <v>-5324</v>
      </c>
    </row>
    <row r="60" spans="2:14" x14ac:dyDescent="0.3">
      <c r="B60" t="s">
        <v>94</v>
      </c>
      <c r="C60">
        <v>-441</v>
      </c>
      <c r="D60">
        <v>-606</v>
      </c>
      <c r="E60">
        <v>-606</v>
      </c>
      <c r="F60">
        <v>-810</v>
      </c>
      <c r="G60" s="29">
        <v>-1113</v>
      </c>
      <c r="H60">
        <v>-895</v>
      </c>
      <c r="I60">
        <v>-767</v>
      </c>
      <c r="J60">
        <v>-862</v>
      </c>
      <c r="K60" s="29">
        <v>-4163</v>
      </c>
      <c r="L60" s="29">
        <v>-1228</v>
      </c>
      <c r="M60" s="29">
        <v>-1192</v>
      </c>
      <c r="N60" s="29">
        <v>-1477</v>
      </c>
    </row>
    <row r="61" spans="2:14" x14ac:dyDescent="0.3">
      <c r="B61" t="s">
        <v>95</v>
      </c>
      <c r="C61">
        <v>1</v>
      </c>
      <c r="D61">
        <v>229</v>
      </c>
      <c r="E61">
        <v>560</v>
      </c>
      <c r="F61">
        <v>99</v>
      </c>
      <c r="G61">
        <v>176</v>
      </c>
      <c r="H61">
        <v>32</v>
      </c>
      <c r="I61">
        <v>13</v>
      </c>
      <c r="J61">
        <v>52</v>
      </c>
      <c r="K61">
        <v>97</v>
      </c>
      <c r="L61">
        <v>175</v>
      </c>
      <c r="M61">
        <v>181</v>
      </c>
      <c r="N61">
        <v>20</v>
      </c>
    </row>
    <row r="62" spans="2:14" x14ac:dyDescent="0.3">
      <c r="B62" t="s">
        <v>96</v>
      </c>
      <c r="C62" s="29">
        <v>-15854</v>
      </c>
      <c r="D62" s="29">
        <v>-9538</v>
      </c>
      <c r="E62" s="29">
        <v>-19353</v>
      </c>
      <c r="F62" s="29">
        <v>-20666</v>
      </c>
      <c r="G62" s="29">
        <v>-31214</v>
      </c>
      <c r="H62" s="29">
        <v>-51855</v>
      </c>
      <c r="I62" s="29">
        <v>-74365</v>
      </c>
      <c r="J62" s="29">
        <v>-36090</v>
      </c>
      <c r="K62" s="29">
        <v>-39920</v>
      </c>
      <c r="L62" s="29">
        <v>-48522</v>
      </c>
      <c r="M62" s="29">
        <v>-22649</v>
      </c>
      <c r="N62" s="29">
        <v>-21337</v>
      </c>
    </row>
    <row r="63" spans="2:14" x14ac:dyDescent="0.3">
      <c r="B63" t="s">
        <v>97</v>
      </c>
      <c r="C63" s="29">
        <v>16122</v>
      </c>
      <c r="D63" s="29">
        <v>9213</v>
      </c>
      <c r="E63" s="29">
        <v>19461</v>
      </c>
      <c r="F63" s="29">
        <v>20937</v>
      </c>
      <c r="G63" s="29">
        <v>30083</v>
      </c>
      <c r="H63" s="29">
        <v>52897</v>
      </c>
      <c r="I63" s="29">
        <v>74691</v>
      </c>
      <c r="J63" s="29">
        <v>37690</v>
      </c>
      <c r="K63" s="29">
        <v>38486</v>
      </c>
      <c r="L63" s="29">
        <v>47786</v>
      </c>
      <c r="M63" s="29">
        <v>23462</v>
      </c>
      <c r="N63" s="29">
        <v>19846</v>
      </c>
    </row>
    <row r="64" spans="2:14" x14ac:dyDescent="0.3">
      <c r="B64" t="s">
        <v>98</v>
      </c>
      <c r="C64">
        <v>214</v>
      </c>
      <c r="D64">
        <v>232</v>
      </c>
      <c r="E64">
        <v>218</v>
      </c>
      <c r="F64">
        <v>315</v>
      </c>
      <c r="G64">
        <v>264</v>
      </c>
      <c r="H64">
        <v>297</v>
      </c>
      <c r="I64">
        <v>289</v>
      </c>
      <c r="J64">
        <v>351</v>
      </c>
      <c r="K64">
        <v>277</v>
      </c>
      <c r="L64">
        <v>161</v>
      </c>
      <c r="M64">
        <v>259</v>
      </c>
      <c r="N64">
        <v>425</v>
      </c>
    </row>
    <row r="65" spans="2:14" x14ac:dyDescent="0.3">
      <c r="B65" t="s">
        <v>99</v>
      </c>
      <c r="C65">
        <v>38</v>
      </c>
      <c r="D65">
        <v>16</v>
      </c>
      <c r="E65">
        <v>24</v>
      </c>
      <c r="F65">
        <v>33</v>
      </c>
      <c r="G65">
        <v>14</v>
      </c>
      <c r="H65">
        <v>0</v>
      </c>
      <c r="I65">
        <v>1</v>
      </c>
      <c r="J65">
        <v>1</v>
      </c>
      <c r="K65">
        <v>1</v>
      </c>
      <c r="L65">
        <v>1</v>
      </c>
      <c r="M65">
        <v>2</v>
      </c>
      <c r="N65">
        <v>3</v>
      </c>
    </row>
    <row r="66" spans="2:14" x14ac:dyDescent="0.3">
      <c r="B66" t="s">
        <v>100</v>
      </c>
      <c r="C66">
        <v>0</v>
      </c>
      <c r="D66">
        <v>-101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2:14" x14ac:dyDescent="0.3">
      <c r="B67" t="s">
        <v>128</v>
      </c>
      <c r="C67">
        <v>-89</v>
      </c>
      <c r="D67">
        <v>-104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2:14" x14ac:dyDescent="0.3">
      <c r="B68" t="s">
        <v>102</v>
      </c>
      <c r="C68">
        <v>0</v>
      </c>
      <c r="D68">
        <v>0</v>
      </c>
      <c r="E68">
        <v>200</v>
      </c>
      <c r="F68">
        <v>161</v>
      </c>
      <c r="G68">
        <v>20</v>
      </c>
      <c r="H68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2:14" x14ac:dyDescent="0.3">
      <c r="B69" t="s">
        <v>103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-334</v>
      </c>
      <c r="N69">
        <v>0</v>
      </c>
    </row>
    <row r="70" spans="2:14" x14ac:dyDescent="0.3">
      <c r="B70" t="s">
        <v>105</v>
      </c>
      <c r="C70">
        <v>72</v>
      </c>
      <c r="D70">
        <v>183</v>
      </c>
      <c r="E70">
        <v>-367</v>
      </c>
      <c r="F70">
        <v>-351</v>
      </c>
      <c r="G70">
        <v>597</v>
      </c>
      <c r="H70" s="29">
        <v>-1612</v>
      </c>
      <c r="I70">
        <v>-300</v>
      </c>
      <c r="J70">
        <v>649</v>
      </c>
      <c r="K70" s="29">
        <v>3994</v>
      </c>
      <c r="L70">
        <v>-101</v>
      </c>
      <c r="M70" s="29">
        <v>-1213</v>
      </c>
      <c r="N70" s="29">
        <v>-2804</v>
      </c>
    </row>
    <row r="71" spans="2:14" x14ac:dyDescent="0.3">
      <c r="B71" t="s">
        <v>117</v>
      </c>
      <c r="C71" s="29">
        <v>-4147</v>
      </c>
      <c r="D71" s="29">
        <v>-2960</v>
      </c>
      <c r="E71" s="29">
        <v>-3462</v>
      </c>
      <c r="F71" s="29">
        <v>-3864</v>
      </c>
      <c r="G71" s="29">
        <v>-4214</v>
      </c>
      <c r="H71" s="29">
        <v>-4975</v>
      </c>
      <c r="I71" s="29">
        <v>-5390</v>
      </c>
      <c r="J71" s="29">
        <v>-6819</v>
      </c>
      <c r="K71" s="29">
        <v>-9309</v>
      </c>
      <c r="L71" s="29">
        <v>-8015</v>
      </c>
      <c r="M71" s="29">
        <v>-8953</v>
      </c>
      <c r="N71" s="29">
        <v>-10034</v>
      </c>
    </row>
    <row r="72" spans="2:14" x14ac:dyDescent="0.3">
      <c r="B72" t="s">
        <v>106</v>
      </c>
      <c r="C72">
        <v>7</v>
      </c>
      <c r="D72">
        <v>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2:14" x14ac:dyDescent="0.3">
      <c r="B73" t="s">
        <v>108</v>
      </c>
      <c r="C73">
        <v>25</v>
      </c>
      <c r="D73">
        <v>0</v>
      </c>
      <c r="E73">
        <v>0</v>
      </c>
      <c r="F73">
        <v>177</v>
      </c>
      <c r="G73">
        <v>460</v>
      </c>
      <c r="H73">
        <v>0</v>
      </c>
      <c r="I73">
        <v>99</v>
      </c>
      <c r="J73">
        <v>0</v>
      </c>
      <c r="K73">
        <v>188</v>
      </c>
      <c r="L73">
        <v>55</v>
      </c>
      <c r="M73">
        <v>286</v>
      </c>
      <c r="N73">
        <v>0</v>
      </c>
    </row>
    <row r="74" spans="2:14" x14ac:dyDescent="0.3">
      <c r="B74" t="s">
        <v>109</v>
      </c>
      <c r="C74">
        <v>0</v>
      </c>
      <c r="D74">
        <v>-15</v>
      </c>
      <c r="E74">
        <v>-3</v>
      </c>
      <c r="F74">
        <v>0</v>
      </c>
      <c r="G74">
        <v>-360</v>
      </c>
      <c r="H74">
        <v>-277</v>
      </c>
      <c r="I74">
        <v>0</v>
      </c>
      <c r="J74">
        <v>-99</v>
      </c>
      <c r="K74">
        <v>-188</v>
      </c>
      <c r="L74">
        <v>-55</v>
      </c>
      <c r="M74">
        <v>-208</v>
      </c>
      <c r="N74">
        <v>-85</v>
      </c>
    </row>
    <row r="75" spans="2:14" x14ac:dyDescent="0.3">
      <c r="B75" t="s">
        <v>111</v>
      </c>
      <c r="C75">
        <v>-26</v>
      </c>
      <c r="D75">
        <v>-29</v>
      </c>
      <c r="E75">
        <v>-18</v>
      </c>
      <c r="F75">
        <v>-2</v>
      </c>
      <c r="G75">
        <v>-14</v>
      </c>
      <c r="H75">
        <v>-6</v>
      </c>
      <c r="I75">
        <v>-7</v>
      </c>
      <c r="J75">
        <v>-90</v>
      </c>
      <c r="K75">
        <v>-92</v>
      </c>
      <c r="L75">
        <v>-82</v>
      </c>
      <c r="M75">
        <v>-88</v>
      </c>
      <c r="N75">
        <v>-110</v>
      </c>
    </row>
    <row r="76" spans="2:14" x14ac:dyDescent="0.3">
      <c r="B76" t="s">
        <v>112</v>
      </c>
      <c r="C76" s="29">
        <v>-3558</v>
      </c>
      <c r="D76" s="29">
        <v>-2481</v>
      </c>
      <c r="E76" s="29">
        <v>-2912</v>
      </c>
      <c r="F76" s="29">
        <v>-3354</v>
      </c>
      <c r="G76" s="29">
        <v>-3572</v>
      </c>
      <c r="H76" s="29">
        <v>-3911</v>
      </c>
      <c r="I76" s="29">
        <v>-4554</v>
      </c>
      <c r="J76" s="29">
        <v>-5196</v>
      </c>
      <c r="K76" s="29">
        <v>-8811</v>
      </c>
      <c r="L76" s="29">
        <v>-7526</v>
      </c>
      <c r="M76" s="29">
        <v>-8474</v>
      </c>
      <c r="N76" s="29">
        <v>-9416</v>
      </c>
    </row>
    <row r="77" spans="2:14" x14ac:dyDescent="0.3"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-373</v>
      </c>
      <c r="K77">
        <v>-406</v>
      </c>
      <c r="L77">
        <v>-407</v>
      </c>
      <c r="M77">
        <v>-467</v>
      </c>
      <c r="N77">
        <v>-423</v>
      </c>
    </row>
    <row r="78" spans="2:14" x14ac:dyDescent="0.3">
      <c r="B78" t="s">
        <v>114</v>
      </c>
      <c r="C78">
        <v>-596</v>
      </c>
      <c r="D78">
        <v>-437</v>
      </c>
      <c r="E78">
        <v>-533</v>
      </c>
      <c r="F78">
        <v>-685</v>
      </c>
      <c r="G78">
        <v>-728</v>
      </c>
      <c r="H78">
        <v>-781</v>
      </c>
      <c r="I78">
        <v>-928</v>
      </c>
      <c r="J78" s="29">
        <v>-1061</v>
      </c>
      <c r="K78">
        <v>0</v>
      </c>
      <c r="L78">
        <v>0</v>
      </c>
      <c r="M78">
        <v>-2</v>
      </c>
      <c r="N78">
        <v>0</v>
      </c>
    </row>
    <row r="79" spans="2:14" x14ac:dyDescent="0.3">
      <c r="B79" t="s">
        <v>52</v>
      </c>
      <c r="C79">
        <v>-480</v>
      </c>
      <c r="D79">
        <v>383</v>
      </c>
      <c r="E79">
        <v>-33</v>
      </c>
      <c r="F79">
        <v>25</v>
      </c>
      <c r="G79">
        <v>-202</v>
      </c>
      <c r="H79">
        <v>21</v>
      </c>
      <c r="I79">
        <v>-28</v>
      </c>
      <c r="J79" s="29">
        <v>2595</v>
      </c>
      <c r="K79" s="29">
        <v>-1374</v>
      </c>
      <c r="L79">
        <v>-695</v>
      </c>
      <c r="M79">
        <v>-446</v>
      </c>
      <c r="N7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Financials&gt;</vt:lpstr>
      <vt:lpstr>HistoricalFS</vt:lpstr>
      <vt:lpstr>financial Ratios</vt:lpstr>
      <vt:lpstr>Forecasting </vt:lpstr>
      <vt:lpstr>DCF</vt:lpstr>
      <vt:lpstr>Beta calculation of firm </vt:lpstr>
      <vt:lpstr>Market Return</vt:lpstr>
      <vt:lpstr>Beta Comps</vt:lpstr>
      <vt:lpstr>Wacc</vt:lpstr>
      <vt:lpstr>DCF final </vt:lpstr>
      <vt:lpstr>intrinsic growth</vt:lpstr>
      <vt:lpstr>Data&gt;</vt:lpstr>
      <vt:lpstr>Data Sheet</vt:lpstr>
      <vt:lpstr>Cash Flow Data</vt:lpstr>
      <vt:lpstr>RawFS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Valuation School</dc:creator>
  <cp:lastModifiedBy>Ashit Singh</cp:lastModifiedBy>
  <cp:lastPrinted>2025-01-09T10:39:56Z</cp:lastPrinted>
  <dcterms:created xsi:type="dcterms:W3CDTF">2023-01-14T08:22:33Z</dcterms:created>
  <dcterms:modified xsi:type="dcterms:W3CDTF">2025-01-09T11:40:43Z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