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3\Research Project\"/>
    </mc:Choice>
  </mc:AlternateContent>
  <xr:revisionPtr revIDLastSave="0" documentId="13_ncr:1_{8DD58516-2A2D-4902-BB9F-CDBA2DD9E7A8}" xr6:coauthVersionLast="47" xr6:coauthVersionMax="47" xr10:uidLastSave="{00000000-0000-0000-0000-000000000000}"/>
  <bookViews>
    <workbookView xWindow="-108" yWindow="-108" windowWidth="23256" windowHeight="12456" firstSheet="6" activeTab="9" xr2:uid="{00000000-000D-0000-FFFF-FFFF00000000}"/>
  </bookViews>
  <sheets>
    <sheet name="POM_packaging" sheetId="4" r:id="rId1"/>
    <sheet name="Index_packaging" sheetId="9" r:id="rId2"/>
    <sheet name="Repo_packaging" sheetId="3" r:id="rId3"/>
    <sheet name="Frequency_packaging" sheetId="2" r:id="rId4"/>
    <sheet name="Difference_POM_Index" sheetId="8" r:id="rId5"/>
    <sheet name="Frequency_checksum" sheetId="5" r:id="rId6"/>
    <sheet name="Checksum_per_package" sheetId="10" r:id="rId7"/>
    <sheet name="Checksum_over_time" sheetId="6" r:id="rId8"/>
    <sheet name="Qualifier_frequency" sheetId="1" r:id="rId9"/>
    <sheet name="Frequency_executableFile type  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D12" i="7"/>
  <c r="C12" i="7"/>
  <c r="E2" i="7"/>
  <c r="E3" i="7"/>
  <c r="E4" i="7"/>
  <c r="E5" i="7"/>
  <c r="E6" i="7"/>
  <c r="E7" i="7"/>
  <c r="E8" i="7"/>
  <c r="E9" i="7"/>
  <c r="E10" i="7"/>
  <c r="E11" i="7"/>
  <c r="D3" i="7"/>
  <c r="D4" i="7"/>
  <c r="D5" i="7"/>
  <c r="D6" i="7"/>
  <c r="D7" i="7"/>
  <c r="D8" i="7"/>
  <c r="D9" i="7"/>
  <c r="D10" i="7"/>
  <c r="D11" i="7"/>
  <c r="D2" i="7"/>
  <c r="D3" i="1"/>
  <c r="D4" i="1"/>
  <c r="D5" i="1"/>
  <c r="D6" i="1"/>
  <c r="D7" i="1"/>
  <c r="D8" i="1"/>
  <c r="D9" i="1"/>
  <c r="D10" i="1"/>
  <c r="D11" i="1"/>
  <c r="D12" i="1"/>
  <c r="D2" i="1"/>
  <c r="H3" i="1"/>
  <c r="H4" i="1"/>
  <c r="H5" i="1"/>
  <c r="H6" i="1"/>
  <c r="H7" i="1"/>
  <c r="H8" i="1"/>
  <c r="H9" i="1"/>
  <c r="H10" i="1"/>
  <c r="H11" i="1"/>
  <c r="H12" i="1"/>
  <c r="H2" i="1"/>
  <c r="AB93" i="6"/>
  <c r="AB94" i="6"/>
  <c r="AB95" i="6"/>
  <c r="AB92" i="6"/>
  <c r="AA93" i="6"/>
  <c r="AA94" i="6"/>
  <c r="AA95" i="6"/>
  <c r="AA92" i="6"/>
  <c r="Z93" i="6"/>
  <c r="Z94" i="6"/>
  <c r="Z95" i="6"/>
  <c r="Z92" i="6"/>
  <c r="Y93" i="6"/>
  <c r="Y94" i="6"/>
  <c r="Y95" i="6"/>
  <c r="Y92" i="6"/>
  <c r="X93" i="6"/>
  <c r="X94" i="6"/>
  <c r="X95" i="6"/>
  <c r="X92" i="6"/>
  <c r="W95" i="6"/>
  <c r="W93" i="6"/>
  <c r="W94" i="6"/>
  <c r="W92" i="6"/>
  <c r="V95" i="6"/>
  <c r="V93" i="6"/>
  <c r="V94" i="6"/>
  <c r="V92" i="6"/>
  <c r="U93" i="6"/>
  <c r="U94" i="6"/>
  <c r="U95" i="6"/>
  <c r="U92" i="6"/>
  <c r="T93" i="6"/>
  <c r="T94" i="6"/>
  <c r="T95" i="6"/>
  <c r="T92" i="6"/>
  <c r="S93" i="6"/>
  <c r="S94" i="6"/>
  <c r="S95" i="6"/>
  <c r="S92" i="6"/>
  <c r="R93" i="6"/>
  <c r="R94" i="6"/>
  <c r="R95" i="6"/>
  <c r="R92" i="6"/>
  <c r="Q93" i="6"/>
  <c r="Q94" i="6"/>
  <c r="Q95" i="6"/>
  <c r="Q92" i="6"/>
  <c r="P93" i="6"/>
  <c r="P94" i="6"/>
  <c r="P95" i="6"/>
  <c r="P92" i="6"/>
  <c r="D3" i="10"/>
  <c r="D4" i="10"/>
  <c r="D5" i="10"/>
  <c r="D6" i="10"/>
  <c r="D2" i="10"/>
  <c r="D3" i="5"/>
  <c r="D4" i="5"/>
  <c r="D5" i="5"/>
  <c r="D2" i="5"/>
  <c r="F3" i="5"/>
  <c r="F4" i="5"/>
  <c r="F5" i="5"/>
  <c r="F2" i="5"/>
  <c r="B3" i="8"/>
  <c r="B4" i="8"/>
  <c r="B5" i="8"/>
  <c r="B6" i="8"/>
  <c r="B7" i="8"/>
  <c r="B8" i="8"/>
  <c r="B9" i="8"/>
  <c r="B10" i="8"/>
  <c r="B11" i="8"/>
  <c r="B2" i="8"/>
  <c r="C2" i="8"/>
  <c r="D12" i="8"/>
  <c r="E3" i="8"/>
  <c r="E4" i="8"/>
  <c r="E5" i="8"/>
  <c r="E6" i="8"/>
  <c r="E7" i="8"/>
  <c r="E8" i="8"/>
  <c r="E9" i="8"/>
  <c r="E10" i="8"/>
  <c r="E11" i="8"/>
  <c r="E12" i="8"/>
  <c r="E2" i="8"/>
  <c r="I1" i="8"/>
  <c r="D6" i="2"/>
  <c r="D3" i="2"/>
  <c r="D4" i="2"/>
  <c r="D5" i="2"/>
  <c r="D2" i="2"/>
  <c r="D3" i="3"/>
  <c r="D4" i="3"/>
  <c r="D5" i="3"/>
  <c r="D6" i="3"/>
  <c r="D7" i="3"/>
  <c r="D8" i="3"/>
  <c r="D9" i="3"/>
  <c r="D10" i="3"/>
  <c r="D11" i="3"/>
  <c r="D12" i="3"/>
  <c r="D2" i="3"/>
  <c r="D3" i="9"/>
  <c r="D4" i="9"/>
  <c r="D5" i="9"/>
  <c r="D6" i="9"/>
  <c r="D7" i="9"/>
  <c r="D8" i="9"/>
  <c r="D9" i="9"/>
  <c r="D10" i="9"/>
  <c r="D11" i="9"/>
  <c r="D12" i="9"/>
  <c r="D2" i="9"/>
  <c r="D3" i="4"/>
  <c r="D4" i="4"/>
  <c r="D5" i="4"/>
  <c r="D6" i="4"/>
  <c r="D7" i="4"/>
  <c r="D8" i="4"/>
  <c r="D9" i="4"/>
  <c r="D10" i="4"/>
  <c r="D11" i="4"/>
  <c r="D12" i="4"/>
  <c r="D2" i="4"/>
  <c r="C3" i="10"/>
  <c r="C4" i="10"/>
  <c r="C5" i="10"/>
  <c r="C6" i="10"/>
  <c r="C2" i="10"/>
  <c r="B7" i="10"/>
  <c r="B3" i="10"/>
  <c r="I1" i="5"/>
  <c r="E1" i="8"/>
  <c r="B6" i="1"/>
  <c r="B7" i="1"/>
  <c r="B8" i="1"/>
  <c r="B9" i="1"/>
  <c r="B10" i="1"/>
  <c r="B11" i="1"/>
  <c r="B3" i="1"/>
  <c r="B4" i="1"/>
  <c r="B5" i="1"/>
  <c r="B2" i="1"/>
  <c r="C12" i="1"/>
  <c r="C3" i="1"/>
  <c r="C4" i="1"/>
  <c r="C5" i="1"/>
  <c r="C6" i="1"/>
  <c r="C7" i="1"/>
  <c r="C8" i="1"/>
  <c r="C9" i="1"/>
  <c r="C10" i="1"/>
  <c r="C11" i="1"/>
  <c r="C2" i="1"/>
  <c r="F2" i="1"/>
  <c r="C23" i="6"/>
  <c r="C24" i="6"/>
  <c r="B23" i="6"/>
  <c r="B24" i="6"/>
  <c r="C17" i="6"/>
  <c r="C18" i="6"/>
  <c r="B17" i="6"/>
  <c r="B18" i="6"/>
  <c r="C11" i="6"/>
  <c r="C12" i="6"/>
  <c r="B11" i="6"/>
  <c r="B12" i="6"/>
  <c r="C5" i="6"/>
  <c r="C6" i="6"/>
  <c r="B5" i="6"/>
  <c r="B6" i="6"/>
  <c r="B5" i="7"/>
  <c r="F3" i="8"/>
  <c r="F4" i="8"/>
  <c r="F5" i="8"/>
  <c r="F6" i="8"/>
  <c r="F7" i="8"/>
  <c r="F8" i="8"/>
  <c r="F9" i="8"/>
  <c r="F10" i="8"/>
  <c r="F11" i="8"/>
  <c r="F2" i="8"/>
  <c r="D9" i="8"/>
  <c r="D10" i="8"/>
  <c r="D11" i="8"/>
  <c r="C9" i="8"/>
  <c r="C10" i="8"/>
  <c r="C11" i="8"/>
  <c r="E3" i="2"/>
  <c r="E4" i="2"/>
  <c r="E5" i="2"/>
  <c r="E6" i="2"/>
  <c r="E2" i="2"/>
  <c r="C3" i="2"/>
  <c r="C4" i="2"/>
  <c r="C5" i="2"/>
  <c r="C6" i="2"/>
  <c r="E3" i="4"/>
  <c r="E4" i="4"/>
  <c r="E5" i="4"/>
  <c r="E6" i="4"/>
  <c r="E7" i="4"/>
  <c r="E8" i="4"/>
  <c r="E9" i="4"/>
  <c r="E10" i="4"/>
  <c r="E11" i="4"/>
  <c r="E12" i="4"/>
  <c r="E2" i="4"/>
  <c r="C3" i="9"/>
  <c r="C4" i="9"/>
  <c r="C5" i="9"/>
  <c r="C6" i="9"/>
  <c r="C7" i="9"/>
  <c r="C8" i="9"/>
  <c r="C9" i="9"/>
  <c r="C10" i="9"/>
  <c r="C11" i="9"/>
  <c r="B3" i="9"/>
  <c r="B4" i="9"/>
  <c r="B5" i="9"/>
  <c r="B6" i="9"/>
  <c r="B7" i="9"/>
  <c r="B8" i="9"/>
  <c r="B9" i="9"/>
  <c r="B10" i="9"/>
  <c r="B11" i="9"/>
  <c r="C2" i="9"/>
  <c r="C2" i="4"/>
  <c r="C12" i="4" s="1"/>
  <c r="B2" i="9"/>
  <c r="B2" i="4"/>
  <c r="D3" i="8"/>
  <c r="D4" i="8"/>
  <c r="D5" i="8"/>
  <c r="D6" i="8"/>
  <c r="D7" i="8"/>
  <c r="D8" i="8"/>
  <c r="D2" i="8"/>
  <c r="C2" i="7"/>
  <c r="B3" i="7"/>
  <c r="C3" i="8"/>
  <c r="C4" i="8"/>
  <c r="C5" i="8"/>
  <c r="C6" i="8"/>
  <c r="C7" i="8"/>
  <c r="C8" i="8"/>
  <c r="B2" i="7"/>
  <c r="K1" i="7"/>
  <c r="C3" i="7"/>
  <c r="C4" i="7"/>
  <c r="C5" i="7"/>
  <c r="C6" i="7"/>
  <c r="C7" i="7"/>
  <c r="C8" i="7"/>
  <c r="C9" i="7"/>
  <c r="C10" i="7"/>
  <c r="C11" i="7"/>
  <c r="C2" i="5"/>
  <c r="B4" i="7"/>
  <c r="B6" i="7"/>
  <c r="B7" i="7"/>
  <c r="B8" i="7"/>
  <c r="B9" i="7"/>
  <c r="B10" i="7"/>
  <c r="B11" i="7"/>
  <c r="B2" i="5"/>
  <c r="C75" i="6"/>
  <c r="D48" i="6"/>
  <c r="D47" i="6"/>
  <c r="D46" i="6"/>
  <c r="D45" i="6"/>
  <c r="C39" i="6"/>
  <c r="C36" i="6"/>
  <c r="C33" i="6"/>
  <c r="C3" i="6"/>
  <c r="C2" i="3"/>
  <c r="B3" i="6"/>
  <c r="D78" i="6"/>
  <c r="D77" i="6"/>
  <c r="D76" i="6"/>
  <c r="D75" i="6"/>
  <c r="D72" i="6"/>
  <c r="D71" i="6"/>
  <c r="D70" i="6"/>
  <c r="D69" i="6"/>
  <c r="D66" i="6"/>
  <c r="D65" i="6"/>
  <c r="D64" i="6"/>
  <c r="D63" i="6"/>
  <c r="D60" i="6"/>
  <c r="D59" i="6"/>
  <c r="D58" i="6"/>
  <c r="D57" i="6"/>
  <c r="D54" i="6"/>
  <c r="D53" i="6"/>
  <c r="D52" i="6"/>
  <c r="D51" i="6"/>
  <c r="D42" i="6"/>
  <c r="D41" i="6"/>
  <c r="D40" i="6"/>
  <c r="D39" i="6"/>
  <c r="D36" i="6"/>
  <c r="D35" i="6"/>
  <c r="D34" i="6"/>
  <c r="D33" i="6"/>
  <c r="D30" i="6"/>
  <c r="D29" i="6"/>
  <c r="D28" i="6"/>
  <c r="D27" i="6"/>
  <c r="D22" i="6"/>
  <c r="D21" i="6"/>
  <c r="D16" i="6"/>
  <c r="D15" i="6"/>
  <c r="D10" i="6"/>
  <c r="D9" i="6"/>
  <c r="D4" i="6"/>
  <c r="D3" i="6"/>
  <c r="B4" i="6"/>
  <c r="C4" i="6"/>
  <c r="B69" i="6"/>
  <c r="C9" i="6"/>
  <c r="C10" i="6"/>
  <c r="C15" i="6"/>
  <c r="C16" i="6"/>
  <c r="C21" i="6"/>
  <c r="C22" i="6"/>
  <c r="C27" i="6"/>
  <c r="C28" i="6"/>
  <c r="C29" i="6"/>
  <c r="C30" i="6"/>
  <c r="C34" i="6"/>
  <c r="C35" i="6"/>
  <c r="C40" i="6"/>
  <c r="C41" i="6"/>
  <c r="C42" i="6"/>
  <c r="C45" i="6"/>
  <c r="C46" i="6"/>
  <c r="C47" i="6"/>
  <c r="C48" i="6"/>
  <c r="C51" i="6"/>
  <c r="C52" i="6"/>
  <c r="C53" i="6"/>
  <c r="C54" i="6"/>
  <c r="C57" i="6"/>
  <c r="C58" i="6"/>
  <c r="C59" i="6"/>
  <c r="C60" i="6"/>
  <c r="C63" i="6"/>
  <c r="C64" i="6"/>
  <c r="C65" i="6"/>
  <c r="C66" i="6"/>
  <c r="C69" i="6"/>
  <c r="C70" i="6"/>
  <c r="C71" i="6"/>
  <c r="C72" i="6"/>
  <c r="C76" i="6"/>
  <c r="C77" i="6"/>
  <c r="C78" i="6"/>
  <c r="B9" i="6"/>
  <c r="B10" i="6"/>
  <c r="B15" i="6"/>
  <c r="B16" i="6"/>
  <c r="B21" i="6"/>
  <c r="B22" i="6"/>
  <c r="B27" i="6"/>
  <c r="B28" i="6"/>
  <c r="B29" i="6"/>
  <c r="B30" i="6"/>
  <c r="B33" i="6"/>
  <c r="B34" i="6"/>
  <c r="B35" i="6"/>
  <c r="B36" i="6"/>
  <c r="B39" i="6"/>
  <c r="B40" i="6"/>
  <c r="B41" i="6"/>
  <c r="B42" i="6"/>
  <c r="B45" i="6"/>
  <c r="B46" i="6"/>
  <c r="B47" i="6"/>
  <c r="B48" i="6"/>
  <c r="B51" i="6"/>
  <c r="B52" i="6"/>
  <c r="B53" i="6"/>
  <c r="B54" i="6"/>
  <c r="B57" i="6"/>
  <c r="B58" i="6"/>
  <c r="B59" i="6"/>
  <c r="B60" i="6"/>
  <c r="B63" i="6"/>
  <c r="B64" i="6"/>
  <c r="B65" i="6"/>
  <c r="B66" i="6"/>
  <c r="B70" i="6"/>
  <c r="B71" i="6"/>
  <c r="B72" i="6"/>
  <c r="B75" i="6"/>
  <c r="B76" i="6"/>
  <c r="B77" i="6"/>
  <c r="B78" i="6"/>
  <c r="C3" i="5"/>
  <c r="C4" i="5"/>
  <c r="C5" i="5"/>
  <c r="C3" i="3"/>
  <c r="B3" i="5"/>
  <c r="B4" i="5"/>
  <c r="B5" i="5"/>
  <c r="C3" i="4"/>
  <c r="C4" i="4"/>
  <c r="C5" i="4"/>
  <c r="C6" i="4"/>
  <c r="C7" i="4"/>
  <c r="C8" i="4"/>
  <c r="C9" i="4"/>
  <c r="C10" i="4"/>
  <c r="C11" i="4"/>
  <c r="B3" i="4"/>
  <c r="B4" i="4"/>
  <c r="B5" i="4"/>
  <c r="B6" i="4"/>
  <c r="B7" i="4"/>
  <c r="B8" i="4"/>
  <c r="B9" i="4"/>
  <c r="B10" i="4"/>
  <c r="B11" i="4"/>
  <c r="B2" i="3"/>
  <c r="C4" i="3"/>
  <c r="C5" i="3"/>
  <c r="C6" i="3"/>
  <c r="C7" i="3"/>
  <c r="C8" i="3"/>
  <c r="C9" i="3"/>
  <c r="C10" i="3"/>
  <c r="C11" i="3"/>
  <c r="B3" i="3"/>
  <c r="B4" i="3"/>
  <c r="B5" i="3"/>
  <c r="B6" i="3"/>
  <c r="B7" i="3"/>
  <c r="B8" i="3"/>
  <c r="B9" i="3"/>
  <c r="B10" i="3"/>
  <c r="B11" i="3"/>
  <c r="C2" i="2"/>
  <c r="F12" i="8" l="1"/>
  <c r="C12" i="3"/>
  <c r="C12" i="9"/>
</calcChain>
</file>

<file path=xl/sharedStrings.xml><?xml version="1.0" encoding="utf-8"?>
<sst xmlns="http://schemas.openxmlformats.org/spreadsheetml/2006/main" count="177" uniqueCount="154">
  <si>
    <t>Qualifier</t>
  </si>
  <si>
    <t>Frequency</t>
  </si>
  <si>
    <t># of Packaging type</t>
  </si>
  <si>
    <t>Packaging type</t>
  </si>
  <si>
    <t>Checksum</t>
  </si>
  <si>
    <t>Year: 2011</t>
  </si>
  <si>
    <t>Year: 2012</t>
  </si>
  <si>
    <t>Year: 2013</t>
  </si>
  <si>
    <t>Year: 2014</t>
  </si>
  <si>
    <t>Year: 2015</t>
  </si>
  <si>
    <t>Year: 2016</t>
  </si>
  <si>
    <t>Year: 2017</t>
  </si>
  <si>
    <t>Year: 2018</t>
  </si>
  <si>
    <t>Year: 2020</t>
  </si>
  <si>
    <t>Year: 2019</t>
  </si>
  <si>
    <t>Year: 2021</t>
  </si>
  <si>
    <t>Year: 2022</t>
  </si>
  <si>
    <t>Year: 2023</t>
  </si>
  <si>
    <t>Year</t>
  </si>
  <si>
    <t>Percent</t>
  </si>
  <si>
    <t>Others</t>
  </si>
  <si>
    <t>Avg</t>
  </si>
  <si>
    <t>MD5</t>
  </si>
  <si>
    <t>SHA1</t>
  </si>
  <si>
    <t>SHA256</t>
  </si>
  <si>
    <t>SHA512</t>
  </si>
  <si>
    <t>File type</t>
  </si>
  <si>
    <t>&lt;- Total number of files</t>
  </si>
  <si>
    <t>&lt;- Number of packages</t>
  </si>
  <si>
    <t>&lt;- Average</t>
  </si>
  <si>
    <t>Packaging_INDEX</t>
  </si>
  <si>
    <t>Frequecy</t>
  </si>
  <si>
    <t>&lt;- Total Difference</t>
  </si>
  <si>
    <t>Packaging type: jar, Count: 354980</t>
  </si>
  <si>
    <t>Packaging type: pom, Count: 56613</t>
  </si>
  <si>
    <t>Packaging type: bundle, Count: 21662</t>
  </si>
  <si>
    <t>Packaging type: aar, Count: 11508</t>
  </si>
  <si>
    <t>Packaging type: maven-plugin, Count: 6319</t>
  </si>
  <si>
    <t>Packaging type: war, Count: 5560</t>
  </si>
  <si>
    <t>Packaging type: klib, Count: 2975</t>
  </si>
  <si>
    <t>Packaging type: maven-archetype, Count: 2303</t>
  </si>
  <si>
    <t>Packaging type: eclipse-plugin, Count: 1074</t>
  </si>
  <si>
    <t>Packaging type: feature, Count: 948</t>
  </si>
  <si>
    <t>Packaging type: jar, Count: 382451</t>
  </si>
  <si>
    <t>Packaging type: pom, Count: 53405</t>
  </si>
  <si>
    <t>Packaging type: aar, Count: 10728</t>
  </si>
  <si>
    <t>Packaging type: module, Count: 8210</t>
  </si>
  <si>
    <t>Packaging type: zip, Count: 6174</t>
  </si>
  <si>
    <t>Packaging type: war, Count: 5782</t>
  </si>
  <si>
    <t>Packaging type: nbm, Count: 1559</t>
  </si>
  <si>
    <t>Packaging type: esa, Count: 760</t>
  </si>
  <si>
    <t>Packaging type: xml, Count: 396</t>
  </si>
  <si>
    <t>Packaging type: nar, Count: 322</t>
  </si>
  <si>
    <t>Packaging type: jar - Frequency: 391493</t>
  </si>
  <si>
    <t>Packaging type: pom - Frequency: 53155</t>
  </si>
  <si>
    <t>Packaging type: aar - Frequency: 11990</t>
  </si>
  <si>
    <t>Packaging type: module - Frequency: 8227</t>
  </si>
  <si>
    <t>Packaging type: zip - Frequency: 6174</t>
  </si>
  <si>
    <t>Packaging type: war - Frequency: 5805</t>
  </si>
  <si>
    <t>Packaging type: klib - Frequency: 3505</t>
  </si>
  <si>
    <t>Packaging type: nbm - Frequency: 1559</t>
  </si>
  <si>
    <t>Packaging type: esa - Frequency: 760</t>
  </si>
  <si>
    <t>Packaging type: hpi - Frequency: 542</t>
  </si>
  <si>
    <t>Frequency of packages with 2 packaging types: 14106</t>
  </si>
  <si>
    <t>Frequency of packages with 1 packaging types: 457239</t>
  </si>
  <si>
    <t>Frequency of packages with 3 packaging types: 1319</t>
  </si>
  <si>
    <t>Frequency of packages with 4 packaging types: 34</t>
  </si>
  <si>
    <t>Frequency of packages with 5 packaging types: 2</t>
  </si>
  <si>
    <t>LOG</t>
  </si>
  <si>
    <t>Packaging type from POM: bundle, Packaging type from INDEX: jar, Frequency: 21166</t>
  </si>
  <si>
    <t>Packaging type from POM: jar, Packaging type from INDEX: module, Frequency: 3659</t>
  </si>
  <si>
    <t>Packaging type from POM: klib, Packaging type from INDEX: module, Frequency: 2970</t>
  </si>
  <si>
    <t>Packaging type from POM: pom, Packaging type from INDEX: zip, Frequency: 2502</t>
  </si>
  <si>
    <t>Packaging type from POM: jar, Packaging type from INDEX: zip, Frequency: 1769</t>
  </si>
  <si>
    <t>Packaging type from POM: feature, Packaging type from INDEX: pom, Frequency: 931</t>
  </si>
  <si>
    <t>Packaging type from POM: jar, Packaging type from INDEX: nbm, Frequency: 914</t>
  </si>
  <si>
    <t>Packaging type from POM: pom, Packaging type from INDEX: jar, Frequency: 893</t>
  </si>
  <si>
    <t>Packaging type from POM: pom, Packaging type from INDEX: module, Frequency: 868</t>
  </si>
  <si>
    <t>Packaging type from POM: aar, Packaging type from INDEX: module, Frequency: 683</t>
  </si>
  <si>
    <t>Checksum: .md5 - Frequency: 472575</t>
  </si>
  <si>
    <t>Checksum: .sha1 - Frequency: 472544</t>
  </si>
  <si>
    <t>Checksum: .sha512 - Frequency: 6735</t>
  </si>
  <si>
    <t>Checksum: .sha256 - Frequency: 6647</t>
  </si>
  <si>
    <t>Qualifier: sources - Frequency: 389670</t>
  </si>
  <si>
    <t>Qualifier: javadoc - Frequency: 363507</t>
  </si>
  <si>
    <t>Qualifier: tests - Frequency: 27921</t>
  </si>
  <si>
    <t>Qualifier: test-sources - Frequency: 10890</t>
  </si>
  <si>
    <t>Qualifier: source-release - Frequency: 3095</t>
  </si>
  <si>
    <t>Qualifier: jar-with-dependencies - Frequency: 2914</t>
  </si>
  <si>
    <t>Qualifier: tests-javadoc - Frequency: 2204</t>
  </si>
  <si>
    <t>Qualifier: tests-sources - Frequency: 2195</t>
  </si>
  <si>
    <t>Qualifier: sources-commercial - Frequency: 2071</t>
  </si>
  <si>
    <t>File type: class - Frequency: 336672</t>
  </si>
  <si>
    <t>File type: xml - Frequency: 289762</t>
  </si>
  <si>
    <t>File type: properties - Frequency: 278202</t>
  </si>
  <si>
    <t>File type: file - Frequency: 67984</t>
  </si>
  <si>
    <t>File type: txt - Frequency: 42712</t>
  </si>
  <si>
    <t>File type: json - Frequency: 38635</t>
  </si>
  <si>
    <t>File type: jar - Frequency: 28948</t>
  </si>
  <si>
    <t>File type: html - Frequency: 24206</t>
  </si>
  <si>
    <t>File type: css - Frequency: 17868</t>
  </si>
  <si>
    <t>File type: png - Frequency: 17217</t>
  </si>
  <si>
    <t>Checksum: .md5, Frequency: 23744</t>
  </si>
  <si>
    <t>Checksum: .sha1, Frequency: 23744</t>
  </si>
  <si>
    <t>Checksum: .sha256, Frequency: 2</t>
  </si>
  <si>
    <t>Checksum: .sha512, Frequency: 2</t>
  </si>
  <si>
    <t>Checksum: .md5, Frequency: 13501</t>
  </si>
  <si>
    <t>Checksum: .sha1, Frequency: 13501</t>
  </si>
  <si>
    <t>Checksum: .sha256, Frequency: 0</t>
  </si>
  <si>
    <t>Checksum: .sha512, Frequency: 0</t>
  </si>
  <si>
    <t>Checksum: .md5, Frequency: 15096</t>
  </si>
  <si>
    <t>Checksum: .sha1, Frequency: 15096</t>
  </si>
  <si>
    <t>Checksum: .md5, Frequency: 19400</t>
  </si>
  <si>
    <t>Checksum: .sha1, Frequency: 19400</t>
  </si>
  <si>
    <t>Checksum: .md5, Frequency: 27825</t>
  </si>
  <si>
    <t>Checksum: .sha1, Frequency: 27825</t>
  </si>
  <si>
    <t>Checksum: .sha256, Frequency: 170</t>
  </si>
  <si>
    <t>Checksum: .sha512, Frequency: 170</t>
  </si>
  <si>
    <t>Checksum: .md5, Frequency: 34631</t>
  </si>
  <si>
    <t>Checksum: .sha1, Frequency: 34631</t>
  </si>
  <si>
    <t>Checksum: .sha256, Frequency: 450</t>
  </si>
  <si>
    <t>Checksum: .sha512, Frequency: 450</t>
  </si>
  <si>
    <t>Checksum: .md5, Frequency: 39415</t>
  </si>
  <si>
    <t>Checksum: .sha1, Frequency: 39415</t>
  </si>
  <si>
    <t>Checksum: .sha256, Frequency: 708</t>
  </si>
  <si>
    <t>Checksum: .sha512, Frequency: 708</t>
  </si>
  <si>
    <t>Checksum: .sha1, Frequency: 43774</t>
  </si>
  <si>
    <t>Checksum: .md5, Frequency: 43772</t>
  </si>
  <si>
    <t>Checksum: .sha256, Frequency: 540</t>
  </si>
  <si>
    <t>Checksum: .sha512, Frequency: 540</t>
  </si>
  <si>
    <t>Checksum: .sha1, Frequency: 52366</t>
  </si>
  <si>
    <t>Checksum: .md5, Frequency: 52320</t>
  </si>
  <si>
    <t>Checksum: .sha256, Frequency: 599</t>
  </si>
  <si>
    <t>Checksum: .sha512, Frequency: 599</t>
  </si>
  <si>
    <t>Checksum: .md5, Frequency: 50649</t>
  </si>
  <si>
    <t>Checksum: .sha1, Frequency: 50649</t>
  </si>
  <si>
    <t>Checksum: .sha256, Frequency: 1274</t>
  </si>
  <si>
    <t>Checksum: .sha512, Frequency: 1274</t>
  </si>
  <si>
    <t>Checksum: .md5, Frequency: 57702</t>
  </si>
  <si>
    <t>Checksum: .sha1, Frequency: 57608</t>
  </si>
  <si>
    <t>Checksum: .sha512, Frequency: 2375</t>
  </si>
  <si>
    <t>Checksum: .sha256, Frequency: 2343</t>
  </si>
  <si>
    <t>Checksum: .sha1, Frequency: 59116</t>
  </si>
  <si>
    <t>Checksum: .md5, Frequency: 59097</t>
  </si>
  <si>
    <t>Checksum: .sha512, Frequency: 504</t>
  </si>
  <si>
    <t>Checksum: .sha256, Frequency: 473</t>
  </si>
  <si>
    <t>Checksum: .md5, Frequency: 35423</t>
  </si>
  <si>
    <t>Checksum: .sha1, Frequency: 35419</t>
  </si>
  <si>
    <t>Checksum: .sha512, Frequency: 113</t>
  </si>
  <si>
    <t>Checksum: .sha256, Frequency: 88</t>
  </si>
  <si>
    <t>Qualifier: metadata - Frequency: 1829</t>
  </si>
  <si>
    <t>Other - others</t>
  </si>
  <si>
    <t>Packaging_Index - Packing_POM</t>
  </si>
  <si>
    <t>Per_package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</si>
</sst>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74151"/>
      <name val="Segoe UI"/>
      <family val="2"/>
    </font>
    <font>
      <sz val="8"/>
      <name val="Calibri"/>
      <family val="2"/>
      <scheme val="minor"/>
    </font>
    <font>
      <sz val="14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vertical="center" indent="1"/>
    </xf>
    <xf numFmtId="20" fontId="18" fillId="0" borderId="0" xfId="0" applyNumberFormat="1" applyFont="1" applyAlignment="1">
      <alignment horizontal="left" vertical="center" indent="1"/>
    </xf>
    <xf numFmtId="0" fontId="20" fillId="0" borderId="0" xfId="0" applyFont="1" applyAlignment="1">
      <alignment vertical="center" wrapText="1"/>
    </xf>
    <xf numFmtId="3" fontId="0" fillId="0" borderId="0" xfId="0" applyNumberForma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POM_packaging!$B$2:$B$12</c:f>
              <c:strCache>
                <c:ptCount val="11"/>
                <c:pt idx="0">
                  <c:v>jar</c:v>
                </c:pt>
                <c:pt idx="1">
                  <c:v>pom</c:v>
                </c:pt>
                <c:pt idx="2">
                  <c:v>bundle</c:v>
                </c:pt>
                <c:pt idx="3">
                  <c:v>aar</c:v>
                </c:pt>
                <c:pt idx="4">
                  <c:v>maven-plugin</c:v>
                </c:pt>
                <c:pt idx="5">
                  <c:v>war</c:v>
                </c:pt>
                <c:pt idx="6">
                  <c:v>klib</c:v>
                </c:pt>
                <c:pt idx="7">
                  <c:v>maven-archetype</c:v>
                </c:pt>
                <c:pt idx="8">
                  <c:v>eclipse-plugin</c:v>
                </c:pt>
                <c:pt idx="9">
                  <c:v>feature</c:v>
                </c:pt>
                <c:pt idx="10">
                  <c:v>Others</c:v>
                </c:pt>
              </c:strCache>
            </c:strRef>
          </c:cat>
          <c:val>
            <c:numRef>
              <c:f>POM_packaging!$D$2:$D$12</c:f>
              <c:numCache>
                <c:formatCode>General</c:formatCode>
                <c:ptCount val="11"/>
                <c:pt idx="0">
                  <c:v>75.042000000000002</c:v>
                </c:pt>
                <c:pt idx="1">
                  <c:v>11.968</c:v>
                </c:pt>
                <c:pt idx="2">
                  <c:v>4.5789999999999997</c:v>
                </c:pt>
                <c:pt idx="3">
                  <c:v>2.4329999999999998</c:v>
                </c:pt>
                <c:pt idx="4">
                  <c:v>1.3360000000000001</c:v>
                </c:pt>
                <c:pt idx="5">
                  <c:v>1.175</c:v>
                </c:pt>
                <c:pt idx="6">
                  <c:v>0.629</c:v>
                </c:pt>
                <c:pt idx="7">
                  <c:v>0.48699999999999999</c:v>
                </c:pt>
                <c:pt idx="8">
                  <c:v>0.22700000000000001</c:v>
                </c:pt>
                <c:pt idx="9">
                  <c:v>0.2</c:v>
                </c:pt>
                <c:pt idx="10">
                  <c:v>1.9239999999999999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F-4636-AD31-36D2886F64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764400"/>
        <c:axId val="1518773520"/>
      </c:barChart>
      <c:catAx>
        <c:axId val="15187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Packaging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73520"/>
        <c:crosses val="autoZero"/>
        <c:auto val="1"/>
        <c:lblAlgn val="ctr"/>
        <c:lblOffset val="100"/>
        <c:noMultiLvlLbl val="0"/>
      </c:catAx>
      <c:valAx>
        <c:axId val="1518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'Frequency_executableFile type  '!$B$2:$B$12</c:f>
              <c:strCache>
                <c:ptCount val="11"/>
                <c:pt idx="0">
                  <c:v>class</c:v>
                </c:pt>
                <c:pt idx="1">
                  <c:v>xml</c:v>
                </c:pt>
                <c:pt idx="2">
                  <c:v>properties</c:v>
                </c:pt>
                <c:pt idx="3">
                  <c:v>file</c:v>
                </c:pt>
                <c:pt idx="4">
                  <c:v>txt</c:v>
                </c:pt>
                <c:pt idx="5">
                  <c:v>json</c:v>
                </c:pt>
                <c:pt idx="6">
                  <c:v>jar</c:v>
                </c:pt>
                <c:pt idx="7">
                  <c:v>html</c:v>
                </c:pt>
                <c:pt idx="8">
                  <c:v>css</c:v>
                </c:pt>
                <c:pt idx="9">
                  <c:v>png</c:v>
                </c:pt>
                <c:pt idx="10">
                  <c:v>Others</c:v>
                </c:pt>
              </c:strCache>
            </c:strRef>
          </c:cat>
          <c:val>
            <c:numRef>
              <c:f>'Frequency_executableFile type  '!$E$2:$E$12</c:f>
              <c:numCache>
                <c:formatCode>General</c:formatCode>
                <c:ptCount val="11"/>
                <c:pt idx="0">
                  <c:v>71.171999999999997</c:v>
                </c:pt>
                <c:pt idx="1">
                  <c:v>61.255000000000003</c:v>
                </c:pt>
                <c:pt idx="2">
                  <c:v>58.811</c:v>
                </c:pt>
                <c:pt idx="3">
                  <c:v>14.372</c:v>
                </c:pt>
                <c:pt idx="4">
                  <c:v>9.0289999999999999</c:v>
                </c:pt>
                <c:pt idx="5">
                  <c:v>8.1669999999999998</c:v>
                </c:pt>
                <c:pt idx="6">
                  <c:v>6.12</c:v>
                </c:pt>
                <c:pt idx="7">
                  <c:v>5.117</c:v>
                </c:pt>
                <c:pt idx="8">
                  <c:v>3.7770000000000001</c:v>
                </c:pt>
                <c:pt idx="9">
                  <c:v>3.64</c:v>
                </c:pt>
                <c:pt idx="10">
                  <c:v>80.123999999999995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F-4BA4-A21C-048F65FCE2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742320"/>
        <c:axId val="1518735600"/>
      </c:barChart>
      <c:catAx>
        <c:axId val="151874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File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35600"/>
        <c:crosses val="autoZero"/>
        <c:auto val="1"/>
        <c:lblAlgn val="ctr"/>
        <c:lblOffset val="100"/>
        <c:noMultiLvlLbl val="0"/>
      </c:catAx>
      <c:valAx>
        <c:axId val="15187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layout>
            <c:manualLayout>
              <c:xMode val="edge"/>
              <c:yMode val="edge"/>
              <c:x val="2.2317020748019969E-2"/>
              <c:y val="0.26479898418730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'Frequency_executableFile type  '!$B$2:$B$12</c:f>
              <c:strCache>
                <c:ptCount val="11"/>
                <c:pt idx="0">
                  <c:v>class</c:v>
                </c:pt>
                <c:pt idx="1">
                  <c:v>xml</c:v>
                </c:pt>
                <c:pt idx="2">
                  <c:v>properties</c:v>
                </c:pt>
                <c:pt idx="3">
                  <c:v>file</c:v>
                </c:pt>
                <c:pt idx="4">
                  <c:v>txt</c:v>
                </c:pt>
                <c:pt idx="5">
                  <c:v>json</c:v>
                </c:pt>
                <c:pt idx="6">
                  <c:v>jar</c:v>
                </c:pt>
                <c:pt idx="7">
                  <c:v>html</c:v>
                </c:pt>
                <c:pt idx="8">
                  <c:v>css</c:v>
                </c:pt>
                <c:pt idx="9">
                  <c:v>png</c:v>
                </c:pt>
                <c:pt idx="10">
                  <c:v>Others</c:v>
                </c:pt>
              </c:strCache>
            </c:strRef>
          </c:cat>
          <c:val>
            <c:numRef>
              <c:f>'Frequency_executableFile type  '!$D$2:$D$12</c:f>
              <c:numCache>
                <c:formatCode>General</c:formatCode>
                <c:ptCount val="11"/>
                <c:pt idx="0">
                  <c:v>22.132000000000001</c:v>
                </c:pt>
                <c:pt idx="1">
                  <c:v>19.047999999999998</c:v>
                </c:pt>
                <c:pt idx="2">
                  <c:v>18.288</c:v>
                </c:pt>
                <c:pt idx="3">
                  <c:v>4.4690000000000003</c:v>
                </c:pt>
                <c:pt idx="4">
                  <c:v>2.8079999999999998</c:v>
                </c:pt>
                <c:pt idx="5">
                  <c:v>2.54</c:v>
                </c:pt>
                <c:pt idx="6">
                  <c:v>1.903</c:v>
                </c:pt>
                <c:pt idx="7">
                  <c:v>1.591</c:v>
                </c:pt>
                <c:pt idx="8">
                  <c:v>1.175</c:v>
                </c:pt>
                <c:pt idx="9">
                  <c:v>1.1319999999999999</c:v>
                </c:pt>
                <c:pt idx="10">
                  <c:v>24.914999999999999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6-4614-8D2A-5FDE5FFA1C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738000"/>
        <c:axId val="1518738480"/>
      </c:barChart>
      <c:catAx>
        <c:axId val="151873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File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10542432195978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38480"/>
        <c:crosses val="autoZero"/>
        <c:auto val="1"/>
        <c:lblAlgn val="ctr"/>
        <c:lblOffset val="100"/>
        <c:noMultiLvlLbl val="0"/>
      </c:catAx>
      <c:valAx>
        <c:axId val="1518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623396033829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Index_packaging!$B$2:$B$12</c:f>
              <c:strCache>
                <c:ptCount val="11"/>
                <c:pt idx="0">
                  <c:v>jar</c:v>
                </c:pt>
                <c:pt idx="1">
                  <c:v>pom</c:v>
                </c:pt>
                <c:pt idx="2">
                  <c:v>aar</c:v>
                </c:pt>
                <c:pt idx="3">
                  <c:v>module</c:v>
                </c:pt>
                <c:pt idx="4">
                  <c:v>zip</c:v>
                </c:pt>
                <c:pt idx="5">
                  <c:v>war</c:v>
                </c:pt>
                <c:pt idx="6">
                  <c:v>nbm</c:v>
                </c:pt>
                <c:pt idx="7">
                  <c:v>esa</c:v>
                </c:pt>
                <c:pt idx="8">
                  <c:v>xml</c:v>
                </c:pt>
                <c:pt idx="9">
                  <c:v>nar</c:v>
                </c:pt>
                <c:pt idx="10">
                  <c:v>Others</c:v>
                </c:pt>
              </c:strCache>
            </c:strRef>
          </c:cat>
          <c:val>
            <c:numRef>
              <c:f>Index_packaging!$D$2:$D$12</c:f>
              <c:numCache>
                <c:formatCode>General</c:formatCode>
                <c:ptCount val="11"/>
                <c:pt idx="0">
                  <c:v>80.849000000000004</c:v>
                </c:pt>
                <c:pt idx="1">
                  <c:v>11.29</c:v>
                </c:pt>
                <c:pt idx="2">
                  <c:v>2.2679999999999998</c:v>
                </c:pt>
                <c:pt idx="3">
                  <c:v>1.736</c:v>
                </c:pt>
                <c:pt idx="4">
                  <c:v>1.3049999999999999</c:v>
                </c:pt>
                <c:pt idx="5">
                  <c:v>1.222</c:v>
                </c:pt>
                <c:pt idx="6">
                  <c:v>0.33</c:v>
                </c:pt>
                <c:pt idx="7">
                  <c:v>0.161</c:v>
                </c:pt>
                <c:pt idx="8">
                  <c:v>8.4000000000000005E-2</c:v>
                </c:pt>
                <c:pt idx="9">
                  <c:v>6.8000000000000005E-2</c:v>
                </c:pt>
                <c:pt idx="10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C-4D0D-82CC-A4D8592879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765360"/>
        <c:axId val="1518768240"/>
      </c:barChart>
      <c:catAx>
        <c:axId val="151876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Packaging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4066097987751529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68240"/>
        <c:crosses val="autoZero"/>
        <c:auto val="1"/>
        <c:lblAlgn val="ctr"/>
        <c:lblOffset val="100"/>
        <c:noMultiLvlLbl val="0"/>
      </c:catAx>
      <c:valAx>
        <c:axId val="15187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7445209973753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6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Repo_packaging!$B$2:$B$12</c:f>
              <c:strCache>
                <c:ptCount val="11"/>
                <c:pt idx="0">
                  <c:v>jar</c:v>
                </c:pt>
                <c:pt idx="1">
                  <c:v>pom</c:v>
                </c:pt>
                <c:pt idx="2">
                  <c:v>aar</c:v>
                </c:pt>
                <c:pt idx="3">
                  <c:v>module</c:v>
                </c:pt>
                <c:pt idx="4">
                  <c:v>zip</c:v>
                </c:pt>
                <c:pt idx="5">
                  <c:v>war</c:v>
                </c:pt>
                <c:pt idx="6">
                  <c:v>klib</c:v>
                </c:pt>
                <c:pt idx="7">
                  <c:v>nbm</c:v>
                </c:pt>
                <c:pt idx="8">
                  <c:v>esa</c:v>
                </c:pt>
                <c:pt idx="9">
                  <c:v>hpi</c:v>
                </c:pt>
                <c:pt idx="10">
                  <c:v>Others</c:v>
                </c:pt>
              </c:strCache>
            </c:strRef>
          </c:cat>
          <c:val>
            <c:numRef>
              <c:f>Repo_packaging!$D$2:$D$12</c:f>
              <c:numCache>
                <c:formatCode>General</c:formatCode>
                <c:ptCount val="11"/>
                <c:pt idx="0">
                  <c:v>79.968999999999994</c:v>
                </c:pt>
                <c:pt idx="1">
                  <c:v>10.858000000000001</c:v>
                </c:pt>
                <c:pt idx="2">
                  <c:v>2.4489999999999998</c:v>
                </c:pt>
                <c:pt idx="3">
                  <c:v>1.681</c:v>
                </c:pt>
                <c:pt idx="4">
                  <c:v>1.2609999999999999</c:v>
                </c:pt>
                <c:pt idx="5">
                  <c:v>1.1859999999999999</c:v>
                </c:pt>
                <c:pt idx="6">
                  <c:v>0.71599999999999997</c:v>
                </c:pt>
                <c:pt idx="7">
                  <c:v>0.318</c:v>
                </c:pt>
                <c:pt idx="8">
                  <c:v>0.155</c:v>
                </c:pt>
                <c:pt idx="9">
                  <c:v>0.111</c:v>
                </c:pt>
                <c:pt idx="10">
                  <c:v>1.296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D-488B-9C12-DBC9217EF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756720"/>
        <c:axId val="1518780240"/>
      </c:barChart>
      <c:catAx>
        <c:axId val="151875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Packaging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80240"/>
        <c:crosses val="autoZero"/>
        <c:auto val="1"/>
        <c:lblAlgn val="ctr"/>
        <c:lblOffset val="100"/>
        <c:noMultiLvlLbl val="0"/>
      </c:catAx>
      <c:valAx>
        <c:axId val="15187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6982247010790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Difference_POM_Index!$B$2:$C$12</c15:sqref>
                  </c15:fullRef>
                  <c15:levelRef>
                    <c15:sqref>Difference_POM_Index!$B$2:$B$12</c15:sqref>
                  </c15:levelRef>
                </c:ext>
              </c:extLst>
              <c:f>Difference_POM_Index!$B$2:$B$12</c:f>
              <c:strCache>
                <c:ptCount val="11"/>
                <c:pt idx="0">
                  <c:v>jar - bundle</c:v>
                </c:pt>
                <c:pt idx="1">
                  <c:v>module - jar</c:v>
                </c:pt>
                <c:pt idx="2">
                  <c:v>module - klib</c:v>
                </c:pt>
                <c:pt idx="3">
                  <c:v>zip - pom</c:v>
                </c:pt>
                <c:pt idx="4">
                  <c:v>zip - jar</c:v>
                </c:pt>
                <c:pt idx="5">
                  <c:v>pom - feature</c:v>
                </c:pt>
                <c:pt idx="6">
                  <c:v>nbm - jar</c:v>
                </c:pt>
                <c:pt idx="7">
                  <c:v>jar - pom</c:v>
                </c:pt>
                <c:pt idx="8">
                  <c:v>module - pom</c:v>
                </c:pt>
                <c:pt idx="9">
                  <c:v>module - aar</c:v>
                </c:pt>
                <c:pt idx="10">
                  <c:v>Other - others</c:v>
                </c:pt>
              </c:strCache>
            </c:strRef>
          </c:cat>
          <c:val>
            <c:numRef>
              <c:f>Difference_POM_Index!$E$2:$E$12</c:f>
              <c:numCache>
                <c:formatCode>General</c:formatCode>
                <c:ptCount val="11"/>
                <c:pt idx="0">
                  <c:v>48.676000000000002</c:v>
                </c:pt>
                <c:pt idx="1">
                  <c:v>8.4149999999999991</c:v>
                </c:pt>
                <c:pt idx="2">
                  <c:v>6.83</c:v>
                </c:pt>
                <c:pt idx="3">
                  <c:v>5.7539999999999996</c:v>
                </c:pt>
                <c:pt idx="4">
                  <c:v>4.0679999999999996</c:v>
                </c:pt>
                <c:pt idx="5">
                  <c:v>2.141</c:v>
                </c:pt>
                <c:pt idx="6">
                  <c:v>2.1019999999999999</c:v>
                </c:pt>
                <c:pt idx="7">
                  <c:v>2.0539999999999998</c:v>
                </c:pt>
                <c:pt idx="8">
                  <c:v>1.996</c:v>
                </c:pt>
                <c:pt idx="9">
                  <c:v>1.571</c:v>
                </c:pt>
                <c:pt idx="10">
                  <c:v>16.393000000000001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5-47EB-AEC1-272740BF4B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1455216"/>
        <c:axId val="1931462416"/>
      </c:barChart>
      <c:catAx>
        <c:axId val="193145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Packaging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62416"/>
        <c:crosses val="autoZero"/>
        <c:auto val="1"/>
        <c:lblAlgn val="ctr"/>
        <c:lblOffset val="100"/>
        <c:noMultiLvlLbl val="0"/>
      </c:catAx>
      <c:valAx>
        <c:axId val="19314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Frequency_checksum!$B$2:$B$5</c:f>
              <c:strCache>
                <c:ptCount val="4"/>
                <c:pt idx="0">
                  <c:v>.md5</c:v>
                </c:pt>
                <c:pt idx="1">
                  <c:v>.sha1</c:v>
                </c:pt>
                <c:pt idx="2">
                  <c:v>.sha512</c:v>
                </c:pt>
                <c:pt idx="3">
                  <c:v>.sha256</c:v>
                </c:pt>
              </c:strCache>
            </c:strRef>
          </c:cat>
          <c:val>
            <c:numRef>
              <c:f>Frequency_checksum!$F$2:$F$5</c:f>
              <c:numCache>
                <c:formatCode>General</c:formatCode>
                <c:ptCount val="4"/>
                <c:pt idx="0">
                  <c:v>99.900999999999996</c:v>
                </c:pt>
                <c:pt idx="1">
                  <c:v>99.894999999999996</c:v>
                </c:pt>
                <c:pt idx="2">
                  <c:v>1.4239999999999999</c:v>
                </c:pt>
                <c:pt idx="3">
                  <c:v>1.405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EB3-A174-B87368D7C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1478736"/>
        <c:axId val="1931484976"/>
      </c:barChart>
      <c:catAx>
        <c:axId val="193147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Checksum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84976"/>
        <c:crosses val="autoZero"/>
        <c:auto val="1"/>
        <c:lblAlgn val="ctr"/>
        <c:lblOffset val="100"/>
        <c:noMultiLvlLbl val="0"/>
      </c:catAx>
      <c:valAx>
        <c:axId val="19314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Checksum_per_package!$A$2:$A$6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Checksum_per_package!$D$2:$D$6</c:f>
              <c:numCache>
                <c:formatCode>General</c:formatCode>
                <c:ptCount val="5"/>
                <c:pt idx="0">
                  <c:v>0.08</c:v>
                </c:pt>
                <c:pt idx="1">
                  <c:v>4.2000000000000003E-2</c:v>
                </c:pt>
                <c:pt idx="2">
                  <c:v>98.453999999999994</c:v>
                </c:pt>
                <c:pt idx="3">
                  <c:v>1.6E-2</c:v>
                </c:pt>
                <c:pt idx="4">
                  <c:v>1.399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C-43CB-9C89-E9380AE0BE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1470096"/>
        <c:axId val="1931468656"/>
      </c:barChart>
      <c:catAx>
        <c:axId val="193147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Number of checksum per package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68656"/>
        <c:crosses val="autoZero"/>
        <c:auto val="1"/>
        <c:lblAlgn val="ctr"/>
        <c:lblOffset val="100"/>
        <c:noMultiLvlLbl val="0"/>
      </c:catAx>
      <c:valAx>
        <c:axId val="19314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Checksum_over_time!$O$92</c:f>
              <c:strCache>
                <c:ptCount val="1"/>
                <c:pt idx="0">
                  <c:v>MD5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Checksum_over_time!$P$91:$AB$91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2020</c:v>
                </c:pt>
                <c:pt idx="9">
                  <c:v>2019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Checksum_over_time!$P$92:$AB$92</c:f>
              <c:numCache>
                <c:formatCode>General</c:formatCode>
                <c:ptCount val="13"/>
                <c:pt idx="0">
                  <c:v>95.319000000000003</c:v>
                </c:pt>
                <c:pt idx="1">
                  <c:v>97.926000000000002</c:v>
                </c:pt>
                <c:pt idx="2">
                  <c:v>98.128</c:v>
                </c:pt>
                <c:pt idx="3">
                  <c:v>99.697000000000003</c:v>
                </c:pt>
                <c:pt idx="4">
                  <c:v>99.131</c:v>
                </c:pt>
                <c:pt idx="5">
                  <c:v>98.635999999999996</c:v>
                </c:pt>
                <c:pt idx="6">
                  <c:v>99.167000000000002</c:v>
                </c:pt>
                <c:pt idx="7">
                  <c:v>98.745999999999995</c:v>
                </c:pt>
                <c:pt idx="8">
                  <c:v>98.119</c:v>
                </c:pt>
                <c:pt idx="9">
                  <c:v>98.617999999999995</c:v>
                </c:pt>
                <c:pt idx="10">
                  <c:v>98.748999999999995</c:v>
                </c:pt>
                <c:pt idx="11">
                  <c:v>98.313999999999993</c:v>
                </c:pt>
                <c:pt idx="12">
                  <c:v>98.844999999999999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45C-A462-DD4E8B2C108E}"/>
            </c:ext>
          </c:extLst>
        </c:ser>
        <c:ser>
          <c:idx val="1"/>
          <c:order val="1"/>
          <c:tx>
            <c:strRef>
              <c:f>Checksum_over_time!$O$93</c:f>
              <c:strCache>
                <c:ptCount val="1"/>
                <c:pt idx="0">
                  <c:v>SHA1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Checksum_over_time!$P$91:$AB$91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2020</c:v>
                </c:pt>
                <c:pt idx="9">
                  <c:v>2019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Checksum_over_time!$P$93:$AB$93</c:f>
              <c:numCache>
                <c:formatCode>General</c:formatCode>
                <c:ptCount val="13"/>
                <c:pt idx="0">
                  <c:v>95.319000000000003</c:v>
                </c:pt>
                <c:pt idx="1">
                  <c:v>97.926000000000002</c:v>
                </c:pt>
                <c:pt idx="2">
                  <c:v>98.128</c:v>
                </c:pt>
                <c:pt idx="3">
                  <c:v>99.697000000000003</c:v>
                </c:pt>
                <c:pt idx="4">
                  <c:v>99.131</c:v>
                </c:pt>
                <c:pt idx="5">
                  <c:v>98.635999999999996</c:v>
                </c:pt>
                <c:pt idx="6">
                  <c:v>99.167000000000002</c:v>
                </c:pt>
                <c:pt idx="7">
                  <c:v>98.741</c:v>
                </c:pt>
                <c:pt idx="8">
                  <c:v>98.119</c:v>
                </c:pt>
                <c:pt idx="9">
                  <c:v>98.531000000000006</c:v>
                </c:pt>
                <c:pt idx="10">
                  <c:v>98.587999999999994</c:v>
                </c:pt>
                <c:pt idx="11">
                  <c:v>98.281999999999996</c:v>
                </c:pt>
                <c:pt idx="12">
                  <c:v>98.834000000000003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45C-A462-DD4E8B2C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1465296"/>
        <c:axId val="1931478256"/>
      </c:barChart>
      <c:barChart>
        <c:barDir val="col"/>
        <c:grouping val="stacked"/>
        <c:varyColors val="0"/>
        <c:ser>
          <c:idx val="3"/>
          <c:order val="3"/>
          <c:tx>
            <c:strRef>
              <c:f>Checksum_over_time!$O$95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Checksum_over_time!$P$91:$AB$91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2020</c:v>
                </c:pt>
                <c:pt idx="9">
                  <c:v>2019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Checksum_over_time!$P$95:$AB$95</c:f>
              <c:numCache>
                <c:formatCode>General</c:formatCode>
                <c:ptCount val="13"/>
                <c:pt idx="0">
                  <c:v>8.0000000000000002E-3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0.60599999999999998</c:v>
                </c:pt>
                <c:pt idx="5">
                  <c:v>1.282</c:v>
                </c:pt>
                <c:pt idx="6">
                  <c:v>1.7809999999999999</c:v>
                </c:pt>
                <c:pt idx="7">
                  <c:v>1.218</c:v>
                </c:pt>
                <c:pt idx="8">
                  <c:v>2.468</c:v>
                </c:pt>
                <c:pt idx="9">
                  <c:v>1.1279999999999999</c:v>
                </c:pt>
                <c:pt idx="10">
                  <c:v>4.01</c:v>
                </c:pt>
                <c:pt idx="11">
                  <c:v>0.78700000000000003</c:v>
                </c:pt>
                <c:pt idx="12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F-445C-A462-DD4E8B2C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1428816"/>
        <c:axId val="1931452336"/>
      </c:barChart>
      <c:lineChart>
        <c:grouping val="standard"/>
        <c:varyColors val="0"/>
        <c:ser>
          <c:idx val="2"/>
          <c:order val="2"/>
          <c:tx>
            <c:strRef>
              <c:f>Checksum_over_time!$O$94</c:f>
              <c:strCache>
                <c:ptCount val="1"/>
                <c:pt idx="0">
                  <c:v>SHA256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Checksum_over_time!$P$91:$AB$91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2020</c:v>
                </c:pt>
                <c:pt idx="9">
                  <c:v>2019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Checksum_over_time!$P$94:$AB$94</c:f>
              <c:numCache>
                <c:formatCode>General</c:formatCode>
                <c:ptCount val="13"/>
                <c:pt idx="0">
                  <c:v>8.0000000000000002E-3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0.60599999999999998</c:v>
                </c:pt>
                <c:pt idx="5">
                  <c:v>1.282</c:v>
                </c:pt>
                <c:pt idx="6">
                  <c:v>1.7809999999999999</c:v>
                </c:pt>
                <c:pt idx="7">
                  <c:v>1.218</c:v>
                </c:pt>
                <c:pt idx="8">
                  <c:v>2.468</c:v>
                </c:pt>
                <c:pt idx="9">
                  <c:v>1.1279999999999999</c:v>
                </c:pt>
                <c:pt idx="10">
                  <c:v>4.0640000000000001</c:v>
                </c:pt>
                <c:pt idx="11">
                  <c:v>0.83799999999999997</c:v>
                </c:pt>
                <c:pt idx="12">
                  <c:v>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F-445C-A462-DD4E8B2C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28816"/>
        <c:axId val="1931452336"/>
      </c:lineChart>
      <c:catAx>
        <c:axId val="19314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78256"/>
        <c:crosses val="autoZero"/>
        <c:auto val="1"/>
        <c:lblAlgn val="ctr"/>
        <c:lblOffset val="100"/>
        <c:noMultiLvlLbl val="0"/>
      </c:catAx>
      <c:valAx>
        <c:axId val="19314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65296"/>
        <c:crosses val="autoZero"/>
        <c:crossBetween val="between"/>
      </c:valAx>
      <c:valAx>
        <c:axId val="1931452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8816"/>
        <c:crosses val="max"/>
        <c:crossBetween val="between"/>
      </c:valAx>
      <c:catAx>
        <c:axId val="193142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45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Qualifier_frequency!$B$2:$B$12</c:f>
              <c:strCache>
                <c:ptCount val="11"/>
                <c:pt idx="0">
                  <c:v>sources</c:v>
                </c:pt>
                <c:pt idx="1">
                  <c:v>javadoc</c:v>
                </c:pt>
                <c:pt idx="2">
                  <c:v>tests</c:v>
                </c:pt>
                <c:pt idx="3">
                  <c:v>test-sources</c:v>
                </c:pt>
                <c:pt idx="4">
                  <c:v>source-release</c:v>
                </c:pt>
                <c:pt idx="5">
                  <c:v>jar-with-dependencies</c:v>
                </c:pt>
                <c:pt idx="6">
                  <c:v>tests-javadoc</c:v>
                </c:pt>
                <c:pt idx="7">
                  <c:v>tests-sources</c:v>
                </c:pt>
                <c:pt idx="8">
                  <c:v>sources-commercial</c:v>
                </c:pt>
                <c:pt idx="9">
                  <c:v>metadata</c:v>
                </c:pt>
                <c:pt idx="10">
                  <c:v>Others</c:v>
                </c:pt>
              </c:strCache>
            </c:strRef>
          </c:cat>
          <c:val>
            <c:numRef>
              <c:f>Qualifier_frequency!$H$2:$H$12</c:f>
              <c:numCache>
                <c:formatCode>General</c:formatCode>
                <c:ptCount val="11"/>
                <c:pt idx="0">
                  <c:v>82.375</c:v>
                </c:pt>
                <c:pt idx="1">
                  <c:v>76.843999999999994</c:v>
                </c:pt>
                <c:pt idx="2">
                  <c:v>5.9020000000000001</c:v>
                </c:pt>
                <c:pt idx="3">
                  <c:v>2.302</c:v>
                </c:pt>
                <c:pt idx="4">
                  <c:v>0.65400000000000003</c:v>
                </c:pt>
                <c:pt idx="5">
                  <c:v>0.61599999999999999</c:v>
                </c:pt>
                <c:pt idx="6">
                  <c:v>0.46600000000000003</c:v>
                </c:pt>
                <c:pt idx="7">
                  <c:v>0.46400000000000002</c:v>
                </c:pt>
                <c:pt idx="8">
                  <c:v>0.438</c:v>
                </c:pt>
                <c:pt idx="9">
                  <c:v>0.38700000000000001</c:v>
                </c:pt>
                <c:pt idx="10">
                  <c:v>7.3559999999999999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3-4F79-AD9C-A827B24D8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747600"/>
        <c:axId val="1518743760"/>
      </c:barChart>
      <c:catAx>
        <c:axId val="15187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43760"/>
        <c:crosses val="autoZero"/>
        <c:auto val="1"/>
        <c:lblAlgn val="ctr"/>
        <c:lblOffset val="100"/>
        <c:noMultiLvlLbl val="0"/>
      </c:catAx>
      <c:valAx>
        <c:axId val="15187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8020924467774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Qualifier_frequency!$B$2:$B$12</c:f>
              <c:strCache>
                <c:ptCount val="11"/>
                <c:pt idx="0">
                  <c:v>sources</c:v>
                </c:pt>
                <c:pt idx="1">
                  <c:v>javadoc</c:v>
                </c:pt>
                <c:pt idx="2">
                  <c:v>tests</c:v>
                </c:pt>
                <c:pt idx="3">
                  <c:v>test-sources</c:v>
                </c:pt>
                <c:pt idx="4">
                  <c:v>source-release</c:v>
                </c:pt>
                <c:pt idx="5">
                  <c:v>jar-with-dependencies</c:v>
                </c:pt>
                <c:pt idx="6">
                  <c:v>tests-javadoc</c:v>
                </c:pt>
                <c:pt idx="7">
                  <c:v>tests-sources</c:v>
                </c:pt>
                <c:pt idx="8">
                  <c:v>sources-commercial</c:v>
                </c:pt>
                <c:pt idx="9">
                  <c:v>metadata</c:v>
                </c:pt>
                <c:pt idx="10">
                  <c:v>Others</c:v>
                </c:pt>
              </c:strCache>
            </c:strRef>
          </c:cat>
          <c:val>
            <c:numRef>
              <c:f>Qualifier_frequency!$D$2:$D$12</c:f>
              <c:numCache>
                <c:formatCode>General</c:formatCode>
                <c:ptCount val="11"/>
                <c:pt idx="0">
                  <c:v>46.329000000000001</c:v>
                </c:pt>
                <c:pt idx="1">
                  <c:v>43.218000000000004</c:v>
                </c:pt>
                <c:pt idx="2">
                  <c:v>3.32</c:v>
                </c:pt>
                <c:pt idx="3">
                  <c:v>1.2949999999999999</c:v>
                </c:pt>
                <c:pt idx="4">
                  <c:v>0.36799999999999999</c:v>
                </c:pt>
                <c:pt idx="5">
                  <c:v>0.34599999999999997</c:v>
                </c:pt>
                <c:pt idx="6">
                  <c:v>0.26200000000000001</c:v>
                </c:pt>
                <c:pt idx="7">
                  <c:v>0.26100000000000001</c:v>
                </c:pt>
                <c:pt idx="8">
                  <c:v>0.246</c:v>
                </c:pt>
                <c:pt idx="9">
                  <c:v>0.217</c:v>
                </c:pt>
                <c:pt idx="10">
                  <c:v>4.1369999999999996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21A-B83C-7989BFBE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08559"/>
        <c:axId val="153597999"/>
      </c:barChart>
      <c:catAx>
        <c:axId val="1536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7999"/>
        <c:crosses val="autoZero"/>
        <c:auto val="1"/>
        <c:lblAlgn val="ctr"/>
        <c:lblOffset val="100"/>
        <c:noMultiLvlLbl val="0"/>
      </c:catAx>
      <c:valAx>
        <c:axId val="1535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4</xdr:row>
      <xdr:rowOff>87630</xdr:rowOff>
    </xdr:from>
    <xdr:to>
      <xdr:col>13</xdr:col>
      <xdr:colOff>198120</xdr:colOff>
      <xdr:row>19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9AB62-BE4C-DB53-BC6D-88C77D4B7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3</xdr:row>
      <xdr:rowOff>125730</xdr:rowOff>
    </xdr:from>
    <xdr:to>
      <xdr:col>12</xdr:col>
      <xdr:colOff>220980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8EC0C-FFBE-83D7-3EE0-E3EC99736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5</xdr:row>
      <xdr:rowOff>140970</xdr:rowOff>
    </xdr:from>
    <xdr:to>
      <xdr:col>12</xdr:col>
      <xdr:colOff>213360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3299A-BD27-5D04-B1D9-B325CB08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1111897</xdr:colOff>
      <xdr:row>13</xdr:row>
      <xdr:rowOff>8554</xdr:rowOff>
    </xdr:from>
    <xdr:to>
      <xdr:col>8</xdr:col>
      <xdr:colOff>474306</xdr:colOff>
      <xdr:row>27</xdr:row>
      <xdr:rowOff>139182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65487-5C7E-DCAF-F96D-95DE60B9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</xdr:colOff>
      <xdr:row>1</xdr:row>
      <xdr:rowOff>66675</xdr:rowOff>
    </xdr:from>
    <xdr:to>
      <xdr:col>14</xdr:col>
      <xdr:colOff>370387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E2C27-A39A-5D79-F5C4-4F1CE0862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8</xdr:row>
      <xdr:rowOff>72390</xdr:rowOff>
    </xdr:from>
    <xdr:to>
      <xdr:col>8</xdr:col>
      <xdr:colOff>236220</xdr:colOff>
      <xdr:row>23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E2FAA-8766-71F8-0ED8-7BF05B98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546676</xdr:colOff>
      <xdr:row>50</xdr:row>
      <xdr:rowOff>90194</xdr:rowOff>
    </xdr:from>
    <xdr:to>
      <xdr:col>15</xdr:col>
      <xdr:colOff>596918</xdr:colOff>
      <xdr:row>75</xdr:row>
      <xdr:rowOff>63399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A3BE0-27C4-38ED-491D-BB114D4B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295089</xdr:colOff>
      <xdr:row>0</xdr:row>
      <xdr:rowOff>0</xdr:rowOff>
    </xdr:from>
    <xdr:to>
      <xdr:col>15</xdr:col>
      <xdr:colOff>578971</xdr:colOff>
      <xdr:row>14</xdr:row>
      <xdr:rowOff>38847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2735C-EE39-5B9C-E718-228B156B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2058147</xdr:colOff>
      <xdr:row>14</xdr:row>
      <xdr:rowOff>70224</xdr:rowOff>
    </xdr:from>
    <xdr:to>
      <xdr:col>4</xdr:col>
      <xdr:colOff>541618</xdr:colOff>
      <xdr:row>28</xdr:row>
      <xdr:rowOff>94130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AF81D-0A70-4764-6DE8-DCC5CB194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1430592</xdr:colOff>
      <xdr:row>12</xdr:row>
      <xdr:rowOff>57410</xdr:rowOff>
    </xdr:from>
    <xdr:to>
      <xdr:col>13</xdr:col>
      <xdr:colOff>264323</xdr:colOff>
      <xdr:row>27</xdr:row>
      <xdr:rowOff>23226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33E3D-CA4C-2EF6-9E49-E4EBBDEAA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977515</xdr:colOff>
      <xdr:row>19</xdr:row>
      <xdr:rowOff>40795</xdr:rowOff>
    </xdr:from>
    <xdr:to>
      <xdr:col>5</xdr:col>
      <xdr:colOff>685030</xdr:colOff>
      <xdr:row>34</xdr:row>
      <xdr:rowOff>13086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05FE4-5FF8-B3E3-5A98-E28CE8CAE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6C13-A793-4BFF-ABA2-45CE763737B8}">
  <dimension ref="A1:E12"/>
  <sheetViews>
    <sheetView workbookViewId="0">
      <selection activeCell="J43" sqref="J43"/>
    </sheetView>
  </sheetViews>
  <sheetFormatPr defaultRowHeight="14.4" x14ac:dyDescent="0.3"/>
  <cols>
    <col min="1" max="1" width="40.33203125" customWidth="1"/>
    <col min="2" max="2" width="15.33203125" customWidth="1"/>
    <col min="3" max="3" width="11.6640625" customWidth="1"/>
  </cols>
  <sheetData>
    <row r="1" spans="1:5" x14ac:dyDescent="0.3">
      <c r="B1" t="s">
        <v>3</v>
      </c>
      <c r="C1" t="s">
        <v>1</v>
      </c>
      <c r="D1" t="s">
        <v>19</v>
      </c>
      <c r="E1">
        <v>473043</v>
      </c>
    </row>
    <row r="2" spans="1:5" x14ac:dyDescent="0.3">
      <c r="A2" t="s">
        <v>33</v>
      </c>
      <c r="B2" t="str">
        <f>TRIM(MID(A2, FIND("Packaging type: ", A2) + LEN("Packaging type: "), FIND(",", A2) - FIND("Packaging type: ", A2) - LEN("Packaging type: ")))</f>
        <v>jar</v>
      </c>
      <c r="C2">
        <f>VALUE(MID(A2, FIND("Count: ", A2) + LEN("Count: "), LEN(A2) - FIND("Count: ", A2) - LEN("Count: ") + 1))</f>
        <v>354980</v>
      </c>
      <c r="D2">
        <f>ROUND(VALUE(C2/$E$1) * 100,3)</f>
        <v>75.042000000000002</v>
      </c>
      <c r="E2">
        <f>LOG(C2)</f>
        <v>5.5502038850710935</v>
      </c>
    </row>
    <row r="3" spans="1:5" x14ac:dyDescent="0.3">
      <c r="A3" t="s">
        <v>34</v>
      </c>
      <c r="B3" t="str">
        <f t="shared" ref="B3:B11" si="0">TRIM(MID(A3, FIND("Packaging type: ", A3) + LEN("Packaging type: "), FIND(",", A3) - FIND("Packaging type: ", A3) - LEN("Packaging type: ")))</f>
        <v>pom</v>
      </c>
      <c r="C3">
        <f t="shared" ref="C3:C11" si="1">VALUE(MID(A3, FIND("Count: ", A3) + LEN("Count: "), LEN(A3) - FIND("Count: ", A3) - LEN("Count: ") + 1))</f>
        <v>56613</v>
      </c>
      <c r="D3">
        <f t="shared" ref="D3:D12" si="2">ROUND(VALUE(C3/$E$1) * 100,3)</f>
        <v>11.968</v>
      </c>
      <c r="E3">
        <f t="shared" ref="E3:E12" si="3">LOG(C3)</f>
        <v>4.7529161693506659</v>
      </c>
    </row>
    <row r="4" spans="1:5" x14ac:dyDescent="0.3">
      <c r="A4" t="s">
        <v>35</v>
      </c>
      <c r="B4" t="str">
        <f t="shared" si="0"/>
        <v>bundle</v>
      </c>
      <c r="C4">
        <f t="shared" si="1"/>
        <v>21662</v>
      </c>
      <c r="D4">
        <f t="shared" si="2"/>
        <v>4.5789999999999997</v>
      </c>
      <c r="E4">
        <f t="shared" si="3"/>
        <v>4.335698551498222</v>
      </c>
    </row>
    <row r="5" spans="1:5" x14ac:dyDescent="0.3">
      <c r="A5" t="s">
        <v>36</v>
      </c>
      <c r="B5" t="str">
        <f t="shared" si="0"/>
        <v>aar</v>
      </c>
      <c r="C5">
        <f t="shared" si="1"/>
        <v>11508</v>
      </c>
      <c r="D5">
        <f t="shared" si="2"/>
        <v>2.4329999999999998</v>
      </c>
      <c r="E5">
        <f t="shared" si="3"/>
        <v>4.0609998532182887</v>
      </c>
    </row>
    <row r="6" spans="1:5" x14ac:dyDescent="0.3">
      <c r="A6" t="s">
        <v>37</v>
      </c>
      <c r="B6" t="str">
        <f t="shared" si="0"/>
        <v>maven-plugin</v>
      </c>
      <c r="C6">
        <f t="shared" si="1"/>
        <v>6319</v>
      </c>
      <c r="D6">
        <f t="shared" si="2"/>
        <v>1.3360000000000001</v>
      </c>
      <c r="E6">
        <f t="shared" si="3"/>
        <v>3.8006483553639883</v>
      </c>
    </row>
    <row r="7" spans="1:5" x14ac:dyDescent="0.3">
      <c r="A7" t="s">
        <v>38</v>
      </c>
      <c r="B7" t="str">
        <f t="shared" si="0"/>
        <v>war</v>
      </c>
      <c r="C7">
        <f t="shared" si="1"/>
        <v>5560</v>
      </c>
      <c r="D7">
        <f t="shared" si="2"/>
        <v>1.175</v>
      </c>
      <c r="E7">
        <f t="shared" si="3"/>
        <v>3.7450747915820575</v>
      </c>
    </row>
    <row r="8" spans="1:5" x14ac:dyDescent="0.3">
      <c r="A8" t="s">
        <v>39</v>
      </c>
      <c r="B8" t="str">
        <f t="shared" si="0"/>
        <v>klib</v>
      </c>
      <c r="C8">
        <f t="shared" si="1"/>
        <v>2975</v>
      </c>
      <c r="D8">
        <f t="shared" si="2"/>
        <v>0.629</v>
      </c>
      <c r="E8">
        <f t="shared" si="3"/>
        <v>3.4734869700645685</v>
      </c>
    </row>
    <row r="9" spans="1:5" x14ac:dyDescent="0.3">
      <c r="A9" t="s">
        <v>40</v>
      </c>
      <c r="B9" t="str">
        <f t="shared" si="0"/>
        <v>maven-archetype</v>
      </c>
      <c r="C9">
        <f t="shared" si="1"/>
        <v>2303</v>
      </c>
      <c r="D9">
        <f t="shared" si="2"/>
        <v>0.48699999999999999</v>
      </c>
      <c r="E9">
        <f t="shared" si="3"/>
        <v>3.3622939379642309</v>
      </c>
    </row>
    <row r="10" spans="1:5" x14ac:dyDescent="0.3">
      <c r="A10" t="s">
        <v>41</v>
      </c>
      <c r="B10" t="str">
        <f t="shared" si="0"/>
        <v>eclipse-plugin</v>
      </c>
      <c r="C10">
        <f t="shared" si="1"/>
        <v>1074</v>
      </c>
      <c r="D10">
        <f t="shared" si="2"/>
        <v>0.22700000000000001</v>
      </c>
      <c r="E10">
        <f t="shared" si="3"/>
        <v>3.0310042813635367</v>
      </c>
    </row>
    <row r="11" spans="1:5" x14ac:dyDescent="0.3">
      <c r="A11" t="s">
        <v>42</v>
      </c>
      <c r="B11" t="str">
        <f t="shared" si="0"/>
        <v>feature</v>
      </c>
      <c r="C11">
        <f t="shared" si="1"/>
        <v>948</v>
      </c>
      <c r="D11">
        <f t="shared" si="2"/>
        <v>0.2</v>
      </c>
      <c r="E11">
        <f t="shared" si="3"/>
        <v>2.976808337338066</v>
      </c>
    </row>
    <row r="12" spans="1:5" x14ac:dyDescent="0.3">
      <c r="B12" t="s">
        <v>20</v>
      </c>
      <c r="C12">
        <f>E1-SUM(C2:C11)</f>
        <v>9101</v>
      </c>
      <c r="D12">
        <f t="shared" si="2"/>
        <v>1.9239999999999999</v>
      </c>
      <c r="E12">
        <f t="shared" si="3"/>
        <v>3.9590891143673921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054B-5CAE-41F9-A261-599F1C3A1A69}">
  <dimension ref="A1:L12"/>
  <sheetViews>
    <sheetView tabSelected="1" zoomScale="99" zoomScaleNormal="99" workbookViewId="0">
      <selection activeCell="I32" sqref="I32"/>
    </sheetView>
  </sheetViews>
  <sheetFormatPr defaultRowHeight="14.4" x14ac:dyDescent="0.3"/>
  <cols>
    <col min="1" max="1" width="35.44140625" customWidth="1"/>
    <col min="6" max="6" width="21.33203125" customWidth="1"/>
  </cols>
  <sheetData>
    <row r="1" spans="1:12" x14ac:dyDescent="0.3">
      <c r="B1" t="s">
        <v>26</v>
      </c>
      <c r="C1" t="s">
        <v>1</v>
      </c>
      <c r="D1" t="s">
        <v>19</v>
      </c>
      <c r="E1">
        <v>1521226</v>
      </c>
      <c r="F1" t="s">
        <v>27</v>
      </c>
      <c r="G1">
        <v>473043</v>
      </c>
      <c r="H1" t="s">
        <v>28</v>
      </c>
      <c r="K1">
        <f>E1/G1</f>
        <v>3.2158302733578132</v>
      </c>
      <c r="L1" t="s">
        <v>29</v>
      </c>
    </row>
    <row r="2" spans="1:12" x14ac:dyDescent="0.3">
      <c r="A2" t="s">
        <v>92</v>
      </c>
      <c r="B2" t="str">
        <f>TRIM(MID(A2, FIND("File type: ", A2) + LEN("File type: "), FIND("-", A2) - FIND("File type: ", A2) - LEN("File type: ")))</f>
        <v>class</v>
      </c>
      <c r="C2">
        <f>VALUE(MID(A2, FIND("Frequency: ", A2) + LEN("Frequency: "), LEN(A2) - FIND("Frequency: ", A2) - LEN("Frequency: ") + 1))</f>
        <v>336672</v>
      </c>
      <c r="D2">
        <f>ROUND(VALUE(C2/$E$1)*100, 3)</f>
        <v>22.132000000000001</v>
      </c>
      <c r="E2">
        <f>ROUND(VALUE(C2/$G$1)*100, 3)</f>
        <v>71.171999999999997</v>
      </c>
    </row>
    <row r="3" spans="1:12" x14ac:dyDescent="0.3">
      <c r="A3" t="s">
        <v>93</v>
      </c>
      <c r="B3" t="str">
        <f>TRIM(MID(A3, FIND("File type: ", A3) + LEN("File type: "), FIND("-", A3) - FIND("File type: ", A3) - LEN("File type: ")))</f>
        <v>xml</v>
      </c>
      <c r="C3">
        <f t="shared" ref="C3:C11" si="0">VALUE(MID(A3, FIND("Frequency: ", A3) + LEN("Frequency: "), LEN(A3) - FIND("Frequency: ", A3) - LEN("Frequency: ") + 1))</f>
        <v>289762</v>
      </c>
      <c r="D3">
        <f t="shared" ref="D3:D11" si="1">ROUND(VALUE(C3/$E$1)*100, 3)</f>
        <v>19.047999999999998</v>
      </c>
      <c r="E3">
        <f t="shared" ref="E3:E11" si="2">ROUND(VALUE(C3/$G$1)*100, 3)</f>
        <v>61.255000000000003</v>
      </c>
    </row>
    <row r="4" spans="1:12" x14ac:dyDescent="0.3">
      <c r="A4" t="s">
        <v>94</v>
      </c>
      <c r="B4" t="str">
        <f t="shared" ref="B4:B11" si="3">TRIM(MID(A4, FIND("File type: ", A4) + LEN("File type: "), FIND("-", A4) - FIND("File type: ", A4) - LEN("File type: ")))</f>
        <v>properties</v>
      </c>
      <c r="C4">
        <f t="shared" si="0"/>
        <v>278202</v>
      </c>
      <c r="D4">
        <f t="shared" si="1"/>
        <v>18.288</v>
      </c>
      <c r="E4">
        <f t="shared" si="2"/>
        <v>58.811</v>
      </c>
    </row>
    <row r="5" spans="1:12" x14ac:dyDescent="0.3">
      <c r="A5" t="s">
        <v>95</v>
      </c>
      <c r="B5" t="str">
        <f>TRIM(MID(A5, FIND("File type: ", A5) + LEN("File type: "), FIND("-", A5) - FIND("File type: ", A5) - LEN("File type: ")))</f>
        <v>file</v>
      </c>
      <c r="C5">
        <f t="shared" si="0"/>
        <v>67984</v>
      </c>
      <c r="D5">
        <f t="shared" si="1"/>
        <v>4.4690000000000003</v>
      </c>
      <c r="E5">
        <f t="shared" si="2"/>
        <v>14.372</v>
      </c>
    </row>
    <row r="6" spans="1:12" x14ac:dyDescent="0.3">
      <c r="A6" t="s">
        <v>96</v>
      </c>
      <c r="B6" t="str">
        <f t="shared" si="3"/>
        <v>txt</v>
      </c>
      <c r="C6">
        <f t="shared" si="0"/>
        <v>42712</v>
      </c>
      <c r="D6">
        <f t="shared" si="1"/>
        <v>2.8079999999999998</v>
      </c>
      <c r="E6">
        <f t="shared" si="2"/>
        <v>9.0289999999999999</v>
      </c>
    </row>
    <row r="7" spans="1:12" x14ac:dyDescent="0.3">
      <c r="A7" t="s">
        <v>97</v>
      </c>
      <c r="B7" t="str">
        <f t="shared" si="3"/>
        <v>json</v>
      </c>
      <c r="C7">
        <f t="shared" si="0"/>
        <v>38635</v>
      </c>
      <c r="D7">
        <f t="shared" si="1"/>
        <v>2.54</v>
      </c>
      <c r="E7">
        <f t="shared" si="2"/>
        <v>8.1669999999999998</v>
      </c>
    </row>
    <row r="8" spans="1:12" x14ac:dyDescent="0.3">
      <c r="A8" t="s">
        <v>98</v>
      </c>
      <c r="B8" t="str">
        <f t="shared" si="3"/>
        <v>jar</v>
      </c>
      <c r="C8">
        <f t="shared" si="0"/>
        <v>28948</v>
      </c>
      <c r="D8">
        <f t="shared" si="1"/>
        <v>1.903</v>
      </c>
      <c r="E8">
        <f t="shared" si="2"/>
        <v>6.12</v>
      </c>
    </row>
    <row r="9" spans="1:12" x14ac:dyDescent="0.3">
      <c r="A9" t="s">
        <v>99</v>
      </c>
      <c r="B9" t="str">
        <f t="shared" si="3"/>
        <v>html</v>
      </c>
      <c r="C9">
        <f t="shared" si="0"/>
        <v>24206</v>
      </c>
      <c r="D9">
        <f t="shared" si="1"/>
        <v>1.591</v>
      </c>
      <c r="E9">
        <f t="shared" si="2"/>
        <v>5.117</v>
      </c>
    </row>
    <row r="10" spans="1:12" x14ac:dyDescent="0.3">
      <c r="A10" t="s">
        <v>100</v>
      </c>
      <c r="B10" t="str">
        <f t="shared" si="3"/>
        <v>css</v>
      </c>
      <c r="C10">
        <f t="shared" si="0"/>
        <v>17868</v>
      </c>
      <c r="D10">
        <f t="shared" si="1"/>
        <v>1.175</v>
      </c>
      <c r="E10">
        <f t="shared" si="2"/>
        <v>3.7770000000000001</v>
      </c>
    </row>
    <row r="11" spans="1:12" x14ac:dyDescent="0.3">
      <c r="A11" t="s">
        <v>101</v>
      </c>
      <c r="B11" t="str">
        <f t="shared" si="3"/>
        <v>png</v>
      </c>
      <c r="C11">
        <f t="shared" si="0"/>
        <v>17217</v>
      </c>
      <c r="D11">
        <f t="shared" si="1"/>
        <v>1.1319999999999999</v>
      </c>
      <c r="E11">
        <f t="shared" si="2"/>
        <v>3.64</v>
      </c>
    </row>
    <row r="12" spans="1:12" x14ac:dyDescent="0.3">
      <c r="B12" t="s">
        <v>20</v>
      </c>
      <c r="C12">
        <f>E1-SUM(C2:C11)</f>
        <v>379020</v>
      </c>
      <c r="D12">
        <f>ROUND(VALUE(C12/$E$1)*100, 3)</f>
        <v>24.914999999999999</v>
      </c>
      <c r="E12">
        <f>ROUND(VALUE(C12/$G$1)*100, 3)</f>
        <v>80.123999999999995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3704-368A-46E4-BEE5-1F91E9634717}">
  <dimension ref="A1:D12"/>
  <sheetViews>
    <sheetView zoomScaleNormal="100" workbookViewId="0">
      <selection activeCell="D2" activeCellId="1" sqref="B2:B12 D2:D12"/>
    </sheetView>
  </sheetViews>
  <sheetFormatPr defaultRowHeight="14.4" x14ac:dyDescent="0.3"/>
  <cols>
    <col min="1" max="1" width="31.5546875" customWidth="1"/>
    <col min="2" max="2" width="13.88671875" customWidth="1"/>
    <col min="3" max="3" width="9.88671875" customWidth="1"/>
  </cols>
  <sheetData>
    <row r="1" spans="1:4" x14ac:dyDescent="0.3">
      <c r="B1" t="s">
        <v>3</v>
      </c>
      <c r="C1" t="s">
        <v>1</v>
      </c>
      <c r="D1">
        <v>473043</v>
      </c>
    </row>
    <row r="2" spans="1:4" x14ac:dyDescent="0.3">
      <c r="A2" t="s">
        <v>43</v>
      </c>
      <c r="B2" t="str">
        <f>TRIM(MID(A2, FIND("Packaging type: ", A2) + LEN("Packaging type: "), FIND(",", A2) - FIND("Packaging type: ", A2) - LEN("Packaging type: ")))</f>
        <v>jar</v>
      </c>
      <c r="C2">
        <f>VALUE(MID(A2, FIND("Count: ", A2) + LEN("Count: "), LEN(A2) - FIND("Count: ", A2) - LEN("Count: ") + 1))</f>
        <v>382451</v>
      </c>
      <c r="D2">
        <f>ROUND((C2/$D$1) * 100, 3)</f>
        <v>80.849000000000004</v>
      </c>
    </row>
    <row r="3" spans="1:4" x14ac:dyDescent="0.3">
      <c r="A3" t="s">
        <v>44</v>
      </c>
      <c r="B3" t="str">
        <f t="shared" ref="B3:B11" si="0">TRIM(MID(A3, FIND("Packaging type: ", A3) + LEN("Packaging type: "), FIND(",", A3) - FIND("Packaging type: ", A3) - LEN("Packaging type: ")))</f>
        <v>pom</v>
      </c>
      <c r="C3">
        <f t="shared" ref="C3:C11" si="1">VALUE(MID(A3, FIND("Count: ", A3) + LEN("Count: "), LEN(A3) - FIND("Count: ", A3) - LEN("Count: ") + 1))</f>
        <v>53405</v>
      </c>
      <c r="D3">
        <f t="shared" ref="D3:D12" si="2">ROUND((C3/$D$1) * 100, 3)</f>
        <v>11.29</v>
      </c>
    </row>
    <row r="4" spans="1:4" x14ac:dyDescent="0.3">
      <c r="A4" t="s">
        <v>45</v>
      </c>
      <c r="B4" t="str">
        <f t="shared" si="0"/>
        <v>aar</v>
      </c>
      <c r="C4">
        <f t="shared" si="1"/>
        <v>10728</v>
      </c>
      <c r="D4">
        <f t="shared" si="2"/>
        <v>2.2679999999999998</v>
      </c>
    </row>
    <row r="5" spans="1:4" x14ac:dyDescent="0.3">
      <c r="A5" t="s">
        <v>46</v>
      </c>
      <c r="B5" t="str">
        <f t="shared" si="0"/>
        <v>module</v>
      </c>
      <c r="C5">
        <f t="shared" si="1"/>
        <v>8210</v>
      </c>
      <c r="D5">
        <f t="shared" si="2"/>
        <v>1.736</v>
      </c>
    </row>
    <row r="6" spans="1:4" x14ac:dyDescent="0.3">
      <c r="A6" t="s">
        <v>47</v>
      </c>
      <c r="B6" t="str">
        <f t="shared" si="0"/>
        <v>zip</v>
      </c>
      <c r="C6">
        <f t="shared" si="1"/>
        <v>6174</v>
      </c>
      <c r="D6">
        <f t="shared" si="2"/>
        <v>1.3049999999999999</v>
      </c>
    </row>
    <row r="7" spans="1:4" x14ac:dyDescent="0.3">
      <c r="A7" t="s">
        <v>48</v>
      </c>
      <c r="B7" t="str">
        <f t="shared" si="0"/>
        <v>war</v>
      </c>
      <c r="C7">
        <f t="shared" si="1"/>
        <v>5782</v>
      </c>
      <c r="D7">
        <f t="shared" si="2"/>
        <v>1.222</v>
      </c>
    </row>
    <row r="8" spans="1:4" x14ac:dyDescent="0.3">
      <c r="A8" t="s">
        <v>49</v>
      </c>
      <c r="B8" t="str">
        <f t="shared" si="0"/>
        <v>nbm</v>
      </c>
      <c r="C8">
        <f t="shared" si="1"/>
        <v>1559</v>
      </c>
      <c r="D8">
        <f t="shared" si="2"/>
        <v>0.33</v>
      </c>
    </row>
    <row r="9" spans="1:4" x14ac:dyDescent="0.3">
      <c r="A9" t="s">
        <v>50</v>
      </c>
      <c r="B9" t="str">
        <f t="shared" si="0"/>
        <v>esa</v>
      </c>
      <c r="C9">
        <f t="shared" si="1"/>
        <v>760</v>
      </c>
      <c r="D9">
        <f t="shared" si="2"/>
        <v>0.161</v>
      </c>
    </row>
    <row r="10" spans="1:4" x14ac:dyDescent="0.3">
      <c r="A10" t="s">
        <v>51</v>
      </c>
      <c r="B10" t="str">
        <f t="shared" si="0"/>
        <v>xml</v>
      </c>
      <c r="C10">
        <f t="shared" si="1"/>
        <v>396</v>
      </c>
      <c r="D10">
        <f t="shared" si="2"/>
        <v>8.4000000000000005E-2</v>
      </c>
    </row>
    <row r="11" spans="1:4" x14ac:dyDescent="0.3">
      <c r="A11" t="s">
        <v>52</v>
      </c>
      <c r="B11" t="str">
        <f t="shared" si="0"/>
        <v>nar</v>
      </c>
      <c r="C11">
        <f t="shared" si="1"/>
        <v>322</v>
      </c>
      <c r="D11">
        <f t="shared" si="2"/>
        <v>6.8000000000000005E-2</v>
      </c>
    </row>
    <row r="12" spans="1:4" x14ac:dyDescent="0.3">
      <c r="B12" t="s">
        <v>20</v>
      </c>
      <c r="C12">
        <f>D1-SUM(C2:C11)</f>
        <v>3256</v>
      </c>
      <c r="D12">
        <f t="shared" si="2"/>
        <v>0.68799999999999994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D2" activeCellId="1" sqref="B2:B12 D2:D12"/>
    </sheetView>
  </sheetViews>
  <sheetFormatPr defaultRowHeight="14.4" x14ac:dyDescent="0.3"/>
  <cols>
    <col min="1" max="1" width="35.6640625" customWidth="1"/>
    <col min="2" max="2" width="20.6640625" customWidth="1"/>
  </cols>
  <sheetData>
    <row r="1" spans="1:5" x14ac:dyDescent="0.3">
      <c r="B1" t="s">
        <v>3</v>
      </c>
      <c r="C1" t="s">
        <v>1</v>
      </c>
      <c r="D1" t="s">
        <v>19</v>
      </c>
      <c r="E1">
        <v>489554</v>
      </c>
    </row>
    <row r="2" spans="1:5" x14ac:dyDescent="0.3">
      <c r="A2" t="s">
        <v>53</v>
      </c>
      <c r="B2" t="str">
        <f>TRIM(MID(A2, FIND("Packaging type: ", A2) + LEN("Packaging type: "), FIND(" - ", A2) - FIND("Packaging type: ", A2) - LEN("Packaging type: ")))</f>
        <v>jar</v>
      </c>
      <c r="C2">
        <f>VALUE(MID(A2, FIND("Frequency: ", A2) + LEN("Frequency: "), LEN(A2) - FIND("Frequency: ", A2) - LEN("Frequency: ") + 1))</f>
        <v>391493</v>
      </c>
      <c r="D2">
        <f>ROUND(VALUE(C2/$E$1) * 100,3)</f>
        <v>79.968999999999994</v>
      </c>
    </row>
    <row r="3" spans="1:5" x14ac:dyDescent="0.3">
      <c r="A3" t="s">
        <v>54</v>
      </c>
      <c r="B3" t="str">
        <f t="shared" ref="B3:B11" si="0">TRIM(MID(A3, FIND("Packaging type: ", A3) + LEN("Packaging type: "), FIND(" - ", A3) - FIND("Packaging type: ", A3) - LEN("Packaging type: ")))</f>
        <v>pom</v>
      </c>
      <c r="C3">
        <f>VALUE(MID(A3, FIND("Frequency: ", A3) + LEN("Frequency: "), LEN(A3) - FIND("Frequency: ", A3) - LEN("Frequency: ") + 1))</f>
        <v>53155</v>
      </c>
      <c r="D3">
        <f t="shared" ref="D3:D12" si="1">ROUND(VALUE(C3/$E$1) * 100,3)</f>
        <v>10.858000000000001</v>
      </c>
    </row>
    <row r="4" spans="1:5" x14ac:dyDescent="0.3">
      <c r="A4" t="s">
        <v>55</v>
      </c>
      <c r="B4" t="str">
        <f t="shared" si="0"/>
        <v>aar</v>
      </c>
      <c r="C4">
        <f t="shared" ref="C4:C11" si="2">VALUE(MID(A4, FIND("Frequency: ", A4) + LEN("Frequency: "), LEN(A4) - FIND("Frequency: ", A4) - LEN("Frequency: ") + 1))</f>
        <v>11990</v>
      </c>
      <c r="D4">
        <f t="shared" si="1"/>
        <v>2.4489999999999998</v>
      </c>
    </row>
    <row r="5" spans="1:5" x14ac:dyDescent="0.3">
      <c r="A5" t="s">
        <v>56</v>
      </c>
      <c r="B5" t="str">
        <f t="shared" si="0"/>
        <v>module</v>
      </c>
      <c r="C5">
        <f t="shared" si="2"/>
        <v>8227</v>
      </c>
      <c r="D5">
        <f t="shared" si="1"/>
        <v>1.681</v>
      </c>
    </row>
    <row r="6" spans="1:5" x14ac:dyDescent="0.3">
      <c r="A6" t="s">
        <v>57</v>
      </c>
      <c r="B6" t="str">
        <f t="shared" si="0"/>
        <v>zip</v>
      </c>
      <c r="C6">
        <f t="shared" si="2"/>
        <v>6174</v>
      </c>
      <c r="D6">
        <f t="shared" si="1"/>
        <v>1.2609999999999999</v>
      </c>
    </row>
    <row r="7" spans="1:5" x14ac:dyDescent="0.3">
      <c r="A7" t="s">
        <v>58</v>
      </c>
      <c r="B7" t="str">
        <f t="shared" si="0"/>
        <v>war</v>
      </c>
      <c r="C7">
        <f t="shared" si="2"/>
        <v>5805</v>
      </c>
      <c r="D7">
        <f t="shared" si="1"/>
        <v>1.1859999999999999</v>
      </c>
    </row>
    <row r="8" spans="1:5" x14ac:dyDescent="0.3">
      <c r="A8" t="s">
        <v>59</v>
      </c>
      <c r="B8" t="str">
        <f t="shared" si="0"/>
        <v>klib</v>
      </c>
      <c r="C8">
        <f t="shared" si="2"/>
        <v>3505</v>
      </c>
      <c r="D8">
        <f t="shared" si="1"/>
        <v>0.71599999999999997</v>
      </c>
    </row>
    <row r="9" spans="1:5" x14ac:dyDescent="0.3">
      <c r="A9" t="s">
        <v>60</v>
      </c>
      <c r="B9" t="str">
        <f t="shared" si="0"/>
        <v>nbm</v>
      </c>
      <c r="C9">
        <f t="shared" si="2"/>
        <v>1559</v>
      </c>
      <c r="D9">
        <f t="shared" si="1"/>
        <v>0.318</v>
      </c>
    </row>
    <row r="10" spans="1:5" x14ac:dyDescent="0.3">
      <c r="A10" t="s">
        <v>61</v>
      </c>
      <c r="B10" t="str">
        <f t="shared" si="0"/>
        <v>esa</v>
      </c>
      <c r="C10">
        <f t="shared" si="2"/>
        <v>760</v>
      </c>
      <c r="D10">
        <f t="shared" si="1"/>
        <v>0.155</v>
      </c>
    </row>
    <row r="11" spans="1:5" x14ac:dyDescent="0.3">
      <c r="A11" t="s">
        <v>62</v>
      </c>
      <c r="B11" t="str">
        <f t="shared" si="0"/>
        <v>hpi</v>
      </c>
      <c r="C11">
        <f t="shared" si="2"/>
        <v>542</v>
      </c>
      <c r="D11">
        <f t="shared" si="1"/>
        <v>0.111</v>
      </c>
    </row>
    <row r="12" spans="1:5" x14ac:dyDescent="0.3">
      <c r="B12" t="s">
        <v>20</v>
      </c>
      <c r="C12">
        <f>E1-SUM(C2:C11)</f>
        <v>6344</v>
      </c>
      <c r="D12">
        <f t="shared" si="1"/>
        <v>1.296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2" sqref="D2:D6"/>
    </sheetView>
  </sheetViews>
  <sheetFormatPr defaultRowHeight="14.4" x14ac:dyDescent="0.3"/>
  <cols>
    <col min="1" max="1" width="44.6640625" customWidth="1"/>
    <col min="2" max="2" width="16.88671875" customWidth="1"/>
  </cols>
  <sheetData>
    <row r="1" spans="1:5" x14ac:dyDescent="0.3">
      <c r="B1" t="s">
        <v>2</v>
      </c>
      <c r="C1" t="s">
        <v>1</v>
      </c>
      <c r="D1">
        <v>473043</v>
      </c>
      <c r="E1" t="s">
        <v>68</v>
      </c>
    </row>
    <row r="2" spans="1:5" x14ac:dyDescent="0.3">
      <c r="A2" t="s">
        <v>64</v>
      </c>
      <c r="B2">
        <v>1</v>
      </c>
      <c r="C2">
        <f>VALUE(RIGHT(A2, LEN(A2)-FIND(":", A2)))</f>
        <v>457239</v>
      </c>
      <c r="D2">
        <f>ROUND(VALUE(C2/$D$1) * 100,5)</f>
        <v>96.659080000000003</v>
      </c>
      <c r="E2">
        <f>ROUND(LOG(C2), 3)</f>
        <v>5.66</v>
      </c>
    </row>
    <row r="3" spans="1:5" x14ac:dyDescent="0.3">
      <c r="A3" t="s">
        <v>63</v>
      </c>
      <c r="B3">
        <v>2</v>
      </c>
      <c r="C3">
        <f>VALUE(RIGHT(A3, LEN(A3)-FIND(":", A3)))</f>
        <v>14106</v>
      </c>
      <c r="D3">
        <f t="shared" ref="D3:D5" si="0">ROUND(VALUE(C3/$D$1) * 100,5)</f>
        <v>2.98197</v>
      </c>
      <c r="E3">
        <f>ROUND(LOG(C3), 3)</f>
        <v>4.149</v>
      </c>
    </row>
    <row r="4" spans="1:5" x14ac:dyDescent="0.3">
      <c r="A4" t="s">
        <v>65</v>
      </c>
      <c r="B4">
        <v>3</v>
      </c>
      <c r="C4">
        <f>VALUE(RIGHT(A4, LEN(A4)-FIND(":", A4)))</f>
        <v>1319</v>
      </c>
      <c r="D4">
        <f t="shared" si="0"/>
        <v>0.27883000000000002</v>
      </c>
      <c r="E4">
        <f>ROUND(LOG(C4), 3)</f>
        <v>3.12</v>
      </c>
    </row>
    <row r="5" spans="1:5" x14ac:dyDescent="0.3">
      <c r="A5" t="s">
        <v>66</v>
      </c>
      <c r="B5">
        <v>4</v>
      </c>
      <c r="C5">
        <f>VALUE(RIGHT(A5, LEN(A5)-FIND(":", A5)))</f>
        <v>34</v>
      </c>
      <c r="D5">
        <f t="shared" si="0"/>
        <v>7.1900000000000002E-3</v>
      </c>
      <c r="E5">
        <f>ROUND(LOG(C5), 3)</f>
        <v>1.5309999999999999</v>
      </c>
    </row>
    <row r="6" spans="1:5" x14ac:dyDescent="0.3">
      <c r="A6" t="s">
        <v>67</v>
      </c>
      <c r="B6">
        <v>5</v>
      </c>
      <c r="C6">
        <f>VALUE(RIGHT(A6, LEN(A6)-FIND(":", A6)))</f>
        <v>2</v>
      </c>
      <c r="D6">
        <f>ROUND(VALUE(C6/$D$1) * 100,5)</f>
        <v>4.2000000000000002E-4</v>
      </c>
      <c r="E6">
        <f>ROUND(LOG(C6), 3)</f>
        <v>0.30099999999999999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B1EB-C5EC-45C1-B892-7B328B273D47}">
  <dimension ref="A1:I12"/>
  <sheetViews>
    <sheetView zoomScale="98" zoomScaleNormal="98" workbookViewId="0">
      <selection activeCell="I1" sqref="I1"/>
    </sheetView>
  </sheetViews>
  <sheetFormatPr defaultRowHeight="14.4" x14ac:dyDescent="0.3"/>
  <cols>
    <col min="1" max="1" width="77.88671875" customWidth="1"/>
    <col min="2" max="2" width="30.77734375" customWidth="1"/>
    <col min="3" max="3" width="15.44140625" customWidth="1"/>
  </cols>
  <sheetData>
    <row r="1" spans="1:9" x14ac:dyDescent="0.3">
      <c r="B1" t="s">
        <v>152</v>
      </c>
      <c r="C1" t="s">
        <v>30</v>
      </c>
      <c r="D1" t="s">
        <v>31</v>
      </c>
      <c r="E1">
        <f>53594 - 10111</f>
        <v>43483</v>
      </c>
      <c r="F1" t="s">
        <v>32</v>
      </c>
      <c r="H1" s="5">
        <v>473043</v>
      </c>
      <c r="I1">
        <f>E1/H1</f>
        <v>9.1921876023955545E-2</v>
      </c>
    </row>
    <row r="2" spans="1:9" x14ac:dyDescent="0.3">
      <c r="A2" t="s">
        <v>69</v>
      </c>
      <c r="B2" t="str">
        <f>TRIM(MID(A2, FIND("Packaging type from INDEX: ", A2) + LEN("Packaging type from INDEX: "), FIND(",", A2, FIND("Packaging type from INDEX: ", A2)) - FIND("Packaging type from INDEX: ", A2) - LEN("Packaging type from INDEX: "))) &amp; " - " &amp; TRIM(MID(A2, FIND("Packaging type from POM: ", A2) + LEN("Packaging type from POM: "), FIND(",", A2) - FIND("Packaging type from POM: ", A2) - LEN("Packaging type from POM: ")))</f>
        <v>jar - bundle</v>
      </c>
      <c r="C2" t="str">
        <f>TRIM(MID(A2, FIND("Packaging type from INDEX: ", A2) + LEN("Packaging type from INDEX: "), FIND(",", A2, FIND("Packaging type from INDEX: ", A2)) - FIND("Packaging type from INDEX: ", A2) - LEN("Packaging type from INDEX: ")))</f>
        <v>jar</v>
      </c>
      <c r="D2">
        <f>VALUE(TRIM(MID(A2, FIND("Frequency: ", A2) + LEN("Frequency: "), LEN(A2) - FIND("Frequency: ", A2) + 1)))</f>
        <v>21166</v>
      </c>
      <c r="E2">
        <f>ROUND(VALUE(D2/$E$1) * 100, 3)</f>
        <v>48.676000000000002</v>
      </c>
      <c r="F2">
        <f>LOG(D2)</f>
        <v>4.3256387917905395</v>
      </c>
    </row>
    <row r="3" spans="1:9" x14ac:dyDescent="0.3">
      <c r="A3" t="s">
        <v>70</v>
      </c>
      <c r="B3" t="str">
        <f t="shared" ref="B3:B11" si="0">TRIM(MID(A3, FIND("Packaging type from INDEX: ", A3) + LEN("Packaging type from INDEX: "), FIND(",", A3, FIND("Packaging type from INDEX: ", A3)) - FIND("Packaging type from INDEX: ", A3) - LEN("Packaging type from INDEX: "))) &amp; " - " &amp; TRIM(MID(A3, FIND("Packaging type from POM: ", A3) + LEN("Packaging type from POM: "), FIND(",", A3) - FIND("Packaging type from POM: ", A3) - LEN("Packaging type from POM: ")))</f>
        <v>module - jar</v>
      </c>
      <c r="C3" t="str">
        <f t="shared" ref="C3:C11" si="1">TRIM(MID(A3, FIND("Packaging type from INDEX: ", A3) + LEN("Packaging type from INDEX: "), FIND(",", A3, FIND("Packaging type from INDEX: ", A3)) - FIND("Packaging type from INDEX: ", A3) - LEN("Packaging type from INDEX: ")))</f>
        <v>module</v>
      </c>
      <c r="D3">
        <f t="shared" ref="D3:D11" si="2">VALUE(TRIM(MID(A3, FIND("Frequency: ", A3) + LEN("Frequency: "), LEN(A3) - FIND("Frequency: ", A3) + 1)))</f>
        <v>3659</v>
      </c>
      <c r="E3">
        <f t="shared" ref="E3:E12" si="3">ROUND(VALUE(D3/$E$1) * 100, 3)</f>
        <v>8.4149999999999991</v>
      </c>
      <c r="F3">
        <f t="shared" ref="F3:F12" si="4">LOG(D3)</f>
        <v>3.5633624094866074</v>
      </c>
    </row>
    <row r="4" spans="1:9" x14ac:dyDescent="0.3">
      <c r="A4" t="s">
        <v>71</v>
      </c>
      <c r="B4" t="str">
        <f t="shared" si="0"/>
        <v>module - klib</v>
      </c>
      <c r="C4" t="str">
        <f t="shared" si="1"/>
        <v>module</v>
      </c>
      <c r="D4">
        <f t="shared" si="2"/>
        <v>2970</v>
      </c>
      <c r="E4">
        <f t="shared" si="3"/>
        <v>6.83</v>
      </c>
      <c r="F4">
        <f t="shared" si="4"/>
        <v>3.4727564493172123</v>
      </c>
    </row>
    <row r="5" spans="1:9" x14ac:dyDescent="0.3">
      <c r="A5" t="s">
        <v>72</v>
      </c>
      <c r="B5" t="str">
        <f t="shared" si="0"/>
        <v>zip - pom</v>
      </c>
      <c r="C5" t="str">
        <f t="shared" si="1"/>
        <v>zip</v>
      </c>
      <c r="D5">
        <f t="shared" si="2"/>
        <v>2502</v>
      </c>
      <c r="E5">
        <f t="shared" si="3"/>
        <v>5.7539999999999996</v>
      </c>
      <c r="F5">
        <f t="shared" si="4"/>
        <v>3.398287305357401</v>
      </c>
    </row>
    <row r="6" spans="1:9" x14ac:dyDescent="0.3">
      <c r="A6" t="s">
        <v>73</v>
      </c>
      <c r="B6" t="str">
        <f t="shared" si="0"/>
        <v>zip - jar</v>
      </c>
      <c r="C6" t="str">
        <f t="shared" si="1"/>
        <v>zip</v>
      </c>
      <c r="D6">
        <f t="shared" si="2"/>
        <v>1769</v>
      </c>
      <c r="E6">
        <f t="shared" si="3"/>
        <v>4.0679999999999996</v>
      </c>
      <c r="F6">
        <f t="shared" si="4"/>
        <v>3.2477278329097232</v>
      </c>
    </row>
    <row r="7" spans="1:9" x14ac:dyDescent="0.3">
      <c r="A7" t="s">
        <v>74</v>
      </c>
      <c r="B7" t="str">
        <f t="shared" si="0"/>
        <v>pom - feature</v>
      </c>
      <c r="C7" t="str">
        <f t="shared" si="1"/>
        <v>pom</v>
      </c>
      <c r="D7">
        <f t="shared" si="2"/>
        <v>931</v>
      </c>
      <c r="E7">
        <f t="shared" si="3"/>
        <v>2.141</v>
      </c>
      <c r="F7">
        <f t="shared" si="4"/>
        <v>2.9689496809813427</v>
      </c>
    </row>
    <row r="8" spans="1:9" x14ac:dyDescent="0.3">
      <c r="A8" t="s">
        <v>75</v>
      </c>
      <c r="B8" t="str">
        <f t="shared" si="0"/>
        <v>nbm - jar</v>
      </c>
      <c r="C8" t="str">
        <f t="shared" si="1"/>
        <v>nbm</v>
      </c>
      <c r="D8">
        <f t="shared" si="2"/>
        <v>914</v>
      </c>
      <c r="E8">
        <f t="shared" si="3"/>
        <v>2.1019999999999999</v>
      </c>
      <c r="F8">
        <f t="shared" si="4"/>
        <v>2.9609461957338312</v>
      </c>
    </row>
    <row r="9" spans="1:9" x14ac:dyDescent="0.3">
      <c r="A9" t="s">
        <v>76</v>
      </c>
      <c r="B9" t="str">
        <f t="shared" si="0"/>
        <v>jar - pom</v>
      </c>
      <c r="C9" t="str">
        <f t="shared" si="1"/>
        <v>jar</v>
      </c>
      <c r="D9">
        <f t="shared" si="2"/>
        <v>893</v>
      </c>
      <c r="E9">
        <f t="shared" si="3"/>
        <v>2.0539999999999998</v>
      </c>
      <c r="F9">
        <f t="shared" si="4"/>
        <v>2.9508514588885464</v>
      </c>
    </row>
    <row r="10" spans="1:9" x14ac:dyDescent="0.3">
      <c r="A10" t="s">
        <v>77</v>
      </c>
      <c r="B10" t="str">
        <f t="shared" si="0"/>
        <v>module - pom</v>
      </c>
      <c r="C10" t="str">
        <f t="shared" si="1"/>
        <v>module</v>
      </c>
      <c r="D10">
        <f t="shared" si="2"/>
        <v>868</v>
      </c>
      <c r="E10">
        <f t="shared" si="3"/>
        <v>1.996</v>
      </c>
      <c r="F10">
        <f t="shared" si="4"/>
        <v>2.9385197251764921</v>
      </c>
    </row>
    <row r="11" spans="1:9" x14ac:dyDescent="0.3">
      <c r="A11" t="s">
        <v>78</v>
      </c>
      <c r="B11" t="str">
        <f t="shared" si="0"/>
        <v>module - aar</v>
      </c>
      <c r="C11" t="str">
        <f t="shared" si="1"/>
        <v>module</v>
      </c>
      <c r="D11">
        <f t="shared" si="2"/>
        <v>683</v>
      </c>
      <c r="E11">
        <f t="shared" si="3"/>
        <v>1.571</v>
      </c>
      <c r="F11">
        <f t="shared" si="4"/>
        <v>2.8344207036815328</v>
      </c>
    </row>
    <row r="12" spans="1:9" x14ac:dyDescent="0.3">
      <c r="B12" t="s">
        <v>151</v>
      </c>
      <c r="C12" t="s">
        <v>20</v>
      </c>
      <c r="D12">
        <f>E1-SUM(D2:D11)</f>
        <v>7128</v>
      </c>
      <c r="E12">
        <f t="shared" si="3"/>
        <v>16.393000000000001</v>
      </c>
      <c r="F12">
        <f t="shared" si="4"/>
        <v>3.8529676910288182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9A86-F74A-431F-BFAB-545850BBEE3E}">
  <dimension ref="A1:I5"/>
  <sheetViews>
    <sheetView zoomScale="112" zoomScaleNormal="112" workbookViewId="0">
      <selection activeCell="D2" sqref="D2:D5"/>
    </sheetView>
  </sheetViews>
  <sheetFormatPr defaultRowHeight="14.4" x14ac:dyDescent="0.3"/>
  <cols>
    <col min="1" max="1" width="32.88671875" customWidth="1"/>
  </cols>
  <sheetData>
    <row r="1" spans="1:9" x14ac:dyDescent="0.3">
      <c r="B1" t="s">
        <v>4</v>
      </c>
      <c r="C1" t="s">
        <v>1</v>
      </c>
      <c r="D1" t="s">
        <v>19</v>
      </c>
      <c r="E1">
        <v>958501</v>
      </c>
      <c r="G1">
        <v>473043</v>
      </c>
      <c r="I1">
        <f>E1/G1</f>
        <v>2.0262449713873791</v>
      </c>
    </row>
    <row r="2" spans="1:9" x14ac:dyDescent="0.3">
      <c r="A2" t="s">
        <v>79</v>
      </c>
      <c r="B2" t="str">
        <f>TRIM(MID(A2, FIND("Checksum: ", A2) + LEN("Checksum: "), FIND("-", A2) - FIND("Checksum: ", A2) - LEN("Checksum: ")))</f>
        <v>.md5</v>
      </c>
      <c r="C2">
        <f>VALUE(MID(A2, FIND("Frequency: ", A2) + LEN("Frequency: "), LEN(A2) - FIND("Frequency: ", A2) - LEN("Frequency: ") + 1))</f>
        <v>472575</v>
      </c>
      <c r="D2">
        <f>ROUND(VALUE(C2/$E$1)*100, 3)</f>
        <v>49.304000000000002</v>
      </c>
      <c r="F2">
        <f>ROUND(VALUE(C2/$G$1)*100, 3)</f>
        <v>99.900999999999996</v>
      </c>
    </row>
    <row r="3" spans="1:9" x14ac:dyDescent="0.3">
      <c r="A3" t="s">
        <v>80</v>
      </c>
      <c r="B3" t="str">
        <f>TRIM(MID(A3, FIND("Checksum: ", A3) + LEN("Checksum: "), FIND("-", A3) - FIND("Checksum: ", A3) - LEN("Checksum: ")))</f>
        <v>.sha1</v>
      </c>
      <c r="C3">
        <f>VALUE(MID(A3, FIND("Frequency: ", A3) + LEN("Frequency: "), LEN(A3) - FIND("Frequency: ", A3) - LEN("Frequency: ") + 1))</f>
        <v>472544</v>
      </c>
      <c r="D3">
        <f t="shared" ref="D3:D5" si="0">ROUND(VALUE(C3/$E$1)*100, 3)</f>
        <v>49.3</v>
      </c>
      <c r="F3">
        <f t="shared" ref="F3:F5" si="1">ROUND(VALUE(C3/$G$1)*100, 3)</f>
        <v>99.894999999999996</v>
      </c>
    </row>
    <row r="4" spans="1:9" x14ac:dyDescent="0.3">
      <c r="A4" t="s">
        <v>81</v>
      </c>
      <c r="B4" t="str">
        <f>TRIM(MID(A4, FIND("Checksum: ", A4) + LEN("Checksum: "), FIND("-", A4) - FIND("Checksum: ", A4) - LEN("Checksum: ")))</f>
        <v>.sha512</v>
      </c>
      <c r="C4">
        <f>VALUE(MID(A4, FIND("Frequency: ", A4) + LEN("Frequency: "), LEN(A4) - FIND("Frequency: ", A4) - LEN("Frequency: ") + 1))</f>
        <v>6735</v>
      </c>
      <c r="D4">
        <f t="shared" si="0"/>
        <v>0.70299999999999996</v>
      </c>
      <c r="F4">
        <f t="shared" si="1"/>
        <v>1.4239999999999999</v>
      </c>
    </row>
    <row r="5" spans="1:9" x14ac:dyDescent="0.3">
      <c r="A5" t="s">
        <v>82</v>
      </c>
      <c r="B5" t="str">
        <f>TRIM(MID(A5, FIND("Checksum: ", A5) + LEN("Checksum: "), FIND("-", A5) - FIND("Checksum: ", A5) - LEN("Checksum: ")))</f>
        <v>.sha256</v>
      </c>
      <c r="C5">
        <f>VALUE(MID(A5, FIND("Frequency: ", A5) + LEN("Frequency: "), LEN(A5) - FIND("Frequency: ", A5) - LEN("Frequency: ") + 1))</f>
        <v>6647</v>
      </c>
      <c r="D5">
        <f t="shared" si="0"/>
        <v>0.69299999999999995</v>
      </c>
      <c r="F5">
        <f t="shared" si="1"/>
        <v>1.405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BFF6-CE8D-4E6E-BF41-CC62CE44EDD3}">
  <dimension ref="A1:D7"/>
  <sheetViews>
    <sheetView workbookViewId="0">
      <selection activeCell="D2" sqref="D2:D6"/>
    </sheetView>
  </sheetViews>
  <sheetFormatPr defaultRowHeight="14.4" x14ac:dyDescent="0.3"/>
  <sheetData>
    <row r="1" spans="1:4" x14ac:dyDescent="0.3">
      <c r="C1">
        <v>473043</v>
      </c>
    </row>
    <row r="2" spans="1:4" x14ac:dyDescent="0.3">
      <c r="A2">
        <v>0</v>
      </c>
      <c r="B2">
        <v>380</v>
      </c>
      <c r="C2">
        <f>ROUND(LOG(B2), 3)</f>
        <v>2.58</v>
      </c>
      <c r="D2">
        <f>ROUND(VALUE(B2/$C$1 * 100),3)</f>
        <v>0.08</v>
      </c>
    </row>
    <row r="3" spans="1:4" x14ac:dyDescent="0.3">
      <c r="A3">
        <v>1</v>
      </c>
      <c r="B3">
        <f>88 + 109</f>
        <v>197</v>
      </c>
      <c r="C3">
        <f>ROUND(LOG(B3), 3)</f>
        <v>2.294</v>
      </c>
      <c r="D3">
        <f t="shared" ref="D3:D6" si="0">ROUND(VALUE(B3/$C$1 * 100),3)</f>
        <v>4.2000000000000003E-2</v>
      </c>
    </row>
    <row r="4" spans="1:4" x14ac:dyDescent="0.3">
      <c r="A4">
        <v>2</v>
      </c>
      <c r="B4" s="4">
        <v>465731</v>
      </c>
      <c r="C4">
        <f>ROUND(LOG(B4), 3)</f>
        <v>5.6680000000000001</v>
      </c>
      <c r="D4">
        <f t="shared" si="0"/>
        <v>98.453999999999994</v>
      </c>
    </row>
    <row r="5" spans="1:4" x14ac:dyDescent="0.3">
      <c r="A5">
        <v>3</v>
      </c>
      <c r="B5">
        <v>78</v>
      </c>
      <c r="C5">
        <f>ROUND(LOG(B5), 3)</f>
        <v>1.8919999999999999</v>
      </c>
      <c r="D5">
        <f t="shared" si="0"/>
        <v>1.6E-2</v>
      </c>
    </row>
    <row r="6" spans="1:4" x14ac:dyDescent="0.3">
      <c r="A6">
        <v>4</v>
      </c>
      <c r="B6">
        <v>6617</v>
      </c>
      <c r="C6">
        <f>ROUND(LOG(B6), 3)</f>
        <v>3.8210000000000002</v>
      </c>
      <c r="D6">
        <f t="shared" si="0"/>
        <v>1.399</v>
      </c>
    </row>
    <row r="7" spans="1:4" x14ac:dyDescent="0.3">
      <c r="B7">
        <f>SUM(B2:B6)</f>
        <v>473003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6C98-AE30-4A26-AB6E-04E5DF3AD996}">
  <dimension ref="A1:AB104"/>
  <sheetViews>
    <sheetView topLeftCell="E83" zoomScale="98" zoomScaleNormal="98" workbookViewId="0">
      <selection activeCell="P92" sqref="P92"/>
    </sheetView>
  </sheetViews>
  <sheetFormatPr defaultRowHeight="14.4" x14ac:dyDescent="0.3"/>
  <cols>
    <col min="1" max="1" width="31.33203125" customWidth="1"/>
    <col min="16" max="16" width="11" bestFit="1" customWidth="1"/>
    <col min="36" max="36" width="33.6640625" customWidth="1"/>
  </cols>
  <sheetData>
    <row r="1" spans="1:4" x14ac:dyDescent="0.3">
      <c r="B1" t="s">
        <v>4</v>
      </c>
      <c r="C1" t="s">
        <v>1</v>
      </c>
      <c r="D1" t="s">
        <v>18</v>
      </c>
    </row>
    <row r="2" spans="1:4" x14ac:dyDescent="0.3">
      <c r="A2" t="s">
        <v>5</v>
      </c>
    </row>
    <row r="3" spans="1:4" x14ac:dyDescent="0.3">
      <c r="A3" t="s">
        <v>102</v>
      </c>
      <c r="B3" t="str">
        <f>TRIM(MID(A3, FIND("Checksum: ",A3) + LEN("Checksum: "), FIND(",",A3) - FIND("Checksum: ", A3) - LEN("Checksum: ")))</f>
        <v>.md5</v>
      </c>
      <c r="C3">
        <f>VALUE(MID(A3, FIND("Frequency: ", A3) + LEN("Frequency: "), LEN(A3) - FIND("Frequency: ", A3) - LEN("Frequency: ") + 1))</f>
        <v>23744</v>
      </c>
      <c r="D3">
        <f>VALUE(MID(A2, FIND("Year: ", A2) + LEN("Year: "), LEN(A2) - FIND("Year: ", A2) - LEN("Year: ") + 1))</f>
        <v>2011</v>
      </c>
    </row>
    <row r="4" spans="1:4" x14ac:dyDescent="0.3">
      <c r="A4" t="s">
        <v>103</v>
      </c>
      <c r="B4" t="str">
        <f>TRIM(MID(A4, FIND("Checksum: ",A4) + LEN("Checksum: "), FIND(",",A4) - FIND("Checksum: ", A4) - LEN("Checksum: ")))</f>
        <v>.sha1</v>
      </c>
      <c r="C4">
        <f t="shared" ref="C4:C72" si="0">VALUE(MID(A4, FIND("Frequency: ", A4) + LEN("Frequency: "), LEN(A4) - FIND("Frequency: ", A4) - LEN("Frequency: ") + 1))</f>
        <v>23744</v>
      </c>
      <c r="D4">
        <f>VALUE(MID(A2, FIND("Year: ", A2) + LEN("Year: "), LEN(A2) - FIND("Year: ", A2) - LEN("Year: ") + 1))</f>
        <v>2011</v>
      </c>
    </row>
    <row r="5" spans="1:4" x14ac:dyDescent="0.3">
      <c r="A5" t="s">
        <v>104</v>
      </c>
      <c r="B5" t="str">
        <f>TRIM(MID(A5, FIND("Checksum: ",A5) + LEN("Checksum: "), FIND(",",A5) - FIND("Checksum: ", A5) - LEN("Checksum: ")))</f>
        <v>.sha256</v>
      </c>
      <c r="C5">
        <f t="shared" si="0"/>
        <v>2</v>
      </c>
    </row>
    <row r="6" spans="1:4" x14ac:dyDescent="0.3">
      <c r="A6" t="s">
        <v>105</v>
      </c>
      <c r="B6" t="str">
        <f>TRIM(MID(A6, FIND("Checksum: ",A6) + LEN("Checksum: "), FIND(",",A6) - FIND("Checksum: ", A6) - LEN("Checksum: ")))</f>
        <v>.sha512</v>
      </c>
      <c r="C6">
        <f t="shared" si="0"/>
        <v>2</v>
      </c>
    </row>
    <row r="8" spans="1:4" x14ac:dyDescent="0.3">
      <c r="A8" t="s">
        <v>6</v>
      </c>
    </row>
    <row r="9" spans="1:4" x14ac:dyDescent="0.3">
      <c r="A9" t="s">
        <v>106</v>
      </c>
      <c r="B9" t="str">
        <f t="shared" ref="B9:B76" si="1">TRIM(MID(A9, FIND("Checksum: ",A9) + LEN("Checksum: "), FIND(",",A9) - FIND("Checksum: ", A9) - LEN("Checksum: ")))</f>
        <v>.md5</v>
      </c>
      <c r="C9">
        <f t="shared" si="0"/>
        <v>13501</v>
      </c>
      <c r="D9">
        <f>VALUE(MID(A8, FIND("Year: ", A8) + LEN("Year: "), LEN(A8) - FIND("Year: ", A8) - LEN("Year: ") + 1))</f>
        <v>2012</v>
      </c>
    </row>
    <row r="10" spans="1:4" x14ac:dyDescent="0.3">
      <c r="A10" t="s">
        <v>107</v>
      </c>
      <c r="B10" t="str">
        <f t="shared" si="1"/>
        <v>.sha1</v>
      </c>
      <c r="C10">
        <f t="shared" si="0"/>
        <v>13501</v>
      </c>
      <c r="D10">
        <f>VALUE(MID(A8, FIND("Year: ", A8) + LEN("Year: "), LEN(A8) - FIND("Year: ", A8) - LEN("Year: ") + 1))</f>
        <v>2012</v>
      </c>
    </row>
    <row r="11" spans="1:4" x14ac:dyDescent="0.3">
      <c r="A11" t="s">
        <v>108</v>
      </c>
      <c r="B11" t="str">
        <f t="shared" si="1"/>
        <v>.sha256</v>
      </c>
      <c r="C11">
        <f t="shared" si="0"/>
        <v>0</v>
      </c>
    </row>
    <row r="12" spans="1:4" x14ac:dyDescent="0.3">
      <c r="A12" t="s">
        <v>109</v>
      </c>
      <c r="B12" t="str">
        <f t="shared" si="1"/>
        <v>.sha512</v>
      </c>
      <c r="C12">
        <f t="shared" si="0"/>
        <v>0</v>
      </c>
    </row>
    <row r="14" spans="1:4" x14ac:dyDescent="0.3">
      <c r="A14" t="s">
        <v>7</v>
      </c>
    </row>
    <row r="15" spans="1:4" x14ac:dyDescent="0.3">
      <c r="A15" t="s">
        <v>110</v>
      </c>
      <c r="B15" t="str">
        <f t="shared" si="1"/>
        <v>.md5</v>
      </c>
      <c r="C15">
        <f t="shared" si="0"/>
        <v>15096</v>
      </c>
      <c r="D15">
        <f>VALUE(MID(A14, FIND("Year: ", A14) + LEN("Year: "), LEN(A14) - FIND("Year: ", A14) - LEN("Year: ") + 1))</f>
        <v>2013</v>
      </c>
    </row>
    <row r="16" spans="1:4" x14ac:dyDescent="0.3">
      <c r="A16" t="s">
        <v>111</v>
      </c>
      <c r="B16" t="str">
        <f t="shared" si="1"/>
        <v>.sha1</v>
      </c>
      <c r="C16">
        <f t="shared" si="0"/>
        <v>15096</v>
      </c>
      <c r="D16">
        <f>VALUE(MID(A14, FIND("Year: ", A14) + LEN("Year: "), LEN(A14) - FIND("Year: ", A14) - LEN("Year: ") + 1))</f>
        <v>2013</v>
      </c>
    </row>
    <row r="17" spans="1:6" x14ac:dyDescent="0.3">
      <c r="A17" t="s">
        <v>108</v>
      </c>
      <c r="B17" t="str">
        <f t="shared" si="1"/>
        <v>.sha256</v>
      </c>
      <c r="C17">
        <f t="shared" si="0"/>
        <v>0</v>
      </c>
    </row>
    <row r="18" spans="1:6" x14ac:dyDescent="0.3">
      <c r="A18" t="s">
        <v>109</v>
      </c>
      <c r="B18" t="str">
        <f t="shared" si="1"/>
        <v>.sha512</v>
      </c>
      <c r="C18">
        <f t="shared" si="0"/>
        <v>0</v>
      </c>
    </row>
    <row r="20" spans="1:6" x14ac:dyDescent="0.3">
      <c r="A20" t="s">
        <v>8</v>
      </c>
    </row>
    <row r="21" spans="1:6" x14ac:dyDescent="0.3">
      <c r="A21" t="s">
        <v>112</v>
      </c>
      <c r="B21" t="str">
        <f t="shared" si="1"/>
        <v>.md5</v>
      </c>
      <c r="C21">
        <f t="shared" si="0"/>
        <v>19400</v>
      </c>
      <c r="D21">
        <f>VALUE(MID(A20, FIND("Year: ", A20) + LEN("Year: "), LEN(A20) - FIND("Year: ", A20) - LEN("Year: ") + 1))</f>
        <v>2014</v>
      </c>
    </row>
    <row r="22" spans="1:6" ht="20.399999999999999" x14ac:dyDescent="0.3">
      <c r="A22" t="s">
        <v>113</v>
      </c>
      <c r="B22" t="str">
        <f t="shared" si="1"/>
        <v>.sha1</v>
      </c>
      <c r="C22">
        <f t="shared" si="0"/>
        <v>19400</v>
      </c>
      <c r="D22">
        <f>VALUE(MID(A20, FIND("Year: ", A20) + LEN("Year: "), LEN(A20) - FIND("Year: ", A20) - LEN("Year: ") + 1))</f>
        <v>2014</v>
      </c>
      <c r="F22" s="3"/>
    </row>
    <row r="23" spans="1:6" ht="20.399999999999999" x14ac:dyDescent="0.3">
      <c r="A23" t="s">
        <v>108</v>
      </c>
      <c r="B23" t="str">
        <f t="shared" si="1"/>
        <v>.sha256</v>
      </c>
      <c r="C23">
        <f t="shared" si="0"/>
        <v>0</v>
      </c>
      <c r="F23" s="3"/>
    </row>
    <row r="24" spans="1:6" ht="20.399999999999999" x14ac:dyDescent="0.3">
      <c r="A24" t="s">
        <v>109</v>
      </c>
      <c r="B24" t="str">
        <f t="shared" si="1"/>
        <v>.sha512</v>
      </c>
      <c r="C24">
        <f t="shared" si="0"/>
        <v>0</v>
      </c>
      <c r="F24" s="3"/>
    </row>
    <row r="26" spans="1:6" x14ac:dyDescent="0.3">
      <c r="A26" t="s">
        <v>9</v>
      </c>
    </row>
    <row r="27" spans="1:6" x14ac:dyDescent="0.3">
      <c r="A27" t="s">
        <v>114</v>
      </c>
      <c r="B27" t="str">
        <f t="shared" si="1"/>
        <v>.md5</v>
      </c>
      <c r="C27">
        <f t="shared" si="0"/>
        <v>27825</v>
      </c>
      <c r="D27">
        <f>VALUE(MID(A26, FIND("Year: ", A26) + LEN("Year: "), LEN(A26) - FIND("Year: ", A26) - LEN("Year: ") + 1))</f>
        <v>2015</v>
      </c>
    </row>
    <row r="28" spans="1:6" x14ac:dyDescent="0.3">
      <c r="A28" t="s">
        <v>115</v>
      </c>
      <c r="B28" t="str">
        <f t="shared" si="1"/>
        <v>.sha1</v>
      </c>
      <c r="C28">
        <f t="shared" si="0"/>
        <v>27825</v>
      </c>
      <c r="D28">
        <f>VALUE(MID(A26, FIND("Year: ", A26) + LEN("Year: "), LEN(A26) - FIND("Year: ", A26) - LEN("Year: ") + 1))</f>
        <v>2015</v>
      </c>
    </row>
    <row r="29" spans="1:6" x14ac:dyDescent="0.3">
      <c r="A29" t="s">
        <v>116</v>
      </c>
      <c r="B29" t="str">
        <f t="shared" si="1"/>
        <v>.sha256</v>
      </c>
      <c r="C29">
        <f t="shared" si="0"/>
        <v>170</v>
      </c>
      <c r="D29">
        <f>VALUE(MID(A26, FIND("Year: ", A26) + LEN("Year: "), LEN(A26) - FIND("Year: ", A26) - LEN("Year: ") + 1))</f>
        <v>2015</v>
      </c>
    </row>
    <row r="30" spans="1:6" x14ac:dyDescent="0.3">
      <c r="A30" t="s">
        <v>117</v>
      </c>
      <c r="B30" t="str">
        <f t="shared" si="1"/>
        <v>.sha512</v>
      </c>
      <c r="C30">
        <f t="shared" si="0"/>
        <v>170</v>
      </c>
      <c r="D30">
        <f>VALUE(MID(A26, FIND("Year: ", A26) + LEN("Year: "), LEN(A26) - FIND("Year: ", A26) - LEN("Year: ") + 1))</f>
        <v>2015</v>
      </c>
    </row>
    <row r="32" spans="1:6" x14ac:dyDescent="0.3">
      <c r="A32" t="s">
        <v>10</v>
      </c>
    </row>
    <row r="33" spans="1:4" x14ac:dyDescent="0.3">
      <c r="A33" t="s">
        <v>118</v>
      </c>
      <c r="B33" t="str">
        <f t="shared" si="1"/>
        <v>.md5</v>
      </c>
      <c r="C33">
        <f>VALUE(MID(A33, FIND("Frequency: ", A33) + LEN("Frequency: "), LEN(A33) - FIND("Frequency: ", A33) - LEN("Frequency: ") + 1))</f>
        <v>34631</v>
      </c>
      <c r="D33">
        <f>VALUE(MID(A32, FIND("Year: ", A32) + LEN("Year: "), LEN(A32) - FIND("Year: ", A32) - LEN("Year: ") + 1))</f>
        <v>2016</v>
      </c>
    </row>
    <row r="34" spans="1:4" x14ac:dyDescent="0.3">
      <c r="A34" t="s">
        <v>119</v>
      </c>
      <c r="B34" t="str">
        <f t="shared" si="1"/>
        <v>.sha1</v>
      </c>
      <c r="C34">
        <f t="shared" si="0"/>
        <v>34631</v>
      </c>
      <c r="D34">
        <f>VALUE(MID(A32, FIND("Year: ", A32) + LEN("Year: "), LEN(A32) - FIND("Year: ", A32) - LEN("Year: ") + 1))</f>
        <v>2016</v>
      </c>
    </row>
    <row r="35" spans="1:4" x14ac:dyDescent="0.3">
      <c r="A35" t="s">
        <v>120</v>
      </c>
      <c r="B35" t="str">
        <f t="shared" si="1"/>
        <v>.sha256</v>
      </c>
      <c r="C35">
        <f t="shared" si="0"/>
        <v>450</v>
      </c>
      <c r="D35">
        <f>VALUE(MID(A32, FIND("Year: ", A32) + LEN("Year: "), LEN(A32) - FIND("Year: ", A32) - LEN("Year: ") + 1))</f>
        <v>2016</v>
      </c>
    </row>
    <row r="36" spans="1:4" x14ac:dyDescent="0.3">
      <c r="A36" t="s">
        <v>121</v>
      </c>
      <c r="B36" t="str">
        <f t="shared" si="1"/>
        <v>.sha512</v>
      </c>
      <c r="C36">
        <f t="shared" si="0"/>
        <v>450</v>
      </c>
      <c r="D36">
        <f>VALUE(MID(A32, FIND("Year: ", A32) + LEN("Year: "), LEN(A32) - FIND("Year: ", A32) - LEN("Year: ") + 1))</f>
        <v>2016</v>
      </c>
    </row>
    <row r="38" spans="1:4" x14ac:dyDescent="0.3">
      <c r="A38" t="s">
        <v>11</v>
      </c>
    </row>
    <row r="39" spans="1:4" x14ac:dyDescent="0.3">
      <c r="A39" t="s">
        <v>122</v>
      </c>
      <c r="B39" t="str">
        <f t="shared" si="1"/>
        <v>.md5</v>
      </c>
      <c r="C39">
        <f t="shared" si="0"/>
        <v>39415</v>
      </c>
      <c r="D39">
        <f>VALUE(MID(A38, FIND("Year: ", A38) + LEN("Year: "), LEN(A38) - FIND("Year: ", A38) - LEN("Year: ") + 1))</f>
        <v>2017</v>
      </c>
    </row>
    <row r="40" spans="1:4" x14ac:dyDescent="0.3">
      <c r="A40" t="s">
        <v>123</v>
      </c>
      <c r="B40" t="str">
        <f t="shared" si="1"/>
        <v>.sha1</v>
      </c>
      <c r="C40">
        <f t="shared" si="0"/>
        <v>39415</v>
      </c>
      <c r="D40">
        <f>VALUE(MID(A38, FIND("Year: ", A38) + LEN("Year: "), LEN(A38) - FIND("Year: ", A38) - LEN("Year: ") + 1))</f>
        <v>2017</v>
      </c>
    </row>
    <row r="41" spans="1:4" x14ac:dyDescent="0.3">
      <c r="A41" t="s">
        <v>124</v>
      </c>
      <c r="B41" t="str">
        <f t="shared" si="1"/>
        <v>.sha256</v>
      </c>
      <c r="C41">
        <f t="shared" si="0"/>
        <v>708</v>
      </c>
      <c r="D41">
        <f>VALUE(MID(A38, FIND("Year: ", A38) + LEN("Year: "), LEN(A38) - FIND("Year: ", A38) - LEN("Year: ") + 1))</f>
        <v>2017</v>
      </c>
    </row>
    <row r="42" spans="1:4" x14ac:dyDescent="0.3">
      <c r="A42" t="s">
        <v>125</v>
      </c>
      <c r="B42" t="str">
        <f t="shared" si="1"/>
        <v>.sha512</v>
      </c>
      <c r="C42">
        <f t="shared" si="0"/>
        <v>708</v>
      </c>
      <c r="D42">
        <f>VALUE(MID(A38, FIND("Year: ", A38) + LEN("Year: "), LEN(A38) - FIND("Year: ", A38) - LEN("Year: ") + 1))</f>
        <v>2017</v>
      </c>
    </row>
    <row r="44" spans="1:4" x14ac:dyDescent="0.3">
      <c r="A44" t="s">
        <v>12</v>
      </c>
    </row>
    <row r="45" spans="1:4" x14ac:dyDescent="0.3">
      <c r="A45" t="s">
        <v>126</v>
      </c>
      <c r="B45" t="str">
        <f t="shared" si="1"/>
        <v>.sha1</v>
      </c>
      <c r="C45">
        <f t="shared" si="0"/>
        <v>43774</v>
      </c>
      <c r="D45">
        <f>VALUE(MID(A44, FIND("Year: ", A44) + LEN("Year: "), LEN(A44) - FIND("Year: ", A44) - LEN("Year: ") + 1))</f>
        <v>2018</v>
      </c>
    </row>
    <row r="46" spans="1:4" x14ac:dyDescent="0.3">
      <c r="A46" t="s">
        <v>127</v>
      </c>
      <c r="B46" t="str">
        <f t="shared" si="1"/>
        <v>.md5</v>
      </c>
      <c r="C46">
        <f t="shared" si="0"/>
        <v>43772</v>
      </c>
      <c r="D46">
        <f>VALUE(MID(A44, FIND("Year: ", A44) + LEN("Year: "), LEN(A44) - FIND("Year: ", A44) - LEN("Year: ") + 1))</f>
        <v>2018</v>
      </c>
    </row>
    <row r="47" spans="1:4" x14ac:dyDescent="0.3">
      <c r="A47" t="s">
        <v>128</v>
      </c>
      <c r="B47" t="str">
        <f t="shared" si="1"/>
        <v>.sha256</v>
      </c>
      <c r="C47">
        <f t="shared" si="0"/>
        <v>540</v>
      </c>
      <c r="D47">
        <f>VALUE(MID(A44, FIND("Year: ", A44) + LEN("Year: "), LEN(A44) - FIND("Year: ", A44) - LEN("Year: ") + 1))</f>
        <v>2018</v>
      </c>
    </row>
    <row r="48" spans="1:4" x14ac:dyDescent="0.3">
      <c r="A48" t="s">
        <v>129</v>
      </c>
      <c r="B48" t="str">
        <f t="shared" si="1"/>
        <v>.sha512</v>
      </c>
      <c r="C48">
        <f t="shared" si="0"/>
        <v>540</v>
      </c>
      <c r="D48">
        <f>VALUE(MID(A44, FIND("Year: ", A44) + LEN("Year: "), LEN(A44) - FIND("Year: ", A44) - LEN("Year: ") + 1))</f>
        <v>2018</v>
      </c>
    </row>
    <row r="50" spans="1:4" x14ac:dyDescent="0.3">
      <c r="A50" t="s">
        <v>13</v>
      </c>
    </row>
    <row r="51" spans="1:4" x14ac:dyDescent="0.3">
      <c r="A51" t="s">
        <v>134</v>
      </c>
      <c r="B51" t="str">
        <f t="shared" si="1"/>
        <v>.md5</v>
      </c>
      <c r="C51">
        <f t="shared" si="0"/>
        <v>50649</v>
      </c>
      <c r="D51">
        <f>VALUE(MID(A50, FIND("Year: ", A50) + LEN("Year: "), LEN(A50) - FIND("Year: ", A50) - LEN("Year: ") + 1))</f>
        <v>2020</v>
      </c>
    </row>
    <row r="52" spans="1:4" x14ac:dyDescent="0.3">
      <c r="A52" t="s">
        <v>135</v>
      </c>
      <c r="B52" t="str">
        <f t="shared" si="1"/>
        <v>.sha1</v>
      </c>
      <c r="C52">
        <f t="shared" si="0"/>
        <v>50649</v>
      </c>
      <c r="D52">
        <f>VALUE(MID(A50, FIND("Year: ", A50) + LEN("Year: "), LEN(A50) - FIND("Year: ", A50) - LEN("Year: ") + 1))</f>
        <v>2020</v>
      </c>
    </row>
    <row r="53" spans="1:4" x14ac:dyDescent="0.3">
      <c r="A53" t="s">
        <v>136</v>
      </c>
      <c r="B53" t="str">
        <f t="shared" si="1"/>
        <v>.sha256</v>
      </c>
      <c r="C53">
        <f t="shared" si="0"/>
        <v>1274</v>
      </c>
      <c r="D53">
        <f>VALUE(MID(A50, FIND("Year: ", A50) + LEN("Year: "), LEN(A50) - FIND("Year: ", A50) - LEN("Year: ") + 1))</f>
        <v>2020</v>
      </c>
    </row>
    <row r="54" spans="1:4" x14ac:dyDescent="0.3">
      <c r="A54" t="s">
        <v>137</v>
      </c>
      <c r="B54" t="str">
        <f t="shared" si="1"/>
        <v>.sha512</v>
      </c>
      <c r="C54">
        <f t="shared" si="0"/>
        <v>1274</v>
      </c>
      <c r="D54">
        <f>VALUE(MID(A50, FIND("Year: ", A50) + LEN("Year: "), LEN(A50) - FIND("Year: ", A50) - LEN("Year: ") + 1))</f>
        <v>2020</v>
      </c>
    </row>
    <row r="56" spans="1:4" x14ac:dyDescent="0.3">
      <c r="A56" t="s">
        <v>14</v>
      </c>
    </row>
    <row r="57" spans="1:4" x14ac:dyDescent="0.3">
      <c r="A57" t="s">
        <v>130</v>
      </c>
      <c r="B57" t="str">
        <f t="shared" si="1"/>
        <v>.sha1</v>
      </c>
      <c r="C57">
        <f t="shared" si="0"/>
        <v>52366</v>
      </c>
      <c r="D57">
        <f>VALUE(MID(A56, FIND("Year: ", A56) + LEN("Year: "), LEN(A56) - FIND("Year: ", A56) - LEN("Year: ") + 1))</f>
        <v>2019</v>
      </c>
    </row>
    <row r="58" spans="1:4" x14ac:dyDescent="0.3">
      <c r="A58" t="s">
        <v>131</v>
      </c>
      <c r="B58" t="str">
        <f t="shared" si="1"/>
        <v>.md5</v>
      </c>
      <c r="C58">
        <f t="shared" si="0"/>
        <v>52320</v>
      </c>
      <c r="D58">
        <f>VALUE(MID(A56, FIND("Year: ", A56) + LEN("Year: "), LEN(A56) - FIND("Year: ", A56) - LEN("Year: ") + 1))</f>
        <v>2019</v>
      </c>
    </row>
    <row r="59" spans="1:4" x14ac:dyDescent="0.3">
      <c r="A59" t="s">
        <v>132</v>
      </c>
      <c r="B59" t="str">
        <f t="shared" si="1"/>
        <v>.sha256</v>
      </c>
      <c r="C59">
        <f t="shared" si="0"/>
        <v>599</v>
      </c>
      <c r="D59">
        <f>VALUE(MID(A56, FIND("Year: ", A56) + LEN("Year: "), LEN(A56) - FIND("Year: ", A56) - LEN("Year: ") + 1))</f>
        <v>2019</v>
      </c>
    </row>
    <row r="60" spans="1:4" x14ac:dyDescent="0.3">
      <c r="A60" t="s">
        <v>133</v>
      </c>
      <c r="B60" t="str">
        <f t="shared" si="1"/>
        <v>.sha512</v>
      </c>
      <c r="C60">
        <f t="shared" si="0"/>
        <v>599</v>
      </c>
      <c r="D60">
        <f>VALUE(MID(A56, FIND("Year: ", A56) + LEN("Year: "), LEN(A56) - FIND("Year: ", A56) - LEN("Year: ") + 1))</f>
        <v>2019</v>
      </c>
    </row>
    <row r="62" spans="1:4" x14ac:dyDescent="0.3">
      <c r="A62" t="s">
        <v>15</v>
      </c>
    </row>
    <row r="63" spans="1:4" x14ac:dyDescent="0.3">
      <c r="A63" t="s">
        <v>138</v>
      </c>
      <c r="B63" t="str">
        <f t="shared" si="1"/>
        <v>.md5</v>
      </c>
      <c r="C63">
        <f t="shared" si="0"/>
        <v>57702</v>
      </c>
      <c r="D63">
        <f>VALUE(MID(A62, FIND("Year: ", A62) + LEN("Year: "), LEN(A62) - FIND("Year: ", A62) - LEN("Year: ") + 1))</f>
        <v>2021</v>
      </c>
    </row>
    <row r="64" spans="1:4" x14ac:dyDescent="0.3">
      <c r="A64" t="s">
        <v>139</v>
      </c>
      <c r="B64" t="str">
        <f t="shared" si="1"/>
        <v>.sha1</v>
      </c>
      <c r="C64">
        <f t="shared" si="0"/>
        <v>57608</v>
      </c>
      <c r="D64">
        <f>VALUE(MID(A62, FIND("Year: ", A62) + LEN("Year: "), LEN(A62) - FIND("Year: ", A62) - LEN("Year: ") + 1))</f>
        <v>2021</v>
      </c>
    </row>
    <row r="65" spans="1:4" x14ac:dyDescent="0.3">
      <c r="A65" t="s">
        <v>140</v>
      </c>
      <c r="B65" t="str">
        <f t="shared" si="1"/>
        <v>.sha512</v>
      </c>
      <c r="C65">
        <f t="shared" si="0"/>
        <v>2375</v>
      </c>
      <c r="D65">
        <f>VALUE(MID(A62, FIND("Year: ", A62) + LEN("Year: "), LEN(A62) - FIND("Year: ", A62) - LEN("Year: ") + 1))</f>
        <v>2021</v>
      </c>
    </row>
    <row r="66" spans="1:4" x14ac:dyDescent="0.3">
      <c r="A66" t="s">
        <v>141</v>
      </c>
      <c r="B66" t="str">
        <f t="shared" si="1"/>
        <v>.sha256</v>
      </c>
      <c r="C66">
        <f t="shared" si="0"/>
        <v>2343</v>
      </c>
      <c r="D66">
        <f>VALUE(MID(A62, FIND("Year: ", A62) + LEN("Year: "), LEN(A62) - FIND("Year: ", A62) - LEN("Year: ") + 1))</f>
        <v>2021</v>
      </c>
    </row>
    <row r="68" spans="1:4" x14ac:dyDescent="0.3">
      <c r="A68" t="s">
        <v>16</v>
      </c>
    </row>
    <row r="69" spans="1:4" x14ac:dyDescent="0.3">
      <c r="A69" t="s">
        <v>142</v>
      </c>
      <c r="B69" t="str">
        <f t="shared" si="1"/>
        <v>.sha1</v>
      </c>
      <c r="C69">
        <f t="shared" si="0"/>
        <v>59116</v>
      </c>
      <c r="D69">
        <f>VALUE(MID(A68, FIND("Year: ", A68) + LEN("Year: "), LEN(A68) - FIND("Year: ", A68) - LEN("Year: ") + 1))</f>
        <v>2022</v>
      </c>
    </row>
    <row r="70" spans="1:4" x14ac:dyDescent="0.3">
      <c r="A70" t="s">
        <v>143</v>
      </c>
      <c r="B70" t="str">
        <f t="shared" si="1"/>
        <v>.md5</v>
      </c>
      <c r="C70">
        <f t="shared" si="0"/>
        <v>59097</v>
      </c>
      <c r="D70">
        <f>VALUE(MID(A68, FIND("Year: ", A68) + LEN("Year: "), LEN(A68) - FIND("Year: ", A68) - LEN("Year: ") + 1))</f>
        <v>2022</v>
      </c>
    </row>
    <row r="71" spans="1:4" x14ac:dyDescent="0.3">
      <c r="A71" t="s">
        <v>144</v>
      </c>
      <c r="B71" t="str">
        <f t="shared" si="1"/>
        <v>.sha512</v>
      </c>
      <c r="C71">
        <f t="shared" si="0"/>
        <v>504</v>
      </c>
      <c r="D71">
        <f>VALUE(MID(A68, FIND("Year: ", A68) + LEN("Year: "), LEN(A68) - FIND("Year: ", A68) - LEN("Year: ") + 1))</f>
        <v>2022</v>
      </c>
    </row>
    <row r="72" spans="1:4" x14ac:dyDescent="0.3">
      <c r="A72" t="s">
        <v>145</v>
      </c>
      <c r="B72" t="str">
        <f t="shared" si="1"/>
        <v>.sha256</v>
      </c>
      <c r="C72">
        <f t="shared" si="0"/>
        <v>473</v>
      </c>
      <c r="D72">
        <f>VALUE(MID(A68, FIND("Year: ", A68) + LEN("Year: "), LEN(A68) - FIND("Year: ", A68) - LEN("Year: ") + 1))</f>
        <v>2022</v>
      </c>
    </row>
    <row r="74" spans="1:4" x14ac:dyDescent="0.3">
      <c r="A74" t="s">
        <v>17</v>
      </c>
    </row>
    <row r="75" spans="1:4" x14ac:dyDescent="0.3">
      <c r="A75" t="s">
        <v>146</v>
      </c>
      <c r="B75" t="str">
        <f t="shared" si="1"/>
        <v>.md5</v>
      </c>
      <c r="C75">
        <f>VALUE(MID(A75, FIND("Frequency: ", A75) + LEN("Frequency: "), LEN(A75) - FIND("Frequency: ", A75) - LEN("Frequency: ") + 1))</f>
        <v>35423</v>
      </c>
      <c r="D75">
        <f>VALUE(MID(A74, FIND("Year: ", A74) + LEN("Year: "), LEN(A74) - FIND("Year: ", A74) - LEN("Year: ") + 1))</f>
        <v>2023</v>
      </c>
    </row>
    <row r="76" spans="1:4" x14ac:dyDescent="0.3">
      <c r="A76" t="s">
        <v>147</v>
      </c>
      <c r="B76" t="str">
        <f t="shared" si="1"/>
        <v>.sha1</v>
      </c>
      <c r="C76">
        <f>VALUE(MID(A76, FIND("Frequency: ", A76) + LEN("Frequency: "), LEN(A76) - FIND("Frequency: ", A76) - LEN("Frequency: ") + 1))</f>
        <v>35419</v>
      </c>
      <c r="D76">
        <f>VALUE(MID(A74, FIND("Year: ", A74) + LEN("Year: "), LEN(A74) - FIND("Year: ", A74) - LEN("Year: ") + 1))</f>
        <v>2023</v>
      </c>
    </row>
    <row r="77" spans="1:4" x14ac:dyDescent="0.3">
      <c r="A77" t="s">
        <v>148</v>
      </c>
      <c r="B77" t="str">
        <f>TRIM(MID(A77, FIND("Checksum: ",A77) + LEN("Checksum: "), FIND(",",A77) - FIND("Checksum: ", A77) - LEN("Checksum: ")))</f>
        <v>.sha512</v>
      </c>
      <c r="C77">
        <f>VALUE(MID(A77, FIND("Frequency: ", A77) + LEN("Frequency: "), LEN(A77) - FIND("Frequency: ", A77) - LEN("Frequency: ") + 1))</f>
        <v>113</v>
      </c>
      <c r="D77">
        <f>VALUE(MID(A74, FIND("Year: ", A74) + LEN("Year: "), LEN(A74) - FIND("Year: ", A74) - LEN("Year: ") + 1))</f>
        <v>2023</v>
      </c>
    </row>
    <row r="78" spans="1:4" x14ac:dyDescent="0.3">
      <c r="A78" t="s">
        <v>149</v>
      </c>
      <c r="B78" t="str">
        <f>TRIM(MID(A78, FIND("Checksum: ",A78) + LEN("Checksum: "), FIND(",",A78) - FIND("Checksum: ", A78) - LEN("Checksum: ")))</f>
        <v>.sha256</v>
      </c>
      <c r="C78">
        <f>VALUE(MID(A78, FIND("Frequency: ", A78) + LEN("Frequency: "), LEN(A78) - FIND("Frequency: ", A78) - LEN("Frequency: ") + 1))</f>
        <v>88</v>
      </c>
      <c r="D78">
        <f>VALUE(MID(A74, FIND("Year: ", A74) + LEN("Year: "), LEN(A74) - FIND("Year: ", A74) - LEN("Year: ") + 1))</f>
        <v>2023</v>
      </c>
    </row>
    <row r="91" spans="10:28" x14ac:dyDescent="0.3"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2020</v>
      </c>
      <c r="Y91">
        <v>2019</v>
      </c>
      <c r="Z91">
        <v>2021</v>
      </c>
      <c r="AA91">
        <v>2022</v>
      </c>
      <c r="AB91">
        <v>2023</v>
      </c>
    </row>
    <row r="92" spans="10:28" x14ac:dyDescent="0.3">
      <c r="J92">
        <v>2011</v>
      </c>
      <c r="K92">
        <v>24910</v>
      </c>
      <c r="O92" t="s">
        <v>22</v>
      </c>
      <c r="P92">
        <f>ROUND(VALUE(C3/$K$92)*100,3)</f>
        <v>95.319000000000003</v>
      </c>
      <c r="Q92">
        <f>ROUND(VALUE(C9/$K$93)*100, 3)</f>
        <v>97.926000000000002</v>
      </c>
      <c r="R92">
        <f>ROUND(VALUE(C15/$K$94)*100,3)</f>
        <v>98.128</v>
      </c>
      <c r="S92">
        <f>ROUND(VALUE(C21/$K$95)*100,3)</f>
        <v>99.697000000000003</v>
      </c>
      <c r="T92">
        <f>ROUND(VALUE(C27/$K$96)*100,3)</f>
        <v>99.131</v>
      </c>
      <c r="U92">
        <f>ROUND(VALUE(C33/$K$97)*100, 3)</f>
        <v>98.635999999999996</v>
      </c>
      <c r="V92">
        <f>ROUND(VALUE(C39/$K$98)*100, 3)</f>
        <v>99.167000000000002</v>
      </c>
      <c r="W92">
        <f>ROUND(VALUE(C45/$K$99)*100, 3)</f>
        <v>98.745999999999995</v>
      </c>
      <c r="X92">
        <f>ROUND(VALUE(C51/$K$100)*100, 3)</f>
        <v>98.119</v>
      </c>
      <c r="Y92">
        <f>ROUND(VALUE(C57/$K$101)*100, 3)</f>
        <v>98.617999999999995</v>
      </c>
      <c r="Z92">
        <f>ROUND(VALUE(C63/$K$102)* 100, 3)</f>
        <v>98.748999999999995</v>
      </c>
      <c r="AA92">
        <f>ROUND(VALUE(C69/$K$103)*100, 3)</f>
        <v>98.313999999999993</v>
      </c>
      <c r="AB92">
        <f>ROUND(VALUE(C75/$K$104)*100, 3)</f>
        <v>98.844999999999999</v>
      </c>
    </row>
    <row r="93" spans="10:28" x14ac:dyDescent="0.3">
      <c r="J93">
        <v>2012</v>
      </c>
      <c r="K93" s="4">
        <v>13787</v>
      </c>
      <c r="O93" t="s">
        <v>23</v>
      </c>
      <c r="P93">
        <f t="shared" ref="P93:P95" si="2">ROUND(VALUE(C4/$K$92)*100,3)</f>
        <v>95.319000000000003</v>
      </c>
      <c r="Q93">
        <f t="shared" ref="Q93:Q95" si="3">ROUND(VALUE(C10/$K$93)*100, 3)</f>
        <v>97.926000000000002</v>
      </c>
      <c r="R93">
        <f t="shared" ref="R93:R95" si="4">ROUND(VALUE(C16/$K$94)*100,3)</f>
        <v>98.128</v>
      </c>
      <c r="S93">
        <f t="shared" ref="S93:S95" si="5">ROUND(VALUE(C22/$K$95)*100,3)</f>
        <v>99.697000000000003</v>
      </c>
      <c r="T93">
        <f t="shared" ref="T93:T95" si="6">ROUND(VALUE(C28/$K$96)*100,3)</f>
        <v>99.131</v>
      </c>
      <c r="U93">
        <f t="shared" ref="U93:U95" si="7">ROUND(VALUE(C34/$K$97)*100, 3)</f>
        <v>98.635999999999996</v>
      </c>
      <c r="V93">
        <f t="shared" ref="V93:V94" si="8">ROUND(VALUE(C40/$K$98)*100, 3)</f>
        <v>99.167000000000002</v>
      </c>
      <c r="W93">
        <f t="shared" ref="W93:W94" si="9">ROUND(VALUE(C46/$K$99)*100, 3)</f>
        <v>98.741</v>
      </c>
      <c r="X93">
        <f t="shared" ref="X93:X95" si="10">ROUND(VALUE(C52/$K$100)*100, 3)</f>
        <v>98.119</v>
      </c>
      <c r="Y93">
        <f t="shared" ref="Y93:Y95" si="11">ROUND(VALUE(C58/$K$101)*100, 3)</f>
        <v>98.531000000000006</v>
      </c>
      <c r="Z93">
        <f t="shared" ref="Z93:Z95" si="12">ROUND(VALUE(C64/$K$102)* 100, 3)</f>
        <v>98.587999999999994</v>
      </c>
      <c r="AA93">
        <f t="shared" ref="AA93:AA95" si="13">ROUND(VALUE(C70/$K$103)*100, 3)</f>
        <v>98.281999999999996</v>
      </c>
      <c r="AB93">
        <f t="shared" ref="AB93:AB95" si="14">ROUND(VALUE(C76/$K$104)*100, 3)</f>
        <v>98.834000000000003</v>
      </c>
    </row>
    <row r="94" spans="10:28" x14ac:dyDescent="0.3">
      <c r="J94">
        <v>2013</v>
      </c>
      <c r="K94">
        <v>15384</v>
      </c>
      <c r="O94" t="s">
        <v>24</v>
      </c>
      <c r="P94">
        <f t="shared" si="2"/>
        <v>8.0000000000000002E-3</v>
      </c>
      <c r="Q94">
        <f t="shared" si="3"/>
        <v>0</v>
      </c>
      <c r="R94">
        <f t="shared" si="4"/>
        <v>0</v>
      </c>
      <c r="S94">
        <f t="shared" si="5"/>
        <v>0</v>
      </c>
      <c r="T94">
        <f t="shared" si="6"/>
        <v>0.60599999999999998</v>
      </c>
      <c r="U94">
        <f t="shared" si="7"/>
        <v>1.282</v>
      </c>
      <c r="V94">
        <f t="shared" si="8"/>
        <v>1.7809999999999999</v>
      </c>
      <c r="W94">
        <f t="shared" si="9"/>
        <v>1.218</v>
      </c>
      <c r="X94">
        <f t="shared" si="10"/>
        <v>2.468</v>
      </c>
      <c r="Y94">
        <f t="shared" si="11"/>
        <v>1.1279999999999999</v>
      </c>
      <c r="Z94">
        <f t="shared" si="12"/>
        <v>4.0640000000000001</v>
      </c>
      <c r="AA94">
        <f t="shared" si="13"/>
        <v>0.83799999999999997</v>
      </c>
      <c r="AB94">
        <f t="shared" si="14"/>
        <v>0.315</v>
      </c>
    </row>
    <row r="95" spans="10:28" x14ac:dyDescent="0.3">
      <c r="J95">
        <v>2014</v>
      </c>
      <c r="K95">
        <v>19459</v>
      </c>
      <c r="O95" t="s">
        <v>25</v>
      </c>
      <c r="P95">
        <f t="shared" si="2"/>
        <v>8.0000000000000002E-3</v>
      </c>
      <c r="Q95">
        <f t="shared" si="3"/>
        <v>0</v>
      </c>
      <c r="R95">
        <f t="shared" si="4"/>
        <v>0</v>
      </c>
      <c r="S95">
        <f t="shared" si="5"/>
        <v>0</v>
      </c>
      <c r="T95">
        <f t="shared" si="6"/>
        <v>0.60599999999999998</v>
      </c>
      <c r="U95">
        <f t="shared" si="7"/>
        <v>1.282</v>
      </c>
      <c r="V95">
        <f>ROUND(VALUE(C42/$K$98)*100, 3)</f>
        <v>1.7809999999999999</v>
      </c>
      <c r="W95">
        <f>ROUND(VALUE(C48/$K$99)*100, 3)</f>
        <v>1.218</v>
      </c>
      <c r="X95">
        <f t="shared" si="10"/>
        <v>2.468</v>
      </c>
      <c r="Y95">
        <f t="shared" si="11"/>
        <v>1.1279999999999999</v>
      </c>
      <c r="Z95">
        <f t="shared" si="12"/>
        <v>4.01</v>
      </c>
      <c r="AA95">
        <f t="shared" si="13"/>
        <v>0.78700000000000003</v>
      </c>
      <c r="AB95">
        <f t="shared" si="14"/>
        <v>0.246</v>
      </c>
    </row>
    <row r="96" spans="10:28" x14ac:dyDescent="0.3">
      <c r="J96">
        <v>2015</v>
      </c>
      <c r="K96">
        <v>28069</v>
      </c>
    </row>
    <row r="97" spans="10:11" x14ac:dyDescent="0.3">
      <c r="J97">
        <v>2016</v>
      </c>
      <c r="K97">
        <v>35110</v>
      </c>
    </row>
    <row r="98" spans="10:11" x14ac:dyDescent="0.3">
      <c r="J98">
        <v>2017</v>
      </c>
      <c r="K98">
        <v>39746</v>
      </c>
    </row>
    <row r="99" spans="10:11" x14ac:dyDescent="0.3">
      <c r="J99">
        <v>2018</v>
      </c>
      <c r="K99">
        <v>44330</v>
      </c>
    </row>
    <row r="100" spans="10:11" x14ac:dyDescent="0.3">
      <c r="J100">
        <v>2020</v>
      </c>
      <c r="K100">
        <v>51620</v>
      </c>
    </row>
    <row r="101" spans="10:11" x14ac:dyDescent="0.3">
      <c r="J101">
        <v>2019</v>
      </c>
      <c r="K101" s="5">
        <v>53100</v>
      </c>
    </row>
    <row r="102" spans="10:11" x14ac:dyDescent="0.3">
      <c r="J102">
        <v>2021</v>
      </c>
      <c r="K102">
        <v>58433</v>
      </c>
    </row>
    <row r="103" spans="10:11" x14ac:dyDescent="0.3">
      <c r="J103">
        <v>2022</v>
      </c>
      <c r="K103">
        <v>60130</v>
      </c>
    </row>
    <row r="104" spans="10:11" x14ac:dyDescent="0.3">
      <c r="J104">
        <v>2023</v>
      </c>
      <c r="K104">
        <v>35837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topLeftCell="A7" zoomScale="102" zoomScaleNormal="102" workbookViewId="0">
      <selection activeCell="D2" activeCellId="1" sqref="B2:B12 D2:D12"/>
    </sheetView>
  </sheetViews>
  <sheetFormatPr defaultRowHeight="14.4" x14ac:dyDescent="0.3"/>
  <cols>
    <col min="1" max="1" width="47.33203125" customWidth="1"/>
    <col min="2" max="2" width="23.5546875" customWidth="1"/>
  </cols>
  <sheetData>
    <row r="1" spans="1:8" x14ac:dyDescent="0.3">
      <c r="B1" t="s">
        <v>0</v>
      </c>
      <c r="C1" t="s">
        <v>1</v>
      </c>
      <c r="D1" t="s">
        <v>19</v>
      </c>
      <c r="E1">
        <v>841094</v>
      </c>
      <c r="F1" t="s">
        <v>21</v>
      </c>
      <c r="G1" s="5">
        <v>473043</v>
      </c>
      <c r="H1" t="s">
        <v>153</v>
      </c>
    </row>
    <row r="2" spans="1:8" ht="15" x14ac:dyDescent="0.3">
      <c r="A2" s="1" t="s">
        <v>83</v>
      </c>
      <c r="B2" t="str">
        <f>MID(A2,SEARCH("Qualifier: ",A2)+LEN("Qualifier: "),SEARCH(" - Frequency:",A2)-SEARCH("Qualifier: ",A2)-LEN("Qualifier: "))</f>
        <v>sources</v>
      </c>
      <c r="C2">
        <f>VALUE(MID(A2,SEARCH("Frequency: ",A2)+LEN("Frequency: "),LEN(A2)-SEARCH("Frequency: ",A2)-LEN("Frequency: ")+1))</f>
        <v>389670</v>
      </c>
      <c r="D2">
        <f>ROUND(VALUE(C2/$E$1)*100, 3)</f>
        <v>46.329000000000001</v>
      </c>
      <c r="F2">
        <f>E1/G1</f>
        <v>1.7780497756017952</v>
      </c>
      <c r="H2">
        <f>ROUND(VALUE(C2/$G$1)*100, 3)</f>
        <v>82.375</v>
      </c>
    </row>
    <row r="3" spans="1:8" ht="15" x14ac:dyDescent="0.3">
      <c r="A3" s="1" t="s">
        <v>84</v>
      </c>
      <c r="B3" t="str">
        <f t="shared" ref="B3:B11" si="0">MID(A3,SEARCH("Qualifier: ",A3)+LEN("Qualifier: "),SEARCH(" - Frequency:",A3)-SEARCH("Qualifier: ",A3)-LEN("Qualifier: "))</f>
        <v>javadoc</v>
      </c>
      <c r="C3">
        <f t="shared" ref="C3:C11" si="1">VALUE(MID(A3,SEARCH("Frequency: ",A3)+LEN("Frequency: "),LEN(A3)-SEARCH("Frequency: ",A3)-LEN("Frequency: ")+1))</f>
        <v>363507</v>
      </c>
      <c r="D3">
        <f t="shared" ref="D3:D12" si="2">ROUND(VALUE(C3/$E$1)*100, 3)</f>
        <v>43.218000000000004</v>
      </c>
      <c r="H3">
        <f t="shared" ref="H3:H12" si="3">ROUND(VALUE(C3/$G$1)*100, 3)</f>
        <v>76.843999999999994</v>
      </c>
    </row>
    <row r="4" spans="1:8" ht="15" x14ac:dyDescent="0.3">
      <c r="A4" s="1" t="s">
        <v>85</v>
      </c>
      <c r="B4" t="str">
        <f t="shared" si="0"/>
        <v>tests</v>
      </c>
      <c r="C4">
        <f t="shared" si="1"/>
        <v>27921</v>
      </c>
      <c r="D4">
        <f t="shared" si="2"/>
        <v>3.32</v>
      </c>
      <c r="H4">
        <f t="shared" si="3"/>
        <v>5.9020000000000001</v>
      </c>
    </row>
    <row r="5" spans="1:8" ht="15" x14ac:dyDescent="0.3">
      <c r="A5" s="1" t="s">
        <v>86</v>
      </c>
      <c r="B5" t="str">
        <f t="shared" si="0"/>
        <v>test-sources</v>
      </c>
      <c r="C5">
        <f t="shared" si="1"/>
        <v>10890</v>
      </c>
      <c r="D5">
        <f t="shared" si="2"/>
        <v>1.2949999999999999</v>
      </c>
      <c r="H5">
        <f t="shared" si="3"/>
        <v>2.302</v>
      </c>
    </row>
    <row r="6" spans="1:8" ht="15" x14ac:dyDescent="0.3">
      <c r="A6" s="1" t="s">
        <v>87</v>
      </c>
      <c r="B6" t="str">
        <f t="shared" si="0"/>
        <v>source-release</v>
      </c>
      <c r="C6">
        <f t="shared" si="1"/>
        <v>3095</v>
      </c>
      <c r="D6">
        <f t="shared" si="2"/>
        <v>0.36799999999999999</v>
      </c>
      <c r="H6">
        <f t="shared" si="3"/>
        <v>0.65400000000000003</v>
      </c>
    </row>
    <row r="7" spans="1:8" ht="15" x14ac:dyDescent="0.3">
      <c r="A7" s="1" t="s">
        <v>88</v>
      </c>
      <c r="B7" t="str">
        <f t="shared" si="0"/>
        <v>jar-with-dependencies</v>
      </c>
      <c r="C7">
        <f t="shared" si="1"/>
        <v>2914</v>
      </c>
      <c r="D7">
        <f t="shared" si="2"/>
        <v>0.34599999999999997</v>
      </c>
      <c r="H7">
        <f t="shared" si="3"/>
        <v>0.61599999999999999</v>
      </c>
    </row>
    <row r="8" spans="1:8" ht="15" x14ac:dyDescent="0.3">
      <c r="A8" s="1" t="s">
        <v>89</v>
      </c>
      <c r="B8" t="str">
        <f t="shared" si="0"/>
        <v>tests-javadoc</v>
      </c>
      <c r="C8">
        <f t="shared" si="1"/>
        <v>2204</v>
      </c>
      <c r="D8">
        <f t="shared" si="2"/>
        <v>0.26200000000000001</v>
      </c>
      <c r="H8">
        <f t="shared" si="3"/>
        <v>0.46600000000000003</v>
      </c>
    </row>
    <row r="9" spans="1:8" ht="15" x14ac:dyDescent="0.3">
      <c r="A9" s="1" t="s">
        <v>90</v>
      </c>
      <c r="B9" t="str">
        <f t="shared" si="0"/>
        <v>tests-sources</v>
      </c>
      <c r="C9">
        <f t="shared" si="1"/>
        <v>2195</v>
      </c>
      <c r="D9">
        <f t="shared" si="2"/>
        <v>0.26100000000000001</v>
      </c>
      <c r="H9">
        <f t="shared" si="3"/>
        <v>0.46400000000000002</v>
      </c>
    </row>
    <row r="10" spans="1:8" ht="15" x14ac:dyDescent="0.3">
      <c r="A10" s="1" t="s">
        <v>91</v>
      </c>
      <c r="B10" t="str">
        <f t="shared" si="0"/>
        <v>sources-commercial</v>
      </c>
      <c r="C10">
        <f t="shared" si="1"/>
        <v>2071</v>
      </c>
      <c r="D10">
        <f t="shared" si="2"/>
        <v>0.246</v>
      </c>
      <c r="H10">
        <f t="shared" si="3"/>
        <v>0.438</v>
      </c>
    </row>
    <row r="11" spans="1:8" ht="15" x14ac:dyDescent="0.3">
      <c r="A11" s="1" t="s">
        <v>150</v>
      </c>
      <c r="B11" t="str">
        <f t="shared" si="0"/>
        <v>metadata</v>
      </c>
      <c r="C11">
        <f t="shared" si="1"/>
        <v>1829</v>
      </c>
      <c r="D11">
        <f t="shared" si="2"/>
        <v>0.217</v>
      </c>
      <c r="H11">
        <f t="shared" si="3"/>
        <v>0.38700000000000001</v>
      </c>
    </row>
    <row r="12" spans="1:8" ht="15" x14ac:dyDescent="0.3">
      <c r="A12" s="1"/>
      <c r="B12" t="s">
        <v>20</v>
      </c>
      <c r="C12">
        <f>E1-SUM(C2:C11)</f>
        <v>34798</v>
      </c>
      <c r="D12">
        <f t="shared" si="2"/>
        <v>4.1369999999999996</v>
      </c>
      <c r="H12">
        <f t="shared" si="3"/>
        <v>7.3559999999999999</v>
      </c>
    </row>
    <row r="13" spans="1:8" ht="15" x14ac:dyDescent="0.3">
      <c r="A13" s="1"/>
    </row>
    <row r="14" spans="1:8" ht="15" x14ac:dyDescent="0.3">
      <c r="A14" s="1"/>
    </row>
    <row r="15" spans="1:8" ht="15" x14ac:dyDescent="0.3">
      <c r="A15" s="1"/>
    </row>
    <row r="16" spans="1:8" ht="15" x14ac:dyDescent="0.3">
      <c r="A16" s="1"/>
    </row>
    <row r="17" spans="1:1" ht="15" x14ac:dyDescent="0.3">
      <c r="A17" s="1"/>
    </row>
    <row r="18" spans="1:1" ht="15" x14ac:dyDescent="0.3">
      <c r="A18" s="1"/>
    </row>
    <row r="19" spans="1:1" ht="15" x14ac:dyDescent="0.3">
      <c r="A19" s="1"/>
    </row>
    <row r="20" spans="1:1" ht="15" x14ac:dyDescent="0.3">
      <c r="A20" s="1"/>
    </row>
    <row r="21" spans="1:1" ht="15" x14ac:dyDescent="0.3">
      <c r="A21" s="1"/>
    </row>
    <row r="22" spans="1:1" ht="15" x14ac:dyDescent="0.3">
      <c r="A22" s="1"/>
    </row>
    <row r="23" spans="1:1" ht="15" x14ac:dyDescent="0.3">
      <c r="A23" s="1"/>
    </row>
    <row r="24" spans="1:1" ht="15" x14ac:dyDescent="0.3">
      <c r="A24" s="1"/>
    </row>
    <row r="25" spans="1:1" ht="15" x14ac:dyDescent="0.3">
      <c r="A25" s="1"/>
    </row>
    <row r="26" spans="1:1" ht="15" x14ac:dyDescent="0.3">
      <c r="A26" s="1"/>
    </row>
    <row r="27" spans="1:1" ht="15" x14ac:dyDescent="0.3">
      <c r="A27" s="1"/>
    </row>
    <row r="28" spans="1:1" ht="15" x14ac:dyDescent="0.3">
      <c r="A28" s="1"/>
    </row>
    <row r="29" spans="1:1" ht="15" x14ac:dyDescent="0.3">
      <c r="A29" s="1"/>
    </row>
    <row r="30" spans="1:1" ht="15" x14ac:dyDescent="0.3">
      <c r="A30" s="1"/>
    </row>
    <row r="31" spans="1:1" ht="15" x14ac:dyDescent="0.3">
      <c r="A31" s="1"/>
    </row>
    <row r="32" spans="1:1" ht="15" x14ac:dyDescent="0.3">
      <c r="A32" s="1"/>
    </row>
    <row r="33" spans="1:1" ht="15" x14ac:dyDescent="0.3">
      <c r="A33" s="1"/>
    </row>
    <row r="34" spans="1:1" ht="15" x14ac:dyDescent="0.3">
      <c r="A34" s="1"/>
    </row>
    <row r="35" spans="1:1" ht="15" x14ac:dyDescent="0.3">
      <c r="A35" s="1"/>
    </row>
    <row r="36" spans="1:1" ht="15" x14ac:dyDescent="0.3">
      <c r="A36" s="1"/>
    </row>
    <row r="37" spans="1:1" ht="15" x14ac:dyDescent="0.3">
      <c r="A37" s="1"/>
    </row>
    <row r="38" spans="1:1" ht="15" x14ac:dyDescent="0.3">
      <c r="A38" s="1"/>
    </row>
    <row r="39" spans="1:1" ht="15" x14ac:dyDescent="0.3">
      <c r="A39" s="1"/>
    </row>
    <row r="40" spans="1:1" ht="15" x14ac:dyDescent="0.3">
      <c r="A40" s="1"/>
    </row>
    <row r="41" spans="1:1" ht="15" x14ac:dyDescent="0.3">
      <c r="A41" s="1"/>
    </row>
    <row r="42" spans="1:1" ht="15" x14ac:dyDescent="0.3">
      <c r="A42" s="1"/>
    </row>
    <row r="43" spans="1:1" ht="15" x14ac:dyDescent="0.3">
      <c r="A43" s="1"/>
    </row>
    <row r="44" spans="1:1" ht="15" x14ac:dyDescent="0.3">
      <c r="A44" s="1"/>
    </row>
    <row r="45" spans="1:1" ht="15" x14ac:dyDescent="0.3">
      <c r="A45" s="1"/>
    </row>
    <row r="46" spans="1:1" ht="15" x14ac:dyDescent="0.3">
      <c r="A46" s="1"/>
    </row>
    <row r="47" spans="1:1" ht="15" x14ac:dyDescent="0.3">
      <c r="A47" s="1"/>
    </row>
    <row r="48" spans="1:1" ht="15" x14ac:dyDescent="0.3">
      <c r="A48" s="1"/>
    </row>
    <row r="49" spans="1:1" ht="15" x14ac:dyDescent="0.3">
      <c r="A49" s="1"/>
    </row>
    <row r="50" spans="1:1" ht="15" x14ac:dyDescent="0.3">
      <c r="A50" s="1"/>
    </row>
    <row r="51" spans="1:1" ht="15" x14ac:dyDescent="0.3">
      <c r="A51" s="1"/>
    </row>
    <row r="52" spans="1:1" ht="15" x14ac:dyDescent="0.3">
      <c r="A52" s="1"/>
    </row>
    <row r="53" spans="1:1" ht="15" x14ac:dyDescent="0.3">
      <c r="A53" s="1"/>
    </row>
    <row r="54" spans="1:1" ht="15" x14ac:dyDescent="0.3">
      <c r="A54" s="1"/>
    </row>
    <row r="55" spans="1:1" ht="15" x14ac:dyDescent="0.3">
      <c r="A55" s="1"/>
    </row>
    <row r="56" spans="1:1" ht="15" x14ac:dyDescent="0.3">
      <c r="A56" s="1"/>
    </row>
    <row r="57" spans="1:1" ht="15" x14ac:dyDescent="0.3">
      <c r="A57" s="1"/>
    </row>
    <row r="58" spans="1:1" ht="15" x14ac:dyDescent="0.3">
      <c r="A58" s="1"/>
    </row>
    <row r="59" spans="1:1" ht="15" x14ac:dyDescent="0.3">
      <c r="A59" s="1"/>
    </row>
    <row r="60" spans="1:1" ht="15" x14ac:dyDescent="0.3">
      <c r="A60" s="1"/>
    </row>
    <row r="61" spans="1:1" ht="15" x14ac:dyDescent="0.3">
      <c r="A61" s="1"/>
    </row>
    <row r="62" spans="1:1" ht="15" x14ac:dyDescent="0.3">
      <c r="A62" s="1"/>
    </row>
    <row r="63" spans="1:1" ht="15" x14ac:dyDescent="0.3">
      <c r="A63" s="1"/>
    </row>
    <row r="64" spans="1:1" ht="15" x14ac:dyDescent="0.3">
      <c r="A64" s="1"/>
    </row>
    <row r="65" spans="1:1" ht="15" x14ac:dyDescent="0.3">
      <c r="A65" s="1"/>
    </row>
    <row r="66" spans="1:1" ht="15" x14ac:dyDescent="0.3">
      <c r="A66" s="1"/>
    </row>
    <row r="67" spans="1:1" ht="15" x14ac:dyDescent="0.3">
      <c r="A67" s="1"/>
    </row>
    <row r="68" spans="1:1" ht="15" x14ac:dyDescent="0.3">
      <c r="A68" s="1"/>
    </row>
    <row r="69" spans="1:1" ht="15" x14ac:dyDescent="0.3">
      <c r="A69" s="1"/>
    </row>
    <row r="70" spans="1:1" ht="15" x14ac:dyDescent="0.3">
      <c r="A70" s="1"/>
    </row>
    <row r="71" spans="1:1" ht="15" x14ac:dyDescent="0.3">
      <c r="A71" s="1"/>
    </row>
    <row r="72" spans="1:1" ht="15" x14ac:dyDescent="0.3">
      <c r="A72" s="1"/>
    </row>
    <row r="73" spans="1:1" ht="15" x14ac:dyDescent="0.3">
      <c r="A73" s="1"/>
    </row>
    <row r="74" spans="1:1" ht="15" x14ac:dyDescent="0.3">
      <c r="A74" s="1"/>
    </row>
    <row r="75" spans="1:1" ht="15" x14ac:dyDescent="0.3">
      <c r="A75" s="1"/>
    </row>
    <row r="76" spans="1:1" ht="15" x14ac:dyDescent="0.3">
      <c r="A76" s="1"/>
    </row>
    <row r="77" spans="1:1" ht="15" x14ac:dyDescent="0.3">
      <c r="A77" s="1"/>
    </row>
    <row r="78" spans="1:1" ht="15" x14ac:dyDescent="0.3">
      <c r="A78" s="1"/>
    </row>
    <row r="79" spans="1:1" ht="15" x14ac:dyDescent="0.3">
      <c r="A79" s="1"/>
    </row>
    <row r="80" spans="1:1" ht="15" x14ac:dyDescent="0.3">
      <c r="A80" s="1"/>
    </row>
    <row r="81" spans="1:1" ht="15" x14ac:dyDescent="0.3">
      <c r="A81" s="1"/>
    </row>
    <row r="82" spans="1:1" ht="15" x14ac:dyDescent="0.3">
      <c r="A82" s="1"/>
    </row>
    <row r="83" spans="1:1" ht="15" x14ac:dyDescent="0.3">
      <c r="A83" s="1"/>
    </row>
    <row r="84" spans="1:1" ht="15" x14ac:dyDescent="0.3">
      <c r="A84" s="1"/>
    </row>
    <row r="85" spans="1:1" ht="15" x14ac:dyDescent="0.3">
      <c r="A85" s="1"/>
    </row>
    <row r="86" spans="1:1" ht="15" x14ac:dyDescent="0.3">
      <c r="A86" s="1"/>
    </row>
    <row r="87" spans="1:1" ht="15" x14ac:dyDescent="0.3">
      <c r="A87" s="1"/>
    </row>
    <row r="88" spans="1:1" ht="15" x14ac:dyDescent="0.3">
      <c r="A88" s="1"/>
    </row>
    <row r="89" spans="1:1" ht="15" x14ac:dyDescent="0.3">
      <c r="A89" s="1"/>
    </row>
    <row r="90" spans="1:1" ht="15" x14ac:dyDescent="0.3">
      <c r="A90" s="1"/>
    </row>
    <row r="91" spans="1:1" ht="15" x14ac:dyDescent="0.3">
      <c r="A91" s="2"/>
    </row>
    <row r="92" spans="1:1" ht="15" x14ac:dyDescent="0.3">
      <c r="A92" s="1"/>
    </row>
    <row r="93" spans="1:1" ht="15" x14ac:dyDescent="0.3">
      <c r="A93" s="1"/>
    </row>
    <row r="94" spans="1:1" ht="15" x14ac:dyDescent="0.3">
      <c r="A94" s="1"/>
    </row>
    <row r="95" spans="1:1" ht="15" x14ac:dyDescent="0.3">
      <c r="A95" s="1"/>
    </row>
    <row r="96" spans="1:1" ht="15" x14ac:dyDescent="0.3">
      <c r="A96" s="1"/>
    </row>
    <row r="97" spans="1:1" ht="15" x14ac:dyDescent="0.3">
      <c r="A97" s="1"/>
    </row>
    <row r="98" spans="1:1" ht="15" x14ac:dyDescent="0.3">
      <c r="A98" s="1"/>
    </row>
    <row r="99" spans="1:1" ht="15" x14ac:dyDescent="0.3">
      <c r="A99" s="1"/>
    </row>
    <row r="100" spans="1:1" ht="15" x14ac:dyDescent="0.3">
      <c r="A100" s="1"/>
    </row>
    <row r="101" spans="1:1" ht="15" x14ac:dyDescent="0.3">
      <c r="A101" s="1"/>
    </row>
    <row r="102" spans="1:1" ht="15" x14ac:dyDescent="0.3">
      <c r="A102" s="1"/>
    </row>
    <row r="103" spans="1:1" ht="15" x14ac:dyDescent="0.3">
      <c r="A103" s="1"/>
    </row>
    <row r="104" spans="1:1" ht="15" x14ac:dyDescent="0.3">
      <c r="A104" s="1"/>
    </row>
    <row r="105" spans="1:1" ht="15" x14ac:dyDescent="0.3">
      <c r="A105" s="1"/>
    </row>
    <row r="106" spans="1:1" ht="15" x14ac:dyDescent="0.3">
      <c r="A106" s="1"/>
    </row>
    <row r="107" spans="1:1" ht="15" x14ac:dyDescent="0.3">
      <c r="A107" s="1"/>
    </row>
    <row r="108" spans="1:1" ht="15" x14ac:dyDescent="0.3">
      <c r="A108" s="1"/>
    </row>
    <row r="109" spans="1:1" ht="15" x14ac:dyDescent="0.3">
      <c r="A109" s="1"/>
    </row>
    <row r="110" spans="1:1" ht="15" x14ac:dyDescent="0.3">
      <c r="A110" s="1"/>
    </row>
    <row r="111" spans="1:1" ht="15" x14ac:dyDescent="0.3">
      <c r="A111" s="1"/>
    </row>
    <row r="112" spans="1:1" ht="15" x14ac:dyDescent="0.3">
      <c r="A112" s="1"/>
    </row>
    <row r="113" spans="1:1" ht="15" x14ac:dyDescent="0.3">
      <c r="A113" s="1"/>
    </row>
    <row r="114" spans="1:1" ht="15" x14ac:dyDescent="0.3">
      <c r="A114" s="1"/>
    </row>
    <row r="115" spans="1:1" ht="15" x14ac:dyDescent="0.3">
      <c r="A115" s="1"/>
    </row>
    <row r="116" spans="1:1" ht="15" x14ac:dyDescent="0.3">
      <c r="A116" s="1"/>
    </row>
    <row r="117" spans="1:1" ht="15" x14ac:dyDescent="0.3">
      <c r="A117" s="1"/>
    </row>
    <row r="118" spans="1:1" ht="15" x14ac:dyDescent="0.3">
      <c r="A118" s="1"/>
    </row>
    <row r="119" spans="1:1" ht="15" x14ac:dyDescent="0.3">
      <c r="A119" s="1"/>
    </row>
    <row r="120" spans="1:1" ht="15" x14ac:dyDescent="0.3">
      <c r="A120" s="1"/>
    </row>
    <row r="121" spans="1:1" ht="15" x14ac:dyDescent="0.3">
      <c r="A121" s="1"/>
    </row>
    <row r="122" spans="1:1" ht="15" x14ac:dyDescent="0.3">
      <c r="A122" s="1"/>
    </row>
    <row r="123" spans="1:1" ht="15" x14ac:dyDescent="0.3">
      <c r="A123" s="1"/>
    </row>
    <row r="124" spans="1:1" ht="15" x14ac:dyDescent="0.3">
      <c r="A124" s="1"/>
    </row>
    <row r="125" spans="1:1" ht="15" x14ac:dyDescent="0.3">
      <c r="A125" s="1"/>
    </row>
    <row r="126" spans="1:1" ht="15" x14ac:dyDescent="0.3">
      <c r="A126" s="1"/>
    </row>
    <row r="127" spans="1:1" ht="15" x14ac:dyDescent="0.3">
      <c r="A127" s="1"/>
    </row>
    <row r="128" spans="1:1" ht="15" x14ac:dyDescent="0.3">
      <c r="A128" s="1"/>
    </row>
    <row r="129" spans="1:1" ht="15" x14ac:dyDescent="0.3">
      <c r="A129" s="1"/>
    </row>
    <row r="130" spans="1:1" ht="15" x14ac:dyDescent="0.3">
      <c r="A130" s="1"/>
    </row>
    <row r="131" spans="1:1" ht="15" x14ac:dyDescent="0.3">
      <c r="A131" s="1"/>
    </row>
    <row r="132" spans="1:1" ht="15" x14ac:dyDescent="0.3">
      <c r="A132" s="1"/>
    </row>
    <row r="133" spans="1:1" ht="15" x14ac:dyDescent="0.3">
      <c r="A133" s="1"/>
    </row>
    <row r="134" spans="1:1" ht="15" x14ac:dyDescent="0.3">
      <c r="A134" s="1"/>
    </row>
    <row r="135" spans="1:1" ht="15" x14ac:dyDescent="0.3">
      <c r="A135" s="1"/>
    </row>
    <row r="136" spans="1:1" ht="15" x14ac:dyDescent="0.3">
      <c r="A136" s="1"/>
    </row>
    <row r="137" spans="1:1" ht="15" x14ac:dyDescent="0.3">
      <c r="A137" s="1"/>
    </row>
    <row r="138" spans="1:1" ht="15" x14ac:dyDescent="0.3">
      <c r="A138" s="1"/>
    </row>
    <row r="139" spans="1:1" ht="15" x14ac:dyDescent="0.3">
      <c r="A139" s="1"/>
    </row>
    <row r="140" spans="1:1" ht="15" x14ac:dyDescent="0.3">
      <c r="A140" s="1"/>
    </row>
    <row r="141" spans="1:1" ht="15" x14ac:dyDescent="0.3">
      <c r="A141" s="1"/>
    </row>
    <row r="142" spans="1:1" ht="15" x14ac:dyDescent="0.3">
      <c r="A142" s="1"/>
    </row>
    <row r="143" spans="1:1" ht="15" x14ac:dyDescent="0.3">
      <c r="A143" s="1"/>
    </row>
    <row r="144" spans="1:1" ht="15" x14ac:dyDescent="0.3">
      <c r="A144" s="1"/>
    </row>
    <row r="145" spans="1:1" ht="15" x14ac:dyDescent="0.3">
      <c r="A145" s="1"/>
    </row>
    <row r="146" spans="1:1" ht="15" x14ac:dyDescent="0.3">
      <c r="A146" s="1"/>
    </row>
    <row r="147" spans="1:1" ht="15" x14ac:dyDescent="0.3">
      <c r="A147" s="1"/>
    </row>
    <row r="148" spans="1:1" ht="15" x14ac:dyDescent="0.3">
      <c r="A148" s="1"/>
    </row>
    <row r="149" spans="1:1" ht="15" x14ac:dyDescent="0.3">
      <c r="A149" s="1"/>
    </row>
    <row r="150" spans="1:1" ht="15" x14ac:dyDescent="0.3">
      <c r="A150" s="1"/>
    </row>
    <row r="151" spans="1:1" ht="15" x14ac:dyDescent="0.3">
      <c r="A151" s="1"/>
    </row>
    <row r="152" spans="1:1" ht="15" x14ac:dyDescent="0.3">
      <c r="A152" s="1"/>
    </row>
    <row r="153" spans="1:1" ht="15" x14ac:dyDescent="0.3">
      <c r="A153" s="1"/>
    </row>
    <row r="154" spans="1:1" ht="15" x14ac:dyDescent="0.3">
      <c r="A154" s="1"/>
    </row>
    <row r="155" spans="1:1" ht="15" x14ac:dyDescent="0.3">
      <c r="A155" s="1"/>
    </row>
    <row r="156" spans="1:1" ht="15" x14ac:dyDescent="0.3">
      <c r="A156" s="1"/>
    </row>
    <row r="157" spans="1:1" ht="15" x14ac:dyDescent="0.3">
      <c r="A157" s="1"/>
    </row>
    <row r="158" spans="1:1" ht="15" x14ac:dyDescent="0.3">
      <c r="A158" s="1"/>
    </row>
    <row r="159" spans="1:1" ht="15" x14ac:dyDescent="0.3">
      <c r="A159" s="1"/>
    </row>
  </sheetData>
  <phoneticPr fontId="19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POM_packaging</vt:lpstr>
      <vt:lpstr>Index_packaging</vt:lpstr>
      <vt:lpstr>Repo_packaging</vt:lpstr>
      <vt:lpstr>Frequency_packaging</vt:lpstr>
      <vt:lpstr>Difference_POM_Index</vt:lpstr>
      <vt:lpstr>Frequency_checksum</vt:lpstr>
      <vt:lpstr>Checksum_per_package</vt:lpstr>
      <vt:lpstr>Checksum_over_time</vt:lpstr>
      <vt:lpstr>Qualifier_frequency</vt:lpstr>
      <vt:lpstr>Frequency_executableFile type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 Rungta</dc:creator>
  <cp:lastModifiedBy>Priyam Rungta</cp:lastModifiedBy>
  <cp:lastPrinted>2023-06-21T07:48:52Z</cp:lastPrinted>
  <dcterms:created xsi:type="dcterms:W3CDTF">2023-06-04T11:06:07Z</dcterms:created>
  <dcterms:modified xsi:type="dcterms:W3CDTF">2023-06-23T07:02:20Z</dcterms:modified>
</cp:coreProperties>
</file>