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ve Ruggiero\Documents\Research\Tuberculosis\Deterministic-model\"/>
    </mc:Choice>
  </mc:AlternateContent>
  <bookViews>
    <workbookView xWindow="0" yWindow="0" windowWidth="28770" windowHeight="11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1" l="1"/>
  <c r="R92" i="1" l="1"/>
  <c r="P76" i="1"/>
  <c r="Q44" i="1"/>
  <c r="S29" i="1"/>
  <c r="Q5" i="1"/>
  <c r="O127" i="1" l="1"/>
  <c r="U124" i="1"/>
  <c r="V124" i="1"/>
  <c r="T124" i="1"/>
  <c r="S124" i="1"/>
  <c r="R124" i="1"/>
  <c r="Q124" i="1"/>
  <c r="P124" i="1"/>
  <c r="O124" i="1"/>
  <c r="O119" i="1"/>
  <c r="U116" i="1"/>
  <c r="T116" i="1"/>
  <c r="S116" i="1"/>
  <c r="R116" i="1"/>
  <c r="Q116" i="1"/>
  <c r="P116" i="1"/>
  <c r="O116" i="1"/>
  <c r="O111" i="1"/>
  <c r="Q108" i="1"/>
  <c r="P108" i="1"/>
  <c r="O108" i="1"/>
  <c r="S100" i="1"/>
  <c r="R100" i="1"/>
  <c r="Q100" i="1"/>
  <c r="P100" i="1"/>
  <c r="O100" i="1"/>
  <c r="O103" i="1" s="1"/>
  <c r="Q92" i="1"/>
  <c r="U84" i="1"/>
  <c r="T84" i="1"/>
  <c r="S84" i="1"/>
  <c r="R84" i="1"/>
  <c r="Q84" i="1"/>
  <c r="P84" i="1"/>
  <c r="S76" i="1"/>
  <c r="R76" i="1"/>
  <c r="Q76" i="1"/>
  <c r="O76" i="1"/>
  <c r="S60" i="1"/>
  <c r="S68" i="1"/>
  <c r="R68" i="1"/>
  <c r="O71" i="1" s="1"/>
  <c r="Q68" i="1"/>
  <c r="P68" i="1"/>
  <c r="O68" i="1"/>
  <c r="R60" i="1"/>
  <c r="Q60" i="1"/>
  <c r="P60" i="1"/>
  <c r="O60" i="1"/>
  <c r="O55" i="1"/>
  <c r="S52" i="1"/>
  <c r="R52" i="1"/>
  <c r="Q52" i="1"/>
  <c r="P52" i="1"/>
  <c r="O52" i="1"/>
  <c r="R44" i="1"/>
  <c r="P44" i="1"/>
  <c r="O44" i="1"/>
  <c r="O47" i="1" l="1"/>
  <c r="O63" i="1"/>
  <c r="S36" i="1"/>
  <c r="R36" i="1"/>
  <c r="P36" i="1"/>
  <c r="O36" i="1"/>
  <c r="O39" i="1" s="1"/>
  <c r="T29" i="1"/>
  <c r="O32" i="1"/>
  <c r="R29" i="1"/>
  <c r="Q29" i="1"/>
  <c r="P29" i="1"/>
  <c r="O29" i="1"/>
  <c r="Q21" i="1"/>
  <c r="P21" i="1"/>
  <c r="O21" i="1"/>
  <c r="O24" i="1" s="1"/>
  <c r="T13" i="1"/>
  <c r="S13" i="1"/>
  <c r="R13" i="1"/>
  <c r="Q13" i="1"/>
  <c r="P13" i="1"/>
  <c r="O13" i="1"/>
  <c r="T5" i="1"/>
  <c r="R5" i="1"/>
  <c r="P5" i="1"/>
  <c r="O5" i="1"/>
  <c r="K18" i="1"/>
  <c r="O16" i="1" l="1"/>
  <c r="S5" i="1"/>
  <c r="O8" i="1" s="1"/>
  <c r="O84" i="1"/>
  <c r="O87" i="1" s="1"/>
  <c r="O79" i="1"/>
  <c r="O92" i="1"/>
  <c r="P92" i="1"/>
  <c r="O95" i="1" l="1"/>
</calcChain>
</file>

<file path=xl/sharedStrings.xml><?xml version="1.0" encoding="utf-8"?>
<sst xmlns="http://schemas.openxmlformats.org/spreadsheetml/2006/main" count="260" uniqueCount="147">
  <si>
    <t>a_5a</t>
  </si>
  <si>
    <t>a_30</t>
  </si>
  <si>
    <t>a_5c</t>
  </si>
  <si>
    <t>a_4a</t>
  </si>
  <si>
    <t>a_23</t>
  </si>
  <si>
    <t>a_5b</t>
  </si>
  <si>
    <t>a_18</t>
  </si>
  <si>
    <t>a_3a2</t>
  </si>
  <si>
    <t>a_3ac</t>
  </si>
  <si>
    <t>a_31</t>
  </si>
  <si>
    <t>a_1a</t>
  </si>
  <si>
    <t>a_32</t>
  </si>
  <si>
    <t>a_33</t>
  </si>
  <si>
    <t>a_3a</t>
  </si>
  <si>
    <t>sr_3b2</t>
  </si>
  <si>
    <t>sr_4b</t>
  </si>
  <si>
    <t>sr_1b</t>
  </si>
  <si>
    <t>sr_3b</t>
  </si>
  <si>
    <t>sr_3bc</t>
  </si>
  <si>
    <t>f_9</t>
  </si>
  <si>
    <t>f_7</t>
  </si>
  <si>
    <t>f_8</t>
  </si>
  <si>
    <t>s_4b1</t>
  </si>
  <si>
    <t>s_4b2</t>
  </si>
  <si>
    <t>s_4b</t>
  </si>
  <si>
    <t>B_2</t>
  </si>
  <si>
    <t>B</t>
  </si>
  <si>
    <t>c</t>
  </si>
  <si>
    <t>c_c</t>
  </si>
  <si>
    <t>c_52</t>
  </si>
  <si>
    <t>c_T1</t>
  </si>
  <si>
    <t>c_5a</t>
  </si>
  <si>
    <t>c_T</t>
  </si>
  <si>
    <t>c_5b</t>
  </si>
  <si>
    <t>c_230</t>
  </si>
  <si>
    <t>c_23</t>
  </si>
  <si>
    <t>c_4</t>
  </si>
  <si>
    <t>w_3</t>
  </si>
  <si>
    <t>w_2</t>
  </si>
  <si>
    <t>w_1</t>
  </si>
  <si>
    <t>m</t>
  </si>
  <si>
    <t>u_Ty</t>
  </si>
  <si>
    <t>u_Tcy</t>
  </si>
  <si>
    <t>u_T8</t>
  </si>
  <si>
    <t>u_Tc</t>
  </si>
  <si>
    <t>u_T80</t>
  </si>
  <si>
    <t>u_i</t>
  </si>
  <si>
    <t>u_TNF</t>
  </si>
  <si>
    <t>k_14a</t>
  </si>
  <si>
    <t>k_14b</t>
  </si>
  <si>
    <t>k_52</t>
  </si>
  <si>
    <t>s_10</t>
  </si>
  <si>
    <t>s_12</t>
  </si>
  <si>
    <t>s</t>
  </si>
  <si>
    <t>d_7</t>
  </si>
  <si>
    <t>N_fraca</t>
  </si>
  <si>
    <t>N_fracc</t>
  </si>
  <si>
    <t>a_20</t>
  </si>
  <si>
    <t>a_19</t>
  </si>
  <si>
    <t>a_12</t>
  </si>
  <si>
    <t>a_11</t>
  </si>
  <si>
    <t>a_17</t>
  </si>
  <si>
    <t>a_8</t>
  </si>
  <si>
    <t>a_7</t>
  </si>
  <si>
    <t>a_16</t>
  </si>
  <si>
    <t>a_2</t>
  </si>
  <si>
    <t>sr_m</t>
  </si>
  <si>
    <t>f_6</t>
  </si>
  <si>
    <t>f_4</t>
  </si>
  <si>
    <t>f_2</t>
  </si>
  <si>
    <t>f_1</t>
  </si>
  <si>
    <t>s_2</t>
  </si>
  <si>
    <t>s_6</t>
  </si>
  <si>
    <t>s_4</t>
  </si>
  <si>
    <t>s_7</t>
  </si>
  <si>
    <t>s_1</t>
  </si>
  <si>
    <t>s_8</t>
  </si>
  <si>
    <t>c_9</t>
  </si>
  <si>
    <t>c_8</t>
  </si>
  <si>
    <t>c_15</t>
  </si>
  <si>
    <t>c_10</t>
  </si>
  <si>
    <t>u_MR</t>
  </si>
  <si>
    <t>u_MI</t>
  </si>
  <si>
    <t>u_MA</t>
  </si>
  <si>
    <t>u_iy</t>
  </si>
  <si>
    <t>u_i4</t>
  </si>
  <si>
    <t>u_i10</t>
  </si>
  <si>
    <t>u_i12</t>
  </si>
  <si>
    <t>u_T2</t>
  </si>
  <si>
    <t>u_T1</t>
  </si>
  <si>
    <t>u_T0</t>
  </si>
  <si>
    <t>k_2</t>
  </si>
  <si>
    <t>k_3</t>
  </si>
  <si>
    <t>k_17</t>
  </si>
  <si>
    <t>k_4</t>
  </si>
  <si>
    <t>k_6</t>
  </si>
  <si>
    <t>k_7</t>
  </si>
  <si>
    <t>k_18</t>
  </si>
  <si>
    <t>k_15</t>
  </si>
  <si>
    <t>s_g</t>
  </si>
  <si>
    <t>N</t>
  </si>
  <si>
    <t>Parameters</t>
  </si>
  <si>
    <t>Values</t>
  </si>
  <si>
    <t>Variables</t>
  </si>
  <si>
    <t>Diff Eqs</t>
  </si>
  <si>
    <t>Term1</t>
  </si>
  <si>
    <t>Term2</t>
  </si>
  <si>
    <t>Term3</t>
  </si>
  <si>
    <t>Term4</t>
  </si>
  <si>
    <t>Term5</t>
  </si>
  <si>
    <t>Term6</t>
  </si>
  <si>
    <t>M_R</t>
  </si>
  <si>
    <t>M_1</t>
  </si>
  <si>
    <t>M_A</t>
  </si>
  <si>
    <t>T_0</t>
  </si>
  <si>
    <t>T_1</t>
  </si>
  <si>
    <t>T_2</t>
  </si>
  <si>
    <t>T_80</t>
  </si>
  <si>
    <t>T_c</t>
  </si>
  <si>
    <t>F_a</t>
  </si>
  <si>
    <t>I_y</t>
  </si>
  <si>
    <t>I_12</t>
  </si>
  <si>
    <t>I_10</t>
  </si>
  <si>
    <t>I_4</t>
  </si>
  <si>
    <t>B_I</t>
  </si>
  <si>
    <t>B_E</t>
  </si>
  <si>
    <t>B_T</t>
  </si>
  <si>
    <t>dM_R/dt</t>
  </si>
  <si>
    <t>T_8</t>
  </si>
  <si>
    <t>Total</t>
  </si>
  <si>
    <t>dM_1/dt</t>
  </si>
  <si>
    <t>dM_A/dt</t>
  </si>
  <si>
    <t>dT_0/dt</t>
  </si>
  <si>
    <t>dT_1/dt</t>
  </si>
  <si>
    <t>dT_2/dt</t>
  </si>
  <si>
    <t>dT_80/dt</t>
  </si>
  <si>
    <t>dT_8/dt</t>
  </si>
  <si>
    <t>dT_c/dt</t>
  </si>
  <si>
    <t>dF_A</t>
  </si>
  <si>
    <t>dI_y/dt</t>
  </si>
  <si>
    <t>Term7</t>
  </si>
  <si>
    <t>dI_12/dt</t>
  </si>
  <si>
    <t>dI_10/dt</t>
  </si>
  <si>
    <t>dI_4/dt</t>
  </si>
  <si>
    <t>dB_E/dt</t>
  </si>
  <si>
    <t>Term8</t>
  </si>
  <si>
    <t>dB_I/dt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</si>
</sst>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7"/>
  <sheetViews>
    <sheetView tabSelected="1" topLeftCell="J27" workbookViewId="0">
      <selection activeCell="O39" sqref="O39"/>
    </sheetView>
  </sheetViews>
  <sheetFormatPr defaultRowHeight="15" x14ac:dyDescent="0.25"/>
  <cols>
    <col min="1" max="1" width="11.140625" bestFit="1" customWidth="1"/>
    <col min="4" max="4" width="11.140625" style="2" bestFit="1" customWidth="1"/>
    <col min="5" max="6" width="9.140625" style="2"/>
    <col min="7" max="7" width="11.140625" style="2" bestFit="1" customWidth="1"/>
    <col min="8" max="9" width="9.140625" style="2"/>
    <col min="15" max="15" width="12.28515625" style="4" bestFit="1" customWidth="1"/>
    <col min="17" max="17" width="9.7109375" bestFit="1" customWidth="1"/>
    <col min="18" max="18" width="11.7109375" bestFit="1" customWidth="1"/>
  </cols>
  <sheetData>
    <row r="1" spans="1:20" x14ac:dyDescent="0.25">
      <c r="A1" t="s">
        <v>101</v>
      </c>
      <c r="B1" t="s">
        <v>102</v>
      </c>
      <c r="D1" s="2" t="s">
        <v>101</v>
      </c>
      <c r="E1" s="2" t="s">
        <v>102</v>
      </c>
      <c r="G1" s="2" t="s">
        <v>101</v>
      </c>
      <c r="H1" s="2" t="s">
        <v>102</v>
      </c>
      <c r="J1" t="s">
        <v>103</v>
      </c>
      <c r="K1" t="s">
        <v>102</v>
      </c>
      <c r="O1" s="4" t="s">
        <v>104</v>
      </c>
    </row>
    <row r="2" spans="1:20" x14ac:dyDescent="0.25">
      <c r="A2" s="2" t="s">
        <v>0</v>
      </c>
      <c r="B2" s="2">
        <v>50</v>
      </c>
      <c r="D2" s="2" t="s">
        <v>37</v>
      </c>
      <c r="E2" s="3">
        <v>0.4</v>
      </c>
      <c r="F2" s="3"/>
      <c r="G2" s="2" t="s">
        <v>74</v>
      </c>
      <c r="H2" s="3">
        <v>40</v>
      </c>
      <c r="J2" t="s">
        <v>111</v>
      </c>
      <c r="K2">
        <v>1</v>
      </c>
    </row>
    <row r="3" spans="1:20" x14ac:dyDescent="0.25">
      <c r="A3" s="2" t="s">
        <v>1</v>
      </c>
      <c r="B3" s="3">
        <v>3.0000000000000001E-3</v>
      </c>
      <c r="D3" s="2" t="s">
        <v>38</v>
      </c>
      <c r="E3" s="3">
        <v>0.15</v>
      </c>
      <c r="F3" s="3"/>
      <c r="G3" s="2" t="s">
        <v>75</v>
      </c>
      <c r="H3" s="3">
        <v>70</v>
      </c>
      <c r="J3" t="s">
        <v>112</v>
      </c>
      <c r="K3" s="2">
        <v>2</v>
      </c>
      <c r="O3" s="4" t="s">
        <v>127</v>
      </c>
    </row>
    <row r="4" spans="1:20" x14ac:dyDescent="0.25">
      <c r="A4" s="2" t="s">
        <v>2</v>
      </c>
      <c r="B4" s="2">
        <v>0.03</v>
      </c>
      <c r="D4" s="2" t="s">
        <v>39</v>
      </c>
      <c r="E4" s="3">
        <v>0.5</v>
      </c>
      <c r="F4" s="3"/>
      <c r="G4" s="2" t="s">
        <v>76</v>
      </c>
      <c r="H4" s="3">
        <v>1</v>
      </c>
      <c r="J4" t="s">
        <v>113</v>
      </c>
      <c r="K4" s="2">
        <v>3</v>
      </c>
      <c r="O4" s="4" t="s">
        <v>105</v>
      </c>
      <c r="P4" t="s">
        <v>106</v>
      </c>
      <c r="Q4" t="s">
        <v>107</v>
      </c>
      <c r="R4" t="s">
        <v>108</v>
      </c>
      <c r="S4" t="s">
        <v>109</v>
      </c>
      <c r="T4" t="s">
        <v>110</v>
      </c>
    </row>
    <row r="5" spans="1:20" x14ac:dyDescent="0.25">
      <c r="A5" s="2" t="s">
        <v>3</v>
      </c>
      <c r="B5" s="3">
        <v>5.0000000000000001E-3</v>
      </c>
      <c r="D5" s="2" t="s">
        <v>40</v>
      </c>
      <c r="E5" s="3">
        <v>0.6</v>
      </c>
      <c r="F5" s="3"/>
      <c r="G5" s="2" t="s">
        <v>77</v>
      </c>
      <c r="H5" s="3">
        <v>2000000</v>
      </c>
      <c r="J5" t="s">
        <v>114</v>
      </c>
      <c r="K5" s="2">
        <v>4</v>
      </c>
      <c r="O5" s="4">
        <f>E31</f>
        <v>1000</v>
      </c>
      <c r="P5" s="3">
        <f>B5 * (K4 + E3*K3)</f>
        <v>1.6500000000000001E-2</v>
      </c>
      <c r="Q5" s="3">
        <f>B17 * K11/(K11 + B23*K14 + B26)</f>
        <v>896.86098654708519</v>
      </c>
      <c r="R5" s="3">
        <f xml:space="preserve"> -H20*K2 * K17/(K17+H5)</f>
        <v>-3.1999744002047983E-6</v>
      </c>
      <c r="S5" s="3">
        <f>-H21*K2 * K12/(K12 + E35*K15 + H3) * (K18 + B28*K11)/(K18 + B28*K11 + H6)</f>
        <v>-3.8963094384435522E-6</v>
      </c>
      <c r="T5">
        <f>-H10*K2</f>
        <v>-3.3E-3</v>
      </c>
    </row>
    <row r="6" spans="1:20" x14ac:dyDescent="0.25">
      <c r="A6" s="2" t="s">
        <v>4</v>
      </c>
      <c r="B6" s="3">
        <v>2.0000000000000001E-4</v>
      </c>
      <c r="D6" s="2" t="s">
        <v>41</v>
      </c>
      <c r="E6" s="3">
        <v>1E-4</v>
      </c>
      <c r="F6" s="3"/>
      <c r="G6" s="2" t="s">
        <v>78</v>
      </c>
      <c r="H6" s="3">
        <v>100000</v>
      </c>
      <c r="J6" t="s">
        <v>115</v>
      </c>
      <c r="K6" s="2">
        <v>5</v>
      </c>
    </row>
    <row r="7" spans="1:20" x14ac:dyDescent="0.25">
      <c r="A7" s="2" t="s">
        <v>5</v>
      </c>
      <c r="B7" s="3">
        <v>50</v>
      </c>
      <c r="D7" s="2" t="s">
        <v>42</v>
      </c>
      <c r="E7" s="3">
        <v>1E-4</v>
      </c>
      <c r="F7" s="3"/>
      <c r="G7" s="2" t="s">
        <v>36</v>
      </c>
      <c r="H7" s="3">
        <v>40</v>
      </c>
      <c r="J7" t="s">
        <v>116</v>
      </c>
      <c r="K7" s="2">
        <v>6</v>
      </c>
      <c r="O7" s="4" t="s">
        <v>129</v>
      </c>
    </row>
    <row r="8" spans="1:20" x14ac:dyDescent="0.25">
      <c r="A8" s="2" t="s">
        <v>6</v>
      </c>
      <c r="B8" s="3">
        <v>0.02</v>
      </c>
      <c r="D8" s="2" t="s">
        <v>43</v>
      </c>
      <c r="E8" s="3">
        <v>0.33</v>
      </c>
      <c r="F8" s="3"/>
      <c r="G8" s="2" t="s">
        <v>79</v>
      </c>
      <c r="H8" s="3">
        <v>200000</v>
      </c>
      <c r="J8" t="s">
        <v>117</v>
      </c>
      <c r="K8" s="2">
        <v>7</v>
      </c>
      <c r="O8" s="4">
        <f>SUM(O5:T5)</f>
        <v>1896.8741794508012</v>
      </c>
    </row>
    <row r="9" spans="1:20" x14ac:dyDescent="0.25">
      <c r="A9" s="2" t="s">
        <v>7</v>
      </c>
      <c r="B9" s="3">
        <v>1E-3</v>
      </c>
      <c r="D9" s="2" t="s">
        <v>44</v>
      </c>
      <c r="E9" s="3">
        <v>0.33</v>
      </c>
      <c r="F9" s="3"/>
      <c r="G9" s="2" t="s">
        <v>80</v>
      </c>
      <c r="H9" s="3">
        <v>1000</v>
      </c>
      <c r="J9" t="s">
        <v>128</v>
      </c>
      <c r="K9" s="2">
        <v>8</v>
      </c>
    </row>
    <row r="10" spans="1:20" x14ac:dyDescent="0.25">
      <c r="A10" s="2" t="s">
        <v>8</v>
      </c>
      <c r="B10" s="3">
        <v>3.0000000000000001E-3</v>
      </c>
      <c r="D10" s="2" t="s">
        <v>45</v>
      </c>
      <c r="E10" s="3">
        <v>0.33</v>
      </c>
      <c r="F10" s="3"/>
      <c r="G10" s="2" t="s">
        <v>81</v>
      </c>
      <c r="H10" s="3">
        <v>3.3E-3</v>
      </c>
      <c r="J10" t="s">
        <v>118</v>
      </c>
      <c r="K10" s="2">
        <v>9</v>
      </c>
    </row>
    <row r="11" spans="1:20" x14ac:dyDescent="0.25">
      <c r="A11" s="2" t="s">
        <v>9</v>
      </c>
      <c r="B11" s="3">
        <v>4.0000000000000001E-3</v>
      </c>
      <c r="D11" s="2" t="s">
        <v>46</v>
      </c>
      <c r="E11" s="3">
        <v>4.0000000000000001E-3</v>
      </c>
      <c r="F11" s="3"/>
      <c r="G11" s="2" t="s">
        <v>82</v>
      </c>
      <c r="H11" s="3">
        <v>1.1000000000000001E-3</v>
      </c>
      <c r="J11" t="s">
        <v>119</v>
      </c>
      <c r="K11" s="2">
        <v>10</v>
      </c>
      <c r="O11" s="4" t="s">
        <v>130</v>
      </c>
    </row>
    <row r="12" spans="1:20" x14ac:dyDescent="0.25">
      <c r="A12" s="2" t="s">
        <v>10</v>
      </c>
      <c r="B12" s="3">
        <v>5.0000000000000001E-3</v>
      </c>
      <c r="D12" s="2" t="s">
        <v>47</v>
      </c>
      <c r="E12" s="3">
        <v>1.1100000000000001</v>
      </c>
      <c r="F12" s="3"/>
      <c r="G12" s="2" t="s">
        <v>83</v>
      </c>
      <c r="H12" s="3">
        <v>7.0000000000000007E-2</v>
      </c>
      <c r="J12" t="s">
        <v>120</v>
      </c>
      <c r="K12" s="2">
        <v>11</v>
      </c>
      <c r="O12" s="4" t="s">
        <v>105</v>
      </c>
      <c r="P12" s="2" t="s">
        <v>106</v>
      </c>
      <c r="Q12" s="2" t="s">
        <v>107</v>
      </c>
      <c r="R12" s="2" t="s">
        <v>108</v>
      </c>
      <c r="S12" s="2" t="s">
        <v>109</v>
      </c>
      <c r="T12" s="2" t="s">
        <v>110</v>
      </c>
    </row>
    <row r="13" spans="1:20" x14ac:dyDescent="0.25">
      <c r="A13" s="2" t="s">
        <v>11</v>
      </c>
      <c r="B13" s="3">
        <v>8.1599999999999999E-4</v>
      </c>
      <c r="D13" s="2" t="s">
        <v>48</v>
      </c>
      <c r="E13" s="3">
        <v>0.1</v>
      </c>
      <c r="F13" s="3"/>
      <c r="G13" s="2" t="s">
        <v>84</v>
      </c>
      <c r="H13" s="3">
        <v>2.16</v>
      </c>
      <c r="J13" t="s">
        <v>121</v>
      </c>
      <c r="K13" s="2">
        <v>12</v>
      </c>
      <c r="O13" s="4">
        <f>H20*K2 * K17/(K17 + H5)</f>
        <v>3.1999744002047983E-6</v>
      </c>
      <c r="P13" s="1">
        <f>-H22*K3 * K16^2/(K16^2 + (H29*K3)^2)</f>
        <v>-4.9315068493150684E-3</v>
      </c>
      <c r="Q13" s="1">
        <f>-E13*K3 * (K10 + E2*K6)/K3 /((K10 + E2*K6)/K3 + H7)</f>
        <v>-2.4175824175824177E-2</v>
      </c>
      <c r="R13" s="3">
        <f>-E14*K3 * K11/(K11 + B21*K14 + B26)</f>
        <v>-2.3255813953488372E-3</v>
      </c>
      <c r="S13" s="1">
        <f>-E15*K3 * (K10 * (K6 /(K6 +B32)) + E4*K6)/K3 / ((K10 * (K6 /(K6 +B32)) + E4*K6)/K3 + B31)</f>
        <v>-5.2132701421800945E-2</v>
      </c>
      <c r="T13">
        <f>-H11*K3</f>
        <v>-2.2000000000000001E-3</v>
      </c>
    </row>
    <row r="14" spans="1:20" x14ac:dyDescent="0.25">
      <c r="A14" s="2" t="s">
        <v>12</v>
      </c>
      <c r="B14" s="3">
        <v>6.0000000000000002E-5</v>
      </c>
      <c r="D14" s="2" t="s">
        <v>49</v>
      </c>
      <c r="E14" s="3">
        <v>0.1</v>
      </c>
      <c r="F14" s="3"/>
      <c r="G14" s="2" t="s">
        <v>85</v>
      </c>
      <c r="H14" s="3">
        <v>2.77</v>
      </c>
      <c r="J14" t="s">
        <v>122</v>
      </c>
      <c r="K14" s="2">
        <v>13</v>
      </c>
    </row>
    <row r="15" spans="1:20" x14ac:dyDescent="0.25">
      <c r="A15" s="2" t="s">
        <v>13</v>
      </c>
      <c r="B15" s="3">
        <v>5.0000000000000001E-3</v>
      </c>
      <c r="D15" s="2" t="s">
        <v>50</v>
      </c>
      <c r="E15" s="3">
        <v>0.5</v>
      </c>
      <c r="F15" s="3"/>
      <c r="G15" s="2" t="s">
        <v>86</v>
      </c>
      <c r="H15" s="3">
        <v>5</v>
      </c>
      <c r="J15" t="s">
        <v>123</v>
      </c>
      <c r="K15" s="2">
        <v>14</v>
      </c>
      <c r="O15" s="4" t="s">
        <v>129</v>
      </c>
    </row>
    <row r="16" spans="1:20" x14ac:dyDescent="0.25">
      <c r="A16" s="2" t="s">
        <v>14</v>
      </c>
      <c r="B16" s="3">
        <v>1000</v>
      </c>
      <c r="D16" s="2" t="s">
        <v>51</v>
      </c>
      <c r="E16" s="3">
        <v>80</v>
      </c>
      <c r="F16" s="3"/>
      <c r="G16" s="2" t="s">
        <v>87</v>
      </c>
      <c r="H16" s="3">
        <v>1.1200000000000001</v>
      </c>
      <c r="J16" t="s">
        <v>124</v>
      </c>
      <c r="K16" s="2">
        <v>15</v>
      </c>
      <c r="O16" s="4">
        <f>SUM(O13:T13)</f>
        <v>-8.5762413867888812E-2</v>
      </c>
    </row>
    <row r="17" spans="1:20" x14ac:dyDescent="0.25">
      <c r="A17" s="2" t="s">
        <v>15</v>
      </c>
      <c r="B17" s="3">
        <v>20000</v>
      </c>
      <c r="D17" s="2" t="s">
        <v>52</v>
      </c>
      <c r="E17" s="3">
        <v>300</v>
      </c>
      <c r="F17" s="3"/>
      <c r="G17" s="2" t="s">
        <v>88</v>
      </c>
      <c r="H17" s="3">
        <v>0.33</v>
      </c>
      <c r="J17" t="s">
        <v>125</v>
      </c>
      <c r="K17" s="2">
        <v>16</v>
      </c>
    </row>
    <row r="18" spans="1:20" x14ac:dyDescent="0.25">
      <c r="A18" s="2" t="s">
        <v>16</v>
      </c>
      <c r="B18" s="3">
        <v>200000</v>
      </c>
      <c r="D18" s="2" t="s">
        <v>53</v>
      </c>
      <c r="E18" s="3">
        <v>10</v>
      </c>
      <c r="F18" s="3"/>
      <c r="G18" s="2" t="s">
        <v>89</v>
      </c>
      <c r="H18" s="3">
        <v>0.33</v>
      </c>
      <c r="J18" t="s">
        <v>126</v>
      </c>
      <c r="K18">
        <f>SUM(K16:K17)</f>
        <v>31</v>
      </c>
    </row>
    <row r="19" spans="1:20" x14ac:dyDescent="0.25">
      <c r="A19" s="2" t="s">
        <v>17</v>
      </c>
      <c r="B19" s="3">
        <v>20000</v>
      </c>
      <c r="D19" s="2" t="s">
        <v>54</v>
      </c>
      <c r="E19" s="3">
        <v>0.01</v>
      </c>
      <c r="F19" s="3"/>
      <c r="G19" s="2" t="s">
        <v>90</v>
      </c>
      <c r="H19" s="3">
        <v>0.33</v>
      </c>
      <c r="O19" s="4" t="s">
        <v>131</v>
      </c>
    </row>
    <row r="20" spans="1:20" x14ac:dyDescent="0.25">
      <c r="A20" s="2" t="s">
        <v>18</v>
      </c>
      <c r="B20" s="3">
        <v>80000</v>
      </c>
      <c r="D20" s="2" t="s">
        <v>55</v>
      </c>
      <c r="E20" s="3">
        <v>0.5</v>
      </c>
      <c r="F20" s="3"/>
      <c r="G20" s="2" t="s">
        <v>91</v>
      </c>
      <c r="H20" s="3">
        <v>0.4</v>
      </c>
      <c r="O20" s="4" t="s">
        <v>105</v>
      </c>
      <c r="P20" s="2" t="s">
        <v>106</v>
      </c>
      <c r="Q20" s="2" t="s">
        <v>107</v>
      </c>
      <c r="R20" s="2" t="s">
        <v>108</v>
      </c>
      <c r="S20" s="2" t="s">
        <v>109</v>
      </c>
      <c r="T20" s="2" t="s">
        <v>110</v>
      </c>
    </row>
    <row r="21" spans="1:20" x14ac:dyDescent="0.25">
      <c r="A21" s="2" t="s">
        <v>19</v>
      </c>
      <c r="B21" s="3">
        <v>50</v>
      </c>
      <c r="D21" s="2" t="s">
        <v>56</v>
      </c>
      <c r="E21" s="3">
        <v>0.1</v>
      </c>
      <c r="F21" s="3"/>
      <c r="G21" s="2" t="s">
        <v>92</v>
      </c>
      <c r="H21" s="3">
        <v>0.1</v>
      </c>
      <c r="O21" s="4">
        <f>H21*K2 * K12/(K12 + E35*K15 + H4) * (K18 + B28*K11) / (K18 + B28*K11 + H6)</f>
        <v>3.9919158933697983E-6</v>
      </c>
      <c r="P21" s="3">
        <f>-H23*K4 * K14/(K14 + H4)</f>
        <v>-0.22285714285714286</v>
      </c>
      <c r="Q21">
        <f>-H12*K4</f>
        <v>-0.21000000000000002</v>
      </c>
    </row>
    <row r="22" spans="1:20" x14ac:dyDescent="0.25">
      <c r="A22" s="2" t="s">
        <v>20</v>
      </c>
      <c r="B22" s="3">
        <v>1</v>
      </c>
      <c r="D22" s="2" t="s">
        <v>57</v>
      </c>
      <c r="E22" s="3">
        <v>0.05</v>
      </c>
      <c r="F22" s="3"/>
      <c r="G22" s="2" t="s">
        <v>93</v>
      </c>
      <c r="H22" s="3">
        <v>0.02</v>
      </c>
    </row>
    <row r="23" spans="1:20" x14ac:dyDescent="0.25">
      <c r="A23" s="2" t="s">
        <v>21</v>
      </c>
      <c r="B23" s="3">
        <v>1</v>
      </c>
      <c r="D23" s="2" t="s">
        <v>58</v>
      </c>
      <c r="E23" s="3">
        <v>0.4</v>
      </c>
      <c r="F23" s="3"/>
      <c r="G23" s="2" t="s">
        <v>94</v>
      </c>
      <c r="H23" s="3">
        <v>0.08</v>
      </c>
      <c r="O23" s="4" t="s">
        <v>129</v>
      </c>
    </row>
    <row r="24" spans="1:20" x14ac:dyDescent="0.25">
      <c r="A24" s="2" t="s">
        <v>22</v>
      </c>
      <c r="B24" s="3">
        <v>165</v>
      </c>
      <c r="D24" s="2" t="s">
        <v>59</v>
      </c>
      <c r="E24" s="3">
        <v>1E-3</v>
      </c>
      <c r="F24" s="3"/>
      <c r="G24" s="2" t="s">
        <v>95</v>
      </c>
      <c r="H24" s="3">
        <v>5.0000000000000001E-3</v>
      </c>
      <c r="O24" s="4">
        <f>SUM(O21:Q21)</f>
        <v>-0.43285315094124954</v>
      </c>
    </row>
    <row r="25" spans="1:20" x14ac:dyDescent="0.25">
      <c r="A25" s="2" t="s">
        <v>23</v>
      </c>
      <c r="B25" s="3">
        <v>450</v>
      </c>
      <c r="D25" s="2" t="s">
        <v>60</v>
      </c>
      <c r="E25" s="3">
        <v>5.0000000000000001E-4</v>
      </c>
      <c r="F25" s="3"/>
      <c r="G25" s="2" t="s">
        <v>96</v>
      </c>
      <c r="H25" s="3">
        <v>0.02</v>
      </c>
    </row>
    <row r="26" spans="1:20" x14ac:dyDescent="0.25">
      <c r="A26" s="2" t="s">
        <v>24</v>
      </c>
      <c r="B26" s="3">
        <v>200</v>
      </c>
      <c r="D26" s="2" t="s">
        <v>61</v>
      </c>
      <c r="E26" s="3">
        <v>0.06</v>
      </c>
      <c r="F26" s="3"/>
      <c r="G26" s="2" t="s">
        <v>97</v>
      </c>
      <c r="H26" s="3">
        <v>5.0000000000000001E-9</v>
      </c>
    </row>
    <row r="27" spans="1:20" x14ac:dyDescent="0.25">
      <c r="A27" s="2" t="s">
        <v>25</v>
      </c>
      <c r="B27" s="3">
        <v>1E-3</v>
      </c>
      <c r="D27" s="2" t="s">
        <v>62</v>
      </c>
      <c r="E27" s="3">
        <v>8.0000000000000007E-5</v>
      </c>
      <c r="F27" s="3"/>
      <c r="G27" s="2" t="s">
        <v>98</v>
      </c>
      <c r="H27" s="3">
        <v>1.2499999999999999E-7</v>
      </c>
      <c r="O27" s="4" t="s">
        <v>132</v>
      </c>
    </row>
    <row r="28" spans="1:20" x14ac:dyDescent="0.25">
      <c r="A28" s="2" t="s">
        <v>26</v>
      </c>
      <c r="B28" s="3">
        <v>100</v>
      </c>
      <c r="D28" s="2" t="s">
        <v>63</v>
      </c>
      <c r="E28" s="3">
        <v>0.03</v>
      </c>
      <c r="F28" s="3"/>
      <c r="G28" s="2" t="s">
        <v>99</v>
      </c>
      <c r="H28" s="3">
        <v>100</v>
      </c>
      <c r="O28" s="4" t="s">
        <v>105</v>
      </c>
      <c r="P28" s="2" t="s">
        <v>106</v>
      </c>
      <c r="Q28" s="2" t="s">
        <v>107</v>
      </c>
      <c r="R28" s="2" t="s">
        <v>108</v>
      </c>
      <c r="S28" s="2" t="s">
        <v>109</v>
      </c>
      <c r="T28" s="2" t="s">
        <v>110</v>
      </c>
    </row>
    <row r="29" spans="1:20" x14ac:dyDescent="0.25">
      <c r="A29" s="2" t="s">
        <v>27</v>
      </c>
      <c r="B29" s="3">
        <v>1100</v>
      </c>
      <c r="D29" s="2" t="s">
        <v>64</v>
      </c>
      <c r="E29" s="3">
        <v>2E-3</v>
      </c>
      <c r="F29" s="3"/>
      <c r="G29" s="2" t="s">
        <v>100</v>
      </c>
      <c r="H29" s="3">
        <v>20</v>
      </c>
      <c r="O29" s="4">
        <f>B12 * (K4 + E3*K3)</f>
        <v>1.6500000000000001E-2</v>
      </c>
      <c r="P29" s="3">
        <f>B18 * K11/(K11 + B23*K14 + B25)</f>
        <v>4228.3298097251582</v>
      </c>
      <c r="Q29" s="3">
        <f>E30*K5 * K4/(K4 + H8)</f>
        <v>2.9999550006749896E-7</v>
      </c>
      <c r="R29" s="3">
        <f>-H24*K13*K5 * K12/(K12 * (E35*K15 + B22*K14) + H3)</f>
        <v>-8.5125592493470474E-5</v>
      </c>
      <c r="S29" s="3">
        <f>-H25*K5 * K15/(K15 + E34*K12 + E36)</f>
        <v>-3.7333333333333336E-2</v>
      </c>
      <c r="T29">
        <f>-H19*K5</f>
        <v>-1.32</v>
      </c>
    </row>
    <row r="30" spans="1:20" x14ac:dyDescent="0.25">
      <c r="A30" s="2" t="s">
        <v>28</v>
      </c>
      <c r="B30" s="3">
        <v>550</v>
      </c>
      <c r="D30" s="2" t="s">
        <v>65</v>
      </c>
      <c r="E30" s="3">
        <v>5.0000000000000001E-3</v>
      </c>
      <c r="F30" s="3"/>
      <c r="G30" s="3"/>
      <c r="H30" s="3"/>
    </row>
    <row r="31" spans="1:20" x14ac:dyDescent="0.25">
      <c r="A31" s="2" t="s">
        <v>29</v>
      </c>
      <c r="B31" s="3">
        <v>50</v>
      </c>
      <c r="D31" s="2" t="s">
        <v>66</v>
      </c>
      <c r="E31" s="3">
        <v>1000</v>
      </c>
      <c r="F31" s="3"/>
      <c r="G31" s="3"/>
      <c r="H31" s="3"/>
      <c r="O31" s="4" t="s">
        <v>129</v>
      </c>
    </row>
    <row r="32" spans="1:20" x14ac:dyDescent="0.25">
      <c r="A32" s="2" t="s">
        <v>30</v>
      </c>
      <c r="B32" s="3">
        <v>10</v>
      </c>
      <c r="D32" s="2" t="s">
        <v>67</v>
      </c>
      <c r="E32" s="3">
        <v>2.5000000000000001E-2</v>
      </c>
      <c r="F32" s="3"/>
      <c r="G32" s="3"/>
      <c r="H32" s="3"/>
      <c r="O32" s="4">
        <f>SUM(O29:T29)</f>
        <v>4226.9888915662277</v>
      </c>
    </row>
    <row r="33" spans="1:20" x14ac:dyDescent="0.25">
      <c r="A33" s="2" t="s">
        <v>31</v>
      </c>
      <c r="B33" s="3">
        <v>7000</v>
      </c>
      <c r="D33" s="2" t="s">
        <v>68</v>
      </c>
      <c r="E33" s="3">
        <v>2</v>
      </c>
      <c r="F33" s="3"/>
      <c r="G33" s="3"/>
      <c r="H33" s="3"/>
    </row>
    <row r="34" spans="1:20" x14ac:dyDescent="0.25">
      <c r="A34" s="2" t="s">
        <v>32</v>
      </c>
      <c r="B34" s="3">
        <v>10000</v>
      </c>
      <c r="D34" s="2" t="s">
        <v>69</v>
      </c>
      <c r="E34" s="3">
        <v>1</v>
      </c>
      <c r="F34" s="3"/>
      <c r="G34" s="3"/>
      <c r="H34" s="3"/>
      <c r="O34" s="4" t="s">
        <v>133</v>
      </c>
    </row>
    <row r="35" spans="1:20" x14ac:dyDescent="0.25">
      <c r="A35" s="2" t="s">
        <v>33</v>
      </c>
      <c r="B35" s="3">
        <v>7000</v>
      </c>
      <c r="D35" s="2" t="s">
        <v>70</v>
      </c>
      <c r="E35" s="3">
        <v>200</v>
      </c>
      <c r="F35" s="3"/>
      <c r="G35" s="3"/>
      <c r="H35" s="3"/>
      <c r="O35" s="4" t="s">
        <v>105</v>
      </c>
      <c r="P35" t="s">
        <v>106</v>
      </c>
      <c r="Q35" t="s">
        <v>107</v>
      </c>
      <c r="R35" t="s">
        <v>108</v>
      </c>
      <c r="S35" t="s">
        <v>109</v>
      </c>
      <c r="T35" t="s">
        <v>110</v>
      </c>
    </row>
    <row r="36" spans="1:20" x14ac:dyDescent="0.25">
      <c r="A36" s="2" t="s">
        <v>34</v>
      </c>
      <c r="B36" s="3">
        <v>1000</v>
      </c>
      <c r="D36" s="2" t="s">
        <v>71</v>
      </c>
      <c r="E36" s="3">
        <v>5</v>
      </c>
      <c r="F36" s="3"/>
      <c r="G36" s="3"/>
      <c r="H36" s="3"/>
      <c r="O36" s="4">
        <f>B15*(K4 + E3*K3)</f>
        <v>1.6500000000000001E-2</v>
      </c>
      <c r="P36" s="3">
        <f>B19*K11/(K11 + B23*K14 + B24)</f>
        <v>1063.8297872340424</v>
      </c>
      <c r="Q36" s="3">
        <f>H24*K13*K5 * K12/(K12 + (E35*K15 + B22*K14) + H3)</f>
        <v>9.1223220456116089E-4</v>
      </c>
      <c r="R36" s="3">
        <f>-E6 * K12/(K12 + B29) * K6*K4</f>
        <v>-1.4851485148514851E-5</v>
      </c>
      <c r="S36">
        <f>-H18*K6</f>
        <v>-1.6500000000000001</v>
      </c>
    </row>
    <row r="37" spans="1:20" x14ac:dyDescent="0.25">
      <c r="A37" s="2" t="s">
        <v>35</v>
      </c>
      <c r="B37" s="3">
        <v>5000</v>
      </c>
      <c r="D37" s="2" t="s">
        <v>72</v>
      </c>
      <c r="E37" s="3">
        <v>60</v>
      </c>
      <c r="F37" s="3"/>
      <c r="G37" s="3"/>
      <c r="H37" s="3"/>
    </row>
    <row r="38" spans="1:20" x14ac:dyDescent="0.25">
      <c r="A38" s="2" t="s">
        <v>36</v>
      </c>
      <c r="B38" s="3">
        <v>40</v>
      </c>
      <c r="D38" s="2" t="s">
        <v>73</v>
      </c>
      <c r="E38" s="3">
        <v>50</v>
      </c>
      <c r="F38" s="3"/>
      <c r="G38" s="3"/>
      <c r="H38" s="3"/>
      <c r="O38" s="4" t="s">
        <v>129</v>
      </c>
    </row>
    <row r="39" spans="1:20" x14ac:dyDescent="0.25">
      <c r="F39" s="3"/>
      <c r="G39" s="3"/>
      <c r="H39" s="3"/>
      <c r="O39" s="4">
        <f>SUM(O36:S36)</f>
        <v>1062.1971846147619</v>
      </c>
    </row>
    <row r="40" spans="1:20" x14ac:dyDescent="0.25">
      <c r="F40" s="3"/>
      <c r="G40" s="3"/>
      <c r="H40" s="3"/>
    </row>
    <row r="41" spans="1:20" x14ac:dyDescent="0.25">
      <c r="F41" s="3"/>
      <c r="G41" s="3"/>
      <c r="H41" s="3"/>
    </row>
    <row r="42" spans="1:20" x14ac:dyDescent="0.25">
      <c r="F42" s="3"/>
      <c r="G42" s="3"/>
      <c r="H42" s="3"/>
      <c r="O42" s="4" t="s">
        <v>134</v>
      </c>
    </row>
    <row r="43" spans="1:20" x14ac:dyDescent="0.25">
      <c r="F43" s="3"/>
      <c r="G43" s="3"/>
      <c r="H43" s="3"/>
      <c r="O43" s="4" t="s">
        <v>105</v>
      </c>
      <c r="P43" t="s">
        <v>106</v>
      </c>
      <c r="Q43" t="s">
        <v>107</v>
      </c>
      <c r="R43" t="s">
        <v>108</v>
      </c>
      <c r="S43" t="s">
        <v>109</v>
      </c>
      <c r="T43" t="s">
        <v>110</v>
      </c>
    </row>
    <row r="44" spans="1:20" x14ac:dyDescent="0.25">
      <c r="F44" s="3"/>
      <c r="G44" s="3"/>
      <c r="H44" s="3"/>
      <c r="O44" s="4">
        <f>B9 * (K4 + E3*K3)</f>
        <v>3.3E-3</v>
      </c>
      <c r="P44" s="3">
        <f>B16 * K11/(K11 + B23*K14 + B24)</f>
        <v>53.191489361702125</v>
      </c>
      <c r="Q44" s="3">
        <f>H25*K5 * K15/(K15 + E34*K12 + E36)</f>
        <v>3.7333333333333336E-2</v>
      </c>
      <c r="R44" s="3">
        <f>-H17 *K7</f>
        <v>-1.98</v>
      </c>
    </row>
    <row r="45" spans="1:20" x14ac:dyDescent="0.25">
      <c r="F45" s="3"/>
      <c r="G45" s="3"/>
      <c r="H45" s="3"/>
    </row>
    <row r="46" spans="1:20" x14ac:dyDescent="0.25">
      <c r="F46" s="3"/>
      <c r="G46" s="3"/>
      <c r="H46" s="3"/>
      <c r="O46" s="4" t="s">
        <v>129</v>
      </c>
    </row>
    <row r="47" spans="1:20" x14ac:dyDescent="0.25">
      <c r="F47" s="3"/>
      <c r="G47" s="3"/>
      <c r="H47" s="3"/>
      <c r="O47" s="4">
        <f>SUM(O44:R44)</f>
        <v>51.252122695035467</v>
      </c>
    </row>
    <row r="48" spans="1:20" x14ac:dyDescent="0.25">
      <c r="F48" s="3"/>
      <c r="G48" s="3"/>
      <c r="H48" s="3"/>
    </row>
    <row r="49" spans="6:20" x14ac:dyDescent="0.25">
      <c r="F49" s="3"/>
      <c r="G49" s="3"/>
      <c r="H49" s="3"/>
    </row>
    <row r="50" spans="6:20" x14ac:dyDescent="0.25">
      <c r="F50" s="3"/>
      <c r="G50" s="3"/>
      <c r="H50" s="3"/>
      <c r="O50" s="4" t="s">
        <v>135</v>
      </c>
    </row>
    <row r="51" spans="6:20" x14ac:dyDescent="0.25">
      <c r="F51" s="3"/>
      <c r="G51" s="3"/>
      <c r="H51" s="3"/>
      <c r="O51" s="4" t="s">
        <v>105</v>
      </c>
      <c r="P51" s="2" t="s">
        <v>106</v>
      </c>
      <c r="Q51" s="2" t="s">
        <v>107</v>
      </c>
      <c r="R51" s="2" t="s">
        <v>108</v>
      </c>
      <c r="S51" s="2" t="s">
        <v>109</v>
      </c>
      <c r="T51" s="2" t="s">
        <v>110</v>
      </c>
    </row>
    <row r="52" spans="6:20" x14ac:dyDescent="0.25">
      <c r="F52" s="3"/>
      <c r="G52" s="3"/>
      <c r="H52" s="3"/>
      <c r="O52" s="4">
        <f>B12*(K4 + E3*K3)</f>
        <v>1.6500000000000001E-2</v>
      </c>
      <c r="P52" s="3">
        <f>B18 * K11/(K11 + B23*K14 + B25)</f>
        <v>4228.3298097251582</v>
      </c>
      <c r="Q52" s="3">
        <f>E30*K8 * K4/(K4 + H8)</f>
        <v>5.2499212511812327E-7</v>
      </c>
      <c r="R52" s="3">
        <f>-H24*K13*K8 * K12/(K12*(E35*K15 + B22*K14) + H3)</f>
        <v>-1.4896978686357334E-4</v>
      </c>
      <c r="S52">
        <f>-E10*K8</f>
        <v>-2.31</v>
      </c>
    </row>
    <row r="53" spans="6:20" x14ac:dyDescent="0.25">
      <c r="F53" s="3"/>
      <c r="G53" s="3"/>
      <c r="H53" s="3"/>
    </row>
    <row r="54" spans="6:20" x14ac:dyDescent="0.25">
      <c r="F54" s="3"/>
      <c r="G54" s="3"/>
      <c r="H54" s="3"/>
      <c r="O54" s="4" t="s">
        <v>129</v>
      </c>
    </row>
    <row r="55" spans="6:20" x14ac:dyDescent="0.25">
      <c r="F55" s="3"/>
      <c r="G55" s="3"/>
      <c r="H55" s="3"/>
      <c r="O55" s="4">
        <f>SUM(O52:S52)</f>
        <v>4226.0361612803626</v>
      </c>
    </row>
    <row r="56" spans="6:20" x14ac:dyDescent="0.25">
      <c r="F56" s="3"/>
      <c r="G56" s="3"/>
      <c r="H56" s="3"/>
    </row>
    <row r="57" spans="6:20" x14ac:dyDescent="0.25">
      <c r="F57" s="3"/>
      <c r="G57" s="3"/>
      <c r="H57" s="3"/>
    </row>
    <row r="58" spans="6:20" x14ac:dyDescent="0.25">
      <c r="F58" s="3"/>
      <c r="G58" s="3"/>
      <c r="H58" s="3"/>
      <c r="O58" s="4" t="s">
        <v>136</v>
      </c>
    </row>
    <row r="59" spans="6:20" x14ac:dyDescent="0.25">
      <c r="F59" s="3"/>
      <c r="G59" s="3"/>
      <c r="H59" s="3"/>
      <c r="O59" s="4" t="s">
        <v>105</v>
      </c>
      <c r="P59" s="2" t="s">
        <v>106</v>
      </c>
      <c r="Q59" s="2" t="s">
        <v>107</v>
      </c>
      <c r="R59" s="2" t="s">
        <v>108</v>
      </c>
      <c r="S59" s="2" t="s">
        <v>109</v>
      </c>
      <c r="T59" s="2" t="s">
        <v>110</v>
      </c>
    </row>
    <row r="60" spans="6:20" x14ac:dyDescent="0.25">
      <c r="F60" s="3"/>
      <c r="G60" s="3"/>
      <c r="H60" s="3"/>
      <c r="O60" s="4">
        <f>E5*B10 * (K4 + E3*K3)</f>
        <v>5.9399999999999991E-3</v>
      </c>
      <c r="P60" s="3">
        <f>E5*B20 * K11/(K11 + B23*K14 + B24)</f>
        <v>2553.1914893617022</v>
      </c>
      <c r="Q60" s="3">
        <f>E5*H24*K13*K8 * K12/(K12*(E35*K15 + B22*K14) + H3)</f>
        <v>8.9381872118144009E-5</v>
      </c>
      <c r="R60" s="3">
        <f>-E7 * K12/(K12 + B30) * K9*K4</f>
        <v>-4.7058823529411761E-5</v>
      </c>
      <c r="S60">
        <f>-E8*K9</f>
        <v>-2.64</v>
      </c>
    </row>
    <row r="61" spans="6:20" x14ac:dyDescent="0.25">
      <c r="F61" s="3"/>
      <c r="G61" s="3"/>
      <c r="H61" s="3"/>
    </row>
    <row r="62" spans="6:20" x14ac:dyDescent="0.25">
      <c r="F62" s="3"/>
      <c r="G62" s="3"/>
      <c r="H62" s="3"/>
      <c r="O62" s="4" t="s">
        <v>129</v>
      </c>
    </row>
    <row r="63" spans="6:20" x14ac:dyDescent="0.25">
      <c r="F63" s="3"/>
      <c r="G63" s="3"/>
      <c r="H63" s="3"/>
      <c r="O63" s="4">
        <f>SUM(O60:S60)</f>
        <v>2550.5574716847509</v>
      </c>
    </row>
    <row r="64" spans="6:20" x14ac:dyDescent="0.25">
      <c r="F64" s="3"/>
      <c r="G64" s="3"/>
      <c r="H64" s="3"/>
    </row>
    <row r="65" spans="4:20" x14ac:dyDescent="0.25">
      <c r="F65" s="3"/>
      <c r="G65" s="3"/>
      <c r="H65" s="3"/>
    </row>
    <row r="66" spans="4:20" x14ac:dyDescent="0.25">
      <c r="F66" s="3"/>
      <c r="G66" s="3"/>
      <c r="H66" s="3"/>
      <c r="O66" s="4" t="s">
        <v>137</v>
      </c>
    </row>
    <row r="67" spans="4:20" x14ac:dyDescent="0.25">
      <c r="D67"/>
      <c r="E67"/>
      <c r="O67" s="4" t="s">
        <v>105</v>
      </c>
      <c r="P67" s="2" t="s">
        <v>106</v>
      </c>
      <c r="Q67" s="2" t="s">
        <v>107</v>
      </c>
      <c r="R67" s="2" t="s">
        <v>108</v>
      </c>
      <c r="S67" s="2" t="s">
        <v>109</v>
      </c>
      <c r="T67" s="2" t="s">
        <v>110</v>
      </c>
    </row>
    <row r="68" spans="4:20" x14ac:dyDescent="0.25">
      <c r="O68" s="4">
        <f>E5*B10 * (K4 + E3*K3)</f>
        <v>5.9399999999999991E-3</v>
      </c>
      <c r="P68" s="3">
        <f>E5*B20 * K11/(K11 + B23*K14 + B24)</f>
        <v>2553.1914893617022</v>
      </c>
      <c r="Q68">
        <f>E5*H24*K13*K8 * K12/(K12*(E35*K15 + B22*K14) + H3)</f>
        <v>8.9381872118144009E-5</v>
      </c>
      <c r="R68" s="3">
        <f>-E7 * K12/(K12 + B30) * K10*K4</f>
        <v>-5.2941176470588231E-5</v>
      </c>
      <c r="S68">
        <f>-E9*K10</f>
        <v>-2.97</v>
      </c>
    </row>
    <row r="70" spans="4:20" x14ac:dyDescent="0.25">
      <c r="O70" s="4" t="s">
        <v>129</v>
      </c>
    </row>
    <row r="71" spans="4:20" x14ac:dyDescent="0.25">
      <c r="O71" s="4">
        <f>SUM(O68:S68)</f>
        <v>2550.227465802398</v>
      </c>
    </row>
    <row r="74" spans="4:20" x14ac:dyDescent="0.25">
      <c r="O74" s="4" t="s">
        <v>138</v>
      </c>
    </row>
    <row r="75" spans="4:20" x14ac:dyDescent="0.25">
      <c r="O75" s="4" t="s">
        <v>105</v>
      </c>
      <c r="P75" s="2" t="s">
        <v>106</v>
      </c>
      <c r="Q75" s="2" t="s">
        <v>107</v>
      </c>
      <c r="R75" s="2" t="s">
        <v>108</v>
      </c>
      <c r="S75" s="2" t="s">
        <v>109</v>
      </c>
      <c r="T75" s="2" t="s">
        <v>110</v>
      </c>
    </row>
    <row r="76" spans="4:20" x14ac:dyDescent="0.25">
      <c r="O76" s="4">
        <f>B3*K3</f>
        <v>6.0000000000000001E-3</v>
      </c>
      <c r="P76" s="3">
        <f>B11*K4 * (K12 + B27*K18)/(K12 + B27*K18 + (E35*K15 + B22*K14) + E16)</f>
        <v>4.5582158041701354E-5</v>
      </c>
      <c r="Q76" s="3">
        <f>B13*K6</f>
        <v>4.0800000000000003E-3</v>
      </c>
      <c r="R76">
        <f>B14*(K10 + K9)</f>
        <v>1.0200000000000001E-3</v>
      </c>
      <c r="S76">
        <f>-E12*K11</f>
        <v>-11.100000000000001</v>
      </c>
    </row>
    <row r="78" spans="4:20" x14ac:dyDescent="0.25">
      <c r="O78" s="4" t="s">
        <v>129</v>
      </c>
    </row>
    <row r="79" spans="4:20" x14ac:dyDescent="0.25">
      <c r="O79" s="4">
        <f>SUM(O76:S76)</f>
        <v>-11.08885441784196</v>
      </c>
    </row>
    <row r="82" spans="15:21" x14ac:dyDescent="0.25">
      <c r="O82" s="4" t="s">
        <v>139</v>
      </c>
    </row>
    <row r="83" spans="15:21" x14ac:dyDescent="0.25">
      <c r="O83" s="4" t="s">
        <v>105</v>
      </c>
      <c r="P83" s="2" t="s">
        <v>106</v>
      </c>
      <c r="Q83" s="2" t="s">
        <v>107</v>
      </c>
      <c r="R83" s="2" t="s">
        <v>108</v>
      </c>
      <c r="S83" s="2" t="s">
        <v>109</v>
      </c>
      <c r="T83" s="2" t="s">
        <v>110</v>
      </c>
      <c r="U83" t="s">
        <v>140</v>
      </c>
    </row>
    <row r="84" spans="15:21" x14ac:dyDescent="0.25">
      <c r="O84" s="4">
        <f>H28 * K18/(K18 + H9) * K13/(K13 + H2)</f>
        <v>0.6938745057076775</v>
      </c>
      <c r="P84" s="3">
        <f>B2*K6 * K4/(K4 + B35)</f>
        <v>0.10709695844638012</v>
      </c>
      <c r="Q84" s="3">
        <f>B7*K9 * K4/(K4 + B33)</f>
        <v>0.1713551335142082</v>
      </c>
      <c r="R84">
        <f>B4*K3</f>
        <v>0.06</v>
      </c>
      <c r="S84" s="3">
        <f>E28*K5 * K13/(K13 + E33*K14 + E38)</f>
        <v>1.6363636363636361E-2</v>
      </c>
      <c r="T84" s="3">
        <f>E28*K8 * K13/(K13 + E33*K14 + E38)</f>
        <v>2.8636363636363637E-2</v>
      </c>
      <c r="U84">
        <f>-H13*K12</f>
        <v>-23.76</v>
      </c>
    </row>
    <row r="86" spans="15:21" x14ac:dyDescent="0.25">
      <c r="O86" s="4" t="s">
        <v>129</v>
      </c>
    </row>
    <row r="87" spans="15:21" x14ac:dyDescent="0.25">
      <c r="O87" s="4">
        <f>SUM(O84:U84)</f>
        <v>-22.682673402331737</v>
      </c>
    </row>
    <row r="90" spans="15:21" x14ac:dyDescent="0.25">
      <c r="O90" s="4" t="s">
        <v>141</v>
      </c>
    </row>
    <row r="91" spans="15:21" x14ac:dyDescent="0.25">
      <c r="O91" s="4" t="s">
        <v>105</v>
      </c>
      <c r="P91" s="2" t="s">
        <v>106</v>
      </c>
      <c r="Q91" s="2" t="s">
        <v>107</v>
      </c>
      <c r="R91" s="2" t="s">
        <v>108</v>
      </c>
      <c r="S91" s="2" t="s">
        <v>109</v>
      </c>
      <c r="T91" s="2" t="s">
        <v>110</v>
      </c>
    </row>
    <row r="92" spans="15:21" x14ac:dyDescent="0.25">
      <c r="O92" s="4">
        <f>E17 * K18/(K18 + B36)</f>
        <v>9.0203685741998054</v>
      </c>
      <c r="P92" s="3">
        <f>B6*K2 * K18/(K18 + B37)</f>
        <v>1.2323593718942558E-6</v>
      </c>
      <c r="Q92" s="3">
        <f>E27 * K4 * E18/(E18 + K14)</f>
        <v>1.0434782608695653E-4</v>
      </c>
      <c r="R92">
        <f>-H16*K13</f>
        <v>-13.440000000000001</v>
      </c>
    </row>
    <row r="94" spans="15:21" x14ac:dyDescent="0.25">
      <c r="O94" s="4" t="s">
        <v>129</v>
      </c>
    </row>
    <row r="95" spans="15:21" x14ac:dyDescent="0.25">
      <c r="O95" s="4">
        <f>SUM(O92:R92)</f>
        <v>-4.4195258456147375</v>
      </c>
    </row>
    <row r="98" spans="15:20" x14ac:dyDescent="0.25">
      <c r="O98" s="4" t="s">
        <v>142</v>
      </c>
    </row>
    <row r="99" spans="15:20" x14ac:dyDescent="0.25">
      <c r="O99" s="4" t="s">
        <v>105</v>
      </c>
      <c r="P99" s="2" t="s">
        <v>106</v>
      </c>
      <c r="Q99" s="2" t="s">
        <v>107</v>
      </c>
      <c r="R99" s="2" t="s">
        <v>108</v>
      </c>
      <c r="S99" s="2" t="s">
        <v>109</v>
      </c>
      <c r="T99" s="2" t="s">
        <v>110</v>
      </c>
    </row>
    <row r="100" spans="15:20" x14ac:dyDescent="0.25">
      <c r="O100" s="4">
        <f>E19*K4 * E37/(K14 + E32*K12 + E37)</f>
        <v>2.4564994882292728E-2</v>
      </c>
      <c r="P100" s="3">
        <f>E29*K6</f>
        <v>0.01</v>
      </c>
      <c r="Q100" s="3">
        <f>E26*K7</f>
        <v>0.36</v>
      </c>
      <c r="R100">
        <f>B8*(K9 + K10)</f>
        <v>0.34</v>
      </c>
      <c r="S100">
        <f>-H15*K14</f>
        <v>-65</v>
      </c>
    </row>
    <row r="102" spans="15:20" x14ac:dyDescent="0.25">
      <c r="O102" s="4" t="s">
        <v>129</v>
      </c>
    </row>
    <row r="103" spans="15:20" x14ac:dyDescent="0.25">
      <c r="O103" s="4">
        <f>SUM(O100:S100)</f>
        <v>-64.265435005117709</v>
      </c>
    </row>
    <row r="106" spans="15:20" x14ac:dyDescent="0.25">
      <c r="O106" s="4" t="s">
        <v>143</v>
      </c>
    </row>
    <row r="107" spans="15:20" x14ac:dyDescent="0.25">
      <c r="O107" s="4" t="s">
        <v>105</v>
      </c>
      <c r="P107" t="s">
        <v>106</v>
      </c>
      <c r="Q107" t="s">
        <v>107</v>
      </c>
      <c r="R107" t="s">
        <v>108</v>
      </c>
      <c r="S107" t="s">
        <v>109</v>
      </c>
      <c r="T107" t="s">
        <v>110</v>
      </c>
    </row>
    <row r="108" spans="15:20" x14ac:dyDescent="0.25">
      <c r="O108" s="4">
        <f>E25*K5</f>
        <v>2E-3</v>
      </c>
      <c r="P108" s="3">
        <f>E24*K7</f>
        <v>6.0000000000000001E-3</v>
      </c>
      <c r="Q108">
        <f>-H14*K15</f>
        <v>-38.78</v>
      </c>
    </row>
    <row r="110" spans="15:20" x14ac:dyDescent="0.25">
      <c r="O110" s="4" t="s">
        <v>129</v>
      </c>
    </row>
    <row r="111" spans="15:20" x14ac:dyDescent="0.25">
      <c r="O111" s="4">
        <f>SUM(O108:Q108)</f>
        <v>-38.771999999999998</v>
      </c>
    </row>
    <row r="114" spans="15:22" x14ac:dyDescent="0.25">
      <c r="O114" s="4" t="s">
        <v>146</v>
      </c>
    </row>
    <row r="115" spans="15:22" x14ac:dyDescent="0.25">
      <c r="O115" s="4" t="s">
        <v>105</v>
      </c>
      <c r="P115" s="2" t="s">
        <v>106</v>
      </c>
      <c r="Q115" s="2" t="s">
        <v>107</v>
      </c>
      <c r="R115" s="2" t="s">
        <v>108</v>
      </c>
      <c r="S115" s="2" t="s">
        <v>109</v>
      </c>
      <c r="T115" s="2" t="s">
        <v>110</v>
      </c>
      <c r="U115" s="2" t="s">
        <v>140</v>
      </c>
    </row>
    <row r="116" spans="15:22" x14ac:dyDescent="0.25">
      <c r="O116" s="4">
        <f>E23*K16 * (1 - K16^2 /(K16^2 + (H29*K3)^2))</f>
        <v>5.2602739726027394</v>
      </c>
      <c r="P116" s="3">
        <f>H20 * H29/2 * K2 * K17/(K17 + H5)</f>
        <v>3.1999744002047982E-5</v>
      </c>
      <c r="Q116" s="3">
        <f>-H22*H29*K3 * K16^2 /(K16^2 + (H29*K3)^2)</f>
        <v>-9.8630136986301367E-2</v>
      </c>
      <c r="R116" s="3">
        <f>-E13*H29*K3 * (K10 + E2*K6)/K3 / ((K10 + E2*K6)/K3 + B38)</f>
        <v>-0.48351648351648352</v>
      </c>
      <c r="S116" s="3">
        <f>-E14*H29*K3 * K11/(K11 + B23*K14 + B26)</f>
        <v>-0.17937219730941703</v>
      </c>
      <c r="T116" s="3">
        <f>-E15*H29*K3 * (K10 * K6/(K6 + B32) + E4*K6)/K3 / ((K10 * K6/(K6 + B32) + E4*K6)/K3 + B31)</f>
        <v>-1.0426540284360191</v>
      </c>
      <c r="U116">
        <f>-E11*K16</f>
        <v>-0.06</v>
      </c>
    </row>
    <row r="118" spans="15:22" x14ac:dyDescent="0.25">
      <c r="O118" s="4" t="s">
        <v>129</v>
      </c>
    </row>
    <row r="119" spans="15:22" x14ac:dyDescent="0.25">
      <c r="O119" s="4">
        <f>SUM(O116:U116)</f>
        <v>3.3961331260985208</v>
      </c>
    </row>
    <row r="122" spans="15:22" x14ac:dyDescent="0.25">
      <c r="O122" s="4" t="s">
        <v>144</v>
      </c>
    </row>
    <row r="123" spans="15:22" x14ac:dyDescent="0.25">
      <c r="O123" s="4" t="s">
        <v>105</v>
      </c>
      <c r="P123" s="2" t="s">
        <v>106</v>
      </c>
      <c r="Q123" s="2" t="s">
        <v>107</v>
      </c>
      <c r="R123" s="2" t="s">
        <v>108</v>
      </c>
      <c r="S123" s="2" t="s">
        <v>109</v>
      </c>
      <c r="T123" s="2" t="s">
        <v>110</v>
      </c>
      <c r="U123" s="2" t="s">
        <v>140</v>
      </c>
      <c r="V123" t="s">
        <v>145</v>
      </c>
    </row>
    <row r="124" spans="15:22" x14ac:dyDescent="0.25">
      <c r="O124" s="4">
        <f>E22*K17</f>
        <v>0.8</v>
      </c>
      <c r="P124" s="3">
        <f>E11*K16</f>
        <v>0.06</v>
      </c>
      <c r="Q124">
        <f>-H27*K4*K17</f>
        <v>-6.0000000000000002E-6</v>
      </c>
      <c r="R124">
        <f>-H26*K2*K17</f>
        <v>-8.0000000000000002E-8</v>
      </c>
      <c r="S124" s="3">
        <f>H22*H29*K3 * K16^2 /(K16^2 + (H29*K3)^2)</f>
        <v>9.8630136986301367E-2</v>
      </c>
      <c r="T124" s="3">
        <f>-H20 * H29/2 * K2 * K17/(K17 + H5)</f>
        <v>-3.1999744002047982E-5</v>
      </c>
      <c r="U124" s="3">
        <f>E13*H29*E21*K3 * (K10 + E2*K6)/K3 / ((K10 + E2*K6)/K3 + B38)</f>
        <v>4.8351648351648353E-2</v>
      </c>
      <c r="V124" s="3">
        <f>E14*H29*E20*K3 * K11/(K11 + B21*K14 + B26)</f>
        <v>2.3255813953488372E-2</v>
      </c>
    </row>
    <row r="126" spans="15:22" x14ac:dyDescent="0.25">
      <c r="O126" s="4" t="s">
        <v>129</v>
      </c>
    </row>
    <row r="127" spans="15:22" x14ac:dyDescent="0.25">
      <c r="O127" s="4">
        <f>SUM(O124:V124)</f>
        <v>1.0301995195474363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 Ruggiero</cp:lastModifiedBy>
  <dcterms:created xsi:type="dcterms:W3CDTF">2016-08-27T21:44:24Z</dcterms:created>
  <dcterms:modified xsi:type="dcterms:W3CDTF">2016-09-08T20:13:31Z</dcterms:modified>
</cp:coreProperties>
</file>