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ngenovishealth-my.sharepoint.com/personal/132626_ingenovishealth_com/Documents/Content from Personal Drive/Documents/Sourcing Team Lead/Reporting/)Business Development/Adhoc or Old Versions/"/>
    </mc:Choice>
  </mc:AlternateContent>
  <xr:revisionPtr revIDLastSave="0" documentId="8_{407A9F57-4FB8-4908-9200-86C936F818FC}" xr6:coauthVersionLast="47" xr6:coauthVersionMax="47" xr10:uidLastSave="{00000000-0000-0000-0000-000000000000}"/>
  <bookViews>
    <workbookView xWindow="28680" yWindow="-120" windowWidth="29040" windowHeight="15720" activeTab="1" xr2:uid="{DC8C5492-A8B9-4C38-BCCB-9241F91EC956}"/>
  </bookViews>
  <sheets>
    <sheet name="Sheet1" sheetId="1" r:id="rId1"/>
    <sheet name="Combo- Select &amp; Float Pool" sheetId="3" r:id="rId2"/>
    <sheet name="Search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3" l="1"/>
  <c r="H22" i="3"/>
  <c r="R16" i="3"/>
  <c r="Q16" i="3"/>
  <c r="P16" i="3"/>
  <c r="O16" i="3"/>
  <c r="N16" i="3"/>
  <c r="M16" i="3"/>
  <c r="L16" i="3"/>
  <c r="K16" i="3"/>
  <c r="J16" i="3"/>
  <c r="I16" i="3"/>
  <c r="J12" i="3"/>
  <c r="I12" i="3"/>
  <c r="H21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B17" i="3"/>
  <c r="B4" i="3"/>
  <c r="B10" i="3" l="1"/>
  <c r="B12" i="3" s="1"/>
  <c r="H8" i="3"/>
  <c r="I8" i="3" s="1"/>
  <c r="J8" i="3" s="1"/>
  <c r="K8" i="3" s="1"/>
  <c r="L8" i="3" s="1"/>
  <c r="M8" i="3" s="1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C8" i="3" s="1"/>
  <c r="AD8" i="3" s="1"/>
  <c r="AE8" i="3" s="1"/>
  <c r="B36" i="3"/>
  <c r="N20" i="3"/>
  <c r="M20" i="3"/>
  <c r="L20" i="3"/>
  <c r="K20" i="3"/>
  <c r="J20" i="3"/>
  <c r="I20" i="3"/>
  <c r="H20" i="3"/>
  <c r="B18" i="3"/>
  <c r="H12" i="3"/>
  <c r="H16" i="3"/>
  <c r="I21" i="3" l="1"/>
  <c r="J21" i="3" s="1"/>
  <c r="B11" i="3"/>
  <c r="H13" i="3" s="1"/>
  <c r="B13" i="3"/>
  <c r="H17" i="3" s="1"/>
  <c r="H14" i="3"/>
  <c r="H18" i="3"/>
  <c r="H10" i="1"/>
  <c r="E10" i="1"/>
  <c r="O17" i="3" l="1"/>
  <c r="O18" i="3"/>
  <c r="H10" i="3"/>
  <c r="H9" i="3" s="1"/>
  <c r="I22" i="3"/>
  <c r="J18" i="3"/>
  <c r="H28" i="3"/>
  <c r="K21" i="3"/>
  <c r="J22" i="3"/>
  <c r="H23" i="3"/>
  <c r="I14" i="3"/>
  <c r="I13" i="3"/>
  <c r="K17" i="3"/>
  <c r="M17" i="3"/>
  <c r="L17" i="3"/>
  <c r="J17" i="3"/>
  <c r="N17" i="3"/>
  <c r="I18" i="3"/>
  <c r="I17" i="3"/>
  <c r="B6" i="1"/>
  <c r="H7" i="1" s="1"/>
  <c r="H11" i="1" s="1"/>
  <c r="B21" i="1"/>
  <c r="B22" i="1" s="1"/>
  <c r="B20" i="2"/>
  <c r="B12" i="2"/>
  <c r="B19" i="2" s="1"/>
  <c r="B9" i="1"/>
  <c r="P17" i="3" l="1"/>
  <c r="P18" i="3"/>
  <c r="I10" i="3"/>
  <c r="I9" i="3" s="1"/>
  <c r="I26" i="3" s="1"/>
  <c r="I28" i="3"/>
  <c r="I23" i="3"/>
  <c r="L21" i="3"/>
  <c r="K22" i="3"/>
  <c r="E7" i="1"/>
  <c r="B21" i="2"/>
  <c r="S15" i="3" l="1"/>
  <c r="Q18" i="3"/>
  <c r="Q17" i="3"/>
  <c r="J14" i="3"/>
  <c r="J10" i="3" s="1"/>
  <c r="J9" i="3" s="1"/>
  <c r="K12" i="3"/>
  <c r="K14" i="3" s="1"/>
  <c r="J13" i="3"/>
  <c r="J23" i="3" s="1"/>
  <c r="K18" i="3"/>
  <c r="M21" i="3"/>
  <c r="L22" i="3"/>
  <c r="I24" i="3"/>
  <c r="E11" i="1"/>
  <c r="B10" i="1"/>
  <c r="R18" i="3" l="1"/>
  <c r="R17" i="3"/>
  <c r="S16" i="3"/>
  <c r="T15" i="3"/>
  <c r="K10" i="3"/>
  <c r="K9" i="3" s="1"/>
  <c r="J24" i="3"/>
  <c r="K13" i="3"/>
  <c r="K28" i="3" s="1"/>
  <c r="K11" i="3"/>
  <c r="L12" i="3" s="1"/>
  <c r="L11" i="3" s="1"/>
  <c r="J28" i="3"/>
  <c r="J26" i="3"/>
  <c r="L18" i="3"/>
  <c r="N21" i="3"/>
  <c r="O21" i="3" s="1"/>
  <c r="M22" i="3"/>
  <c r="B24" i="1"/>
  <c r="B25" i="1" s="1"/>
  <c r="B32" i="1"/>
  <c r="B33" i="1" s="1"/>
  <c r="B28" i="1"/>
  <c r="B29" i="1" s="1"/>
  <c r="H26" i="3"/>
  <c r="T16" i="3" l="1"/>
  <c r="U15" i="3"/>
  <c r="S17" i="3"/>
  <c r="S18" i="3"/>
  <c r="P21" i="3"/>
  <c r="O22" i="3"/>
  <c r="K23" i="3"/>
  <c r="K24" i="3"/>
  <c r="L14" i="3"/>
  <c r="L10" i="3" s="1"/>
  <c r="L9" i="3" s="1"/>
  <c r="L13" i="3"/>
  <c r="L23" i="3" s="1"/>
  <c r="M12" i="3"/>
  <c r="M11" i="3" s="1"/>
  <c r="N12" i="3" s="1"/>
  <c r="M18" i="3"/>
  <c r="K26" i="3"/>
  <c r="H27" i="3"/>
  <c r="J27" i="3"/>
  <c r="I27" i="3"/>
  <c r="H24" i="3"/>
  <c r="N22" i="3"/>
  <c r="U16" i="3" l="1"/>
  <c r="V15" i="3"/>
  <c r="T17" i="3"/>
  <c r="T18" i="3"/>
  <c r="Q21" i="3"/>
  <c r="P22" i="3"/>
  <c r="M13" i="3"/>
  <c r="M23" i="3" s="1"/>
  <c r="M14" i="3"/>
  <c r="M10" i="3" s="1"/>
  <c r="M9" i="3" s="1"/>
  <c r="L26" i="3"/>
  <c r="L27" i="3" s="1"/>
  <c r="L28" i="3"/>
  <c r="L24" i="3"/>
  <c r="L25" i="3" s="1"/>
  <c r="K27" i="3"/>
  <c r="N18" i="3"/>
  <c r="N13" i="3"/>
  <c r="N23" i="3" s="1"/>
  <c r="H25" i="3"/>
  <c r="J25" i="3"/>
  <c r="I25" i="3"/>
  <c r="K25" i="3"/>
  <c r="N14" i="3"/>
  <c r="N11" i="3"/>
  <c r="O12" i="3" s="1"/>
  <c r="V16" i="3" l="1"/>
  <c r="W15" i="3"/>
  <c r="U18" i="3"/>
  <c r="U17" i="3"/>
  <c r="Q22" i="3"/>
  <c r="R21" i="3"/>
  <c r="O11" i="3"/>
  <c r="P12" i="3" s="1"/>
  <c r="O14" i="3"/>
  <c r="O10" i="3" s="1"/>
  <c r="O9" i="3" s="1"/>
  <c r="O24" i="3" s="1"/>
  <c r="O25" i="3" s="1"/>
  <c r="O13" i="3"/>
  <c r="N10" i="3"/>
  <c r="N9" i="3" s="1"/>
  <c r="N24" i="3" s="1"/>
  <c r="M26" i="3"/>
  <c r="M27" i="3" s="1"/>
  <c r="M24" i="3"/>
  <c r="M25" i="3" s="1"/>
  <c r="M28" i="3"/>
  <c r="N28" i="3"/>
  <c r="W16" i="3" l="1"/>
  <c r="X15" i="3"/>
  <c r="V17" i="3"/>
  <c r="V18" i="3"/>
  <c r="R22" i="3"/>
  <c r="S21" i="3"/>
  <c r="P11" i="3"/>
  <c r="Q12" i="3" s="1"/>
  <c r="P14" i="3"/>
  <c r="P10" i="3" s="1"/>
  <c r="P9" i="3" s="1"/>
  <c r="P13" i="3"/>
  <c r="O28" i="3"/>
  <c r="O23" i="3"/>
  <c r="O26" i="3"/>
  <c r="O27" i="3" s="1"/>
  <c r="N26" i="3"/>
  <c r="N27" i="3" s="1"/>
  <c r="N25" i="3"/>
  <c r="Y15" i="3" l="1"/>
  <c r="X16" i="3"/>
  <c r="W17" i="3"/>
  <c r="W18" i="3"/>
  <c r="Q14" i="3"/>
  <c r="Q10" i="3" s="1"/>
  <c r="Q9" i="3" s="1"/>
  <c r="Q13" i="3"/>
  <c r="Q11" i="3"/>
  <c r="R12" i="3" s="1"/>
  <c r="P28" i="3"/>
  <c r="P23" i="3"/>
  <c r="P26" i="3"/>
  <c r="P27" i="3" s="1"/>
  <c r="P24" i="3"/>
  <c r="P25" i="3" s="1"/>
  <c r="S22" i="3"/>
  <c r="T21" i="3"/>
  <c r="Q24" i="3" l="1"/>
  <c r="Q25" i="3" s="1"/>
  <c r="X18" i="3"/>
  <c r="X17" i="3"/>
  <c r="Y16" i="3"/>
  <c r="Z15" i="3"/>
  <c r="T22" i="3"/>
  <c r="U21" i="3"/>
  <c r="R14" i="3"/>
  <c r="R10" i="3" s="1"/>
  <c r="R9" i="3" s="1"/>
  <c r="R13" i="3"/>
  <c r="R11" i="3"/>
  <c r="S12" i="3" s="1"/>
  <c r="Q23" i="3"/>
  <c r="Q28" i="3"/>
  <c r="Q26" i="3"/>
  <c r="Q27" i="3" s="1"/>
  <c r="AA15" i="3" l="1"/>
  <c r="Z16" i="3"/>
  <c r="Y17" i="3"/>
  <c r="Y18" i="3"/>
  <c r="S13" i="3"/>
  <c r="S11" i="3"/>
  <c r="T12" i="3" s="1"/>
  <c r="S14" i="3"/>
  <c r="S10" i="3" s="1"/>
  <c r="S9" i="3" s="1"/>
  <c r="S24" i="3" s="1"/>
  <c r="S25" i="3" s="1"/>
  <c r="V21" i="3"/>
  <c r="U22" i="3"/>
  <c r="R23" i="3"/>
  <c r="R28" i="3"/>
  <c r="R26" i="3"/>
  <c r="R27" i="3" s="1"/>
  <c r="R24" i="3"/>
  <c r="R25" i="3" s="1"/>
  <c r="AB15" i="3" l="1"/>
  <c r="AA16" i="3"/>
  <c r="Z18" i="3"/>
  <c r="Z17" i="3"/>
  <c r="T13" i="3"/>
  <c r="T11" i="3"/>
  <c r="U12" i="3" s="1"/>
  <c r="T14" i="3"/>
  <c r="T10" i="3" s="1"/>
  <c r="T9" i="3" s="1"/>
  <c r="T24" i="3" s="1"/>
  <c r="T25" i="3" s="1"/>
  <c r="S28" i="3"/>
  <c r="S23" i="3"/>
  <c r="S26" i="3"/>
  <c r="S27" i="3" s="1"/>
  <c r="V22" i="3"/>
  <c r="W21" i="3"/>
  <c r="AA17" i="3" l="1"/>
  <c r="AA18" i="3"/>
  <c r="AB16" i="3"/>
  <c r="AC15" i="3"/>
  <c r="U11" i="3"/>
  <c r="V12" i="3" s="1"/>
  <c r="U14" i="3"/>
  <c r="U10" i="3" s="1"/>
  <c r="U9" i="3" s="1"/>
  <c r="U13" i="3"/>
  <c r="W22" i="3"/>
  <c r="X21" i="3"/>
  <c r="T23" i="3"/>
  <c r="T28" i="3"/>
  <c r="T26" i="3"/>
  <c r="T27" i="3" s="1"/>
  <c r="U24" i="3" l="1"/>
  <c r="U25" i="3" s="1"/>
  <c r="AC16" i="3"/>
  <c r="AD15" i="3"/>
  <c r="AB17" i="3"/>
  <c r="AB18" i="3"/>
  <c r="U23" i="3"/>
  <c r="U28" i="3"/>
  <c r="U26" i="3"/>
  <c r="U27" i="3" s="1"/>
  <c r="V11" i="3"/>
  <c r="W12" i="3" s="1"/>
  <c r="V14" i="3"/>
  <c r="V10" i="3" s="1"/>
  <c r="V9" i="3" s="1"/>
  <c r="V13" i="3"/>
  <c r="X22" i="3"/>
  <c r="Y21" i="3"/>
  <c r="AE15" i="3" l="1"/>
  <c r="AE16" i="3" s="1"/>
  <c r="AD16" i="3"/>
  <c r="V24" i="3"/>
  <c r="V25" i="3" s="1"/>
  <c r="AC18" i="3"/>
  <c r="AC17" i="3"/>
  <c r="V28" i="3"/>
  <c r="V23" i="3"/>
  <c r="V26" i="3"/>
  <c r="V27" i="3" s="1"/>
  <c r="W11" i="3"/>
  <c r="X12" i="3" s="1"/>
  <c r="W14" i="3"/>
  <c r="W10" i="3" s="1"/>
  <c r="W9" i="3" s="1"/>
  <c r="W13" i="3"/>
  <c r="Y22" i="3"/>
  <c r="Z21" i="3"/>
  <c r="W24" i="3" l="1"/>
  <c r="W25" i="3" s="1"/>
  <c r="AD18" i="3"/>
  <c r="AD17" i="3"/>
  <c r="AE18" i="3"/>
  <c r="AE17" i="3"/>
  <c r="X14" i="3"/>
  <c r="X10" i="3" s="1"/>
  <c r="X9" i="3" s="1"/>
  <c r="X13" i="3"/>
  <c r="X11" i="3"/>
  <c r="Y12" i="3" s="1"/>
  <c r="W28" i="3"/>
  <c r="W23" i="3"/>
  <c r="W26" i="3"/>
  <c r="W27" i="3" s="1"/>
  <c r="Z22" i="3"/>
  <c r="AA21" i="3"/>
  <c r="AA22" i="3" l="1"/>
  <c r="AB21" i="3"/>
  <c r="Y14" i="3"/>
  <c r="Y10" i="3" s="1"/>
  <c r="Y9" i="3" s="1"/>
  <c r="Y13" i="3"/>
  <c r="Y11" i="3"/>
  <c r="Z12" i="3" s="1"/>
  <c r="X28" i="3"/>
  <c r="X23" i="3"/>
  <c r="X26" i="3"/>
  <c r="X27" i="3" s="1"/>
  <c r="X24" i="3"/>
  <c r="X25" i="3" s="1"/>
  <c r="Z14" i="3" l="1"/>
  <c r="Z10" i="3" s="1"/>
  <c r="Z9" i="3" s="1"/>
  <c r="Z13" i="3"/>
  <c r="Z11" i="3"/>
  <c r="AA12" i="3" s="1"/>
  <c r="Y23" i="3"/>
  <c r="Y28" i="3"/>
  <c r="Y26" i="3"/>
  <c r="Y27" i="3" s="1"/>
  <c r="Y24" i="3"/>
  <c r="Y25" i="3" s="1"/>
  <c r="AB22" i="3"/>
  <c r="AC21" i="3"/>
  <c r="AA13" i="3" l="1"/>
  <c r="AA11" i="3"/>
  <c r="AB12" i="3" s="1"/>
  <c r="AA14" i="3"/>
  <c r="AA10" i="3" s="1"/>
  <c r="AA9" i="3" s="1"/>
  <c r="Z23" i="3"/>
  <c r="Z28" i="3"/>
  <c r="Z26" i="3"/>
  <c r="Z27" i="3" s="1"/>
  <c r="AD21" i="3"/>
  <c r="AC22" i="3"/>
  <c r="Z24" i="3"/>
  <c r="Z25" i="3" s="1"/>
  <c r="AA24" i="3" l="1"/>
  <c r="AA25" i="3" s="1"/>
  <c r="AD22" i="3"/>
  <c r="AE21" i="3"/>
  <c r="AB14" i="3"/>
  <c r="AB10" i="3" s="1"/>
  <c r="AB9" i="3" s="1"/>
  <c r="AB11" i="3"/>
  <c r="AC12" i="3" s="1"/>
  <c r="AB13" i="3"/>
  <c r="AA28" i="3"/>
  <c r="AA23" i="3"/>
  <c r="AA26" i="3"/>
  <c r="AA27" i="3" s="1"/>
  <c r="AC14" i="3" l="1"/>
  <c r="AC10" i="3" s="1"/>
  <c r="AC9" i="3" s="1"/>
  <c r="AC11" i="3"/>
  <c r="AD12" i="3" s="1"/>
  <c r="AC13" i="3"/>
  <c r="AB23" i="3"/>
  <c r="AB28" i="3"/>
  <c r="AB26" i="3"/>
  <c r="AB27" i="3" s="1"/>
  <c r="AB24" i="3"/>
  <c r="AB25" i="3" s="1"/>
  <c r="AE22" i="3"/>
  <c r="AC28" i="3" l="1"/>
  <c r="AC23" i="3"/>
  <c r="AC26" i="3"/>
  <c r="AC27" i="3" s="1"/>
  <c r="AD11" i="3"/>
  <c r="AE12" i="3" s="1"/>
  <c r="AD14" i="3"/>
  <c r="AD10" i="3" s="1"/>
  <c r="AD9" i="3" s="1"/>
  <c r="AD13" i="3"/>
  <c r="AC24" i="3"/>
  <c r="AC25" i="3" s="1"/>
  <c r="AD24" i="3" l="1"/>
  <c r="AD25" i="3" s="1"/>
  <c r="AD28" i="3"/>
  <c r="AD23" i="3"/>
  <c r="AD26" i="3"/>
  <c r="AD27" i="3" s="1"/>
  <c r="AE11" i="3"/>
  <c r="AE13" i="3"/>
  <c r="AE14" i="3"/>
  <c r="AE10" i="3" s="1"/>
  <c r="AE9" i="3" s="1"/>
  <c r="AE24" i="3" s="1"/>
  <c r="AE25" i="3" s="1"/>
  <c r="AE28" i="3" l="1"/>
  <c r="AE23" i="3"/>
  <c r="AE26" i="3"/>
  <c r="AE27" i="3" s="1"/>
</calcChain>
</file>

<file path=xl/sharedStrings.xml><?xml version="1.0" encoding="utf-8"?>
<sst xmlns="http://schemas.openxmlformats.org/spreadsheetml/2006/main" count="134" uniqueCount="102">
  <si>
    <t>What</t>
  </si>
  <si>
    <t>Cost</t>
  </si>
  <si>
    <t>Malpractice (included in hourly cost?)</t>
  </si>
  <si>
    <t>Other costs (credentialing?)</t>
  </si>
  <si>
    <t>Perm Fee</t>
  </si>
  <si>
    <t>Search Team</t>
  </si>
  <si>
    <t>Locums</t>
  </si>
  <si>
    <t>Fee</t>
  </si>
  <si>
    <t>Total</t>
  </si>
  <si>
    <t>Time Gap to Direct Hire</t>
  </si>
  <si>
    <t>Open FTE</t>
  </si>
  <si>
    <t>Missed Revenue</t>
  </si>
  <si>
    <t>Locums Cost</t>
  </si>
  <si>
    <t>Locums ROI</t>
  </si>
  <si>
    <t>MSP ROI</t>
  </si>
  <si>
    <t>Search ROI</t>
  </si>
  <si>
    <t>Gold ROI</t>
  </si>
  <si>
    <t>Daily Rate</t>
  </si>
  <si>
    <t>Onboarding Days</t>
  </si>
  <si>
    <t>Avg Provider Generated Revenue/Day</t>
  </si>
  <si>
    <t>MSP Cost</t>
  </si>
  <si>
    <t>Gold Cost</t>
  </si>
  <si>
    <t>Search Cost</t>
  </si>
  <si>
    <t>Search Onboarding Days</t>
  </si>
  <si>
    <t>Search Missed Revenue</t>
  </si>
  <si>
    <t>&lt;- doesn't include hospital operating costs (ex. nurse salaries, equipment maintenance, etc.)</t>
  </si>
  <si>
    <t>&lt;- does not include any costs after the hire (ex. salary, bonuses, etc.)</t>
  </si>
  <si>
    <t>&lt;- includes weekends</t>
  </si>
  <si>
    <t>Include Weekends</t>
  </si>
  <si>
    <t>Y</t>
  </si>
  <si>
    <t>VISTA Filled Days</t>
  </si>
  <si>
    <t>&lt;- assume none needed</t>
  </si>
  <si>
    <t>&lt;- assumes fulltime fill</t>
  </si>
  <si>
    <t>Gold/Float Pool</t>
  </si>
  <si>
    <t>&lt;- 6K per month per facility for hallmark</t>
  </si>
  <si>
    <t>&lt;- works off of an assumed 100% fill rate || MSP will have a higher fill rate (more agencies)</t>
  </si>
  <si>
    <t>Locums Daily Rate</t>
  </si>
  <si>
    <t>VISTA Select</t>
  </si>
  <si>
    <t>Combo Gold and VISTA select on its own sheet</t>
  </si>
  <si>
    <t>&lt;- avg for 2024 is $390/day</t>
  </si>
  <si>
    <t>Daily Travel (Housing, Flight, Car)</t>
  </si>
  <si>
    <t>Average Travel</t>
  </si>
  <si>
    <t>&lt;- avg for 2024 is $390/day. Will vary by location and specialty</t>
  </si>
  <si>
    <t>Floating Pool</t>
  </si>
  <si>
    <t>Months after signing</t>
  </si>
  <si>
    <t>Avg Locums Cost/Day</t>
  </si>
  <si>
    <t>Avg MSP Cost/Day</t>
  </si>
  <si>
    <t>Avg Float Pool Cost/Day</t>
  </si>
  <si>
    <t>%Fill MSP</t>
  </si>
  <si>
    <t>%Fill Float Pool</t>
  </si>
  <si>
    <t>Providers Onboarded per Month</t>
  </si>
  <si>
    <t>Target Max Providers</t>
  </si>
  <si>
    <t>Open Days/Month</t>
  </si>
  <si>
    <t>Client Need</t>
  </si>
  <si>
    <t>Open Days per Month</t>
  </si>
  <si>
    <t>MSP Cost/Month</t>
  </si>
  <si>
    <t>Float Pool Cost/Month</t>
  </si>
  <si>
    <t>Float Pool Provider Count</t>
  </si>
  <si>
    <t>Float Pool Days Filled</t>
  </si>
  <si>
    <t>Max Locums Days Filled per Month</t>
  </si>
  <si>
    <t>Max Float Pool Days Filled per Month</t>
  </si>
  <si>
    <t>Average Days per provider per Month</t>
  </si>
  <si>
    <t>Cardiology</t>
  </si>
  <si>
    <t>Oncology</t>
  </si>
  <si>
    <t>&lt;- inclusive of associate vendor network</t>
  </si>
  <si>
    <t>VISTA Locums</t>
  </si>
  <si>
    <t>VISTA Locums Provider Count</t>
  </si>
  <si>
    <t>VISTA Locums Days Filled</t>
  </si>
  <si>
    <t>VISTA Locums Cost/Month</t>
  </si>
  <si>
    <t>%Fill VISTA Locums</t>
  </si>
  <si>
    <t>&lt;- assumes no paid travel. Utilizes retired/local providers</t>
  </si>
  <si>
    <t>Hospitalist</t>
  </si>
  <si>
    <t>Permanent Placement</t>
  </si>
  <si>
    <t>Permanent Placement Fee</t>
  </si>
  <si>
    <t>Placement Fee</t>
  </si>
  <si>
    <t>Client Direct FTE</t>
  </si>
  <si>
    <t>Direct FTE Count</t>
  </si>
  <si>
    <t>Client Direct FTE Cost</t>
  </si>
  <si>
    <t>Cost MSP+Locums+Float Pool</t>
  </si>
  <si>
    <t>Cost Locums+Float Pool</t>
  </si>
  <si>
    <t>Current Client Physician Staff</t>
  </si>
  <si>
    <t>Specialty</t>
  </si>
  <si>
    <t>daily</t>
  </si>
  <si>
    <t>Shift Length</t>
  </si>
  <si>
    <t>Avg Yearly Salary</t>
  </si>
  <si>
    <t>MSP assumes 100% fill rate -&gt;</t>
  </si>
  <si>
    <t>Cost All with MSP</t>
  </si>
  <si>
    <t>Cost All without MSP</t>
  </si>
  <si>
    <t>row must be manually edited -&gt;</t>
  </si>
  <si>
    <t>%Change VISTA Program Labor Cost</t>
  </si>
  <si>
    <t>%Change VISTA &amp; UK Program Labor Cost</t>
  </si>
  <si>
    <t>includes client staffed FTE and VISTA Perm -&gt;</t>
  </si>
  <si>
    <t>assumes no net client turnover -&gt;</t>
  </si>
  <si>
    <t>FTE Days per Physician per Month</t>
  </si>
  <si>
    <t>12 hour shift @290/hr</t>
  </si>
  <si>
    <t>Remove MSP</t>
  </si>
  <si>
    <t>Search is month 8 - 1 placement</t>
  </si>
  <si>
    <t>adjust perm placement fee</t>
  </si>
  <si>
    <t>FTE</t>
  </si>
  <si>
    <t>Days/FTE Per Month</t>
  </si>
  <si>
    <r>
      <rPr>
        <sz val="11"/>
        <color rgb="FFFF0000"/>
        <rFont val="Aptos Narrow"/>
        <family val="2"/>
        <scheme val="minor"/>
      </rPr>
      <t>2 years</t>
    </r>
    <r>
      <rPr>
        <sz val="11"/>
        <color theme="1"/>
        <rFont val="Aptos Narrow"/>
        <family val="2"/>
        <scheme val="minor"/>
      </rPr>
      <t xml:space="preserve">
</t>
    </r>
    <r>
      <rPr>
        <sz val="11"/>
        <color rgb="FFFF0000"/>
        <rFont val="Aptos Narrow"/>
        <family val="2"/>
        <scheme val="minor"/>
      </rPr>
      <t>Leave 0 placements for first 3 months</t>
    </r>
    <r>
      <rPr>
        <sz val="11"/>
        <color theme="1"/>
        <rFont val="Aptos Narrow"/>
        <family val="2"/>
        <scheme val="minor"/>
      </rPr>
      <t xml:space="preserve">
</t>
    </r>
    <r>
      <rPr>
        <sz val="11"/>
        <color rgb="FFFF0000"/>
        <rFont val="Aptos Narrow"/>
        <family val="2"/>
        <scheme val="minor"/>
      </rPr>
      <t>Float Pool starts month 12</t>
    </r>
  </si>
  <si>
    <t>Assumes Client FTE is maintained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</si>
</sst>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_(* #,##0_);_(* \(#,##0\);_(* &quot;-&quot;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medium">
        <color indexed="64"/>
      </bottom>
      <diagonal/>
    </border>
    <border>
      <left style="thin">
        <color theme="2"/>
      </left>
      <right style="thin">
        <color indexed="64"/>
      </right>
      <top/>
      <bottom style="thin">
        <color theme="2"/>
      </bottom>
      <diagonal/>
    </border>
    <border>
      <left style="thin">
        <color theme="2"/>
      </left>
      <right style="thin">
        <color indexed="64"/>
      </right>
      <top style="thin">
        <color theme="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2"/>
      </bottom>
      <diagonal/>
    </border>
    <border>
      <left style="thin">
        <color indexed="64"/>
      </left>
      <right style="thin">
        <color indexed="64"/>
      </right>
      <top style="thin">
        <color theme="2"/>
      </top>
      <bottom style="medium">
        <color indexed="64"/>
      </bottom>
      <diagonal/>
    </border>
    <border>
      <left style="thin">
        <color theme="0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  <border>
      <left style="thin">
        <color indexed="64"/>
      </left>
      <right/>
      <top style="thin">
        <color theme="0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1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2" xfId="0" applyBorder="1"/>
    <xf numFmtId="0" fontId="0" fillId="0" borderId="6" xfId="0" applyBorder="1"/>
    <xf numFmtId="0" fontId="2" fillId="0" borderId="2" xfId="0" applyFont="1" applyBorder="1"/>
    <xf numFmtId="0" fontId="2" fillId="0" borderId="6" xfId="0" applyFont="1" applyBorder="1"/>
    <xf numFmtId="0" fontId="2" fillId="0" borderId="5" xfId="0" applyFont="1" applyBorder="1"/>
    <xf numFmtId="0" fontId="0" fillId="0" borderId="4" xfId="0" applyBorder="1"/>
    <xf numFmtId="43" fontId="0" fillId="0" borderId="2" xfId="1" applyFont="1" applyBorder="1"/>
    <xf numFmtId="164" fontId="0" fillId="0" borderId="1" xfId="1" applyNumberFormat="1" applyFont="1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2" fillId="0" borderId="13" xfId="0" applyFont="1" applyBorder="1"/>
    <xf numFmtId="0" fontId="0" fillId="0" borderId="13" xfId="0" applyBorder="1"/>
    <xf numFmtId="43" fontId="0" fillId="0" borderId="5" xfId="1" applyFont="1" applyBorder="1"/>
    <xf numFmtId="164" fontId="0" fillId="0" borderId="5" xfId="1" applyNumberFormat="1" applyFont="1" applyBorder="1"/>
    <xf numFmtId="0" fontId="2" fillId="0" borderId="15" xfId="0" applyFont="1" applyBorder="1"/>
    <xf numFmtId="0" fontId="2" fillId="0" borderId="14" xfId="0" applyFont="1" applyBorder="1"/>
    <xf numFmtId="164" fontId="0" fillId="0" borderId="14" xfId="1" applyNumberFormat="1" applyFont="1" applyBorder="1"/>
    <xf numFmtId="0" fontId="0" fillId="0" borderId="16" xfId="0" applyBorder="1"/>
    <xf numFmtId="0" fontId="0" fillId="0" borderId="17" xfId="0" applyBorder="1"/>
    <xf numFmtId="0" fontId="2" fillId="0" borderId="17" xfId="0" applyFont="1" applyBorder="1"/>
    <xf numFmtId="44" fontId="0" fillId="0" borderId="2" xfId="2" applyFont="1" applyBorder="1"/>
    <xf numFmtId="165" fontId="0" fillId="0" borderId="5" xfId="2" applyNumberFormat="1" applyFont="1" applyBorder="1"/>
    <xf numFmtId="165" fontId="2" fillId="0" borderId="5" xfId="2" applyNumberFormat="1" applyFont="1" applyBorder="1"/>
    <xf numFmtId="165" fontId="0" fillId="0" borderId="2" xfId="2" applyNumberFormat="1" applyFont="1" applyBorder="1"/>
    <xf numFmtId="165" fontId="2" fillId="0" borderId="2" xfId="2" applyNumberFormat="1" applyFont="1" applyBorder="1"/>
    <xf numFmtId="165" fontId="2" fillId="0" borderId="15" xfId="2" applyNumberFormat="1" applyFont="1" applyBorder="1"/>
    <xf numFmtId="0" fontId="2" fillId="0" borderId="18" xfId="0" applyFont="1" applyBorder="1"/>
    <xf numFmtId="164" fontId="0" fillId="0" borderId="18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5" fontId="0" fillId="0" borderId="1" xfId="2" applyNumberFormat="1" applyFont="1" applyBorder="1"/>
    <xf numFmtId="0" fontId="0" fillId="2" borderId="1" xfId="0" applyFill="1" applyBorder="1"/>
    <xf numFmtId="165" fontId="0" fillId="0" borderId="1" xfId="0" applyNumberFormat="1" applyBorder="1"/>
    <xf numFmtId="165" fontId="0" fillId="0" borderId="1" xfId="2" applyNumberFormat="1" applyFont="1" applyFill="1" applyBorder="1"/>
    <xf numFmtId="0" fontId="0" fillId="0" borderId="19" xfId="0" applyBorder="1"/>
    <xf numFmtId="0" fontId="0" fillId="0" borderId="20" xfId="0" applyBorder="1"/>
    <xf numFmtId="0" fontId="2" fillId="0" borderId="21" xfId="0" applyFont="1" applyBorder="1"/>
    <xf numFmtId="0" fontId="2" fillId="0" borderId="20" xfId="0" applyFont="1" applyBorder="1"/>
    <xf numFmtId="0" fontId="0" fillId="0" borderId="21" xfId="0" applyBorder="1"/>
    <xf numFmtId="0" fontId="0" fillId="0" borderId="22" xfId="0" applyBorder="1"/>
    <xf numFmtId="0" fontId="2" fillId="0" borderId="22" xfId="0" applyFont="1" applyBorder="1"/>
    <xf numFmtId="0" fontId="2" fillId="3" borderId="23" xfId="0" applyFont="1" applyFill="1" applyBorder="1"/>
    <xf numFmtId="0" fontId="2" fillId="3" borderId="24" xfId="0" applyFont="1" applyFill="1" applyBorder="1"/>
    <xf numFmtId="0" fontId="2" fillId="0" borderId="25" xfId="0" applyFont="1" applyBorder="1"/>
    <xf numFmtId="0" fontId="0" fillId="0" borderId="26" xfId="0" applyBorder="1"/>
    <xf numFmtId="165" fontId="0" fillId="0" borderId="27" xfId="0" applyNumberFormat="1" applyBorder="1"/>
    <xf numFmtId="9" fontId="0" fillId="0" borderId="25" xfId="3" applyFont="1" applyBorder="1"/>
    <xf numFmtId="0" fontId="0" fillId="0" borderId="27" xfId="0" applyBorder="1"/>
    <xf numFmtId="165" fontId="0" fillId="0" borderId="25" xfId="0" applyNumberFormat="1" applyBorder="1"/>
    <xf numFmtId="165" fontId="0" fillId="0" borderId="28" xfId="0" applyNumberFormat="1" applyBorder="1"/>
    <xf numFmtId="165" fontId="0" fillId="0" borderId="26" xfId="0" applyNumberFormat="1" applyBorder="1"/>
    <xf numFmtId="165" fontId="0" fillId="3" borderId="29" xfId="0" applyNumberFormat="1" applyFill="1" applyBorder="1"/>
    <xf numFmtId="0" fontId="3" fillId="0" borderId="1" xfId="0" applyFont="1" applyBorder="1"/>
    <xf numFmtId="164" fontId="0" fillId="0" borderId="26" xfId="1" applyNumberFormat="1" applyFont="1" applyBorder="1"/>
    <xf numFmtId="44" fontId="0" fillId="0" borderId="1" xfId="0" applyNumberFormat="1" applyBorder="1"/>
    <xf numFmtId="0" fontId="4" fillId="0" borderId="1" xfId="0" applyFont="1" applyBorder="1"/>
    <xf numFmtId="166" fontId="0" fillId="0" borderId="26" xfId="0" applyNumberFormat="1" applyBorder="1"/>
    <xf numFmtId="164" fontId="5" fillId="2" borderId="5" xfId="1" applyNumberFormat="1" applyFont="1" applyFill="1" applyBorder="1"/>
    <xf numFmtId="0" fontId="6" fillId="0" borderId="1" xfId="0" applyFont="1" applyBorder="1"/>
    <xf numFmtId="9" fontId="0" fillId="0" borderId="28" xfId="3" applyFont="1" applyFill="1" applyBorder="1"/>
    <xf numFmtId="9" fontId="0" fillId="3" borderId="30" xfId="3" applyFont="1" applyFill="1" applyBorder="1"/>
    <xf numFmtId="0" fontId="4" fillId="0" borderId="1" xfId="0" applyFont="1" applyBorder="1" applyAlignment="1">
      <alignment horizontal="right"/>
    </xf>
    <xf numFmtId="0" fontId="4" fillId="0" borderId="12" xfId="0" applyFont="1" applyBorder="1" applyAlignment="1">
      <alignment horizontal="right"/>
    </xf>
    <xf numFmtId="0" fontId="4" fillId="0" borderId="12" xfId="0" applyFont="1" applyBorder="1"/>
    <xf numFmtId="0" fontId="0" fillId="0" borderId="1" xfId="0" applyBorder="1" applyAlignment="1">
      <alignment wrapText="1"/>
    </xf>
    <xf numFmtId="165" fontId="0" fillId="0" borderId="34" xfId="0" applyNumberFormat="1" applyBorder="1" applyAlignment="1">
      <alignment horizontal="right"/>
    </xf>
    <xf numFmtId="165" fontId="0" fillId="0" borderId="35" xfId="0" applyNumberFormat="1" applyBorder="1" applyAlignment="1">
      <alignment horizontal="right"/>
    </xf>
    <xf numFmtId="165" fontId="0" fillId="0" borderId="33" xfId="0" applyNumberFormat="1" applyBorder="1" applyAlignment="1">
      <alignment horizontal="right"/>
    </xf>
    <xf numFmtId="0" fontId="5" fillId="0" borderId="1" xfId="0" applyFont="1" applyBorder="1"/>
    <xf numFmtId="0" fontId="5" fillId="2" borderId="1" xfId="0" applyFont="1" applyFill="1" applyBorder="1"/>
    <xf numFmtId="165" fontId="5" fillId="0" borderId="1" xfId="2" applyNumberFormat="1" applyFont="1" applyBorder="1"/>
    <xf numFmtId="166" fontId="4" fillId="0" borderId="5" xfId="0" applyNumberFormat="1" applyFont="1" applyBorder="1"/>
    <xf numFmtId="165" fontId="5" fillId="0" borderId="1" xfId="0" applyNumberFormat="1" applyFont="1" applyBorder="1"/>
    <xf numFmtId="165" fontId="5" fillId="2" borderId="5" xfId="2" applyNumberFormat="1" applyFont="1" applyFill="1" applyBorder="1"/>
    <xf numFmtId="0" fontId="2" fillId="4" borderId="23" xfId="0" applyFont="1" applyFill="1" applyBorder="1"/>
    <xf numFmtId="165" fontId="0" fillId="4" borderId="29" xfId="0" applyNumberFormat="1" applyFill="1" applyBorder="1"/>
    <xf numFmtId="0" fontId="2" fillId="4" borderId="31" xfId="0" applyFont="1" applyFill="1" applyBorder="1"/>
    <xf numFmtId="165" fontId="0" fillId="4" borderId="32" xfId="0" applyNumberFormat="1" applyFill="1" applyBorder="1"/>
    <xf numFmtId="0" fontId="5" fillId="2" borderId="5" xfId="0" applyFont="1" applyFill="1" applyBorder="1"/>
    <xf numFmtId="0" fontId="7" fillId="0" borderId="1" xfId="0" applyFont="1" applyBorder="1"/>
    <xf numFmtId="0" fontId="2" fillId="0" borderId="7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5" fontId="4" fillId="0" borderId="1" xfId="2" applyNumberFormat="1" applyFont="1" applyFill="1" applyBorder="1"/>
    <xf numFmtId="0" fontId="4" fillId="2" borderId="1" xfId="0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_(&quot;$&quot;* #,##0_);_(&quot;$&quot;* \(#,##0\);_(&quot;$&quot;* &quot;-&quot;??_);_(@_)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_(&quot;$&quot;* #,##0_);_(&quot;$&quot;* \(#,##0\);_(&quot;$&quot;* &quot;-&quot;??_);_(@_)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_(&quot;$&quot;* #,##0_);_(&quot;$&quot;* \(#,##0\);_(&quot;$&quot;* &quot;-&quot;??_);_(@_)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C69FC1-DFEE-4371-8539-CEB3B3000E86}" name="Table1" displayName="Table1" ref="A1:D4" totalsRowShown="0" headerRowDxfId="4">
  <autoFilter ref="A1:D4" xr:uid="{E4C69FC1-DFEE-4371-8539-CEB3B3000E86}"/>
  <tableColumns count="4">
    <tableColumn id="1" xr3:uid="{5658DD16-B554-4FF9-A533-EFD547D87E5D}" name="Specialty" dataDxfId="3"/>
    <tableColumn id="2" xr3:uid="{E20F37E9-CF42-4A60-9F92-8DDC85D4B3E8}" name="Daily Rate" dataDxfId="2" dataCellStyle="Currency"/>
    <tableColumn id="3" xr3:uid="{B577A059-E1A7-4AD6-BCD0-C1884467E7E6}" name="Avg Yearly Salary" dataDxfId="1" dataCellStyle="Currency"/>
    <tableColumn id="4" xr3:uid="{FEC5A130-C8AC-448C-AE66-52A6EA97D845}" name="Shift Length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BD217-67C8-4D24-8D1E-B8DC3B454CEA}">
  <dimension ref="A1:T46"/>
  <sheetViews>
    <sheetView topLeftCell="A4" workbookViewId="0">
      <selection activeCell="D17" sqref="D17"/>
    </sheetView>
  </sheetViews>
  <sheetFormatPr defaultRowHeight="15" x14ac:dyDescent="0.25"/>
  <cols>
    <col min="1" max="1" width="35.140625" bestFit="1" customWidth="1"/>
    <col min="2" max="2" width="15.5703125" bestFit="1" customWidth="1"/>
    <col min="3" max="3" width="3.140625" customWidth="1"/>
    <col min="4" max="4" width="35.140625" bestFit="1" customWidth="1"/>
    <col min="5" max="5" width="11.140625" customWidth="1"/>
    <col min="6" max="6" width="3.140625" customWidth="1"/>
    <col min="7" max="7" width="35.140625" bestFit="1" customWidth="1"/>
    <col min="8" max="8" width="12.5703125" customWidth="1"/>
  </cols>
  <sheetData>
    <row r="1" spans="1:20" x14ac:dyDescent="0.25">
      <c r="A1" s="9" t="s">
        <v>40</v>
      </c>
      <c r="B1" s="27">
        <v>390</v>
      </c>
      <c r="C1" s="4" t="s">
        <v>39</v>
      </c>
      <c r="D1" s="4"/>
      <c r="E1" s="4"/>
      <c r="F1" s="4"/>
      <c r="G1" s="4"/>
      <c r="H1" s="4"/>
      <c r="I1" s="4"/>
      <c r="J1" s="4"/>
      <c r="K1" s="4"/>
      <c r="L1" s="4"/>
      <c r="M1" s="4" t="s">
        <v>38</v>
      </c>
      <c r="N1" s="4"/>
      <c r="O1" s="4"/>
      <c r="P1" s="4"/>
      <c r="Q1" s="4"/>
      <c r="R1" s="4"/>
      <c r="S1" s="4"/>
      <c r="T1" s="4"/>
    </row>
    <row r="2" spans="1:20" x14ac:dyDescent="0.25">
      <c r="A2" s="9" t="s">
        <v>36</v>
      </c>
      <c r="B2" s="27">
        <v>4000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 x14ac:dyDescent="0.25">
      <c r="A4" s="86" t="s">
        <v>6</v>
      </c>
      <c r="B4" s="88"/>
      <c r="C4" s="1"/>
      <c r="D4" s="86" t="s">
        <v>37</v>
      </c>
      <c r="E4" s="88"/>
      <c r="F4" s="1"/>
      <c r="G4" s="86" t="s">
        <v>33</v>
      </c>
      <c r="H4" s="8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 x14ac:dyDescent="0.25">
      <c r="A5" s="7" t="s">
        <v>0</v>
      </c>
      <c r="B5" s="7" t="s">
        <v>1</v>
      </c>
      <c r="C5" s="8"/>
      <c r="D5" s="7" t="s">
        <v>0</v>
      </c>
      <c r="E5" s="7" t="s">
        <v>1</v>
      </c>
      <c r="F5" s="8"/>
      <c r="G5" s="7" t="s">
        <v>0</v>
      </c>
      <c r="H5" s="7" t="s">
        <v>1</v>
      </c>
      <c r="I5" s="2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 x14ac:dyDescent="0.25">
      <c r="A6" s="5" t="s">
        <v>17</v>
      </c>
      <c r="B6" s="29">
        <f>B2</f>
        <v>4000</v>
      </c>
      <c r="C6" s="6"/>
      <c r="D6" s="5" t="s">
        <v>7</v>
      </c>
      <c r="E6" s="26">
        <v>0</v>
      </c>
      <c r="F6" s="6"/>
      <c r="G6" s="5" t="s">
        <v>7</v>
      </c>
      <c r="H6" s="26">
        <v>0</v>
      </c>
      <c r="I6" s="24" t="s">
        <v>34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x14ac:dyDescent="0.25">
      <c r="A7" s="5" t="s">
        <v>2</v>
      </c>
      <c r="B7" s="26"/>
      <c r="C7" s="6"/>
      <c r="D7" s="5" t="s">
        <v>17</v>
      </c>
      <c r="E7" s="29">
        <f>B6*1.05</f>
        <v>4200</v>
      </c>
      <c r="F7" s="6"/>
      <c r="G7" s="5" t="s">
        <v>17</v>
      </c>
      <c r="H7" s="29">
        <f>B6*0.78</f>
        <v>3120</v>
      </c>
      <c r="I7" s="2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x14ac:dyDescent="0.25">
      <c r="A8" s="5" t="s">
        <v>3</v>
      </c>
      <c r="B8" s="26"/>
      <c r="C8" s="6"/>
      <c r="D8" s="5" t="s">
        <v>2</v>
      </c>
      <c r="E8" s="26"/>
      <c r="F8" s="6"/>
      <c r="G8" s="5" t="s">
        <v>2</v>
      </c>
      <c r="H8" s="26"/>
      <c r="I8" s="2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0" x14ac:dyDescent="0.25">
      <c r="A9" s="5" t="s">
        <v>40</v>
      </c>
      <c r="B9" s="29">
        <f>$B$1</f>
        <v>390</v>
      </c>
      <c r="C9" s="6"/>
      <c r="D9" s="5" t="s">
        <v>3</v>
      </c>
      <c r="E9" s="26"/>
      <c r="F9" s="6"/>
      <c r="G9" s="5" t="s">
        <v>3</v>
      </c>
      <c r="H9" s="26"/>
      <c r="I9" s="2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 x14ac:dyDescent="0.25">
      <c r="A10" s="7" t="s">
        <v>8</v>
      </c>
      <c r="B10" s="30">
        <f>SUM(B6:B9)</f>
        <v>4390</v>
      </c>
      <c r="C10" s="3"/>
      <c r="D10" s="5" t="s">
        <v>40</v>
      </c>
      <c r="E10" s="29">
        <f>$B$1</f>
        <v>390</v>
      </c>
      <c r="F10" s="2"/>
      <c r="G10" s="5" t="s">
        <v>40</v>
      </c>
      <c r="H10" s="29">
        <f>$B$1</f>
        <v>390</v>
      </c>
      <c r="I10" s="24" t="s">
        <v>31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 x14ac:dyDescent="0.25">
      <c r="A11" s="13"/>
      <c r="B11" s="13"/>
      <c r="C11" s="10"/>
      <c r="D11" s="7" t="s">
        <v>8</v>
      </c>
      <c r="E11" s="30">
        <f>SUM(E6:E10)</f>
        <v>4590</v>
      </c>
      <c r="F11" s="10"/>
      <c r="G11" s="7" t="s">
        <v>8</v>
      </c>
      <c r="H11" s="30">
        <f>SUM(H6:H10)</f>
        <v>3510</v>
      </c>
      <c r="I11" s="2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 x14ac:dyDescent="0.25">
      <c r="A12" s="2"/>
      <c r="B12" s="2"/>
      <c r="C12" s="2"/>
      <c r="D12" s="4"/>
      <c r="E12" s="18"/>
      <c r="F12" s="2"/>
      <c r="G12" s="4"/>
      <c r="H12" s="1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 x14ac:dyDescent="0.25">
      <c r="A13" s="2"/>
      <c r="B13" s="2"/>
      <c r="C13" s="2"/>
      <c r="D13" s="2"/>
      <c r="E13" s="2"/>
      <c r="F13" s="2"/>
      <c r="G13" s="2"/>
      <c r="H13" s="15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 x14ac:dyDescent="0.25">
      <c r="A14" s="2"/>
      <c r="B14" s="2"/>
      <c r="C14" s="2"/>
      <c r="D14" s="2"/>
      <c r="E14" s="2"/>
      <c r="F14" s="2"/>
      <c r="G14" s="2"/>
      <c r="H14" s="15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 x14ac:dyDescent="0.25">
      <c r="A15" s="4"/>
      <c r="B15" s="4"/>
      <c r="C15" s="4"/>
      <c r="D15" s="4"/>
      <c r="E15" s="4"/>
      <c r="F15" s="4"/>
      <c r="G15" s="4"/>
      <c r="H15" s="1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 x14ac:dyDescent="0.25">
      <c r="A16" s="1" t="s">
        <v>10</v>
      </c>
      <c r="B16" s="12">
        <v>2</v>
      </c>
      <c r="C16" s="4"/>
      <c r="D16" s="4"/>
      <c r="E16" s="4"/>
      <c r="F16" s="4"/>
      <c r="G16" s="4"/>
      <c r="H16" s="1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 x14ac:dyDescent="0.25">
      <c r="A17" s="9" t="s">
        <v>19</v>
      </c>
      <c r="B17" s="27">
        <v>10000</v>
      </c>
      <c r="C17" s="4"/>
      <c r="D17" s="4"/>
      <c r="E17" s="4"/>
      <c r="F17" s="4"/>
      <c r="G17" s="4"/>
      <c r="H17" s="1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x14ac:dyDescent="0.25">
      <c r="A18" s="9" t="s">
        <v>9</v>
      </c>
      <c r="B18" s="19">
        <v>365</v>
      </c>
      <c r="C18" s="4"/>
      <c r="D18" s="4"/>
      <c r="E18" s="4"/>
      <c r="F18" s="4"/>
      <c r="G18" s="4"/>
      <c r="H18" s="1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x14ac:dyDescent="0.25">
      <c r="A19" s="9" t="s">
        <v>18</v>
      </c>
      <c r="B19" s="19">
        <v>120</v>
      </c>
      <c r="C19" s="4"/>
      <c r="D19" s="4"/>
      <c r="E19" s="4"/>
      <c r="F19" s="4"/>
      <c r="G19" s="4"/>
      <c r="H19" s="1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 x14ac:dyDescent="0.25">
      <c r="A20" s="9" t="s">
        <v>28</v>
      </c>
      <c r="B20" s="19" t="s">
        <v>29</v>
      </c>
      <c r="C20" s="4"/>
      <c r="D20" s="4"/>
      <c r="E20" s="4"/>
      <c r="F20" s="4"/>
      <c r="G20" s="4"/>
      <c r="H20" s="1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 x14ac:dyDescent="0.25">
      <c r="A21" s="32" t="s">
        <v>30</v>
      </c>
      <c r="B21" s="33">
        <f>IF(B20="Y",(B18-B19)/7*5,B18-B19)</f>
        <v>175</v>
      </c>
      <c r="C21" s="4" t="s">
        <v>35</v>
      </c>
      <c r="D21" s="4"/>
      <c r="E21" s="4"/>
      <c r="F21" s="4"/>
      <c r="G21" s="4"/>
      <c r="H21" s="1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 ht="15.75" thickBot="1" x14ac:dyDescent="0.3">
      <c r="A22" s="20" t="s">
        <v>11</v>
      </c>
      <c r="B22" s="31">
        <f>B21*B16*B17</f>
        <v>3500000</v>
      </c>
      <c r="C22" s="4" t="s">
        <v>25</v>
      </c>
      <c r="D22" s="4"/>
      <c r="E22" s="4"/>
      <c r="F22" s="4"/>
      <c r="G22" s="4"/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 x14ac:dyDescent="0.25">
      <c r="A23" s="9"/>
      <c r="B23" s="19"/>
      <c r="C23" s="4"/>
      <c r="D23" s="4"/>
      <c r="E23" s="4"/>
      <c r="F23" s="4"/>
      <c r="G23" s="4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 x14ac:dyDescent="0.25">
      <c r="A24" s="9" t="s">
        <v>12</v>
      </c>
      <c r="B24" s="28">
        <f>B10*B16*B21</f>
        <v>1536500</v>
      </c>
      <c r="C24" s="4"/>
      <c r="D24" s="4"/>
      <c r="E24" s="4"/>
      <c r="F24" s="4"/>
      <c r="G24" s="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 x14ac:dyDescent="0.25">
      <c r="A25" s="9" t="s">
        <v>13</v>
      </c>
      <c r="B25" s="28">
        <f>B22-B24</f>
        <v>1963500</v>
      </c>
      <c r="C25" s="4"/>
      <c r="D25" s="4"/>
      <c r="E25" s="4"/>
      <c r="F25" s="4"/>
      <c r="G25" s="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ht="15.75" thickBot="1" x14ac:dyDescent="0.3">
      <c r="A26" s="21"/>
      <c r="B26" s="22"/>
      <c r="C26" s="4"/>
      <c r="D26" s="4"/>
      <c r="E26" s="4"/>
      <c r="F26" s="4"/>
      <c r="G26" s="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x14ac:dyDescent="0.25">
      <c r="A27" s="4"/>
      <c r="B27" s="4"/>
      <c r="C27" s="4"/>
      <c r="D27" s="4"/>
      <c r="E27" s="4"/>
      <c r="F27" s="4"/>
      <c r="G27" s="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x14ac:dyDescent="0.25">
      <c r="A28" s="9" t="s">
        <v>20</v>
      </c>
      <c r="B28" s="28">
        <f>E11*B16*B21</f>
        <v>1606500</v>
      </c>
      <c r="C28" s="4"/>
      <c r="D28" s="4"/>
      <c r="E28" s="4"/>
      <c r="F28" s="4"/>
      <c r="G28" s="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x14ac:dyDescent="0.25">
      <c r="A29" s="9" t="s">
        <v>14</v>
      </c>
      <c r="B29" s="28">
        <f>B22-B28</f>
        <v>1893500</v>
      </c>
      <c r="C29" s="4"/>
      <c r="D29" s="4"/>
      <c r="E29" s="4"/>
      <c r="F29" s="4"/>
      <c r="G29" s="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ht="15.75" thickBot="1" x14ac:dyDescent="0.3">
      <c r="A30" s="22"/>
      <c r="B30" s="22"/>
      <c r="C30" s="2"/>
      <c r="D30" s="4"/>
      <c r="E30" s="4"/>
      <c r="F30" s="4"/>
      <c r="G30" s="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x14ac:dyDescent="0.25">
      <c r="A31" s="4"/>
      <c r="B31" s="4"/>
      <c r="C31" s="2"/>
      <c r="D31" s="4"/>
      <c r="E31" s="4"/>
      <c r="F31" s="4"/>
      <c r="G31" s="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 x14ac:dyDescent="0.25">
      <c r="A32" s="9" t="s">
        <v>21</v>
      </c>
      <c r="B32" s="28">
        <f>H11*B16*B21</f>
        <v>1228500</v>
      </c>
      <c r="C32" s="2" t="s">
        <v>32</v>
      </c>
      <c r="D32" s="4"/>
      <c r="E32" s="4"/>
      <c r="F32" s="4"/>
      <c r="G32" s="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x14ac:dyDescent="0.25">
      <c r="A33" s="9" t="s">
        <v>16</v>
      </c>
      <c r="B33" s="28">
        <f>B22-B32</f>
        <v>2271500</v>
      </c>
      <c r="C33" s="2" t="s">
        <v>32</v>
      </c>
      <c r="D33" s="4"/>
      <c r="E33" s="4"/>
      <c r="F33" s="4"/>
      <c r="G33" s="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ht="15.75" thickBot="1" x14ac:dyDescent="0.3">
      <c r="A34" s="21"/>
      <c r="B34" s="22"/>
      <c r="C34" s="3"/>
      <c r="D34" s="4"/>
      <c r="E34" s="4"/>
      <c r="F34" s="4"/>
      <c r="G34" s="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x14ac:dyDescent="0.25">
      <c r="A35" s="4"/>
      <c r="B35" s="4"/>
      <c r="C35" s="4"/>
      <c r="D35" s="4"/>
      <c r="E35" s="4"/>
      <c r="F35" s="4"/>
      <c r="G35" s="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x14ac:dyDescent="0.25">
      <c r="A36" s="4"/>
      <c r="B36" s="4"/>
      <c r="C36" s="4"/>
      <c r="D36" s="4"/>
      <c r="E36" s="4"/>
      <c r="F36" s="4"/>
      <c r="G36" s="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 x14ac:dyDescent="0.25">
      <c r="A37" s="4"/>
      <c r="B37" s="4"/>
      <c r="C37" s="4"/>
      <c r="D37" s="4"/>
      <c r="E37" s="4"/>
      <c r="F37" s="4"/>
      <c r="G37" s="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 x14ac:dyDescent="0.25">
      <c r="A38" s="4"/>
      <c r="B38" s="4"/>
      <c r="C38" s="4"/>
      <c r="D38" s="4"/>
      <c r="E38" s="4"/>
      <c r="F38" s="4"/>
      <c r="G38" s="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 x14ac:dyDescent="0.25">
      <c r="A40" s="19"/>
      <c r="B40" s="19"/>
      <c r="C40" s="3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0" x14ac:dyDescent="0.25">
      <c r="A41" s="19"/>
      <c r="B41" s="19"/>
      <c r="C41" s="3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 x14ac:dyDescent="0.25">
      <c r="A42" s="19"/>
      <c r="B42" s="19"/>
      <c r="C42" s="2"/>
      <c r="D42" s="4"/>
      <c r="E42" s="2"/>
      <c r="F42" s="2"/>
      <c r="G42" s="2"/>
      <c r="H42" s="2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 x14ac:dyDescent="0.25">
      <c r="A43" s="19"/>
      <c r="B43" s="19"/>
      <c r="C43" s="2"/>
      <c r="D43" s="2"/>
      <c r="E43" s="2"/>
      <c r="F43" s="2"/>
      <c r="G43" s="2"/>
      <c r="H43" s="2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0" x14ac:dyDescent="0.25">
      <c r="A44" s="2"/>
      <c r="B44" s="2"/>
      <c r="C44" s="2"/>
      <c r="D44" s="2"/>
      <c r="E44" s="2"/>
      <c r="F44" s="2"/>
      <c r="G44" s="2"/>
      <c r="H44" s="2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0" x14ac:dyDescent="0.25">
      <c r="A45" s="2"/>
      <c r="B45" s="2"/>
      <c r="C45" s="2"/>
      <c r="D45" s="2"/>
      <c r="E45" s="2"/>
      <c r="F45" s="2"/>
      <c r="G45" s="2"/>
      <c r="H45" s="2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0" x14ac:dyDescent="0.25">
      <c r="A46" s="2"/>
      <c r="B46" s="2"/>
      <c r="C46" s="2"/>
      <c r="D46" s="2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</sheetData>
  <mergeCells count="3">
    <mergeCell ref="G4:H4"/>
    <mergeCell ref="D4:E4"/>
    <mergeCell ref="A4:B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913E9-59F2-4718-ABF4-5AF8E4E91730}">
  <dimension ref="A1:AE40"/>
  <sheetViews>
    <sheetView tabSelected="1" zoomScale="85" zoomScaleNormal="85" workbookViewId="0">
      <selection activeCell="H1" sqref="H1"/>
    </sheetView>
  </sheetViews>
  <sheetFormatPr defaultRowHeight="15" x14ac:dyDescent="0.25"/>
  <cols>
    <col min="1" max="1" width="35.140625" style="2" customWidth="1"/>
    <col min="2" max="2" width="11.5703125" style="2" bestFit="1" customWidth="1"/>
    <col min="3" max="3" width="12" style="2" customWidth="1"/>
    <col min="4" max="4" width="18.5703125" style="2" customWidth="1"/>
    <col min="5" max="6" width="12.5703125" style="2" customWidth="1"/>
    <col min="7" max="7" width="42.85546875" style="2" bestFit="1" customWidth="1"/>
    <col min="8" max="8" width="13.7109375" style="2" bestFit="1" customWidth="1"/>
    <col min="9" max="13" width="13" style="2" customWidth="1"/>
    <col min="14" max="31" width="13.7109375" style="2" bestFit="1" customWidth="1"/>
    <col min="32" max="16384" width="9.140625" style="2"/>
  </cols>
  <sheetData>
    <row r="1" spans="1:31" ht="45" x14ac:dyDescent="0.25">
      <c r="A1" s="34" t="s">
        <v>81</v>
      </c>
      <c r="B1" s="34" t="s">
        <v>17</v>
      </c>
      <c r="C1" s="35" t="s">
        <v>84</v>
      </c>
      <c r="D1" s="34" t="s">
        <v>83</v>
      </c>
      <c r="E1" s="58"/>
      <c r="G1" s="70" t="s">
        <v>100</v>
      </c>
      <c r="H1" s="74"/>
      <c r="J1" s="85" t="s">
        <v>101</v>
      </c>
    </row>
    <row r="2" spans="1:31" x14ac:dyDescent="0.25">
      <c r="A2" s="2" t="s">
        <v>62</v>
      </c>
      <c r="B2" s="36">
        <v>4000</v>
      </c>
      <c r="C2" s="36"/>
      <c r="D2" s="2" t="s">
        <v>82</v>
      </c>
      <c r="G2" s="78" t="s">
        <v>96</v>
      </c>
      <c r="H2" s="60"/>
    </row>
    <row r="3" spans="1:31" x14ac:dyDescent="0.25">
      <c r="A3" s="2" t="s">
        <v>63</v>
      </c>
      <c r="B3" s="36">
        <v>5800</v>
      </c>
      <c r="C3" s="36">
        <v>580000</v>
      </c>
      <c r="D3" s="2" t="s">
        <v>82</v>
      </c>
      <c r="G3" s="74" t="s">
        <v>95</v>
      </c>
    </row>
    <row r="4" spans="1:31" x14ac:dyDescent="0.25">
      <c r="A4" s="2" t="s">
        <v>71</v>
      </c>
      <c r="B4" s="76">
        <f>290*12</f>
        <v>3480</v>
      </c>
      <c r="C4" s="76">
        <v>300000</v>
      </c>
      <c r="D4" s="74" t="s">
        <v>94</v>
      </c>
      <c r="G4" s="74" t="s">
        <v>97</v>
      </c>
    </row>
    <row r="5" spans="1:31" x14ac:dyDescent="0.25">
      <c r="C5" s="61"/>
      <c r="D5" s="61"/>
      <c r="E5" s="61"/>
      <c r="F5" s="61"/>
    </row>
    <row r="6" spans="1:31" x14ac:dyDescent="0.25">
      <c r="C6" s="61"/>
      <c r="D6" s="61"/>
      <c r="E6" s="61"/>
      <c r="F6" s="61"/>
    </row>
    <row r="7" spans="1:31" x14ac:dyDescent="0.25">
      <c r="C7" s="61"/>
      <c r="D7" s="61"/>
      <c r="E7" s="61"/>
      <c r="F7" s="61"/>
      <c r="G7" s="42" t="s">
        <v>44</v>
      </c>
      <c r="H7" s="49">
        <v>1</v>
      </c>
      <c r="I7" s="49">
        <v>2</v>
      </c>
      <c r="J7" s="49">
        <v>3</v>
      </c>
      <c r="K7" s="49">
        <v>4</v>
      </c>
      <c r="L7" s="49">
        <v>5</v>
      </c>
      <c r="M7" s="49">
        <v>6</v>
      </c>
      <c r="N7" s="49">
        <v>7</v>
      </c>
      <c r="O7" s="49">
        <v>8</v>
      </c>
      <c r="P7" s="49">
        <v>9</v>
      </c>
      <c r="Q7" s="49">
        <v>10</v>
      </c>
      <c r="R7" s="49">
        <v>11</v>
      </c>
      <c r="S7" s="49">
        <v>12</v>
      </c>
      <c r="T7" s="49">
        <v>13</v>
      </c>
      <c r="U7" s="49">
        <v>14</v>
      </c>
      <c r="V7" s="49">
        <v>15</v>
      </c>
      <c r="W7" s="49">
        <v>16</v>
      </c>
      <c r="X7" s="49">
        <v>17</v>
      </c>
      <c r="Y7" s="49">
        <v>18</v>
      </c>
      <c r="Z7" s="49">
        <v>19</v>
      </c>
      <c r="AA7" s="49">
        <v>20</v>
      </c>
      <c r="AB7" s="49">
        <v>21</v>
      </c>
      <c r="AC7" s="49">
        <v>22</v>
      </c>
      <c r="AD7" s="49">
        <v>23</v>
      </c>
      <c r="AE7" s="49">
        <v>24</v>
      </c>
    </row>
    <row r="8" spans="1:31" x14ac:dyDescent="0.25">
      <c r="A8" s="1" t="s">
        <v>81</v>
      </c>
      <c r="B8" s="37" t="s">
        <v>71</v>
      </c>
      <c r="C8" s="61"/>
      <c r="D8" s="61"/>
      <c r="E8" s="61"/>
      <c r="F8" s="61"/>
      <c r="G8" s="41" t="s">
        <v>52</v>
      </c>
      <c r="H8" s="62">
        <f>$B$17-H19*$B$37</f>
        <v>600</v>
      </c>
      <c r="I8" s="62">
        <f>H8-I19*$B$37</f>
        <v>600</v>
      </c>
      <c r="J8" s="62">
        <f t="shared" ref="J8:N8" si="0">I8-J19*$B$37</f>
        <v>600</v>
      </c>
      <c r="K8" s="62">
        <f t="shared" si="0"/>
        <v>600</v>
      </c>
      <c r="L8" s="62">
        <f t="shared" si="0"/>
        <v>600</v>
      </c>
      <c r="M8" s="62">
        <f t="shared" si="0"/>
        <v>600</v>
      </c>
      <c r="N8" s="62">
        <f t="shared" si="0"/>
        <v>600</v>
      </c>
      <c r="O8" s="62">
        <f t="shared" ref="O8" si="1">N8-O19*$B$37</f>
        <v>580</v>
      </c>
      <c r="P8" s="62">
        <f t="shared" ref="P8" si="2">O8-P19*$B$37</f>
        <v>580</v>
      </c>
      <c r="Q8" s="62">
        <f t="shared" ref="Q8" si="3">P8-Q19*$B$37</f>
        <v>580</v>
      </c>
      <c r="R8" s="62">
        <f t="shared" ref="R8" si="4">Q8-R19*$B$37</f>
        <v>580</v>
      </c>
      <c r="S8" s="62">
        <f t="shared" ref="S8" si="5">R8-S19*$B$37</f>
        <v>580</v>
      </c>
      <c r="T8" s="62">
        <f t="shared" ref="T8" si="6">S8-T19*$B$37</f>
        <v>580</v>
      </c>
      <c r="U8" s="62">
        <f t="shared" ref="U8" si="7">T8-U19*$B$37</f>
        <v>580</v>
      </c>
      <c r="V8" s="62">
        <f t="shared" ref="V8" si="8">U8-V19*$B$37</f>
        <v>580</v>
      </c>
      <c r="W8" s="62">
        <f t="shared" ref="W8" si="9">V8-W19*$B$37</f>
        <v>580</v>
      </c>
      <c r="X8" s="62">
        <f t="shared" ref="X8" si="10">W8-X19*$B$37</f>
        <v>580</v>
      </c>
      <c r="Y8" s="62">
        <f t="shared" ref="Y8" si="11">X8-Y19*$B$37</f>
        <v>580</v>
      </c>
      <c r="Z8" s="62">
        <f t="shared" ref="Z8" si="12">Y8-Z19*$B$37</f>
        <v>580</v>
      </c>
      <c r="AA8" s="62">
        <f t="shared" ref="AA8" si="13">Z8-AA19*$B$37</f>
        <v>580</v>
      </c>
      <c r="AB8" s="62">
        <f t="shared" ref="AB8" si="14">AA8-AB19*$B$37</f>
        <v>580</v>
      </c>
      <c r="AC8" s="62">
        <f t="shared" ref="AC8" si="15">AB8-AC19*$B$37</f>
        <v>580</v>
      </c>
      <c r="AD8" s="62">
        <f t="shared" ref="AD8" si="16">AC8-AD19*$B$37</f>
        <v>580</v>
      </c>
      <c r="AE8" s="62">
        <f t="shared" ref="AE8" si="17">AD8-AE19*$B$37</f>
        <v>580</v>
      </c>
    </row>
    <row r="9" spans="1:31" x14ac:dyDescent="0.25">
      <c r="A9" s="1" t="s">
        <v>41</v>
      </c>
      <c r="B9" s="76">
        <v>390</v>
      </c>
      <c r="C9" s="61" t="s">
        <v>42</v>
      </c>
      <c r="D9" s="61"/>
      <c r="E9" s="61"/>
      <c r="F9" s="61"/>
      <c r="G9" s="40" t="s">
        <v>55</v>
      </c>
      <c r="H9" s="51">
        <f>H10*$B$12*H8</f>
        <v>2426400</v>
      </c>
      <c r="I9" s="51">
        <f t="shared" ref="I9:N9" si="18">I10*$B$12*I8</f>
        <v>2426400</v>
      </c>
      <c r="J9" s="51">
        <f t="shared" si="18"/>
        <v>2426400</v>
      </c>
      <c r="K9" s="51">
        <f t="shared" si="18"/>
        <v>2305080</v>
      </c>
      <c r="L9" s="51">
        <f t="shared" si="18"/>
        <v>2183760</v>
      </c>
      <c r="M9" s="51">
        <f t="shared" si="18"/>
        <v>2062440</v>
      </c>
      <c r="N9" s="51">
        <f t="shared" si="18"/>
        <v>1941120.0000000002</v>
      </c>
      <c r="O9" s="51">
        <f t="shared" ref="O9:AE9" si="19">O10*$B$12*O8</f>
        <v>1738920</v>
      </c>
      <c r="P9" s="51">
        <f t="shared" si="19"/>
        <v>1617600.0000000002</v>
      </c>
      <c r="Q9" s="51">
        <f t="shared" si="19"/>
        <v>1496280.0000000002</v>
      </c>
      <c r="R9" s="51">
        <f t="shared" si="19"/>
        <v>1374960</v>
      </c>
      <c r="S9" s="51">
        <f t="shared" si="19"/>
        <v>1192980</v>
      </c>
      <c r="T9" s="51">
        <f t="shared" si="19"/>
        <v>1010999.9999999999</v>
      </c>
      <c r="U9" s="51">
        <f t="shared" si="19"/>
        <v>829019.99999999988</v>
      </c>
      <c r="V9" s="51">
        <f t="shared" si="19"/>
        <v>647040</v>
      </c>
      <c r="W9" s="51">
        <f t="shared" si="19"/>
        <v>465060.00000000006</v>
      </c>
      <c r="X9" s="51">
        <f t="shared" si="19"/>
        <v>363959.99999999994</v>
      </c>
      <c r="Y9" s="51">
        <f t="shared" si="19"/>
        <v>323519.99999999983</v>
      </c>
      <c r="Z9" s="51">
        <f t="shared" si="19"/>
        <v>323519.99999999983</v>
      </c>
      <c r="AA9" s="51">
        <f t="shared" si="19"/>
        <v>323519.99999999983</v>
      </c>
      <c r="AB9" s="51">
        <f t="shared" si="19"/>
        <v>323519.99999999983</v>
      </c>
      <c r="AC9" s="51">
        <f t="shared" si="19"/>
        <v>323519.99999999983</v>
      </c>
      <c r="AD9" s="51">
        <f t="shared" si="19"/>
        <v>323519.99999999983</v>
      </c>
      <c r="AE9" s="51">
        <f t="shared" si="19"/>
        <v>323519.99999999983</v>
      </c>
    </row>
    <row r="10" spans="1:31" x14ac:dyDescent="0.25">
      <c r="A10" s="1" t="s">
        <v>36</v>
      </c>
      <c r="B10" s="39">
        <f>_xlfn.XLOOKUP($B$8,Table1[Specialty],Table1[Daily Rate],"Specialty Not Found",0)</f>
        <v>3480</v>
      </c>
      <c r="C10" s="61"/>
      <c r="D10" s="61"/>
      <c r="E10" s="61"/>
      <c r="F10" s="61"/>
      <c r="G10" s="44" t="s">
        <v>48</v>
      </c>
      <c r="H10" s="52">
        <f t="shared" ref="H10:N10" si="20">IF(1-H18-H14&lt;0,0,1-H18-H14)</f>
        <v>1</v>
      </c>
      <c r="I10" s="52">
        <f t="shared" si="20"/>
        <v>1</v>
      </c>
      <c r="J10" s="52">
        <f t="shared" si="20"/>
        <v>1</v>
      </c>
      <c r="K10" s="52">
        <f t="shared" si="20"/>
        <v>0.95</v>
      </c>
      <c r="L10" s="52">
        <f t="shared" si="20"/>
        <v>0.9</v>
      </c>
      <c r="M10" s="52">
        <f t="shared" si="20"/>
        <v>0.85</v>
      </c>
      <c r="N10" s="52">
        <f t="shared" si="20"/>
        <v>0.8</v>
      </c>
      <c r="O10" s="52">
        <f t="shared" ref="O10:AE10" si="21">IF(1-O18-O14&lt;0,0,1-O18-O14)</f>
        <v>0.74137931034482762</v>
      </c>
      <c r="P10" s="52">
        <f t="shared" si="21"/>
        <v>0.68965517241379315</v>
      </c>
      <c r="Q10" s="52">
        <f t="shared" si="21"/>
        <v>0.63793103448275867</v>
      </c>
      <c r="R10" s="52">
        <f t="shared" si="21"/>
        <v>0.5862068965517242</v>
      </c>
      <c r="S10" s="52">
        <f t="shared" si="21"/>
        <v>0.50862068965517238</v>
      </c>
      <c r="T10" s="52">
        <f t="shared" si="21"/>
        <v>0.43103448275862066</v>
      </c>
      <c r="U10" s="52">
        <f t="shared" si="21"/>
        <v>0.35344827586206895</v>
      </c>
      <c r="V10" s="52">
        <f t="shared" si="21"/>
        <v>0.27586206896551724</v>
      </c>
      <c r="W10" s="52">
        <f t="shared" si="21"/>
        <v>0.19827586206896552</v>
      </c>
      <c r="X10" s="52">
        <f t="shared" si="21"/>
        <v>0.15517241379310343</v>
      </c>
      <c r="Y10" s="52">
        <f t="shared" si="21"/>
        <v>0.13793103448275856</v>
      </c>
      <c r="Z10" s="52">
        <f t="shared" si="21"/>
        <v>0.13793103448275856</v>
      </c>
      <c r="AA10" s="52">
        <f t="shared" si="21"/>
        <v>0.13793103448275856</v>
      </c>
      <c r="AB10" s="52">
        <f t="shared" si="21"/>
        <v>0.13793103448275856</v>
      </c>
      <c r="AC10" s="52">
        <f t="shared" si="21"/>
        <v>0.13793103448275856</v>
      </c>
      <c r="AD10" s="52">
        <f t="shared" si="21"/>
        <v>0.13793103448275856</v>
      </c>
      <c r="AE10" s="52">
        <f t="shared" si="21"/>
        <v>0.13793103448275856</v>
      </c>
    </row>
    <row r="11" spans="1:31" x14ac:dyDescent="0.25">
      <c r="A11" s="1" t="s">
        <v>45</v>
      </c>
      <c r="B11" s="38">
        <f>B10+B9</f>
        <v>3870</v>
      </c>
      <c r="C11" s="61"/>
      <c r="D11" s="61"/>
      <c r="E11" s="61"/>
      <c r="F11" s="61"/>
      <c r="G11" s="41" t="s">
        <v>66</v>
      </c>
      <c r="H11" s="50">
        <v>0</v>
      </c>
      <c r="I11" s="50">
        <v>0</v>
      </c>
      <c r="J11" s="50">
        <v>0</v>
      </c>
      <c r="K11" s="50">
        <f t="shared" ref="K11:AE11" si="22">K12/$B$27</f>
        <v>3</v>
      </c>
      <c r="L11" s="50">
        <f t="shared" si="22"/>
        <v>6</v>
      </c>
      <c r="M11" s="50">
        <f t="shared" si="22"/>
        <v>9</v>
      </c>
      <c r="N11" s="50">
        <f t="shared" si="22"/>
        <v>12</v>
      </c>
      <c r="O11" s="50">
        <f t="shared" si="22"/>
        <v>15</v>
      </c>
      <c r="P11" s="50">
        <f t="shared" si="22"/>
        <v>18</v>
      </c>
      <c r="Q11" s="50">
        <f t="shared" si="22"/>
        <v>21</v>
      </c>
      <c r="R11" s="50">
        <f t="shared" si="22"/>
        <v>24</v>
      </c>
      <c r="S11" s="50">
        <f t="shared" si="22"/>
        <v>27</v>
      </c>
      <c r="T11" s="50">
        <f t="shared" si="22"/>
        <v>30</v>
      </c>
      <c r="U11" s="50">
        <f t="shared" si="22"/>
        <v>33</v>
      </c>
      <c r="V11" s="50">
        <f t="shared" si="22"/>
        <v>36</v>
      </c>
      <c r="W11" s="50">
        <f t="shared" si="22"/>
        <v>39</v>
      </c>
      <c r="X11" s="50">
        <f t="shared" si="22"/>
        <v>40</v>
      </c>
      <c r="Y11" s="50">
        <f t="shared" si="22"/>
        <v>40</v>
      </c>
      <c r="Z11" s="50">
        <f t="shared" si="22"/>
        <v>40</v>
      </c>
      <c r="AA11" s="50">
        <f t="shared" si="22"/>
        <v>40</v>
      </c>
      <c r="AB11" s="50">
        <f t="shared" si="22"/>
        <v>40</v>
      </c>
      <c r="AC11" s="50">
        <f t="shared" si="22"/>
        <v>40</v>
      </c>
      <c r="AD11" s="50">
        <f t="shared" si="22"/>
        <v>40</v>
      </c>
      <c r="AE11" s="50">
        <f t="shared" si="22"/>
        <v>40</v>
      </c>
    </row>
    <row r="12" spans="1:31" x14ac:dyDescent="0.25">
      <c r="A12" s="1" t="s">
        <v>46</v>
      </c>
      <c r="B12" s="38">
        <f>B10*1.05+B9</f>
        <v>4044</v>
      </c>
      <c r="C12" s="61" t="s">
        <v>64</v>
      </c>
      <c r="D12" s="61"/>
      <c r="E12" s="61"/>
      <c r="F12" s="61"/>
      <c r="G12" s="40" t="s">
        <v>67</v>
      </c>
      <c r="H12" s="53">
        <f>H11*$B$27</f>
        <v>0</v>
      </c>
      <c r="I12" s="53">
        <f t="shared" ref="I12:J12" si="23">I11*$B$27</f>
        <v>0</v>
      </c>
      <c r="J12" s="53">
        <f t="shared" si="23"/>
        <v>0</v>
      </c>
      <c r="K12" s="53">
        <f>IF(IF(J11+$B$26&gt;=$B$28,$B$28,J11+$B$26)*$B$27+K16&gt;=K8,K8-K16,IF(J11+$B$26&gt;=$B$28,$B$28,J11+$B$26)*$B$27)</f>
        <v>30</v>
      </c>
      <c r="L12" s="53">
        <f>IF(IF(K11+$B$26&gt;=$B$28,$B$28,K11+$B$26)*$B$27+L16&gt;=L8,L8-L16,IF(K11+$B$26&gt;=$B$28,$B$28,K11+$B$26)*$B$27)</f>
        <v>60</v>
      </c>
      <c r="M12" s="53">
        <f>IF(IF(L11+$B$26&gt;=$B$28,$B$28,L11+$B$26)*$B$27+M16&gt;=M8,M8-M16,IF(L11+$B$26&gt;=$B$28,$B$28,L11+$B$26)*$B$27)</f>
        <v>90</v>
      </c>
      <c r="N12" s="53">
        <f>IF(IF(M11+$B$26&gt;=$B$28,$B$28,M11+$B$26)*$B$27+N16&gt;=N8,N8-N16,IF(M11+$B$26&gt;=$B$28,$B$28,M11+$B$26)*$B$27)</f>
        <v>120</v>
      </c>
      <c r="O12" s="53">
        <f t="shared" ref="O12:AE12" si="24">IF(IF(N11+$B$26&gt;=$B$28,$B$28,N11+$B$26)*$B$27+O16&gt;=O8,O8-O16,IF(N11+$B$26&gt;=$B$28,$B$28,N11+$B$26)*$B$27)</f>
        <v>150</v>
      </c>
      <c r="P12" s="53">
        <f t="shared" si="24"/>
        <v>180</v>
      </c>
      <c r="Q12" s="53">
        <f t="shared" si="24"/>
        <v>210</v>
      </c>
      <c r="R12" s="53">
        <f t="shared" si="24"/>
        <v>240</v>
      </c>
      <c r="S12" s="53">
        <f t="shared" si="24"/>
        <v>270</v>
      </c>
      <c r="T12" s="53">
        <f t="shared" si="24"/>
        <v>300</v>
      </c>
      <c r="U12" s="53">
        <f t="shared" si="24"/>
        <v>330</v>
      </c>
      <c r="V12" s="53">
        <f>IF(IF(U11+$B$26&gt;=$B$28,$B$28,U11+$B$26)*$B$27+V16&gt;=V8,V8-V16,IF(U11+$B$26&gt;=$B$28,$B$28,U11+$B$26)*$B$27)</f>
        <v>360</v>
      </c>
      <c r="W12" s="53">
        <f t="shared" si="24"/>
        <v>390</v>
      </c>
      <c r="X12" s="53">
        <f t="shared" si="24"/>
        <v>400</v>
      </c>
      <c r="Y12" s="53">
        <f t="shared" si="24"/>
        <v>400</v>
      </c>
      <c r="Z12" s="53">
        <f t="shared" si="24"/>
        <v>400</v>
      </c>
      <c r="AA12" s="53">
        <f t="shared" si="24"/>
        <v>400</v>
      </c>
      <c r="AB12" s="53">
        <f t="shared" si="24"/>
        <v>400</v>
      </c>
      <c r="AC12" s="53">
        <f t="shared" si="24"/>
        <v>400</v>
      </c>
      <c r="AD12" s="53">
        <f t="shared" si="24"/>
        <v>400</v>
      </c>
      <c r="AE12" s="53">
        <f t="shared" si="24"/>
        <v>400</v>
      </c>
    </row>
    <row r="13" spans="1:31" x14ac:dyDescent="0.25">
      <c r="A13" s="1" t="s">
        <v>47</v>
      </c>
      <c r="B13" s="38">
        <f>B10*0.78+0</f>
        <v>2714.4</v>
      </c>
      <c r="C13" s="61" t="s">
        <v>70</v>
      </c>
      <c r="D13" s="61"/>
      <c r="E13" s="61"/>
      <c r="F13" s="61"/>
      <c r="G13" s="40" t="s">
        <v>68</v>
      </c>
      <c r="H13" s="51">
        <f>H12*$B$11</f>
        <v>0</v>
      </c>
      <c r="I13" s="51">
        <f t="shared" ref="I13:N13" si="25">I12*$B$11</f>
        <v>0</v>
      </c>
      <c r="J13" s="51">
        <f t="shared" si="25"/>
        <v>0</v>
      </c>
      <c r="K13" s="51">
        <f t="shared" si="25"/>
        <v>116100</v>
      </c>
      <c r="L13" s="51">
        <f t="shared" si="25"/>
        <v>232200</v>
      </c>
      <c r="M13" s="51">
        <f t="shared" si="25"/>
        <v>348300</v>
      </c>
      <c r="N13" s="51">
        <f t="shared" si="25"/>
        <v>464400</v>
      </c>
      <c r="O13" s="51">
        <f t="shared" ref="O13:AE13" si="26">O12*$B$11</f>
        <v>580500</v>
      </c>
      <c r="P13" s="51">
        <f t="shared" si="26"/>
        <v>696600</v>
      </c>
      <c r="Q13" s="51">
        <f t="shared" si="26"/>
        <v>812700</v>
      </c>
      <c r="R13" s="51">
        <f t="shared" si="26"/>
        <v>928800</v>
      </c>
      <c r="S13" s="51">
        <f t="shared" si="26"/>
        <v>1044900</v>
      </c>
      <c r="T13" s="51">
        <f t="shared" si="26"/>
        <v>1161000</v>
      </c>
      <c r="U13" s="51">
        <f t="shared" si="26"/>
        <v>1277100</v>
      </c>
      <c r="V13" s="51">
        <f t="shared" si="26"/>
        <v>1393200</v>
      </c>
      <c r="W13" s="51">
        <f t="shared" si="26"/>
        <v>1509300</v>
      </c>
      <c r="X13" s="51">
        <f t="shared" si="26"/>
        <v>1548000</v>
      </c>
      <c r="Y13" s="51">
        <f t="shared" si="26"/>
        <v>1548000</v>
      </c>
      <c r="Z13" s="51">
        <f t="shared" si="26"/>
        <v>1548000</v>
      </c>
      <c r="AA13" s="51">
        <f t="shared" si="26"/>
        <v>1548000</v>
      </c>
      <c r="AB13" s="51">
        <f t="shared" si="26"/>
        <v>1548000</v>
      </c>
      <c r="AC13" s="51">
        <f t="shared" si="26"/>
        <v>1548000</v>
      </c>
      <c r="AD13" s="51">
        <f t="shared" si="26"/>
        <v>1548000</v>
      </c>
      <c r="AE13" s="51">
        <f t="shared" si="26"/>
        <v>1548000</v>
      </c>
    </row>
    <row r="14" spans="1:31" x14ac:dyDescent="0.25">
      <c r="A14" s="1"/>
      <c r="B14" s="38"/>
      <c r="C14" s="61"/>
      <c r="D14" s="61"/>
      <c r="E14" s="61"/>
      <c r="F14" s="61"/>
      <c r="G14" s="44" t="s">
        <v>69</v>
      </c>
      <c r="H14" s="52">
        <f t="shared" ref="H14:N14" si="27">H12/H8</f>
        <v>0</v>
      </c>
      <c r="I14" s="52">
        <f t="shared" si="27"/>
        <v>0</v>
      </c>
      <c r="J14" s="52">
        <f t="shared" si="27"/>
        <v>0</v>
      </c>
      <c r="K14" s="52">
        <f t="shared" si="27"/>
        <v>0.05</v>
      </c>
      <c r="L14" s="52">
        <f t="shared" si="27"/>
        <v>0.1</v>
      </c>
      <c r="M14" s="52">
        <f t="shared" si="27"/>
        <v>0.15</v>
      </c>
      <c r="N14" s="52">
        <f t="shared" si="27"/>
        <v>0.2</v>
      </c>
      <c r="O14" s="52">
        <f t="shared" ref="O14:AE14" si="28">O12/O8</f>
        <v>0.25862068965517243</v>
      </c>
      <c r="P14" s="52">
        <f t="shared" si="28"/>
        <v>0.31034482758620691</v>
      </c>
      <c r="Q14" s="52">
        <f t="shared" si="28"/>
        <v>0.36206896551724138</v>
      </c>
      <c r="R14" s="52">
        <f t="shared" si="28"/>
        <v>0.41379310344827586</v>
      </c>
      <c r="S14" s="52">
        <f t="shared" si="28"/>
        <v>0.46551724137931033</v>
      </c>
      <c r="T14" s="52">
        <f t="shared" si="28"/>
        <v>0.51724137931034486</v>
      </c>
      <c r="U14" s="52">
        <f t="shared" si="28"/>
        <v>0.56896551724137934</v>
      </c>
      <c r="V14" s="52">
        <f t="shared" si="28"/>
        <v>0.62068965517241381</v>
      </c>
      <c r="W14" s="52">
        <f t="shared" si="28"/>
        <v>0.67241379310344829</v>
      </c>
      <c r="X14" s="52">
        <f t="shared" si="28"/>
        <v>0.68965517241379315</v>
      </c>
      <c r="Y14" s="52">
        <f t="shared" si="28"/>
        <v>0.68965517241379315</v>
      </c>
      <c r="Z14" s="52">
        <f t="shared" si="28"/>
        <v>0.68965517241379315</v>
      </c>
      <c r="AA14" s="52">
        <f t="shared" si="28"/>
        <v>0.68965517241379315</v>
      </c>
      <c r="AB14" s="52">
        <f t="shared" si="28"/>
        <v>0.68965517241379315</v>
      </c>
      <c r="AC14" s="52">
        <f t="shared" si="28"/>
        <v>0.68965517241379315</v>
      </c>
      <c r="AD14" s="52">
        <f t="shared" si="28"/>
        <v>0.68965517241379315</v>
      </c>
      <c r="AE14" s="52">
        <f t="shared" si="28"/>
        <v>0.68965517241379315</v>
      </c>
    </row>
    <row r="15" spans="1:31" x14ac:dyDescent="0.25">
      <c r="A15" s="1"/>
      <c r="B15" s="38"/>
      <c r="C15" s="61"/>
      <c r="D15" s="61"/>
      <c r="E15" s="61"/>
      <c r="F15" s="61"/>
      <c r="G15" s="41" t="s">
        <v>57</v>
      </c>
      <c r="H15" s="50">
        <v>0</v>
      </c>
      <c r="I15" s="50">
        <v>0</v>
      </c>
      <c r="J15" s="50">
        <v>0</v>
      </c>
      <c r="K15" s="50">
        <v>0</v>
      </c>
      <c r="L15" s="50">
        <v>0</v>
      </c>
      <c r="M15" s="50">
        <v>0</v>
      </c>
      <c r="N15" s="50">
        <v>0</v>
      </c>
      <c r="O15" s="50">
        <v>0</v>
      </c>
      <c r="P15" s="50">
        <v>0</v>
      </c>
      <c r="Q15" s="50">
        <v>0</v>
      </c>
      <c r="R15" s="50">
        <v>0</v>
      </c>
      <c r="S15" s="50">
        <f t="shared" ref="S15" si="29">IF(R15+$B$21&gt;=$B$23,$B$23,R15+$B$21)</f>
        <v>3</v>
      </c>
      <c r="T15" s="50">
        <f t="shared" ref="T15" si="30">IF(S15+$B$21&gt;=$B$23,$B$23,S15+$B$21)</f>
        <v>6</v>
      </c>
      <c r="U15" s="50">
        <f t="shared" ref="U15" si="31">IF(T15+$B$21&gt;=$B$23,$B$23,T15+$B$21)</f>
        <v>9</v>
      </c>
      <c r="V15" s="50">
        <f t="shared" ref="V15" si="32">IF(U15+$B$21&gt;=$B$23,$B$23,U15+$B$21)</f>
        <v>12</v>
      </c>
      <c r="W15" s="50">
        <f t="shared" ref="W15" si="33">IF(V15+$B$21&gt;=$B$23,$B$23,V15+$B$21)</f>
        <v>15</v>
      </c>
      <c r="X15" s="50">
        <f t="shared" ref="X15" si="34">IF(W15+$B$21&gt;=$B$23,$B$23,W15+$B$21)</f>
        <v>18</v>
      </c>
      <c r="Y15" s="50">
        <f t="shared" ref="Y15" si="35">IF(X15+$B$21&gt;=$B$23,$B$23,X15+$B$21)</f>
        <v>20</v>
      </c>
      <c r="Z15" s="50">
        <f t="shared" ref="Z15" si="36">IF(Y15+$B$21&gt;=$B$23,$B$23,Y15+$B$21)</f>
        <v>20</v>
      </c>
      <c r="AA15" s="50">
        <f t="shared" ref="AA15" si="37">IF(Z15+$B$21&gt;=$B$23,$B$23,Z15+$B$21)</f>
        <v>20</v>
      </c>
      <c r="AB15" s="50">
        <f t="shared" ref="AB15" si="38">IF(AA15+$B$21&gt;=$B$23,$B$23,AA15+$B$21)</f>
        <v>20</v>
      </c>
      <c r="AC15" s="50">
        <f t="shared" ref="AC15" si="39">IF(AB15+$B$21&gt;=$B$23,$B$23,AB15+$B$21)</f>
        <v>20</v>
      </c>
      <c r="AD15" s="50">
        <f t="shared" ref="AD15" si="40">IF(AC15+$B$21&gt;=$B$23,$B$23,AC15+$B$21)</f>
        <v>20</v>
      </c>
      <c r="AE15" s="50">
        <f t="shared" ref="AE15" si="41">IF(AD15+$B$21&gt;=$B$23,$B$23,AD15+$B$21)</f>
        <v>20</v>
      </c>
    </row>
    <row r="16" spans="1:31" ht="15.75" thickBot="1" x14ac:dyDescent="0.3">
      <c r="A16" s="21" t="s">
        <v>53</v>
      </c>
      <c r="B16" s="71" t="s">
        <v>52</v>
      </c>
      <c r="C16" s="72" t="s">
        <v>98</v>
      </c>
      <c r="D16" s="73" t="s">
        <v>99</v>
      </c>
      <c r="E16" s="61"/>
      <c r="F16" s="61"/>
      <c r="G16" s="40" t="s">
        <v>58</v>
      </c>
      <c r="H16" s="53">
        <f t="shared" ref="H16" si="42">H15*$B$22</f>
        <v>0</v>
      </c>
      <c r="I16" s="53">
        <f t="shared" ref="I16:R16" si="43">I15*$B$22</f>
        <v>0</v>
      </c>
      <c r="J16" s="53">
        <f t="shared" si="43"/>
        <v>0</v>
      </c>
      <c r="K16" s="53">
        <f t="shared" si="43"/>
        <v>0</v>
      </c>
      <c r="L16" s="53">
        <f t="shared" si="43"/>
        <v>0</v>
      </c>
      <c r="M16" s="53">
        <f t="shared" si="43"/>
        <v>0</v>
      </c>
      <c r="N16" s="53">
        <f t="shared" si="43"/>
        <v>0</v>
      </c>
      <c r="O16" s="53">
        <f t="shared" si="43"/>
        <v>0</v>
      </c>
      <c r="P16" s="53">
        <f t="shared" si="43"/>
        <v>0</v>
      </c>
      <c r="Q16" s="53">
        <f t="shared" si="43"/>
        <v>0</v>
      </c>
      <c r="R16" s="53">
        <f t="shared" si="43"/>
        <v>0</v>
      </c>
      <c r="S16" s="53">
        <f t="shared" ref="S16:AE16" si="44">S15*$B$22</f>
        <v>15</v>
      </c>
      <c r="T16" s="53">
        <f t="shared" si="44"/>
        <v>30</v>
      </c>
      <c r="U16" s="53">
        <f t="shared" si="44"/>
        <v>45</v>
      </c>
      <c r="V16" s="53">
        <f t="shared" si="44"/>
        <v>60</v>
      </c>
      <c r="W16" s="53">
        <f t="shared" si="44"/>
        <v>75</v>
      </c>
      <c r="X16" s="53">
        <f t="shared" si="44"/>
        <v>90</v>
      </c>
      <c r="Y16" s="53">
        <f t="shared" si="44"/>
        <v>100</v>
      </c>
      <c r="Z16" s="53">
        <f t="shared" si="44"/>
        <v>100</v>
      </c>
      <c r="AA16" s="53">
        <f t="shared" si="44"/>
        <v>100</v>
      </c>
      <c r="AB16" s="53">
        <f t="shared" si="44"/>
        <v>100</v>
      </c>
      <c r="AC16" s="53">
        <f t="shared" si="44"/>
        <v>100</v>
      </c>
      <c r="AD16" s="53">
        <f t="shared" si="44"/>
        <v>100</v>
      </c>
      <c r="AE16" s="53">
        <f t="shared" si="44"/>
        <v>100</v>
      </c>
    </row>
    <row r="17" spans="1:31" x14ac:dyDescent="0.25">
      <c r="A17" s="9" t="s">
        <v>54</v>
      </c>
      <c r="B17" s="77">
        <f>C17*D17</f>
        <v>600</v>
      </c>
      <c r="C17" s="75">
        <v>30</v>
      </c>
      <c r="D17" s="75">
        <v>20</v>
      </c>
      <c r="E17" s="61"/>
      <c r="F17" s="61"/>
      <c r="G17" s="40" t="s">
        <v>56</v>
      </c>
      <c r="H17" s="51">
        <f t="shared" ref="H17:N17" si="45">H16*$B$13</f>
        <v>0</v>
      </c>
      <c r="I17" s="51">
        <f t="shared" si="45"/>
        <v>0</v>
      </c>
      <c r="J17" s="51">
        <f t="shared" si="45"/>
        <v>0</v>
      </c>
      <c r="K17" s="51">
        <f t="shared" si="45"/>
        <v>0</v>
      </c>
      <c r="L17" s="51">
        <f t="shared" si="45"/>
        <v>0</v>
      </c>
      <c r="M17" s="51">
        <f t="shared" si="45"/>
        <v>0</v>
      </c>
      <c r="N17" s="51">
        <f t="shared" si="45"/>
        <v>0</v>
      </c>
      <c r="O17" s="51">
        <f t="shared" ref="O17:AE17" si="46">O16*$B$13</f>
        <v>0</v>
      </c>
      <c r="P17" s="51">
        <f t="shared" si="46"/>
        <v>0</v>
      </c>
      <c r="Q17" s="51">
        <f t="shared" si="46"/>
        <v>0</v>
      </c>
      <c r="R17" s="51">
        <f t="shared" si="46"/>
        <v>0</v>
      </c>
      <c r="S17" s="51">
        <f t="shared" si="46"/>
        <v>40716</v>
      </c>
      <c r="T17" s="51">
        <f t="shared" si="46"/>
        <v>81432</v>
      </c>
      <c r="U17" s="51">
        <f t="shared" si="46"/>
        <v>122148</v>
      </c>
      <c r="V17" s="51">
        <f t="shared" si="46"/>
        <v>162864</v>
      </c>
      <c r="W17" s="51">
        <f t="shared" si="46"/>
        <v>203580</v>
      </c>
      <c r="X17" s="51">
        <f t="shared" si="46"/>
        <v>244296</v>
      </c>
      <c r="Y17" s="51">
        <f t="shared" si="46"/>
        <v>271440</v>
      </c>
      <c r="Z17" s="51">
        <f t="shared" si="46"/>
        <v>271440</v>
      </c>
      <c r="AA17" s="51">
        <f t="shared" si="46"/>
        <v>271440</v>
      </c>
      <c r="AB17" s="51">
        <f t="shared" si="46"/>
        <v>271440</v>
      </c>
      <c r="AC17" s="51">
        <f t="shared" si="46"/>
        <v>271440</v>
      </c>
      <c r="AD17" s="51">
        <f t="shared" si="46"/>
        <v>271440</v>
      </c>
      <c r="AE17" s="51">
        <f t="shared" si="46"/>
        <v>271440</v>
      </c>
    </row>
    <row r="18" spans="1:31" x14ac:dyDescent="0.25">
      <c r="A18" s="1" t="s">
        <v>60</v>
      </c>
      <c r="B18" s="2">
        <f>B23*B22</f>
        <v>100</v>
      </c>
      <c r="C18" s="61"/>
      <c r="D18" s="61"/>
      <c r="E18" s="61"/>
      <c r="F18" s="61"/>
      <c r="G18" s="44" t="s">
        <v>49</v>
      </c>
      <c r="H18" s="52">
        <f t="shared" ref="H18:N18" si="47">H16/H8</f>
        <v>0</v>
      </c>
      <c r="I18" s="52">
        <f t="shared" si="47"/>
        <v>0</v>
      </c>
      <c r="J18" s="52">
        <f t="shared" si="47"/>
        <v>0</v>
      </c>
      <c r="K18" s="52">
        <f t="shared" si="47"/>
        <v>0</v>
      </c>
      <c r="L18" s="52">
        <f t="shared" si="47"/>
        <v>0</v>
      </c>
      <c r="M18" s="52">
        <f t="shared" si="47"/>
        <v>0</v>
      </c>
      <c r="N18" s="52">
        <f t="shared" si="47"/>
        <v>0</v>
      </c>
      <c r="O18" s="52">
        <f t="shared" ref="O18:AE18" si="48">O16/O8</f>
        <v>0</v>
      </c>
      <c r="P18" s="52">
        <f t="shared" si="48"/>
        <v>0</v>
      </c>
      <c r="Q18" s="52">
        <f t="shared" si="48"/>
        <v>0</v>
      </c>
      <c r="R18" s="52">
        <f t="shared" si="48"/>
        <v>0</v>
      </c>
      <c r="S18" s="52">
        <f t="shared" si="48"/>
        <v>2.5862068965517241E-2</v>
      </c>
      <c r="T18" s="52">
        <f t="shared" si="48"/>
        <v>5.1724137931034482E-2</v>
      </c>
      <c r="U18" s="52">
        <f t="shared" si="48"/>
        <v>7.7586206896551727E-2</v>
      </c>
      <c r="V18" s="52">
        <f t="shared" si="48"/>
        <v>0.10344827586206896</v>
      </c>
      <c r="W18" s="52">
        <f t="shared" si="48"/>
        <v>0.12931034482758622</v>
      </c>
      <c r="X18" s="52">
        <f t="shared" si="48"/>
        <v>0.15517241379310345</v>
      </c>
      <c r="Y18" s="52">
        <f t="shared" si="48"/>
        <v>0.17241379310344829</v>
      </c>
      <c r="Z18" s="52">
        <f t="shared" si="48"/>
        <v>0.17241379310344829</v>
      </c>
      <c r="AA18" s="52">
        <f t="shared" si="48"/>
        <v>0.17241379310344829</v>
      </c>
      <c r="AB18" s="52">
        <f t="shared" si="48"/>
        <v>0.17241379310344829</v>
      </c>
      <c r="AC18" s="52">
        <f t="shared" si="48"/>
        <v>0.17241379310344829</v>
      </c>
      <c r="AD18" s="52">
        <f t="shared" si="48"/>
        <v>0.17241379310344829</v>
      </c>
      <c r="AE18" s="52">
        <f t="shared" si="48"/>
        <v>0.17241379310344829</v>
      </c>
    </row>
    <row r="19" spans="1:31" x14ac:dyDescent="0.25">
      <c r="A19" s="1"/>
      <c r="C19" s="61"/>
      <c r="D19" s="61"/>
      <c r="E19" s="61"/>
      <c r="F19" s="67" t="s">
        <v>88</v>
      </c>
      <c r="G19" s="41" t="s">
        <v>72</v>
      </c>
      <c r="H19" s="50">
        <v>0</v>
      </c>
      <c r="I19" s="50">
        <v>0</v>
      </c>
      <c r="J19" s="50">
        <v>0</v>
      </c>
      <c r="K19" s="50">
        <v>0</v>
      </c>
      <c r="L19" s="50">
        <v>0</v>
      </c>
      <c r="M19" s="50">
        <v>0</v>
      </c>
      <c r="N19" s="50">
        <v>0</v>
      </c>
      <c r="O19" s="50">
        <v>1</v>
      </c>
      <c r="P19" s="50">
        <v>0</v>
      </c>
      <c r="Q19" s="50">
        <v>0</v>
      </c>
      <c r="R19" s="50">
        <v>0</v>
      </c>
      <c r="S19" s="50">
        <v>0</v>
      </c>
      <c r="T19" s="50">
        <v>0</v>
      </c>
      <c r="U19" s="50">
        <v>0</v>
      </c>
      <c r="V19" s="50">
        <v>0</v>
      </c>
      <c r="W19" s="50">
        <v>0</v>
      </c>
      <c r="X19" s="50">
        <v>0</v>
      </c>
      <c r="Y19" s="50">
        <v>0</v>
      </c>
      <c r="Z19" s="50">
        <v>0</v>
      </c>
      <c r="AA19" s="50">
        <v>0</v>
      </c>
      <c r="AB19" s="50">
        <v>0</v>
      </c>
      <c r="AC19" s="50">
        <v>0</v>
      </c>
      <c r="AD19" s="50">
        <v>0</v>
      </c>
      <c r="AE19" s="50">
        <v>0</v>
      </c>
    </row>
    <row r="20" spans="1:31" ht="15.75" thickBot="1" x14ac:dyDescent="0.3">
      <c r="A20" s="21" t="s">
        <v>43</v>
      </c>
      <c r="B20" s="21"/>
      <c r="C20" s="61"/>
      <c r="D20" s="61"/>
      <c r="E20" s="61"/>
      <c r="F20" s="61"/>
      <c r="G20" s="44" t="s">
        <v>73</v>
      </c>
      <c r="H20" s="54">
        <f>H19*$B$32</f>
        <v>0</v>
      </c>
      <c r="I20" s="54">
        <f t="shared" ref="I20:N20" si="49">I19*$B$32</f>
        <v>0</v>
      </c>
      <c r="J20" s="54">
        <f t="shared" si="49"/>
        <v>0</v>
      </c>
      <c r="K20" s="54">
        <f t="shared" si="49"/>
        <v>0</v>
      </c>
      <c r="L20" s="54">
        <f t="shared" si="49"/>
        <v>0</v>
      </c>
      <c r="M20" s="54">
        <f t="shared" si="49"/>
        <v>0</v>
      </c>
      <c r="N20" s="54">
        <f t="shared" si="49"/>
        <v>0</v>
      </c>
      <c r="O20" s="54">
        <f t="shared" ref="O20:AE20" si="50">O19*$B$32</f>
        <v>30000</v>
      </c>
      <c r="P20" s="54">
        <f t="shared" si="50"/>
        <v>0</v>
      </c>
      <c r="Q20" s="54">
        <f t="shared" si="50"/>
        <v>0</v>
      </c>
      <c r="R20" s="54">
        <f t="shared" si="50"/>
        <v>0</v>
      </c>
      <c r="S20" s="54">
        <f t="shared" si="50"/>
        <v>0</v>
      </c>
      <c r="T20" s="54">
        <f t="shared" si="50"/>
        <v>0</v>
      </c>
      <c r="U20" s="54">
        <f t="shared" si="50"/>
        <v>0</v>
      </c>
      <c r="V20" s="54">
        <f t="shared" si="50"/>
        <v>0</v>
      </c>
      <c r="W20" s="54">
        <f t="shared" si="50"/>
        <v>0</v>
      </c>
      <c r="X20" s="54">
        <f t="shared" si="50"/>
        <v>0</v>
      </c>
      <c r="Y20" s="54">
        <f t="shared" si="50"/>
        <v>0</v>
      </c>
      <c r="Z20" s="54">
        <f t="shared" si="50"/>
        <v>0</v>
      </c>
      <c r="AA20" s="54">
        <f t="shared" si="50"/>
        <v>0</v>
      </c>
      <c r="AB20" s="54">
        <f t="shared" si="50"/>
        <v>0</v>
      </c>
      <c r="AC20" s="54">
        <f t="shared" si="50"/>
        <v>0</v>
      </c>
      <c r="AD20" s="54">
        <f t="shared" si="50"/>
        <v>0</v>
      </c>
      <c r="AE20" s="54">
        <f t="shared" si="50"/>
        <v>0</v>
      </c>
    </row>
    <row r="21" spans="1:31" x14ac:dyDescent="0.25">
      <c r="A21" s="9" t="s">
        <v>50</v>
      </c>
      <c r="B21" s="84">
        <v>3</v>
      </c>
      <c r="C21" s="61"/>
      <c r="D21" s="61"/>
      <c r="E21" s="61"/>
      <c r="F21" s="67" t="s">
        <v>92</v>
      </c>
      <c r="G21" s="41" t="s">
        <v>75</v>
      </c>
      <c r="H21" s="59">
        <f>B35</f>
        <v>100</v>
      </c>
      <c r="I21" s="59">
        <f>H21+I19</f>
        <v>100</v>
      </c>
      <c r="J21" s="59">
        <f t="shared" ref="J21:N21" si="51">I21+J19</f>
        <v>100</v>
      </c>
      <c r="K21" s="59">
        <f t="shared" si="51"/>
        <v>100</v>
      </c>
      <c r="L21" s="59">
        <f t="shared" si="51"/>
        <v>100</v>
      </c>
      <c r="M21" s="59">
        <f t="shared" si="51"/>
        <v>100</v>
      </c>
      <c r="N21" s="59">
        <f t="shared" si="51"/>
        <v>100</v>
      </c>
      <c r="O21" s="59">
        <f t="shared" ref="O21" si="52">N21+O19</f>
        <v>101</v>
      </c>
      <c r="P21" s="59">
        <f t="shared" ref="P21" si="53">O21+P19</f>
        <v>101</v>
      </c>
      <c r="Q21" s="59">
        <f t="shared" ref="Q21" si="54">P21+Q19</f>
        <v>101</v>
      </c>
      <c r="R21" s="59">
        <f t="shared" ref="R21" si="55">Q21+R19</f>
        <v>101</v>
      </c>
      <c r="S21" s="59">
        <f t="shared" ref="S21" si="56">R21+S19</f>
        <v>101</v>
      </c>
      <c r="T21" s="59">
        <f t="shared" ref="T21" si="57">S21+T19</f>
        <v>101</v>
      </c>
      <c r="U21" s="59">
        <f t="shared" ref="U21" si="58">T21+U19</f>
        <v>101</v>
      </c>
      <c r="V21" s="59">
        <f t="shared" ref="V21" si="59">U21+V19</f>
        <v>101</v>
      </c>
      <c r="W21" s="59">
        <f t="shared" ref="W21" si="60">V21+W19</f>
        <v>101</v>
      </c>
      <c r="X21" s="59">
        <f t="shared" ref="X21" si="61">W21+X19</f>
        <v>101</v>
      </c>
      <c r="Y21" s="59">
        <f t="shared" ref="Y21" si="62">X21+Y19</f>
        <v>101</v>
      </c>
      <c r="Z21" s="59">
        <f t="shared" ref="Z21" si="63">Y21+Z19</f>
        <v>101</v>
      </c>
      <c r="AA21" s="59">
        <f t="shared" ref="AA21" si="64">Z21+AA19</f>
        <v>101</v>
      </c>
      <c r="AB21" s="59">
        <f t="shared" ref="AB21" si="65">AA21+AB19</f>
        <v>101</v>
      </c>
      <c r="AC21" s="59">
        <f t="shared" ref="AC21" si="66">AB21+AC19</f>
        <v>101</v>
      </c>
      <c r="AD21" s="59">
        <f t="shared" ref="AD21" si="67">AC21+AD19</f>
        <v>101</v>
      </c>
      <c r="AE21" s="59">
        <f t="shared" ref="AE21" si="68">AD21+AE19</f>
        <v>101</v>
      </c>
    </row>
    <row r="22" spans="1:31" ht="15.75" thickBot="1" x14ac:dyDescent="0.3">
      <c r="A22" s="1" t="s">
        <v>61</v>
      </c>
      <c r="B22" s="75">
        <v>5</v>
      </c>
      <c r="C22" s="61"/>
      <c r="D22" s="61"/>
      <c r="E22" s="61"/>
      <c r="F22" s="61"/>
      <c r="G22" s="45" t="s">
        <v>77</v>
      </c>
      <c r="H22" s="55">
        <f>H21*$B$36/12</f>
        <v>2500000</v>
      </c>
      <c r="I22" s="55">
        <f t="shared" ref="I22:N22" si="69">I21*$B$36/12</f>
        <v>2500000</v>
      </c>
      <c r="J22" s="55">
        <f t="shared" si="69"/>
        <v>2500000</v>
      </c>
      <c r="K22" s="55">
        <f t="shared" si="69"/>
        <v>2500000</v>
      </c>
      <c r="L22" s="55">
        <f t="shared" si="69"/>
        <v>2500000</v>
      </c>
      <c r="M22" s="55">
        <f t="shared" si="69"/>
        <v>2500000</v>
      </c>
      <c r="N22" s="55">
        <f t="shared" si="69"/>
        <v>2500000</v>
      </c>
      <c r="O22" s="55">
        <f t="shared" ref="O22:AE22" si="70">O21*$B$36/12</f>
        <v>2525000</v>
      </c>
      <c r="P22" s="55">
        <f t="shared" si="70"/>
        <v>2525000</v>
      </c>
      <c r="Q22" s="55">
        <f t="shared" si="70"/>
        <v>2525000</v>
      </c>
      <c r="R22" s="55">
        <f t="shared" si="70"/>
        <v>2525000</v>
      </c>
      <c r="S22" s="55">
        <f t="shared" si="70"/>
        <v>2525000</v>
      </c>
      <c r="T22" s="55">
        <f t="shared" si="70"/>
        <v>2525000</v>
      </c>
      <c r="U22" s="55">
        <f t="shared" si="70"/>
        <v>2525000</v>
      </c>
      <c r="V22" s="55">
        <f t="shared" si="70"/>
        <v>2525000</v>
      </c>
      <c r="W22" s="55">
        <f t="shared" si="70"/>
        <v>2525000</v>
      </c>
      <c r="X22" s="55">
        <f t="shared" si="70"/>
        <v>2525000</v>
      </c>
      <c r="Y22" s="55">
        <f t="shared" si="70"/>
        <v>2525000</v>
      </c>
      <c r="Z22" s="55">
        <f t="shared" si="70"/>
        <v>2525000</v>
      </c>
      <c r="AA22" s="55">
        <f t="shared" si="70"/>
        <v>2525000</v>
      </c>
      <c r="AB22" s="55">
        <f t="shared" si="70"/>
        <v>2525000</v>
      </c>
      <c r="AC22" s="55">
        <f t="shared" si="70"/>
        <v>2525000</v>
      </c>
      <c r="AD22" s="55">
        <f t="shared" si="70"/>
        <v>2525000</v>
      </c>
      <c r="AE22" s="55">
        <f t="shared" si="70"/>
        <v>2525000</v>
      </c>
    </row>
    <row r="23" spans="1:31" ht="15.75" thickBot="1" x14ac:dyDescent="0.3">
      <c r="A23" s="1" t="s">
        <v>51</v>
      </c>
      <c r="B23" s="75">
        <v>20</v>
      </c>
      <c r="C23" s="61"/>
      <c r="D23" s="61"/>
      <c r="E23" s="61"/>
      <c r="F23" s="61"/>
      <c r="G23" s="82" t="s">
        <v>79</v>
      </c>
      <c r="H23" s="83">
        <f>SUM(H13,H17)</f>
        <v>0</v>
      </c>
      <c r="I23" s="83">
        <f t="shared" ref="I23:N23" si="71">SUM(I13,I17)</f>
        <v>0</v>
      </c>
      <c r="J23" s="83">
        <f t="shared" si="71"/>
        <v>0</v>
      </c>
      <c r="K23" s="83">
        <f t="shared" si="71"/>
        <v>116100</v>
      </c>
      <c r="L23" s="83">
        <f t="shared" si="71"/>
        <v>232200</v>
      </c>
      <c r="M23" s="83">
        <f t="shared" si="71"/>
        <v>348300</v>
      </c>
      <c r="N23" s="83">
        <f t="shared" si="71"/>
        <v>464400</v>
      </c>
      <c r="O23" s="83">
        <f t="shared" ref="O23:AE23" si="72">SUM(O13,O17)</f>
        <v>580500</v>
      </c>
      <c r="P23" s="83">
        <f t="shared" si="72"/>
        <v>696600</v>
      </c>
      <c r="Q23" s="83">
        <f t="shared" si="72"/>
        <v>812700</v>
      </c>
      <c r="R23" s="83">
        <f t="shared" si="72"/>
        <v>928800</v>
      </c>
      <c r="S23" s="83">
        <f t="shared" si="72"/>
        <v>1085616</v>
      </c>
      <c r="T23" s="83">
        <f t="shared" si="72"/>
        <v>1242432</v>
      </c>
      <c r="U23" s="83">
        <f t="shared" si="72"/>
        <v>1399248</v>
      </c>
      <c r="V23" s="83">
        <f t="shared" si="72"/>
        <v>1556064</v>
      </c>
      <c r="W23" s="83">
        <f t="shared" si="72"/>
        <v>1712880</v>
      </c>
      <c r="X23" s="83">
        <f t="shared" si="72"/>
        <v>1792296</v>
      </c>
      <c r="Y23" s="83">
        <f t="shared" si="72"/>
        <v>1819440</v>
      </c>
      <c r="Z23" s="83">
        <f t="shared" si="72"/>
        <v>1819440</v>
      </c>
      <c r="AA23" s="83">
        <f t="shared" si="72"/>
        <v>1819440</v>
      </c>
      <c r="AB23" s="83">
        <f t="shared" si="72"/>
        <v>1819440</v>
      </c>
      <c r="AC23" s="83">
        <f t="shared" si="72"/>
        <v>1819440</v>
      </c>
      <c r="AD23" s="83">
        <f t="shared" si="72"/>
        <v>1819440</v>
      </c>
      <c r="AE23" s="83">
        <f t="shared" si="72"/>
        <v>1819440</v>
      </c>
    </row>
    <row r="24" spans="1:31" x14ac:dyDescent="0.25">
      <c r="C24" s="61"/>
      <c r="D24" s="61"/>
      <c r="E24" s="61"/>
      <c r="F24" s="68" t="s">
        <v>85</v>
      </c>
      <c r="G24" s="47" t="s">
        <v>78</v>
      </c>
      <c r="H24" s="57">
        <f t="shared" ref="H24:N24" si="73">SUM(H9,H17,H13)</f>
        <v>2426400</v>
      </c>
      <c r="I24" s="57">
        <f t="shared" si="73"/>
        <v>2426400</v>
      </c>
      <c r="J24" s="57">
        <f t="shared" si="73"/>
        <v>2426400</v>
      </c>
      <c r="K24" s="57">
        <f t="shared" si="73"/>
        <v>2421180</v>
      </c>
      <c r="L24" s="57">
        <f t="shared" si="73"/>
        <v>2415960</v>
      </c>
      <c r="M24" s="57">
        <f t="shared" si="73"/>
        <v>2410740</v>
      </c>
      <c r="N24" s="57">
        <f t="shared" si="73"/>
        <v>2405520</v>
      </c>
      <c r="O24" s="57">
        <f t="shared" ref="O24:AE24" si="74">SUM(O9,O17,O13)</f>
        <v>2319420</v>
      </c>
      <c r="P24" s="57">
        <f t="shared" si="74"/>
        <v>2314200</v>
      </c>
      <c r="Q24" s="57">
        <f t="shared" si="74"/>
        <v>2308980</v>
      </c>
      <c r="R24" s="57">
        <f t="shared" si="74"/>
        <v>2303760</v>
      </c>
      <c r="S24" s="57">
        <f t="shared" si="74"/>
        <v>2278596</v>
      </c>
      <c r="T24" s="57">
        <f t="shared" si="74"/>
        <v>2253432</v>
      </c>
      <c r="U24" s="57">
        <f t="shared" si="74"/>
        <v>2228268</v>
      </c>
      <c r="V24" s="57">
        <f t="shared" si="74"/>
        <v>2203104</v>
      </c>
      <c r="W24" s="57">
        <f t="shared" si="74"/>
        <v>2177940</v>
      </c>
      <c r="X24" s="57">
        <f t="shared" si="74"/>
        <v>2156256</v>
      </c>
      <c r="Y24" s="57">
        <f t="shared" si="74"/>
        <v>2142960</v>
      </c>
      <c r="Z24" s="57">
        <f t="shared" si="74"/>
        <v>2142960</v>
      </c>
      <c r="AA24" s="57">
        <f t="shared" si="74"/>
        <v>2142960</v>
      </c>
      <c r="AB24" s="57">
        <f t="shared" si="74"/>
        <v>2142960</v>
      </c>
      <c r="AC24" s="57">
        <f t="shared" si="74"/>
        <v>2142960</v>
      </c>
      <c r="AD24" s="57">
        <f t="shared" si="74"/>
        <v>2142960</v>
      </c>
      <c r="AE24" s="57">
        <f t="shared" si="74"/>
        <v>2142960</v>
      </c>
    </row>
    <row r="25" spans="1:31" ht="15.75" thickBot="1" x14ac:dyDescent="0.3">
      <c r="A25" s="21" t="s">
        <v>65</v>
      </c>
      <c r="B25" s="21"/>
      <c r="C25" s="61"/>
      <c r="D25" s="61"/>
      <c r="E25" s="61"/>
      <c r="F25" s="69"/>
      <c r="G25" s="48" t="s">
        <v>89</v>
      </c>
      <c r="H25" s="66">
        <f t="shared" ref="H25:N25" si="75">(H24-$H$24)/$H$24</f>
        <v>0</v>
      </c>
      <c r="I25" s="66">
        <f t="shared" si="75"/>
        <v>0</v>
      </c>
      <c r="J25" s="66">
        <f t="shared" si="75"/>
        <v>0</v>
      </c>
      <c r="K25" s="66">
        <f t="shared" si="75"/>
        <v>-2.1513353115727002E-3</v>
      </c>
      <c r="L25" s="66">
        <f t="shared" si="75"/>
        <v>-4.3026706231454005E-3</v>
      </c>
      <c r="M25" s="66">
        <f t="shared" si="75"/>
        <v>-6.4540059347181012E-3</v>
      </c>
      <c r="N25" s="66">
        <f t="shared" si="75"/>
        <v>-8.605341246290801E-3</v>
      </c>
      <c r="O25" s="66">
        <f t="shared" ref="O25:AE25" si="76">(O24-$H$24)/$H$24</f>
        <v>-4.4090009891196838E-2</v>
      </c>
      <c r="P25" s="66">
        <f t="shared" si="76"/>
        <v>-4.6241345202769533E-2</v>
      </c>
      <c r="Q25" s="66">
        <f t="shared" si="76"/>
        <v>-4.8392680514342236E-2</v>
      </c>
      <c r="R25" s="66">
        <f t="shared" si="76"/>
        <v>-5.0544015825914938E-2</v>
      </c>
      <c r="S25" s="66">
        <f t="shared" si="76"/>
        <v>-6.0914935707220577E-2</v>
      </c>
      <c r="T25" s="66">
        <f t="shared" si="76"/>
        <v>-7.1285855588526209E-2</v>
      </c>
      <c r="U25" s="66">
        <f t="shared" si="76"/>
        <v>-8.1656775469831855E-2</v>
      </c>
      <c r="V25" s="66">
        <f t="shared" si="76"/>
        <v>-9.2027695351137487E-2</v>
      </c>
      <c r="W25" s="66">
        <f t="shared" si="76"/>
        <v>-0.10239861523244312</v>
      </c>
      <c r="X25" s="66">
        <f t="shared" si="76"/>
        <v>-0.1113353115727003</v>
      </c>
      <c r="Y25" s="66">
        <f t="shared" si="76"/>
        <v>-0.11681503461918892</v>
      </c>
      <c r="Z25" s="66">
        <f t="shared" si="76"/>
        <v>-0.11681503461918892</v>
      </c>
      <c r="AA25" s="66">
        <f t="shared" si="76"/>
        <v>-0.11681503461918892</v>
      </c>
      <c r="AB25" s="66">
        <f t="shared" si="76"/>
        <v>-0.11681503461918892</v>
      </c>
      <c r="AC25" s="66">
        <f t="shared" si="76"/>
        <v>-0.11681503461918892</v>
      </c>
      <c r="AD25" s="66">
        <f t="shared" si="76"/>
        <v>-0.11681503461918892</v>
      </c>
      <c r="AE25" s="66">
        <f t="shared" si="76"/>
        <v>-0.11681503461918892</v>
      </c>
    </row>
    <row r="26" spans="1:31" x14ac:dyDescent="0.25">
      <c r="A26" s="9" t="s">
        <v>50</v>
      </c>
      <c r="B26" s="84">
        <v>3</v>
      </c>
      <c r="C26" s="61"/>
      <c r="D26" s="61"/>
      <c r="E26" s="61"/>
      <c r="F26" s="67" t="s">
        <v>91</v>
      </c>
      <c r="G26" s="43" t="s">
        <v>86</v>
      </c>
      <c r="H26" s="56">
        <f t="shared" ref="H26:N26" si="77">H22+H20+H17+H13+H9</f>
        <v>4926400</v>
      </c>
      <c r="I26" s="56">
        <f t="shared" si="77"/>
        <v>4926400</v>
      </c>
      <c r="J26" s="56">
        <f t="shared" si="77"/>
        <v>4926400</v>
      </c>
      <c r="K26" s="56">
        <f t="shared" si="77"/>
        <v>4921180</v>
      </c>
      <c r="L26" s="56">
        <f t="shared" si="77"/>
        <v>4915960</v>
      </c>
      <c r="M26" s="56">
        <f t="shared" si="77"/>
        <v>4910740</v>
      </c>
      <c r="N26" s="56">
        <f t="shared" si="77"/>
        <v>4905520</v>
      </c>
      <c r="O26" s="56">
        <f t="shared" ref="O26:AE26" si="78">O22+O20+O17+O13+O9</f>
        <v>4874420</v>
      </c>
      <c r="P26" s="56">
        <f t="shared" si="78"/>
        <v>4839200</v>
      </c>
      <c r="Q26" s="56">
        <f t="shared" si="78"/>
        <v>4833980</v>
      </c>
      <c r="R26" s="56">
        <f t="shared" si="78"/>
        <v>4828760</v>
      </c>
      <c r="S26" s="56">
        <f t="shared" si="78"/>
        <v>4803596</v>
      </c>
      <c r="T26" s="56">
        <f t="shared" si="78"/>
        <v>4778432</v>
      </c>
      <c r="U26" s="56">
        <f t="shared" si="78"/>
        <v>4753268</v>
      </c>
      <c r="V26" s="56">
        <f t="shared" si="78"/>
        <v>4728104</v>
      </c>
      <c r="W26" s="56">
        <f t="shared" si="78"/>
        <v>4702940</v>
      </c>
      <c r="X26" s="56">
        <f t="shared" si="78"/>
        <v>4681256</v>
      </c>
      <c r="Y26" s="56">
        <f t="shared" si="78"/>
        <v>4667960</v>
      </c>
      <c r="Z26" s="56">
        <f t="shared" si="78"/>
        <v>4667960</v>
      </c>
      <c r="AA26" s="56">
        <f t="shared" si="78"/>
        <v>4667960</v>
      </c>
      <c r="AB26" s="56">
        <f t="shared" si="78"/>
        <v>4667960</v>
      </c>
      <c r="AC26" s="56">
        <f t="shared" si="78"/>
        <v>4667960</v>
      </c>
      <c r="AD26" s="56">
        <f t="shared" si="78"/>
        <v>4667960</v>
      </c>
      <c r="AE26" s="56">
        <f t="shared" si="78"/>
        <v>4667960</v>
      </c>
    </row>
    <row r="27" spans="1:31" ht="15.75" thickBot="1" x14ac:dyDescent="0.3">
      <c r="A27" s="1" t="s">
        <v>61</v>
      </c>
      <c r="B27" s="75">
        <v>10</v>
      </c>
      <c r="C27" s="61"/>
      <c r="D27" s="61"/>
      <c r="E27" s="61"/>
      <c r="F27" s="61"/>
      <c r="G27" s="46" t="s">
        <v>90</v>
      </c>
      <c r="H27" s="65">
        <f t="shared" ref="H27:N27" si="79">(H26-$H$26)/$H$26</f>
        <v>0</v>
      </c>
      <c r="I27" s="65">
        <f t="shared" si="79"/>
        <v>0</v>
      </c>
      <c r="J27" s="65">
        <f t="shared" si="79"/>
        <v>0</v>
      </c>
      <c r="K27" s="65">
        <f t="shared" si="79"/>
        <v>-1.059597271841507E-3</v>
      </c>
      <c r="L27" s="65">
        <f t="shared" si="79"/>
        <v>-2.119194543683014E-3</v>
      </c>
      <c r="M27" s="65">
        <f t="shared" si="79"/>
        <v>-3.178791815524521E-3</v>
      </c>
      <c r="N27" s="65">
        <f t="shared" si="79"/>
        <v>-4.238389087366028E-3</v>
      </c>
      <c r="O27" s="65">
        <f t="shared" ref="O27:AE27" si="80">(O26-$H$26)/$H$26</f>
        <v>-1.0551315362130562E-2</v>
      </c>
      <c r="P27" s="65">
        <f t="shared" si="80"/>
        <v>-1.7700552127314063E-2</v>
      </c>
      <c r="Q27" s="65">
        <f t="shared" si="80"/>
        <v>-1.876014939915557E-2</v>
      </c>
      <c r="R27" s="65">
        <f t="shared" si="80"/>
        <v>-1.9819746670997077E-2</v>
      </c>
      <c r="S27" s="65">
        <f t="shared" si="80"/>
        <v>-2.4927736278012341E-2</v>
      </c>
      <c r="T27" s="65">
        <f t="shared" si="80"/>
        <v>-3.0035725885027606E-2</v>
      </c>
      <c r="U27" s="65">
        <f t="shared" si="80"/>
        <v>-3.5143715492042871E-2</v>
      </c>
      <c r="V27" s="65">
        <f t="shared" si="80"/>
        <v>-4.0251705099058135E-2</v>
      </c>
      <c r="W27" s="65">
        <f t="shared" si="80"/>
        <v>-4.53596947060734E-2</v>
      </c>
      <c r="X27" s="65">
        <f t="shared" si="80"/>
        <v>-4.9761286131860996E-2</v>
      </c>
      <c r="Y27" s="65">
        <f t="shared" si="80"/>
        <v>-5.2460214355310168E-2</v>
      </c>
      <c r="Z27" s="65">
        <f t="shared" si="80"/>
        <v>-5.2460214355310168E-2</v>
      </c>
      <c r="AA27" s="65">
        <f t="shared" si="80"/>
        <v>-5.2460214355310168E-2</v>
      </c>
      <c r="AB27" s="65">
        <f t="shared" si="80"/>
        <v>-5.2460214355310168E-2</v>
      </c>
      <c r="AC27" s="65">
        <f t="shared" si="80"/>
        <v>-5.2460214355310168E-2</v>
      </c>
      <c r="AD27" s="65">
        <f t="shared" si="80"/>
        <v>-5.2460214355310168E-2</v>
      </c>
      <c r="AE27" s="65">
        <f t="shared" si="80"/>
        <v>-5.2460214355310168E-2</v>
      </c>
    </row>
    <row r="28" spans="1:31" x14ac:dyDescent="0.25">
      <c r="A28" s="1" t="s">
        <v>51</v>
      </c>
      <c r="B28" s="75">
        <v>40</v>
      </c>
      <c r="C28" s="61"/>
      <c r="D28" s="61"/>
      <c r="E28" s="61"/>
      <c r="F28" s="67" t="s">
        <v>91</v>
      </c>
      <c r="G28" s="80" t="s">
        <v>87</v>
      </c>
      <c r="H28" s="81">
        <f t="shared" ref="H28:N28" si="81">SUM(H13+H17+H20+H22)</f>
        <v>2500000</v>
      </c>
      <c r="I28" s="81">
        <f t="shared" si="81"/>
        <v>2500000</v>
      </c>
      <c r="J28" s="81">
        <f t="shared" si="81"/>
        <v>2500000</v>
      </c>
      <c r="K28" s="81">
        <f t="shared" si="81"/>
        <v>2616100</v>
      </c>
      <c r="L28" s="81">
        <f t="shared" si="81"/>
        <v>2732200</v>
      </c>
      <c r="M28" s="81">
        <f t="shared" si="81"/>
        <v>2848300</v>
      </c>
      <c r="N28" s="81">
        <f t="shared" si="81"/>
        <v>2964400</v>
      </c>
      <c r="O28" s="81">
        <f t="shared" ref="O28:AE28" si="82">SUM(O13+O17+O20+O22)</f>
        <v>3135500</v>
      </c>
      <c r="P28" s="81">
        <f t="shared" si="82"/>
        <v>3221600</v>
      </c>
      <c r="Q28" s="81">
        <f t="shared" si="82"/>
        <v>3337700</v>
      </c>
      <c r="R28" s="81">
        <f t="shared" si="82"/>
        <v>3453800</v>
      </c>
      <c r="S28" s="81">
        <f t="shared" si="82"/>
        <v>3610616</v>
      </c>
      <c r="T28" s="81">
        <f t="shared" si="82"/>
        <v>3767432</v>
      </c>
      <c r="U28" s="81">
        <f t="shared" si="82"/>
        <v>3924248</v>
      </c>
      <c r="V28" s="81">
        <f t="shared" si="82"/>
        <v>4081064</v>
      </c>
      <c r="W28" s="81">
        <f t="shared" si="82"/>
        <v>4237880</v>
      </c>
      <c r="X28" s="81">
        <f t="shared" si="82"/>
        <v>4317296</v>
      </c>
      <c r="Y28" s="81">
        <f t="shared" si="82"/>
        <v>4344440</v>
      </c>
      <c r="Z28" s="81">
        <f t="shared" si="82"/>
        <v>4344440</v>
      </c>
      <c r="AA28" s="81">
        <f t="shared" si="82"/>
        <v>4344440</v>
      </c>
      <c r="AB28" s="81">
        <f t="shared" si="82"/>
        <v>4344440</v>
      </c>
      <c r="AC28" s="81">
        <f t="shared" si="82"/>
        <v>4344440</v>
      </c>
      <c r="AD28" s="81">
        <f t="shared" si="82"/>
        <v>4344440</v>
      </c>
      <c r="AE28" s="81">
        <f t="shared" si="82"/>
        <v>4344440</v>
      </c>
    </row>
    <row r="29" spans="1:31" x14ac:dyDescent="0.25">
      <c r="A29" s="1" t="s">
        <v>59</v>
      </c>
      <c r="B29" s="74">
        <v>600</v>
      </c>
      <c r="C29" s="61"/>
      <c r="D29" s="61"/>
      <c r="E29" s="61"/>
      <c r="F29" s="61"/>
      <c r="G29" s="1"/>
    </row>
    <row r="30" spans="1:31" x14ac:dyDescent="0.25">
      <c r="C30" s="61"/>
      <c r="D30" s="61"/>
      <c r="E30" s="61"/>
      <c r="F30" s="61"/>
    </row>
    <row r="31" spans="1:31" ht="15.75" thickBot="1" x14ac:dyDescent="0.3">
      <c r="A31" s="21" t="s">
        <v>72</v>
      </c>
      <c r="B31" s="21"/>
      <c r="C31" s="61"/>
      <c r="D31" s="61"/>
      <c r="E31" s="61"/>
      <c r="F31" s="61"/>
    </row>
    <row r="32" spans="1:31" x14ac:dyDescent="0.25">
      <c r="A32" s="9" t="s">
        <v>74</v>
      </c>
      <c r="B32" s="79">
        <v>30000</v>
      </c>
      <c r="C32" s="61"/>
      <c r="D32" s="61"/>
      <c r="E32" s="61"/>
      <c r="F32" s="61"/>
    </row>
    <row r="33" spans="1:6" x14ac:dyDescent="0.25">
      <c r="C33" s="61"/>
      <c r="D33" s="61"/>
      <c r="E33" s="61"/>
      <c r="F33" s="61"/>
    </row>
    <row r="34" spans="1:6" ht="15.75" thickBot="1" x14ac:dyDescent="0.3">
      <c r="A34" s="21" t="s">
        <v>80</v>
      </c>
      <c r="B34" s="21"/>
      <c r="C34" s="61"/>
      <c r="D34" s="61"/>
      <c r="E34" s="61"/>
      <c r="F34" s="61"/>
    </row>
    <row r="35" spans="1:6" x14ac:dyDescent="0.25">
      <c r="A35" s="9" t="s">
        <v>76</v>
      </c>
      <c r="B35" s="63">
        <v>100</v>
      </c>
      <c r="C35" s="61"/>
      <c r="D35" s="61"/>
      <c r="E35" s="61"/>
      <c r="F35" s="61"/>
    </row>
    <row r="36" spans="1:6" x14ac:dyDescent="0.25">
      <c r="A36" s="1" t="s">
        <v>84</v>
      </c>
      <c r="B36" s="89">
        <f>IF(_xlfn.XLOOKUP($B$8,Table1[Specialty],Table1[Avg Yearly Salary],0,0)=0,"Enter In Table",_xlfn.XLOOKUP($B$8,Table1[Specialty],Table1[Avg Yearly Salary],0,0))</f>
        <v>300000</v>
      </c>
      <c r="C36" s="61"/>
      <c r="D36" s="61"/>
      <c r="E36" s="61"/>
      <c r="F36" s="61"/>
    </row>
    <row r="37" spans="1:6" x14ac:dyDescent="0.25">
      <c r="A37" s="1" t="s">
        <v>93</v>
      </c>
      <c r="B37" s="90">
        <f>D17</f>
        <v>20</v>
      </c>
      <c r="C37" s="61"/>
      <c r="D37" s="61"/>
      <c r="E37" s="61"/>
      <c r="F37" s="61"/>
    </row>
    <row r="38" spans="1:6" x14ac:dyDescent="0.25">
      <c r="C38" s="61"/>
      <c r="D38" s="61"/>
      <c r="E38" s="61"/>
      <c r="F38" s="61"/>
    </row>
    <row r="39" spans="1:6" x14ac:dyDescent="0.25">
      <c r="A39" s="64"/>
      <c r="C39" s="61"/>
      <c r="D39" s="61"/>
      <c r="E39" s="61"/>
      <c r="F39" s="61"/>
    </row>
    <row r="40" spans="1:6" x14ac:dyDescent="0.25">
      <c r="C40" s="61"/>
      <c r="D40" s="61"/>
      <c r="E40" s="61"/>
      <c r="F40" s="6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9671C-F361-4AC4-8D75-0A890231067B}">
  <dimension ref="A1:D47"/>
  <sheetViews>
    <sheetView workbookViewId="0">
      <selection activeCell="I13" sqref="I13"/>
    </sheetView>
  </sheetViews>
  <sheetFormatPr defaultRowHeight="15" x14ac:dyDescent="0.25"/>
  <cols>
    <col min="1" max="1" width="30" bestFit="1" customWidth="1"/>
    <col min="2" max="2" width="26.85546875" bestFit="1" customWidth="1"/>
    <col min="3" max="3" width="3.140625" customWidth="1"/>
  </cols>
  <sheetData>
    <row r="1" spans="1:4" x14ac:dyDescent="0.25">
      <c r="A1" s="4"/>
      <c r="B1" s="4"/>
      <c r="C1" s="4"/>
      <c r="D1" s="4"/>
    </row>
    <row r="2" spans="1:4" x14ac:dyDescent="0.25">
      <c r="A2" s="4"/>
      <c r="B2" s="4"/>
      <c r="C2" s="4"/>
      <c r="D2" s="4"/>
    </row>
    <row r="3" spans="1:4" x14ac:dyDescent="0.25">
      <c r="A3" s="4"/>
      <c r="B3" s="4"/>
      <c r="C3" s="4"/>
      <c r="D3" s="4"/>
    </row>
    <row r="4" spans="1:4" x14ac:dyDescent="0.25">
      <c r="A4" s="4"/>
      <c r="B4" s="4"/>
      <c r="C4" s="4"/>
      <c r="D4" s="4"/>
    </row>
    <row r="5" spans="1:4" x14ac:dyDescent="0.25">
      <c r="A5" s="87" t="s">
        <v>5</v>
      </c>
      <c r="B5" s="88"/>
      <c r="C5" s="1"/>
      <c r="D5" s="2"/>
    </row>
    <row r="6" spans="1:4" x14ac:dyDescent="0.25">
      <c r="A6" s="16" t="s">
        <v>0</v>
      </c>
      <c r="B6" s="7" t="s">
        <v>1</v>
      </c>
      <c r="C6" s="8"/>
      <c r="D6" s="2"/>
    </row>
    <row r="7" spans="1:4" x14ac:dyDescent="0.25">
      <c r="A7" s="17" t="s">
        <v>4</v>
      </c>
      <c r="B7" s="29">
        <v>30000</v>
      </c>
      <c r="C7" s="6"/>
      <c r="D7" s="2"/>
    </row>
    <row r="8" spans="1:4" x14ac:dyDescent="0.25">
      <c r="A8" s="17"/>
      <c r="B8" s="11"/>
      <c r="C8" s="6"/>
      <c r="D8" s="2"/>
    </row>
    <row r="9" spans="1:4" x14ac:dyDescent="0.25">
      <c r="A9" s="17"/>
      <c r="B9" s="11"/>
      <c r="C9" s="6"/>
      <c r="D9" s="2"/>
    </row>
    <row r="10" spans="1:4" x14ac:dyDescent="0.25">
      <c r="A10" s="17"/>
      <c r="B10" s="11"/>
      <c r="C10" s="6"/>
      <c r="D10" s="2"/>
    </row>
    <row r="11" spans="1:4" x14ac:dyDescent="0.25">
      <c r="A11" s="17"/>
      <c r="B11" s="11"/>
      <c r="C11" s="6"/>
      <c r="D11" s="2"/>
    </row>
    <row r="12" spans="1:4" x14ac:dyDescent="0.25">
      <c r="A12" s="16" t="s">
        <v>8</v>
      </c>
      <c r="B12" s="29">
        <f>SUM(B7:B11)</f>
        <v>30000</v>
      </c>
      <c r="C12" s="2"/>
      <c r="D12" s="2"/>
    </row>
    <row r="13" spans="1:4" x14ac:dyDescent="0.25">
      <c r="A13" s="23"/>
      <c r="B13" s="10"/>
      <c r="C13" s="10"/>
      <c r="D13" s="2"/>
    </row>
    <row r="14" spans="1:4" x14ac:dyDescent="0.25">
      <c r="A14" s="3"/>
      <c r="B14" s="2"/>
      <c r="C14" s="2"/>
      <c r="D14" s="2"/>
    </row>
    <row r="15" spans="1:4" x14ac:dyDescent="0.25">
      <c r="A15" s="3"/>
      <c r="B15" s="2"/>
      <c r="C15" s="2"/>
      <c r="D15" s="2"/>
    </row>
    <row r="16" spans="1:4" x14ac:dyDescent="0.25">
      <c r="A16" s="3"/>
      <c r="B16" s="2"/>
      <c r="C16" s="2"/>
      <c r="D16" s="2"/>
    </row>
    <row r="17" spans="1:4" x14ac:dyDescent="0.25">
      <c r="A17" s="24"/>
      <c r="B17" s="4"/>
      <c r="C17" s="4"/>
      <c r="D17" s="2"/>
    </row>
    <row r="18" spans="1:4" x14ac:dyDescent="0.25">
      <c r="A18" s="25" t="s">
        <v>23</v>
      </c>
      <c r="B18" s="19">
        <v>180</v>
      </c>
      <c r="C18" s="3"/>
      <c r="D18" s="2"/>
    </row>
    <row r="19" spans="1:4" x14ac:dyDescent="0.25">
      <c r="A19" s="25" t="s">
        <v>22</v>
      </c>
      <c r="B19" s="27">
        <f>B12*Sheet1!B16</f>
        <v>60000</v>
      </c>
      <c r="C19" s="3" t="s">
        <v>26</v>
      </c>
      <c r="D19" s="2"/>
    </row>
    <row r="20" spans="1:4" x14ac:dyDescent="0.25">
      <c r="A20" s="25" t="s">
        <v>24</v>
      </c>
      <c r="B20" s="27">
        <f>Sheet1!B16*Sheet1!B17*(Sheet1!B18-B18)</f>
        <v>3700000</v>
      </c>
      <c r="C20" s="3" t="s">
        <v>27</v>
      </c>
      <c r="D20" s="2"/>
    </row>
    <row r="21" spans="1:4" x14ac:dyDescent="0.25">
      <c r="A21" s="25" t="s">
        <v>15</v>
      </c>
      <c r="B21" s="27">
        <f>B20-B19</f>
        <v>3640000</v>
      </c>
      <c r="C21" s="3"/>
      <c r="D21" s="2"/>
    </row>
    <row r="22" spans="1:4" x14ac:dyDescent="0.25">
      <c r="A22" s="25"/>
      <c r="B22" s="27"/>
      <c r="C22" s="24"/>
      <c r="D22" s="2"/>
    </row>
    <row r="23" spans="1:4" x14ac:dyDescent="0.25">
      <c r="A23" s="24"/>
      <c r="B23" s="4"/>
      <c r="C23" s="4"/>
      <c r="D23" s="2"/>
    </row>
    <row r="24" spans="1:4" x14ac:dyDescent="0.25">
      <c r="A24" s="24"/>
      <c r="B24" s="4"/>
      <c r="C24" s="4"/>
      <c r="D24" s="2"/>
    </row>
    <row r="25" spans="1:4" x14ac:dyDescent="0.25">
      <c r="A25" s="24"/>
      <c r="B25" s="4"/>
      <c r="C25" s="4"/>
      <c r="D25" s="2"/>
    </row>
    <row r="26" spans="1:4" x14ac:dyDescent="0.25">
      <c r="A26" s="24"/>
      <c r="B26" s="4"/>
      <c r="C26" s="4"/>
      <c r="D26" s="2"/>
    </row>
    <row r="27" spans="1:4" x14ac:dyDescent="0.25">
      <c r="A27" s="24"/>
      <c r="B27" s="4"/>
      <c r="C27" s="4"/>
      <c r="D27" s="2"/>
    </row>
    <row r="28" spans="1:4" x14ac:dyDescent="0.25">
      <c r="A28" s="24"/>
      <c r="B28" s="4"/>
      <c r="C28" s="4"/>
      <c r="D28" s="2"/>
    </row>
    <row r="29" spans="1:4" x14ac:dyDescent="0.25">
      <c r="A29" s="24"/>
      <c r="B29" s="4"/>
      <c r="C29" s="4"/>
      <c r="D29" s="2"/>
    </row>
    <row r="30" spans="1:4" x14ac:dyDescent="0.25">
      <c r="A30" s="24"/>
      <c r="B30" s="4"/>
      <c r="C30" s="4"/>
      <c r="D30" s="2"/>
    </row>
    <row r="31" spans="1:4" x14ac:dyDescent="0.25">
      <c r="A31" s="24"/>
      <c r="B31" s="4"/>
      <c r="C31" s="2"/>
      <c r="D31" s="2"/>
    </row>
    <row r="32" spans="1:4" x14ac:dyDescent="0.25">
      <c r="A32" s="24"/>
      <c r="B32" s="4"/>
      <c r="C32" s="2"/>
      <c r="D32" s="2"/>
    </row>
    <row r="33" spans="1:4" x14ac:dyDescent="0.25">
      <c r="A33" s="24"/>
      <c r="B33" s="4"/>
      <c r="C33" s="2"/>
      <c r="D33" s="2"/>
    </row>
    <row r="34" spans="1:4" x14ac:dyDescent="0.25">
      <c r="A34" s="24"/>
      <c r="B34" s="4"/>
      <c r="C34" s="2"/>
      <c r="D34" s="2"/>
    </row>
    <row r="35" spans="1:4" x14ac:dyDescent="0.25">
      <c r="A35" s="24"/>
      <c r="B35" s="4"/>
      <c r="C35" s="2"/>
      <c r="D35" s="2"/>
    </row>
    <row r="36" spans="1:4" x14ac:dyDescent="0.25">
      <c r="A36" s="24"/>
      <c r="B36" s="4"/>
      <c r="C36" s="2"/>
      <c r="D36" s="2"/>
    </row>
    <row r="37" spans="1:4" x14ac:dyDescent="0.25">
      <c r="A37" s="24"/>
      <c r="B37" s="4"/>
      <c r="C37" s="2"/>
      <c r="D37" s="2"/>
    </row>
    <row r="38" spans="1:4" x14ac:dyDescent="0.25">
      <c r="A38" s="24"/>
      <c r="B38" s="4"/>
      <c r="C38" s="2"/>
      <c r="D38" s="2"/>
    </row>
    <row r="39" spans="1:4" x14ac:dyDescent="0.25">
      <c r="A39" s="24"/>
      <c r="B39" s="4"/>
      <c r="C39" s="2"/>
      <c r="D39" s="2"/>
    </row>
    <row r="40" spans="1:4" x14ac:dyDescent="0.25">
      <c r="A40" s="24"/>
      <c r="B40" s="4"/>
      <c r="C40" s="2"/>
      <c r="D40" s="2"/>
    </row>
    <row r="41" spans="1:4" x14ac:dyDescent="0.25">
      <c r="A41" s="4"/>
      <c r="B41" s="4"/>
      <c r="C41" s="2"/>
      <c r="D41" s="2"/>
    </row>
    <row r="42" spans="1:4" x14ac:dyDescent="0.25">
      <c r="A42" s="4"/>
      <c r="B42" s="4"/>
      <c r="C42" s="2"/>
      <c r="D42" s="2"/>
    </row>
    <row r="43" spans="1:4" x14ac:dyDescent="0.25">
      <c r="A43" s="2"/>
      <c r="B43" s="2"/>
      <c r="C43" s="2"/>
      <c r="D43" s="2"/>
    </row>
    <row r="44" spans="1:4" x14ac:dyDescent="0.25">
      <c r="A44" s="2"/>
      <c r="B44" s="2"/>
      <c r="C44" s="2"/>
      <c r="D44" s="2"/>
    </row>
    <row r="45" spans="1:4" x14ac:dyDescent="0.25">
      <c r="A45" s="2"/>
      <c r="B45" s="2"/>
      <c r="C45" s="2"/>
      <c r="D45" s="2"/>
    </row>
    <row r="46" spans="1:4" x14ac:dyDescent="0.25">
      <c r="A46" s="2"/>
      <c r="B46" s="2"/>
      <c r="C46" s="2"/>
      <c r="D46" s="2"/>
    </row>
    <row r="47" spans="1:4" x14ac:dyDescent="0.25">
      <c r="A47" s="2"/>
      <c r="B47" s="2"/>
      <c r="C47" s="2"/>
    </row>
  </sheetData>
  <mergeCells count="1"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Combo- Select &amp; Float Pool</vt:lpstr>
      <vt:lpstr>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Stoltzfus</dc:creator>
  <cp:lastModifiedBy>Justin Stoltzfus</cp:lastModifiedBy>
  <dcterms:created xsi:type="dcterms:W3CDTF">2024-09-23T15:16:16Z</dcterms:created>
  <dcterms:modified xsi:type="dcterms:W3CDTF">2025-07-11T16:07:55Z</dcterms:modified>
</cp:coreProperties>
</file>