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FA Portfolio\EdgeFin Consulting\Excel &amp; PP\"/>
    </mc:Choice>
  </mc:AlternateContent>
  <xr:revisionPtr revIDLastSave="0" documentId="8_{46F332F6-1817-4EDE-B6BE-86BA946C1CFF}" xr6:coauthVersionLast="47" xr6:coauthVersionMax="47" xr10:uidLastSave="{00000000-0000-0000-0000-000000000000}"/>
  <bookViews>
    <workbookView xWindow="-120" yWindow="-120" windowWidth="29040" windowHeight="15720" activeTab="4" xr2:uid="{7C648592-46AB-4F3C-8E67-2DCB40E1D63C}"/>
  </bookViews>
  <sheets>
    <sheet name="BS 2021-2023" sheetId="6" r:id="rId1"/>
    <sheet name="Revenue" sheetId="3" r:id="rId2"/>
    <sheet name="Cogs" sheetId="4" r:id="rId3"/>
    <sheet name="Expenses" sheetId="5" r:id="rId4"/>
    <sheet name="Overview" sheetId="16" r:id="rId5"/>
    <sheet name="P&amp;L" sheetId="7" r:id="rId6"/>
    <sheet name="BS" sheetId="9" r:id="rId7"/>
    <sheet name="Charts Visualization" sheetId="15" r:id="rId8"/>
    <sheet name="Fixed Asset Roll Forward" sheetId="10" r:id="rId9"/>
    <sheet name="Financial Liabilities" sheetId="11" r:id="rId10"/>
    <sheet name="Equity Schedule" sheetId="13" r:id="rId11"/>
    <sheet name="Cash FLow" sheetId="14" r:id="rId12"/>
  </sheets>
  <definedNames>
    <definedName name="_xlnm._FilterDatabase" localSheetId="3" hidden="1">Expenses!$A$3:$E$3</definedName>
    <definedName name="_xlchart.v1.0" hidden="1">'Cash FLow'!$B$20</definedName>
    <definedName name="_xlchart.v1.1" hidden="1">'Cash FLow'!$C$20:$G$20</definedName>
    <definedName name="_xlchart.v1.2" hidden="1">'Cash FLow'!$C$6:$G$6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9" l="1"/>
  <c r="E23" i="9"/>
  <c r="C23" i="9"/>
  <c r="I53" i="7"/>
  <c r="J53" i="7"/>
  <c r="K53" i="7"/>
  <c r="L53" i="7"/>
  <c r="M53" i="7"/>
  <c r="C8" i="9" l="1"/>
  <c r="D8" i="9"/>
  <c r="E8" i="9"/>
  <c r="E10" i="13" l="1"/>
  <c r="D16" i="9"/>
  <c r="D9" i="11"/>
  <c r="E6" i="11" s="1"/>
  <c r="E9" i="11"/>
  <c r="C16" i="11" s="1"/>
  <c r="D25" i="11" s="1"/>
  <c r="C9" i="11"/>
  <c r="D6" i="11" s="1"/>
  <c r="D8" i="11" l="1"/>
  <c r="F6" i="11"/>
  <c r="E8" i="11"/>
  <c r="C26" i="11"/>
  <c r="I18" i="7" s="1"/>
  <c r="C8" i="14" s="1"/>
  <c r="K25" i="11"/>
  <c r="H25" i="11"/>
  <c r="G25" i="11"/>
  <c r="L25" i="11"/>
  <c r="I25" i="11"/>
  <c r="F25" i="11"/>
  <c r="C25" i="11"/>
  <c r="J25" i="11"/>
  <c r="E25" i="11"/>
  <c r="E10" i="9" l="1"/>
  <c r="D10" i="9"/>
  <c r="C10" i="9"/>
  <c r="E15" i="9"/>
  <c r="D15" i="9"/>
  <c r="C15" i="9"/>
  <c r="M89" i="7" l="1"/>
  <c r="L89" i="7"/>
  <c r="K89" i="7"/>
  <c r="J89" i="7"/>
  <c r="I89" i="7"/>
  <c r="M82" i="7"/>
  <c r="L82" i="7"/>
  <c r="K82" i="7"/>
  <c r="J82" i="7"/>
  <c r="I82" i="7"/>
  <c r="M75" i="7"/>
  <c r="L75" i="7"/>
  <c r="K75" i="7"/>
  <c r="J75" i="7"/>
  <c r="I75" i="7"/>
  <c r="M68" i="7"/>
  <c r="L68" i="7"/>
  <c r="K68" i="7"/>
  <c r="J68" i="7"/>
  <c r="I68" i="7"/>
  <c r="M61" i="7"/>
  <c r="L61" i="7"/>
  <c r="K61" i="7"/>
  <c r="J61" i="7"/>
  <c r="I61" i="7"/>
  <c r="M46" i="7"/>
  <c r="L46" i="7"/>
  <c r="K46" i="7"/>
  <c r="J46" i="7"/>
  <c r="I46" i="7"/>
  <c r="I39" i="7"/>
  <c r="J39" i="7"/>
  <c r="K39" i="7"/>
  <c r="L39" i="7"/>
  <c r="M39" i="7"/>
  <c r="E13" i="9"/>
  <c r="D13" i="9"/>
  <c r="C13" i="9"/>
  <c r="E9" i="9"/>
  <c r="E8" i="10" s="1"/>
  <c r="D9" i="9"/>
  <c r="E7" i="9"/>
  <c r="D7" i="9"/>
  <c r="D6" i="9"/>
  <c r="D24" i="9" s="1"/>
  <c r="E6" i="9"/>
  <c r="E24" i="9" s="1"/>
  <c r="C7" i="9"/>
  <c r="C9" i="9"/>
  <c r="D5" i="10" s="1"/>
  <c r="C6" i="9"/>
  <c r="C24" i="9" s="1"/>
  <c r="E20" i="7"/>
  <c r="D20" i="7"/>
  <c r="E18" i="7"/>
  <c r="D18" i="7"/>
  <c r="E16" i="7"/>
  <c r="E6" i="10" s="1"/>
  <c r="D16" i="7"/>
  <c r="D6" i="10" s="1"/>
  <c r="C20" i="7"/>
  <c r="C18" i="7"/>
  <c r="C16" i="7"/>
  <c r="E13" i="7"/>
  <c r="D13" i="7"/>
  <c r="E12" i="7"/>
  <c r="D12" i="7"/>
  <c r="E11" i="7"/>
  <c r="D11" i="7"/>
  <c r="E10" i="7"/>
  <c r="D10" i="7"/>
  <c r="E9" i="7"/>
  <c r="D9" i="7"/>
  <c r="C10" i="7"/>
  <c r="C11" i="7"/>
  <c r="C12" i="7"/>
  <c r="C13" i="7"/>
  <c r="C9" i="7"/>
  <c r="C7" i="7"/>
  <c r="C26" i="9" s="1"/>
  <c r="E7" i="7"/>
  <c r="E26" i="9" s="1"/>
  <c r="D7" i="7"/>
  <c r="D26" i="9" s="1"/>
  <c r="E6" i="7"/>
  <c r="D6" i="7"/>
  <c r="C6" i="7"/>
  <c r="C16" i="4"/>
  <c r="D16" i="4"/>
  <c r="B16" i="4"/>
  <c r="C17" i="3"/>
  <c r="D17" i="3"/>
  <c r="B17" i="3"/>
  <c r="C49" i="7" l="1"/>
  <c r="C21" i="9"/>
  <c r="C20" i="9"/>
  <c r="D21" i="9"/>
  <c r="D20" i="9"/>
  <c r="C47" i="7"/>
  <c r="D47" i="7"/>
  <c r="E47" i="7"/>
  <c r="E21" i="9"/>
  <c r="E20" i="9"/>
  <c r="I20" i="9" s="1"/>
  <c r="F26" i="9"/>
  <c r="G26" i="9"/>
  <c r="J26" i="9"/>
  <c r="H26" i="9"/>
  <c r="I26" i="9"/>
  <c r="I6" i="7"/>
  <c r="D10" i="10"/>
  <c r="C25" i="9"/>
  <c r="E25" i="9"/>
  <c r="E27" i="9"/>
  <c r="E17" i="9"/>
  <c r="C27" i="9"/>
  <c r="C17" i="9"/>
  <c r="D27" i="9"/>
  <c r="D17" i="9"/>
  <c r="F6" i="13"/>
  <c r="C11" i="9"/>
  <c r="C30" i="9" s="1"/>
  <c r="E11" i="9"/>
  <c r="E30" i="9" s="1"/>
  <c r="D11" i="9"/>
  <c r="D30" i="9" s="1"/>
  <c r="E5" i="10"/>
  <c r="E10" i="10" s="1"/>
  <c r="D8" i="10"/>
  <c r="D7" i="10" s="1"/>
  <c r="D11" i="10" s="1"/>
  <c r="F5" i="10"/>
  <c r="I11" i="7"/>
  <c r="J11" i="7" s="1"/>
  <c r="K11" i="7" s="1"/>
  <c r="L11" i="7" s="1"/>
  <c r="M11" i="7" s="1"/>
  <c r="I12" i="7"/>
  <c r="J12" i="7" s="1"/>
  <c r="K12" i="7" s="1"/>
  <c r="L12" i="7" s="1"/>
  <c r="M12" i="7" s="1"/>
  <c r="I9" i="7"/>
  <c r="I13" i="7"/>
  <c r="J13" i="7" s="1"/>
  <c r="K13" i="7" s="1"/>
  <c r="L13" i="7" s="1"/>
  <c r="M13" i="7" s="1"/>
  <c r="I10" i="7"/>
  <c r="J10" i="7" s="1"/>
  <c r="K10" i="7" s="1"/>
  <c r="L10" i="7" s="1"/>
  <c r="M10" i="7" s="1"/>
  <c r="D25" i="9"/>
  <c r="D49" i="7"/>
  <c r="E49" i="7"/>
  <c r="G6" i="7"/>
  <c r="H6" i="7"/>
  <c r="C48" i="7"/>
  <c r="E48" i="7"/>
  <c r="H13" i="7"/>
  <c r="D48" i="7"/>
  <c r="G10" i="7"/>
  <c r="H7" i="7"/>
  <c r="G18" i="7"/>
  <c r="G16" i="7"/>
  <c r="H16" i="7"/>
  <c r="H18" i="7"/>
  <c r="G9" i="7"/>
  <c r="G20" i="7"/>
  <c r="H20" i="7"/>
  <c r="G12" i="7"/>
  <c r="G7" i="7"/>
  <c r="G11" i="7"/>
  <c r="H12" i="7"/>
  <c r="G13" i="7"/>
  <c r="H9" i="7"/>
  <c r="H10" i="7"/>
  <c r="H11" i="7"/>
  <c r="E14" i="7"/>
  <c r="D14" i="7"/>
  <c r="C14" i="7"/>
  <c r="D8" i="7"/>
  <c r="E8" i="7"/>
  <c r="C8" i="7"/>
  <c r="E28" i="9" l="1"/>
  <c r="D28" i="9"/>
  <c r="C28" i="9"/>
  <c r="I14" i="7"/>
  <c r="J20" i="9"/>
  <c r="J6" i="7"/>
  <c r="K6" i="7" s="1"/>
  <c r="C56" i="7"/>
  <c r="C55" i="7"/>
  <c r="C54" i="7"/>
  <c r="D54" i="7"/>
  <c r="D55" i="7"/>
  <c r="D56" i="7"/>
  <c r="E55" i="7"/>
  <c r="E56" i="7"/>
  <c r="E54" i="7"/>
  <c r="H20" i="9"/>
  <c r="G20" i="9"/>
  <c r="G10" i="9" s="1"/>
  <c r="I7" i="7"/>
  <c r="F8" i="9" s="1"/>
  <c r="C11" i="14" s="1"/>
  <c r="H8" i="7"/>
  <c r="G27" i="9"/>
  <c r="F20" i="9"/>
  <c r="F10" i="9" s="1"/>
  <c r="C13" i="14" s="1"/>
  <c r="H10" i="10"/>
  <c r="J25" i="9"/>
  <c r="H21" i="9"/>
  <c r="J21" i="9"/>
  <c r="I21" i="9"/>
  <c r="G21" i="9"/>
  <c r="F21" i="9"/>
  <c r="F15" i="9" s="1"/>
  <c r="C14" i="14" s="1"/>
  <c r="J9" i="7"/>
  <c r="K9" i="7" s="1"/>
  <c r="L9" i="7" s="1"/>
  <c r="M9" i="7" s="1"/>
  <c r="D35" i="9"/>
  <c r="F27" i="9"/>
  <c r="J27" i="9"/>
  <c r="C35" i="9"/>
  <c r="I27" i="9"/>
  <c r="H27" i="9"/>
  <c r="E35" i="9"/>
  <c r="E7" i="10"/>
  <c r="E11" i="10" s="1"/>
  <c r="H11" i="10" s="1"/>
  <c r="G10" i="10"/>
  <c r="F10" i="10"/>
  <c r="F6" i="10" s="1"/>
  <c r="I16" i="7" s="1"/>
  <c r="I10" i="10"/>
  <c r="J10" i="10"/>
  <c r="T11" i="7"/>
  <c r="T9" i="7"/>
  <c r="T10" i="7"/>
  <c r="F25" i="9"/>
  <c r="G25" i="9"/>
  <c r="H25" i="9"/>
  <c r="I25" i="9"/>
  <c r="T13" i="7"/>
  <c r="T12" i="7"/>
  <c r="D15" i="7"/>
  <c r="G14" i="7"/>
  <c r="G8" i="7"/>
  <c r="E15" i="7"/>
  <c r="H14" i="7"/>
  <c r="C15" i="7"/>
  <c r="C17" i="7" s="1"/>
  <c r="C19" i="7" l="1"/>
  <c r="C21" i="7" s="1"/>
  <c r="C31" i="9"/>
  <c r="H28" i="9"/>
  <c r="F7" i="9"/>
  <c r="C10" i="14" s="1"/>
  <c r="F28" i="9"/>
  <c r="I28" i="9"/>
  <c r="G7" i="9"/>
  <c r="G28" i="9"/>
  <c r="J28" i="9"/>
  <c r="J27" i="7"/>
  <c r="I27" i="7"/>
  <c r="I30" i="7"/>
  <c r="K14" i="7"/>
  <c r="J14" i="7"/>
  <c r="G15" i="9"/>
  <c r="D14" i="14" s="1"/>
  <c r="J7" i="7"/>
  <c r="G8" i="9" s="1"/>
  <c r="D11" i="14" s="1"/>
  <c r="I8" i="7"/>
  <c r="I15" i="7" s="1"/>
  <c r="C7" i="14" s="1"/>
  <c r="G11" i="10"/>
  <c r="J11" i="10"/>
  <c r="F13" i="9"/>
  <c r="I11" i="10"/>
  <c r="D13" i="14"/>
  <c r="F11" i="10"/>
  <c r="F7" i="10" s="1"/>
  <c r="C15" i="14" s="1"/>
  <c r="H10" i="9"/>
  <c r="E13" i="14" s="1"/>
  <c r="H15" i="9"/>
  <c r="L6" i="7"/>
  <c r="H7" i="9"/>
  <c r="K7" i="7"/>
  <c r="H8" i="9" s="1"/>
  <c r="E17" i="7"/>
  <c r="E31" i="9" s="1"/>
  <c r="H15" i="7"/>
  <c r="D17" i="7"/>
  <c r="D31" i="9" s="1"/>
  <c r="G15" i="7"/>
  <c r="E10" i="14" l="1"/>
  <c r="D10" i="14"/>
  <c r="C12" i="14"/>
  <c r="J8" i="7"/>
  <c r="J15" i="7" s="1"/>
  <c r="D7" i="14" s="1"/>
  <c r="K27" i="7"/>
  <c r="J30" i="7"/>
  <c r="K30" i="7"/>
  <c r="L14" i="7"/>
  <c r="E14" i="14"/>
  <c r="F8" i="10"/>
  <c r="F9" i="9" s="1"/>
  <c r="G13" i="9"/>
  <c r="I17" i="7"/>
  <c r="F31" i="9" s="1"/>
  <c r="H13" i="9"/>
  <c r="E11" i="14"/>
  <c r="I10" i="9"/>
  <c r="F13" i="14" s="1"/>
  <c r="I15" i="9"/>
  <c r="F14" i="14" s="1"/>
  <c r="K8" i="7"/>
  <c r="K15" i="7" s="1"/>
  <c r="E7" i="14" s="1"/>
  <c r="M6" i="7"/>
  <c r="I7" i="9"/>
  <c r="F10" i="14" s="1"/>
  <c r="L7" i="7"/>
  <c r="I8" i="9" s="1"/>
  <c r="D19" i="7"/>
  <c r="G17" i="7"/>
  <c r="E19" i="7"/>
  <c r="H17" i="7"/>
  <c r="D12" i="14" l="1"/>
  <c r="L27" i="7"/>
  <c r="M27" i="7"/>
  <c r="G5" i="10"/>
  <c r="G6" i="10" s="1"/>
  <c r="J16" i="7" s="1"/>
  <c r="J17" i="7" s="1"/>
  <c r="I19" i="7"/>
  <c r="I31" i="7"/>
  <c r="L30" i="7"/>
  <c r="M14" i="7"/>
  <c r="E12" i="14"/>
  <c r="I13" i="9"/>
  <c r="F11" i="14"/>
  <c r="J15" i="9"/>
  <c r="G14" i="14" s="1"/>
  <c r="J10" i="9"/>
  <c r="G13" i="14" s="1"/>
  <c r="J7" i="9"/>
  <c r="G10" i="14" s="1"/>
  <c r="L8" i="7"/>
  <c r="L15" i="7" s="1"/>
  <c r="F7" i="14" s="1"/>
  <c r="M7" i="7"/>
  <c r="J8" i="9" s="1"/>
  <c r="E21" i="7"/>
  <c r="H19" i="7"/>
  <c r="D21" i="7"/>
  <c r="G21" i="7" s="1"/>
  <c r="G19" i="7"/>
  <c r="I20" i="7" l="1"/>
  <c r="C9" i="14" s="1"/>
  <c r="C16" i="14" s="1"/>
  <c r="J31" i="7"/>
  <c r="G7" i="10"/>
  <c r="D15" i="14" s="1"/>
  <c r="M30" i="7"/>
  <c r="F12" i="14"/>
  <c r="J13" i="9"/>
  <c r="G11" i="14"/>
  <c r="G8" i="10"/>
  <c r="H5" i="10" s="1"/>
  <c r="M8" i="7"/>
  <c r="M15" i="7" s="1"/>
  <c r="G7" i="14" s="1"/>
  <c r="H21" i="7"/>
  <c r="I21" i="7" l="1"/>
  <c r="I34" i="7" s="1"/>
  <c r="G12" i="14"/>
  <c r="G9" i="9"/>
  <c r="H7" i="10"/>
  <c r="E15" i="14" s="1"/>
  <c r="H6" i="10"/>
  <c r="F8" i="13" l="1"/>
  <c r="F9" i="13" s="1"/>
  <c r="C17" i="14" s="1"/>
  <c r="I32" i="7"/>
  <c r="H8" i="10"/>
  <c r="K16" i="7"/>
  <c r="K17" i="7" s="1"/>
  <c r="F10" i="13" l="1"/>
  <c r="F16" i="9" s="1"/>
  <c r="K31" i="7"/>
  <c r="I5" i="10"/>
  <c r="H9" i="9"/>
  <c r="G6" i="13" l="1"/>
  <c r="C19" i="14"/>
  <c r="I7" i="10"/>
  <c r="F15" i="14" s="1"/>
  <c r="I6" i="10"/>
  <c r="I8" i="10" l="1"/>
  <c r="L16" i="7"/>
  <c r="L17" i="7" s="1"/>
  <c r="L31" i="7" l="1"/>
  <c r="J5" i="10"/>
  <c r="I9" i="9"/>
  <c r="J7" i="10" l="1"/>
  <c r="G15" i="14" s="1"/>
  <c r="J6" i="10"/>
  <c r="M16" i="7" s="1"/>
  <c r="M17" i="7" s="1"/>
  <c r="M31" i="7" l="1"/>
  <c r="J8" i="10"/>
  <c r="J9" i="9" s="1"/>
  <c r="C27" i="11"/>
  <c r="F8" i="11" s="1"/>
  <c r="C28" i="11" l="1"/>
  <c r="F9" i="11"/>
  <c r="C18" i="14" s="1"/>
  <c r="F14" i="9" l="1"/>
  <c r="F17" i="9" s="1"/>
  <c r="C20" i="14"/>
  <c r="F6" i="9" s="1"/>
  <c r="D26" i="11"/>
  <c r="G6" i="11"/>
  <c r="F24" i="9" l="1"/>
  <c r="F23" i="9"/>
  <c r="F11" i="9"/>
  <c r="D27" i="11"/>
  <c r="G8" i="11" s="1"/>
  <c r="G9" i="11" s="1"/>
  <c r="J18" i="7"/>
  <c r="G31" i="9" s="1"/>
  <c r="F35" i="9" l="1"/>
  <c r="F30" i="9"/>
  <c r="I33" i="7"/>
  <c r="H6" i="11"/>
  <c r="D18" i="14"/>
  <c r="D28" i="11"/>
  <c r="E26" i="11" s="1"/>
  <c r="E27" i="11" s="1"/>
  <c r="K18" i="7"/>
  <c r="H31" i="9" s="1"/>
  <c r="G14" i="9"/>
  <c r="D8" i="14"/>
  <c r="J19" i="7"/>
  <c r="J20" i="7" l="1"/>
  <c r="D9" i="14" s="1"/>
  <c r="D16" i="14" s="1"/>
  <c r="H8" i="11"/>
  <c r="H9" i="11" s="1"/>
  <c r="E18" i="14" s="1"/>
  <c r="E28" i="11"/>
  <c r="F26" i="11" s="1"/>
  <c r="H14" i="9"/>
  <c r="I6" i="11"/>
  <c r="F27" i="11"/>
  <c r="I8" i="11" s="1"/>
  <c r="L18" i="7"/>
  <c r="I31" i="9" s="1"/>
  <c r="E8" i="14"/>
  <c r="K19" i="7"/>
  <c r="K20" i="7" s="1"/>
  <c r="J21" i="7" l="1"/>
  <c r="J34" i="7" s="1"/>
  <c r="F28" i="11"/>
  <c r="E9" i="14"/>
  <c r="E16" i="14" s="1"/>
  <c r="F8" i="14"/>
  <c r="L19" i="7"/>
  <c r="L20" i="7" s="1"/>
  <c r="I9" i="11"/>
  <c r="F18" i="14" s="1"/>
  <c r="J32" i="7" l="1"/>
  <c r="G8" i="13"/>
  <c r="G9" i="13" s="1"/>
  <c r="K21" i="7"/>
  <c r="F9" i="14"/>
  <c r="F16" i="14" s="1"/>
  <c r="I14" i="9"/>
  <c r="J6" i="11"/>
  <c r="G26" i="11"/>
  <c r="H8" i="13" l="1"/>
  <c r="H9" i="13" s="1"/>
  <c r="E17" i="14" s="1"/>
  <c r="K32" i="7"/>
  <c r="D17" i="14"/>
  <c r="L21" i="7"/>
  <c r="G10" i="13"/>
  <c r="G27" i="11"/>
  <c r="M18" i="7"/>
  <c r="J31" i="9" s="1"/>
  <c r="I8" i="13" l="1"/>
  <c r="I9" i="13" s="1"/>
  <c r="F17" i="14" s="1"/>
  <c r="L32" i="7"/>
  <c r="D19" i="14"/>
  <c r="D20" i="14" s="1"/>
  <c r="G6" i="9" s="1"/>
  <c r="G16" i="9"/>
  <c r="J8" i="11"/>
  <c r="J9" i="11" s="1"/>
  <c r="G18" i="14" s="1"/>
  <c r="G28" i="11"/>
  <c r="H6" i="13"/>
  <c r="G8" i="14"/>
  <c r="M19" i="7"/>
  <c r="M20" i="7" s="1"/>
  <c r="G24" i="9" l="1"/>
  <c r="G23" i="9"/>
  <c r="G11" i="9"/>
  <c r="G17" i="9"/>
  <c r="K34" i="7"/>
  <c r="G9" i="14"/>
  <c r="G16" i="14" s="1"/>
  <c r="H10" i="13"/>
  <c r="H26" i="11"/>
  <c r="H27" i="11" s="1"/>
  <c r="H28" i="11" s="1"/>
  <c r="J14" i="9"/>
  <c r="G30" i="9" l="1"/>
  <c r="J33" i="7"/>
  <c r="E19" i="14"/>
  <c r="E20" i="14" s="1"/>
  <c r="H6" i="9" s="1"/>
  <c r="H16" i="9"/>
  <c r="G35" i="9"/>
  <c r="M21" i="7"/>
  <c r="I26" i="11"/>
  <c r="I27" i="11" s="1"/>
  <c r="I28" i="11" s="1"/>
  <c r="I6" i="13"/>
  <c r="H24" i="9" l="1"/>
  <c r="H23" i="9"/>
  <c r="H11" i="9"/>
  <c r="H17" i="9"/>
  <c r="L34" i="7"/>
  <c r="M32" i="7"/>
  <c r="J8" i="13"/>
  <c r="J26" i="11"/>
  <c r="J27" i="11" s="1"/>
  <c r="J28" i="11" s="1"/>
  <c r="I10" i="13"/>
  <c r="H30" i="9" l="1"/>
  <c r="K33" i="7"/>
  <c r="J9" i="13"/>
  <c r="G17" i="14" s="1"/>
  <c r="F19" i="14"/>
  <c r="F20" i="14" s="1"/>
  <c r="I16" i="9"/>
  <c r="H35" i="9"/>
  <c r="K26" i="11"/>
  <c r="K27" i="11" s="1"/>
  <c r="K28" i="11" s="1"/>
  <c r="L26" i="11" s="1"/>
  <c r="L27" i="11" s="1"/>
  <c r="L28" i="11" s="1"/>
  <c r="J6" i="13"/>
  <c r="I17" i="9" l="1"/>
  <c r="M34" i="7"/>
  <c r="J10" i="13"/>
  <c r="J16" i="9" s="1"/>
  <c r="J17" i="9" s="1"/>
  <c r="I6" i="9"/>
  <c r="I24" i="9" l="1"/>
  <c r="I23" i="9"/>
  <c r="I11" i="9"/>
  <c r="I35" i="9" s="1"/>
  <c r="G19" i="14"/>
  <c r="G20" i="14" s="1"/>
  <c r="J6" i="9" s="1"/>
  <c r="J24" i="9" l="1"/>
  <c r="J23" i="9"/>
  <c r="I30" i="9"/>
  <c r="L33" i="7"/>
  <c r="J11" i="9"/>
  <c r="J30" i="9" l="1"/>
  <c r="M33" i="7"/>
  <c r="J35" i="9"/>
</calcChain>
</file>

<file path=xl/sharedStrings.xml><?xml version="1.0" encoding="utf-8"?>
<sst xmlns="http://schemas.openxmlformats.org/spreadsheetml/2006/main" count="237" uniqueCount="136">
  <si>
    <t>Month</t>
  </si>
  <si>
    <t>Feb</t>
  </si>
  <si>
    <t>Assets</t>
  </si>
  <si>
    <t>Liabilities</t>
  </si>
  <si>
    <t>Shareholders’ Equity</t>
  </si>
  <si>
    <t>2023 Sales</t>
  </si>
  <si>
    <t>2022 Sales</t>
  </si>
  <si>
    <t>2021 Sales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</si>
  <si>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</si>
  <si>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</si>
  <si>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</si>
  <si>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</si>
  <si>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</si>
  <si>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</si>
  <si>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</si>
  <si>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</si>
  <si>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</si>
  <si>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</si>
  <si>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</si>
  <si>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COGS Data (Monthly)</t>
  </si>
  <si>
    <t>2023 COGS</t>
  </si>
  <si>
    <t>2022 COGS</t>
  </si>
  <si>
    <t>2021 COGS</t>
  </si>
  <si>
    <t>Salaries &amp; Wages</t>
  </si>
  <si>
    <t>Rent &amp; Utilities</t>
  </si>
  <si>
    <t>Marketing &amp; Advertising</t>
  </si>
  <si>
    <t>IT &amp; Infrastructure</t>
  </si>
  <si>
    <t>Legal &amp; Professional Fees</t>
  </si>
  <si>
    <t>Category</t>
  </si>
  <si>
    <t>Cash &amp; Equivalents</t>
  </si>
  <si>
    <t>Accounts Receivable</t>
  </si>
  <si>
    <t>Property &amp; Equipment (PPE)</t>
  </si>
  <si>
    <t>Total Assets</t>
  </si>
  <si>
    <t>Accounts Payable</t>
  </si>
  <si>
    <t>Total Liabilities</t>
  </si>
  <si>
    <t>Total Shareholders’ Equity</t>
  </si>
  <si>
    <t>P&amp;L</t>
  </si>
  <si>
    <t>$ in Million</t>
  </si>
  <si>
    <t>Revenue Data (Monthly)</t>
  </si>
  <si>
    <t>Revenue</t>
  </si>
  <si>
    <t>Cost of goods sold</t>
  </si>
  <si>
    <t>Gross Profit</t>
  </si>
  <si>
    <t>EBITDA</t>
  </si>
  <si>
    <t>D&amp;A</t>
  </si>
  <si>
    <t>EBIT</t>
  </si>
  <si>
    <t>Interest Expenses</t>
  </si>
  <si>
    <t>Taxes</t>
  </si>
  <si>
    <t>EBT</t>
  </si>
  <si>
    <t>Net Income</t>
  </si>
  <si>
    <t>Operating Expenses</t>
  </si>
  <si>
    <t>Total</t>
  </si>
  <si>
    <t>Year</t>
  </si>
  <si>
    <t>Type of Expenses</t>
  </si>
  <si>
    <t xml:space="preserve">Amount </t>
  </si>
  <si>
    <t>Variation % 2021-2022</t>
  </si>
  <si>
    <t>Variation % 2022-2023</t>
  </si>
  <si>
    <t>Forecaste</t>
  </si>
  <si>
    <t>Balance Sheet</t>
  </si>
  <si>
    <t>Total Liabilities &amp; Shareholder's Equity</t>
  </si>
  <si>
    <t>Scenarios:</t>
  </si>
  <si>
    <t>Scenario</t>
  </si>
  <si>
    <t>Base Case</t>
  </si>
  <si>
    <t>Revenue % Growth</t>
  </si>
  <si>
    <t>Best Case</t>
  </si>
  <si>
    <t>Worst Case</t>
  </si>
  <si>
    <t>Cogs as % Revenues</t>
  </si>
  <si>
    <t>Opex as % Revenues</t>
  </si>
  <si>
    <t>Selected Case</t>
  </si>
  <si>
    <t>Salaries &amp; Wages as % Growth</t>
  </si>
  <si>
    <t>Rent &amp; Utilities as % Growth</t>
  </si>
  <si>
    <t>Marketing &amp; Advertising as % Growth</t>
  </si>
  <si>
    <t>IT &amp; Infrastructure as % Growth</t>
  </si>
  <si>
    <t>Legal &amp; Professional Fees as % Growth</t>
  </si>
  <si>
    <t>DSO</t>
  </si>
  <si>
    <t>DPO</t>
  </si>
  <si>
    <t>DIO</t>
  </si>
  <si>
    <t>Inventory</t>
  </si>
  <si>
    <t>Other Liabilities</t>
  </si>
  <si>
    <t>Other Liabilities %</t>
  </si>
  <si>
    <t>Fixed Asset Roll Forward</t>
  </si>
  <si>
    <t>Beginning PP&amp;E</t>
  </si>
  <si>
    <t>Capex</t>
  </si>
  <si>
    <t>Ending PP&amp;E</t>
  </si>
  <si>
    <t>Other Assets</t>
  </si>
  <si>
    <t>Other Assets %</t>
  </si>
  <si>
    <t>D&amp;A as a % of Beginning PP&amp;E</t>
  </si>
  <si>
    <t>Capex as a % of Beginning PP&amp;E</t>
  </si>
  <si>
    <t>Financial Liabilities</t>
  </si>
  <si>
    <t>Ending Debt</t>
  </si>
  <si>
    <t>New Debt</t>
  </si>
  <si>
    <t>Principle Repayments</t>
  </si>
  <si>
    <t>Debt to be repaid in Years</t>
  </si>
  <si>
    <t>Interest rate</t>
  </si>
  <si>
    <t>Annual payment</t>
  </si>
  <si>
    <t>Period</t>
  </si>
  <si>
    <t>Payment</t>
  </si>
  <si>
    <t>Debt repayment</t>
  </si>
  <si>
    <t>Residual Debt</t>
  </si>
  <si>
    <t>Beginning Debt</t>
  </si>
  <si>
    <t>Equity Schedule</t>
  </si>
  <si>
    <t>Dividens as a % of Net Income</t>
  </si>
  <si>
    <t>Beginning Equity</t>
  </si>
  <si>
    <t>Ending Equity</t>
  </si>
  <si>
    <t>Net Income (Loss)</t>
  </si>
  <si>
    <t>Dividens</t>
  </si>
  <si>
    <t>Check</t>
  </si>
  <si>
    <t>Cash Flow</t>
  </si>
  <si>
    <t>Change in Inventory</t>
  </si>
  <si>
    <t>Change in other assets</t>
  </si>
  <si>
    <t>Change in other Liabilities</t>
  </si>
  <si>
    <t>Operating Cash flow</t>
  </si>
  <si>
    <t>Change in Financial Liabilities</t>
  </si>
  <si>
    <t>Change in Equity</t>
  </si>
  <si>
    <t>Net Cash Flow</t>
  </si>
  <si>
    <t>Change in Account Receivables</t>
  </si>
  <si>
    <t>Change in Account Payables</t>
  </si>
  <si>
    <t>Taxes %</t>
  </si>
  <si>
    <t>Increase of capital</t>
  </si>
  <si>
    <t>KPI's</t>
  </si>
  <si>
    <t>Revenue %  y-o-y</t>
  </si>
  <si>
    <t>Overall GP%</t>
  </si>
  <si>
    <t>EBIT%</t>
  </si>
  <si>
    <t>Net Profit %</t>
  </si>
  <si>
    <t>ROA</t>
  </si>
  <si>
    <t>ROE</t>
  </si>
  <si>
    <t>Growth Matrix:</t>
  </si>
  <si>
    <t>Quick Ratio</t>
  </si>
  <si>
    <t>Current Ratio</t>
  </si>
  <si>
    <t>Net Trading Cycle</t>
  </si>
  <si>
    <t>Liqudity Ratios</t>
  </si>
  <si>
    <t>Solvency Ratios</t>
  </si>
  <si>
    <t>Debt ratio</t>
  </si>
  <si>
    <t>Interest coverage</t>
  </si>
  <si>
    <t>f</t>
  </si>
  <si>
    <t>Profitability Ratio:</t>
  </si>
  <si>
    <t>EdgeFin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</si>
</sst>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#,##0.0"/>
    <numFmt numFmtId="167" formatCode="0.0_);\(0.0\)"/>
    <numFmt numFmtId="168" formatCode="0.0%"/>
    <numFmt numFmtId="169" formatCode="_(* #,##0.0_);_(* \(#,##0.0\);_(* &quot;-&quot;?_);_(@_)"/>
    <numFmt numFmtId="170" formatCode="#,##0.0_);\(#,##0.0\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2"/>
      <color theme="4" tint="-0.249977111117893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4" tint="-0.249977111117893"/>
      <name val="Arial"/>
      <family val="2"/>
    </font>
    <font>
      <sz val="10"/>
      <name val="Arial"/>
      <family val="2"/>
    </font>
    <font>
      <b/>
      <sz val="10"/>
      <color theme="0" tint="-4.9989318521683403E-2"/>
      <name val="Arial"/>
      <family val="2"/>
    </font>
    <font>
      <b/>
      <sz val="10"/>
      <name val="Arial"/>
      <family val="2"/>
    </font>
    <font>
      <b/>
      <sz val="20"/>
      <color rgb="FF00206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darkGrid">
        <bgColor theme="0" tint="-4.9989318521683403E-2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 vertical="center" indent="1"/>
    </xf>
    <xf numFmtId="46" fontId="1" fillId="2" borderId="0" xfId="0" applyNumberFormat="1" applyFont="1" applyFill="1" applyAlignment="1">
      <alignment horizontal="left" vertical="center" indent="1"/>
    </xf>
    <xf numFmtId="0" fontId="0" fillId="2" borderId="0" xfId="0" applyFill="1" applyAlignment="1">
      <alignment horizontal="left" vertical="center" indent="2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left" vertical="center" indent="1"/>
    </xf>
    <xf numFmtId="0" fontId="3" fillId="3" borderId="0" xfId="0" applyFont="1" applyFill="1"/>
    <xf numFmtId="0" fontId="3" fillId="4" borderId="0" xfId="0" applyFont="1" applyFill="1"/>
    <xf numFmtId="0" fontId="5" fillId="4" borderId="0" xfId="0" applyFont="1" applyFill="1"/>
    <xf numFmtId="0" fontId="3" fillId="4" borderId="2" xfId="0" applyFont="1" applyFill="1" applyBorder="1"/>
    <xf numFmtId="0" fontId="4" fillId="5" borderId="0" xfId="0" applyFont="1" applyFill="1"/>
    <xf numFmtId="0" fontId="4" fillId="5" borderId="4" xfId="0" applyFont="1" applyFill="1" applyBorder="1"/>
    <xf numFmtId="164" fontId="0" fillId="0" borderId="1" xfId="1" applyNumberFormat="1" applyFont="1" applyBorder="1" applyAlignment="1">
      <alignment vertical="center" wrapText="1"/>
    </xf>
    <xf numFmtId="165" fontId="0" fillId="2" borderId="0" xfId="0" applyNumberFormat="1" applyFill="1" applyAlignment="1">
      <alignment horizontal="left" vertical="center" indent="2"/>
    </xf>
    <xf numFmtId="166" fontId="0" fillId="0" borderId="1" xfId="0" applyNumberFormat="1" applyBorder="1" applyAlignment="1">
      <alignment vertical="center" wrapText="1"/>
    </xf>
    <xf numFmtId="166" fontId="0" fillId="2" borderId="0" xfId="0" applyNumberFormat="1" applyFill="1" applyAlignment="1">
      <alignment horizontal="left" vertical="center" indent="2"/>
    </xf>
    <xf numFmtId="167" fontId="3" fillId="4" borderId="2" xfId="0" applyNumberFormat="1" applyFont="1" applyFill="1" applyBorder="1"/>
    <xf numFmtId="0" fontId="1" fillId="2" borderId="0" xfId="0" applyFont="1" applyFill="1" applyAlignment="1">
      <alignment vertical="center" wrapText="1"/>
    </xf>
    <xf numFmtId="0" fontId="0" fillId="2" borderId="5" xfId="0" applyFill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164" fontId="3" fillId="4" borderId="0" xfId="1" applyNumberFormat="1" applyFont="1" applyFill="1"/>
    <xf numFmtId="164" fontId="3" fillId="4" borderId="2" xfId="1" applyNumberFormat="1" applyFont="1" applyFill="1" applyBorder="1"/>
    <xf numFmtId="164" fontId="4" fillId="5" borderId="0" xfId="1" applyNumberFormat="1" applyFont="1" applyFill="1"/>
    <xf numFmtId="164" fontId="4" fillId="5" borderId="4" xfId="1" applyNumberFormat="1" applyFont="1" applyFill="1" applyBorder="1"/>
    <xf numFmtId="1" fontId="1" fillId="2" borderId="0" xfId="0" applyNumberFormat="1" applyFont="1" applyFill="1"/>
    <xf numFmtId="49" fontId="0" fillId="2" borderId="0" xfId="0" applyNumberFormat="1" applyFill="1"/>
    <xf numFmtId="164" fontId="0" fillId="2" borderId="0" xfId="1" applyNumberFormat="1" applyFont="1" applyFill="1"/>
    <xf numFmtId="165" fontId="0" fillId="2" borderId="0" xfId="0" applyNumberFormat="1" applyFill="1"/>
    <xf numFmtId="0" fontId="1" fillId="2" borderId="5" xfId="1" applyNumberFormat="1" applyFont="1" applyFill="1" applyBorder="1" applyAlignment="1">
      <alignment horizontal="center" vertical="center" wrapText="1"/>
    </xf>
    <xf numFmtId="1" fontId="0" fillId="2" borderId="5" xfId="0" applyNumberFormat="1" applyFill="1" applyBorder="1" applyAlignment="1">
      <alignment vertical="center" wrapText="1"/>
    </xf>
    <xf numFmtId="49" fontId="0" fillId="2" borderId="5" xfId="0" applyNumberFormat="1" applyFill="1" applyBorder="1" applyAlignment="1">
      <alignment vertical="center" wrapText="1"/>
    </xf>
    <xf numFmtId="164" fontId="0" fillId="2" borderId="5" xfId="1" applyNumberFormat="1" applyFont="1" applyFill="1" applyBorder="1" applyAlignment="1">
      <alignment vertical="center" wrapText="1"/>
    </xf>
    <xf numFmtId="165" fontId="1" fillId="2" borderId="0" xfId="0" applyNumberFormat="1" applyFont="1" applyFill="1" applyAlignment="1">
      <alignment horizontal="center" vertical="center" wrapText="1"/>
    </xf>
    <xf numFmtId="165" fontId="0" fillId="2" borderId="0" xfId="0" applyNumberFormat="1" applyFill="1" applyAlignment="1">
      <alignment vertical="center" wrapText="1"/>
    </xf>
    <xf numFmtId="165" fontId="0" fillId="2" borderId="0" xfId="0" applyNumberFormat="1" applyFill="1" applyAlignment="1">
      <alignment horizontal="right" vertical="center" indent="2"/>
    </xf>
    <xf numFmtId="165" fontId="0" fillId="2" borderId="0" xfId="0" applyNumberFormat="1" applyFill="1" applyAlignment="1">
      <alignment horizontal="left" vertical="center" indent="1"/>
    </xf>
    <xf numFmtId="1" fontId="0" fillId="2" borderId="0" xfId="0" applyNumberFormat="1" applyFill="1"/>
    <xf numFmtId="164" fontId="0" fillId="2" borderId="0" xfId="1" applyNumberFormat="1" applyFont="1" applyFill="1" applyBorder="1"/>
    <xf numFmtId="1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164" fontId="0" fillId="2" borderId="0" xfId="1" applyNumberFormat="1" applyFont="1" applyFill="1" applyBorder="1" applyAlignment="1">
      <alignment vertical="center" wrapText="1"/>
    </xf>
    <xf numFmtId="1" fontId="1" fillId="2" borderId="0" xfId="0" applyNumberFormat="1" applyFont="1" applyFill="1" applyAlignment="1">
      <alignment vertical="center" wrapText="1"/>
    </xf>
    <xf numFmtId="0" fontId="0" fillId="0" borderId="5" xfId="0" applyBorder="1"/>
    <xf numFmtId="49" fontId="0" fillId="2" borderId="5" xfId="0" applyNumberFormat="1" applyFill="1" applyBorder="1"/>
    <xf numFmtId="164" fontId="0" fillId="2" borderId="5" xfId="1" applyNumberFormat="1" applyFont="1" applyFill="1" applyBorder="1"/>
    <xf numFmtId="0" fontId="3" fillId="4" borderId="0" xfId="0" applyFont="1" applyFill="1" applyAlignment="1">
      <alignment horizontal="center"/>
    </xf>
    <xf numFmtId="165" fontId="0" fillId="2" borderId="5" xfId="0" applyNumberFormat="1" applyFill="1" applyBorder="1" applyAlignment="1">
      <alignment vertical="center" wrapText="1"/>
    </xf>
    <xf numFmtId="165" fontId="0" fillId="2" borderId="5" xfId="0" applyNumberFormat="1" applyFill="1" applyBorder="1"/>
    <xf numFmtId="0" fontId="3" fillId="7" borderId="0" xfId="0" applyFont="1" applyFill="1"/>
    <xf numFmtId="0" fontId="6" fillId="3" borderId="0" xfId="0" applyFont="1" applyFill="1"/>
    <xf numFmtId="9" fontId="3" fillId="3" borderId="0" xfId="2" applyFont="1" applyFill="1"/>
    <xf numFmtId="168" fontId="3" fillId="4" borderId="0" xfId="1" applyNumberFormat="1" applyFont="1" applyFill="1" applyAlignment="1">
      <alignment horizontal="center"/>
    </xf>
    <xf numFmtId="168" fontId="3" fillId="4" borderId="6" xfId="1" applyNumberFormat="1" applyFont="1" applyFill="1" applyBorder="1" applyAlignment="1">
      <alignment horizontal="center"/>
    </xf>
    <xf numFmtId="168" fontId="3" fillId="4" borderId="4" xfId="1" applyNumberFormat="1" applyFont="1" applyFill="1" applyBorder="1" applyAlignment="1">
      <alignment horizontal="center"/>
    </xf>
    <xf numFmtId="168" fontId="8" fillId="3" borderId="0" xfId="2" applyNumberFormat="1" applyFont="1" applyFill="1"/>
    <xf numFmtId="0" fontId="8" fillId="3" borderId="0" xfId="0" applyFont="1" applyFill="1"/>
    <xf numFmtId="9" fontId="8" fillId="3" borderId="0" xfId="0" applyNumberFormat="1" applyFont="1" applyFill="1"/>
    <xf numFmtId="164" fontId="3" fillId="4" borderId="0" xfId="0" applyNumberFormat="1" applyFont="1" applyFill="1"/>
    <xf numFmtId="168" fontId="3" fillId="8" borderId="0" xfId="2" applyNumberFormat="1" applyFont="1" applyFill="1"/>
    <xf numFmtId="0" fontId="3" fillId="9" borderId="0" xfId="0" applyFont="1" applyFill="1"/>
    <xf numFmtId="0" fontId="3" fillId="6" borderId="5" xfId="0" applyFont="1" applyFill="1" applyBorder="1"/>
    <xf numFmtId="0" fontId="4" fillId="5" borderId="3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vertical="center"/>
    </xf>
    <xf numFmtId="165" fontId="4" fillId="5" borderId="0" xfId="1" applyNumberFormat="1" applyFont="1" applyFill="1"/>
    <xf numFmtId="0" fontId="4" fillId="5" borderId="6" xfId="0" applyFont="1" applyFill="1" applyBorder="1"/>
    <xf numFmtId="164" fontId="4" fillId="5" borderId="6" xfId="1" applyNumberFormat="1" applyFont="1" applyFill="1" applyBorder="1"/>
    <xf numFmtId="165" fontId="4" fillId="5" borderId="6" xfId="1" applyNumberFormat="1" applyFont="1" applyFill="1" applyBorder="1"/>
    <xf numFmtId="165" fontId="4" fillId="5" borderId="4" xfId="1" applyNumberFormat="1" applyFont="1" applyFill="1" applyBorder="1"/>
    <xf numFmtId="0" fontId="9" fillId="3" borderId="0" xfId="0" applyFont="1" applyFill="1"/>
    <xf numFmtId="43" fontId="3" fillId="3" borderId="0" xfId="0" applyNumberFormat="1" applyFont="1" applyFill="1"/>
    <xf numFmtId="167" fontId="3" fillId="3" borderId="0" xfId="1" applyNumberFormat="1" applyFont="1" applyFill="1"/>
    <xf numFmtId="168" fontId="3" fillId="3" borderId="0" xfId="2" applyNumberFormat="1" applyFont="1" applyFill="1"/>
    <xf numFmtId="169" fontId="3" fillId="4" borderId="0" xfId="0" applyNumberFormat="1" applyFont="1" applyFill="1"/>
    <xf numFmtId="168" fontId="3" fillId="3" borderId="0" xfId="0" applyNumberFormat="1" applyFont="1" applyFill="1"/>
    <xf numFmtId="9" fontId="3" fillId="3" borderId="0" xfId="0" applyNumberFormat="1" applyFont="1" applyFill="1"/>
    <xf numFmtId="167" fontId="3" fillId="3" borderId="0" xfId="0" applyNumberFormat="1" applyFont="1" applyFill="1"/>
    <xf numFmtId="165" fontId="3" fillId="4" borderId="0" xfId="1" applyNumberFormat="1" applyFont="1" applyFill="1"/>
    <xf numFmtId="165" fontId="3" fillId="4" borderId="0" xfId="0" applyNumberFormat="1" applyFont="1" applyFill="1"/>
    <xf numFmtId="0" fontId="4" fillId="4" borderId="0" xfId="0" applyFont="1" applyFill="1"/>
    <xf numFmtId="9" fontId="3" fillId="4" borderId="0" xfId="0" applyNumberFormat="1" applyFont="1" applyFill="1"/>
    <xf numFmtId="167" fontId="3" fillId="4" borderId="0" xfId="0" applyNumberFormat="1" applyFont="1" applyFill="1"/>
    <xf numFmtId="167" fontId="3" fillId="4" borderId="0" xfId="2" applyNumberFormat="1" applyFont="1" applyFill="1"/>
    <xf numFmtId="0" fontId="4" fillId="5" borderId="2" xfId="0" applyFont="1" applyFill="1" applyBorder="1"/>
    <xf numFmtId="167" fontId="3" fillId="4" borderId="0" xfId="2" applyNumberFormat="1" applyFont="1" applyFill="1" applyBorder="1"/>
    <xf numFmtId="0" fontId="9" fillId="10" borderId="0" xfId="0" applyFont="1" applyFill="1"/>
    <xf numFmtId="165" fontId="9" fillId="10" borderId="0" xfId="0" applyNumberFormat="1" applyFont="1" applyFill="1"/>
    <xf numFmtId="170" fontId="3" fillId="4" borderId="0" xfId="1" applyNumberFormat="1" applyFont="1" applyFill="1"/>
    <xf numFmtId="0" fontId="10" fillId="5" borderId="4" xfId="0" applyFont="1" applyFill="1" applyBorder="1"/>
    <xf numFmtId="164" fontId="10" fillId="5" borderId="4" xfId="0" applyNumberFormat="1" applyFont="1" applyFill="1" applyBorder="1"/>
    <xf numFmtId="0" fontId="10" fillId="5" borderId="0" xfId="0" applyFont="1" applyFill="1"/>
    <xf numFmtId="164" fontId="10" fillId="5" borderId="0" xfId="0" applyNumberFormat="1" applyFont="1" applyFill="1"/>
    <xf numFmtId="0" fontId="11" fillId="3" borderId="0" xfId="0" applyFont="1" applyFill="1"/>
    <xf numFmtId="0" fontId="4" fillId="9" borderId="0" xfId="0" applyFont="1" applyFill="1"/>
    <xf numFmtId="0" fontId="6" fillId="4" borderId="0" xfId="0" applyFont="1" applyFill="1"/>
    <xf numFmtId="168" fontId="3" fillId="4" borderId="0" xfId="1" applyNumberFormat="1" applyFont="1" applyFill="1" applyBorder="1" applyAlignment="1">
      <alignment horizontal="center"/>
    </xf>
    <xf numFmtId="168" fontId="3" fillId="4" borderId="0" xfId="2" applyNumberFormat="1" applyFont="1" applyFill="1"/>
    <xf numFmtId="2" fontId="3" fillId="3" borderId="0" xfId="2" applyNumberFormat="1" applyFont="1" applyFill="1"/>
    <xf numFmtId="168" fontId="8" fillId="3" borderId="0" xfId="0" applyNumberFormat="1" applyFont="1" applyFill="1"/>
    <xf numFmtId="2" fontId="8" fillId="3" borderId="0" xfId="2" applyNumberFormat="1" applyFont="1" applyFill="1"/>
    <xf numFmtId="9" fontId="3" fillId="4" borderId="0" xfId="2" applyFont="1" applyFill="1"/>
    <xf numFmtId="2" fontId="3" fillId="4" borderId="0" xfId="2" applyNumberFormat="1" applyFont="1" applyFill="1"/>
    <xf numFmtId="2" fontId="3" fillId="4" borderId="0" xfId="0" applyNumberFormat="1" applyFont="1" applyFill="1"/>
    <xf numFmtId="164" fontId="4" fillId="4" borderId="0" xfId="1" applyNumberFormat="1" applyFont="1" applyFill="1" applyBorder="1"/>
    <xf numFmtId="165" fontId="4" fillId="4" borderId="0" xfId="1" applyNumberFormat="1" applyFont="1" applyFill="1" applyBorder="1"/>
    <xf numFmtId="0" fontId="4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/>
    </xf>
    <xf numFmtId="0" fontId="3" fillId="2" borderId="0" xfId="0" applyFont="1" applyFill="1"/>
    <xf numFmtId="0" fontId="12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2C80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 b="1">
                <a:solidFill>
                  <a:schemeClr val="bg1"/>
                </a:solidFill>
              </a:rPr>
              <a:t>$ Revenue &amp; Cogs Trends 2024-2028</a:t>
            </a:r>
          </a:p>
        </c:rich>
      </c:tx>
      <c:layout>
        <c:manualLayout>
          <c:xMode val="edge"/>
          <c:yMode val="edge"/>
          <c:x val="3.2624890638670183E-2"/>
          <c:y val="2.7777777777777776E-2"/>
        </c:manualLayout>
      </c:layout>
      <c:overlay val="0"/>
      <c:spPr>
        <a:solidFill>
          <a:schemeClr val="accent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Revenue</c:v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5"/>
              <c:pt idx="0">
                <c:v>2024</c:v>
              </c:pt>
              <c:pt idx="1">
                <c:v>2025</c:v>
              </c:pt>
              <c:pt idx="2">
                <c:v>2026</c:v>
              </c:pt>
              <c:pt idx="3">
                <c:v>2027</c:v>
              </c:pt>
              <c:pt idx="4">
                <c:v>2028</c:v>
              </c:pt>
            </c:numLit>
          </c:cat>
          <c:val>
            <c:numRef>
              <c:f>'P&amp;L'!$I$6:$M$6</c:f>
              <c:numCache>
                <c:formatCode>_(* #,##0.0_);_(* \(#,##0.0\);_(* "-"??_);_(@_)</c:formatCode>
                <c:ptCount val="5"/>
                <c:pt idx="0">
                  <c:v>47092.5</c:v>
                </c:pt>
                <c:pt idx="1">
                  <c:v>49447.125</c:v>
                </c:pt>
                <c:pt idx="2">
                  <c:v>51919.481250000004</c:v>
                </c:pt>
                <c:pt idx="3">
                  <c:v>54515.455312500009</c:v>
                </c:pt>
                <c:pt idx="4">
                  <c:v>57241.228078125016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7D-4846-B715-84A1D52B0E7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2760704"/>
        <c:axId val="10627586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Years</c:v>
                </c:tx>
                <c:spPr>
                  <a:ln w="28575" cap="rnd">
                    <a:solidFill>
                      <a:schemeClr val="tx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Lit>
                    <c:formatCode>General</c:formatCode>
                    <c:ptCount val="5"/>
                    <c:pt idx="0">
                      <c:v>2024</c:v>
                    </c:pt>
                    <c:pt idx="1">
                      <c:v>2025</c:v>
                    </c:pt>
                    <c:pt idx="2">
                      <c:v>2026</c:v>
                    </c:pt>
                    <c:pt idx="3">
                      <c:v>2027</c:v>
                    </c:pt>
                    <c:pt idx="4">
                      <c:v>2028</c:v>
                    </c:pt>
                  </c:numLit>
                </c:cat>
                <c:val>
                  <c:numRef>
                    <c:extLst>
                      <c:ext uri="{02D57815-91ED-43cb-92C2-25804820EDAC}">
                        <c15:formulaRef>
                          <c15:sqref>'P&amp;L'!$I$5:$M$5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2024</c:v>
                      </c:pt>
                      <c:pt idx="1">
                        <c:v>2025</c:v>
                      </c:pt>
                      <c:pt idx="2">
                        <c:v>2026</c:v>
                      </c:pt>
                      <c:pt idx="3">
                        <c:v>2027</c:v>
                      </c:pt>
                      <c:pt idx="4">
                        <c:v>2028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A7D-4846-B715-84A1D52B0E7D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2"/>
          <c:tx>
            <c:v>Cogs</c:v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5"/>
              <c:pt idx="0">
                <c:v>2024</c:v>
              </c:pt>
              <c:pt idx="1">
                <c:v>2025</c:v>
              </c:pt>
              <c:pt idx="2">
                <c:v>2026</c:v>
              </c:pt>
              <c:pt idx="3">
                <c:v>2027</c:v>
              </c:pt>
              <c:pt idx="4">
                <c:v>2028</c:v>
              </c:pt>
            </c:numLit>
          </c:cat>
          <c:val>
            <c:numRef>
              <c:f>'P&amp;L'!$I$7:$M$7</c:f>
              <c:numCache>
                <c:formatCode>0.0_);\(0.0\)</c:formatCode>
                <c:ptCount val="5"/>
                <c:pt idx="0">
                  <c:v>-19307.924999999999</c:v>
                </c:pt>
                <c:pt idx="1">
                  <c:v>-20273.321249999997</c:v>
                </c:pt>
                <c:pt idx="2">
                  <c:v>-21286.987312500001</c:v>
                </c:pt>
                <c:pt idx="3">
                  <c:v>-22351.336678125004</c:v>
                </c:pt>
                <c:pt idx="4">
                  <c:v>-23468.903512031255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7D-4846-B715-84A1D52B0E7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0585328"/>
        <c:axId val="711124432"/>
      </c:lineChart>
      <c:catAx>
        <c:axId val="106276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2758624"/>
        <c:crosses val="autoZero"/>
        <c:auto val="1"/>
        <c:lblAlgn val="ctr"/>
        <c:lblOffset val="100"/>
        <c:noMultiLvlLbl val="0"/>
      </c:catAx>
      <c:valAx>
        <c:axId val="1062758624"/>
        <c:scaling>
          <c:orientation val="minMax"/>
          <c:max val="6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2760704"/>
        <c:crosses val="autoZero"/>
        <c:crossBetween val="between"/>
        <c:majorUnit val="10000"/>
        <c:minorUnit val="5000"/>
      </c:valAx>
      <c:valAx>
        <c:axId val="711124432"/>
        <c:scaling>
          <c:orientation val="minMax"/>
          <c:max val="0"/>
          <c:min val="-25000"/>
        </c:scaling>
        <c:delete val="0"/>
        <c:axPos val="r"/>
        <c:numFmt formatCode="0.0_);\(0.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0585328"/>
        <c:crosses val="max"/>
        <c:crossBetween val="between"/>
        <c:majorUnit val="5000"/>
        <c:minorUnit val="2000"/>
      </c:valAx>
      <c:catAx>
        <c:axId val="1060585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1124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 b="1" i="0" u="none" strike="noStrike" baseline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$ Profitability Metric</a:t>
            </a:r>
            <a:endParaRPr lang="en-US" sz="10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3.7166666666666653E-2"/>
          <c:y val="2.3148148148148147E-2"/>
        </c:manualLayout>
      </c:layout>
      <c:overlay val="0"/>
      <c:spPr>
        <a:solidFill>
          <a:schemeClr val="accent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Gross Profit</c:v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5"/>
              <c:pt idx="0">
                <c:v>2024</c:v>
              </c:pt>
              <c:pt idx="1">
                <c:v>2025</c:v>
              </c:pt>
              <c:pt idx="2">
                <c:v>2026</c:v>
              </c:pt>
              <c:pt idx="3">
                <c:v>2027</c:v>
              </c:pt>
              <c:pt idx="4">
                <c:v>2028</c:v>
              </c:pt>
            </c:numLit>
          </c:cat>
          <c:val>
            <c:numRef>
              <c:f>'P&amp;L'!$I$8:$M$8</c:f>
              <c:numCache>
                <c:formatCode>0.0</c:formatCode>
                <c:ptCount val="5"/>
                <c:pt idx="0">
                  <c:v>27784.575000000001</c:v>
                </c:pt>
                <c:pt idx="1">
                  <c:v>29173.803750000003</c:v>
                </c:pt>
                <c:pt idx="2">
                  <c:v>30632.493937500003</c:v>
                </c:pt>
                <c:pt idx="3">
                  <c:v>32164.118634375005</c:v>
                </c:pt>
                <c:pt idx="4">
                  <c:v>33772.324566093761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C8-42FD-A329-C00B91DD0D71}"/>
            </c:ext>
          </c:extLst>
        </c:ser>
        <c:ser>
          <c:idx val="1"/>
          <c:order val="1"/>
          <c:tx>
            <c:v>EBIT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5"/>
              <c:pt idx="0">
                <c:v>2024</c:v>
              </c:pt>
              <c:pt idx="1">
                <c:v>2025</c:v>
              </c:pt>
              <c:pt idx="2">
                <c:v>2026</c:v>
              </c:pt>
              <c:pt idx="3">
                <c:v>2027</c:v>
              </c:pt>
              <c:pt idx="4">
                <c:v>2028</c:v>
              </c:pt>
            </c:numLit>
          </c:cat>
          <c:val>
            <c:numRef>
              <c:f>'P&amp;L'!$I$17:$M$17</c:f>
              <c:numCache>
                <c:formatCode>0.0</c:formatCode>
                <c:ptCount val="5"/>
                <c:pt idx="0">
                  <c:v>17723.625265871804</c:v>
                </c:pt>
                <c:pt idx="1">
                  <c:v>18592.588955191644</c:v>
                </c:pt>
                <c:pt idx="2">
                  <c:v>19503.873692347421</c:v>
                </c:pt>
                <c:pt idx="3">
                  <c:v>20459.521742507211</c:v>
                </c:pt>
                <c:pt idx="4">
                  <c:v>21461.67265366768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C8-42FD-A329-C00B91DD0D71}"/>
            </c:ext>
          </c:extLst>
        </c:ser>
        <c:ser>
          <c:idx val="2"/>
          <c:order val="2"/>
          <c:tx>
            <c:v>Net Income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5"/>
              <c:pt idx="0">
                <c:v>2024</c:v>
              </c:pt>
              <c:pt idx="1">
                <c:v>2025</c:v>
              </c:pt>
              <c:pt idx="2">
                <c:v>2026</c:v>
              </c:pt>
              <c:pt idx="3">
                <c:v>2027</c:v>
              </c:pt>
              <c:pt idx="4">
                <c:v>2028</c:v>
              </c:pt>
            </c:numLit>
          </c:cat>
          <c:val>
            <c:numRef>
              <c:f>'P&amp;L'!$I$21:$M$21</c:f>
              <c:numCache>
                <c:formatCode>0.0</c:formatCode>
                <c:ptCount val="5"/>
                <c:pt idx="0">
                  <c:v>14452.762739284623</c:v>
                </c:pt>
                <c:pt idx="1">
                  <c:v>15333.461464401167</c:v>
                </c:pt>
                <c:pt idx="2">
                  <c:v>16261.125958995633</c:v>
                </c:pt>
                <c:pt idx="3">
                  <c:v>17238.393176097601</c:v>
                </c:pt>
                <c:pt idx="4">
                  <c:v>18268.059525576409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C8-42FD-A329-C00B91DD0D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67"/>
        <c:overlap val="100"/>
        <c:axId val="1097500832"/>
        <c:axId val="988075184"/>
      </c:barChart>
      <c:catAx>
        <c:axId val="109750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075184"/>
        <c:crosses val="autoZero"/>
        <c:auto val="1"/>
        <c:lblAlgn val="ctr"/>
        <c:lblOffset val="100"/>
        <c:noMultiLvlLbl val="0"/>
      </c:catAx>
      <c:valAx>
        <c:axId val="98807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50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 b="1" i="0" u="none" strike="noStrike" baseline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KPI &amp; Financial Ratios</a:t>
            </a:r>
            <a:endParaRPr lang="en-US" sz="10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5.0613184050645216E-2"/>
          <c:y val="2.7777748120467991E-2"/>
        </c:manualLayout>
      </c:layout>
      <c:overlay val="0"/>
      <c:spPr>
        <a:solidFill>
          <a:schemeClr val="accent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079817282518787E-2"/>
          <c:y val="0.15090543259557343"/>
          <c:w val="0.93154495270919624"/>
          <c:h val="0.686810778431368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'P&amp;L'!$B$33</c:f>
              <c:strCache>
                <c:ptCount val="1"/>
                <c:pt idx="0">
                  <c:v>ROA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5"/>
              <c:pt idx="0">
                <c:v>2024</c:v>
              </c:pt>
              <c:pt idx="1">
                <c:v>2025</c:v>
              </c:pt>
              <c:pt idx="2">
                <c:v>2026</c:v>
              </c:pt>
              <c:pt idx="3">
                <c:v>2027</c:v>
              </c:pt>
              <c:pt idx="4">
                <c:v>2028</c:v>
              </c:pt>
            </c:numLit>
          </c:cat>
          <c:val>
            <c:numRef>
              <c:f>'P&amp;L'!$C$33:$M$33</c:f>
              <c:numCache>
                <c:formatCode>General</c:formatCode>
                <c:ptCount val="11"/>
                <c:pt idx="6" formatCode="0.00">
                  <c:v>0.2014680627427019</c:v>
                </c:pt>
                <c:pt idx="7" formatCode="0.00">
                  <c:v>0.19105041767798753</c:v>
                </c:pt>
                <c:pt idx="8" formatCode="0.00">
                  <c:v>0.18219795312052636</c:v>
                </c:pt>
                <c:pt idx="9" formatCode="0.00">
                  <c:v>0.17459953098311978</c:v>
                </c:pt>
                <c:pt idx="10" formatCode="0.00">
                  <c:v>0.16802241958269284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8D-45F8-818B-BA539E9F5382}"/>
            </c:ext>
          </c:extLst>
        </c:ser>
        <c:ser>
          <c:idx val="1"/>
          <c:order val="1"/>
          <c:tx>
            <c:strRef>
              <c:f>'P&amp;L'!$B$34</c:f>
              <c:strCache>
                <c:ptCount val="1"/>
                <c:pt idx="0">
                  <c:v>ROE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5"/>
              <c:pt idx="0">
                <c:v>2024</c:v>
              </c:pt>
              <c:pt idx="1">
                <c:v>2025</c:v>
              </c:pt>
              <c:pt idx="2">
                <c:v>2026</c:v>
              </c:pt>
              <c:pt idx="3">
                <c:v>2027</c:v>
              </c:pt>
              <c:pt idx="4">
                <c:v>2028</c:v>
              </c:pt>
            </c:numLit>
          </c:cat>
          <c:val>
            <c:numRef>
              <c:f>'P&amp;L'!$C$34:$M$34</c:f>
              <c:numCache>
                <c:formatCode>General</c:formatCode>
                <c:ptCount val="11"/>
                <c:pt idx="6" formatCode="0.00">
                  <c:v>0.44049871195625184</c:v>
                </c:pt>
                <c:pt idx="7" formatCode="0.00">
                  <c:v>0.36964437622414292</c:v>
                </c:pt>
                <c:pt idx="8" formatCode="0.00">
                  <c:v>0.32084785795697524</c:v>
                </c:pt>
                <c:pt idx="9" formatCode="0.00">
                  <c:v>0.28522247935141515</c:v>
                </c:pt>
                <c:pt idx="10" formatCode="0.00">
                  <c:v>0.25809107551621818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8D-45F8-818B-BA539E9F5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7"/>
        <c:overlap val="-30"/>
        <c:axId val="1113432224"/>
        <c:axId val="1113436800"/>
      </c:barChart>
      <c:catAx>
        <c:axId val="1113432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13436800"/>
        <c:crosses val="autoZero"/>
        <c:auto val="1"/>
        <c:lblAlgn val="ctr"/>
        <c:lblOffset val="100"/>
        <c:noMultiLvlLbl val="0"/>
      </c:catAx>
      <c:valAx>
        <c:axId val="111343680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113432224"/>
        <c:crosses val="autoZero"/>
        <c:crossBetween val="between"/>
      </c:valAx>
      <c:spPr>
        <a:noFill/>
        <a:ln>
          <a:noFill/>
        </a:ln>
        <a:effectLst>
          <a:softEdge rad="1257300"/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  <a:scene3d>
      <a:camera prst="orthographicFront"/>
      <a:lightRig rig="threePt" dir="t"/>
    </a:scene3d>
    <a:sp3d>
      <a:bevelT w="635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 b="1">
                <a:solidFill>
                  <a:schemeClr val="bg1"/>
                </a:solidFill>
              </a:rPr>
              <a:t>KPI &amp; Financial Ratios</a:t>
            </a:r>
          </a:p>
        </c:rich>
      </c:tx>
      <c:layout>
        <c:manualLayout>
          <c:xMode val="edge"/>
          <c:yMode val="edge"/>
          <c:x val="3.8694444444444462E-2"/>
          <c:y val="2.7777777777777776E-2"/>
        </c:manualLayout>
      </c:layout>
      <c:overlay val="0"/>
      <c:spPr>
        <a:solidFill>
          <a:schemeClr val="accent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BS!$B$25</c:f>
              <c:strCache>
                <c:ptCount val="1"/>
                <c:pt idx="0">
                  <c:v>DSO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3"/>
                      <c:pt idx="0">
                        <c:v>2021</c:v>
                      </c:pt>
                      <c:pt idx="1">
                        <c:v>2022</c:v>
                      </c:pt>
                      <c:pt idx="2">
                        <c:v>2023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BS!$C$25:$J$25</c15:sqref>
                  </c15:fullRef>
                </c:ext>
              </c:extLst>
              <c:f>BS!$F$25:$J$25</c:f>
              <c:numCache>
                <c:formatCode>_(* #,##0.00_);_(* \(#,##0.00\);_(* "-"??_);_(@_)</c:formatCode>
                <c:ptCount val="5"/>
                <c:pt idx="0">
                  <c:v>41.148696200564842</c:v>
                </c:pt>
                <c:pt idx="1">
                  <c:v>41.148696200564842</c:v>
                </c:pt>
                <c:pt idx="2">
                  <c:v>41.148696200564842</c:v>
                </c:pt>
                <c:pt idx="3">
                  <c:v>41.148696200564842</c:v>
                </c:pt>
                <c:pt idx="4">
                  <c:v>41.148696200564842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59-4650-84D4-630D03D1612C}"/>
            </c:ext>
          </c:extLst>
        </c:ser>
        <c:ser>
          <c:idx val="1"/>
          <c:order val="1"/>
          <c:tx>
            <c:strRef>
              <c:f>BS!$B$26</c:f>
              <c:strCache>
                <c:ptCount val="1"/>
                <c:pt idx="0">
                  <c:v>DIO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3"/>
                      <c:pt idx="0">
                        <c:v>2021</c:v>
                      </c:pt>
                      <c:pt idx="1">
                        <c:v>2022</c:v>
                      </c:pt>
                      <c:pt idx="2">
                        <c:v>2023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BS!$C$26:$J$26</c15:sqref>
                  </c15:fullRef>
                </c:ext>
              </c:extLst>
              <c:f>BS!$F$26:$J$26</c:f>
              <c:numCache>
                <c:formatCode>_(* #,##0.00_);_(* \(#,##0.00\);_(* "-"??_);_(@_)</c:formatCode>
                <c:ptCount val="5"/>
                <c:pt idx="0">
                  <c:v>119.67930234526408</c:v>
                </c:pt>
                <c:pt idx="1">
                  <c:v>119.67930234526408</c:v>
                </c:pt>
                <c:pt idx="2">
                  <c:v>119.67930234526408</c:v>
                </c:pt>
                <c:pt idx="3">
                  <c:v>119.67930234526408</c:v>
                </c:pt>
                <c:pt idx="4">
                  <c:v>119.67930234526408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59-4650-84D4-630D03D1612C}"/>
            </c:ext>
          </c:extLst>
        </c:ser>
        <c:ser>
          <c:idx val="2"/>
          <c:order val="2"/>
          <c:tx>
            <c:strRef>
              <c:f>BS!$B$27</c:f>
              <c:strCache>
                <c:ptCount val="1"/>
                <c:pt idx="0">
                  <c:v>DPO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bg1"/>
              </a:solidFill>
            </a:ln>
            <a:effectLst>
              <a:softEdge rad="0"/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2024</c:v>
              </c:pt>
              <c:pt idx="1">
                <c:v>2025</c:v>
              </c:pt>
              <c:pt idx="2">
                <c:v>2026</c:v>
              </c:pt>
              <c:pt idx="3">
                <c:v>2027</c:v>
              </c:pt>
              <c:pt idx="4">
                <c:v>2028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BS!$C$27:$J$27</c15:sqref>
                  </c15:fullRef>
                </c:ext>
              </c:extLst>
              <c:f>BS!$F$27:$J$27</c:f>
              <c:numCache>
                <c:formatCode>0.0_);\(0.0\)</c:formatCode>
                <c:ptCount val="5"/>
                <c:pt idx="0" formatCode="_(* #,##0.00_);_(* \(#,##0.00\);_(* &quot;-&quot;??_);_(@_)">
                  <c:v>76.925910890696059</c:v>
                </c:pt>
                <c:pt idx="1" formatCode="_(* #,##0.00_);_(* \(#,##0.00\);_(* &quot;-&quot;??_);_(@_)">
                  <c:v>76.925910890696059</c:v>
                </c:pt>
                <c:pt idx="2" formatCode="_(* #,##0.00_);_(* \(#,##0.00\);_(* &quot;-&quot;??_);_(@_)">
                  <c:v>76.925910890696059</c:v>
                </c:pt>
                <c:pt idx="3" formatCode="_(* #,##0.00_);_(* \(#,##0.00\);_(* &quot;-&quot;??_);_(@_)">
                  <c:v>76.925910890696059</c:v>
                </c:pt>
                <c:pt idx="4" formatCode="_(* #,##0.00_);_(* \(#,##0.00\);_(* &quot;-&quot;??_);_(@_)">
                  <c:v>76.925910890696059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59-4650-84D4-630D03D1612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9"/>
        <c:overlap val="-13"/>
        <c:axId val="1094606656"/>
        <c:axId val="1094606240"/>
      </c:barChart>
      <c:catAx>
        <c:axId val="109460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94606240"/>
        <c:crosses val="autoZero"/>
        <c:auto val="1"/>
        <c:lblAlgn val="ctr"/>
        <c:lblOffset val="100"/>
        <c:noMultiLvlLbl val="0"/>
      </c:catAx>
      <c:valAx>
        <c:axId val="10946062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crossAx val="109460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 b="1">
                <a:solidFill>
                  <a:schemeClr val="bg1"/>
                </a:solidFill>
              </a:rPr>
              <a:t>$ Total Assest Vs Total Liabilities and Equity</a:t>
            </a:r>
          </a:p>
        </c:rich>
      </c:tx>
      <c:layout>
        <c:manualLayout>
          <c:xMode val="edge"/>
          <c:yMode val="edge"/>
          <c:x val="4.173600174978126E-2"/>
          <c:y val="2.7777777777777776E-2"/>
        </c:manualLayout>
      </c:layout>
      <c:overlay val="0"/>
      <c:spPr>
        <a:solidFill>
          <a:schemeClr val="accent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Total Liabilities and Equity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 algn="ctr">
                  <a:defRPr sz="10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5"/>
              <c:pt idx="0">
                <c:v>2024</c:v>
              </c:pt>
              <c:pt idx="1">
                <c:v>2025</c:v>
              </c:pt>
              <c:pt idx="2">
                <c:v>2026</c:v>
              </c:pt>
              <c:pt idx="3">
                <c:v>2027</c:v>
              </c:pt>
              <c:pt idx="4">
                <c:v>2028</c:v>
              </c:pt>
            </c:numLit>
          </c:cat>
          <c:val>
            <c:numRef>
              <c:f>BS!$F$11:$J$11</c:f>
              <c:numCache>
                <c:formatCode>_(* #,##0.0_);_(* \(#,##0.0\);_(* "-"??_);_(@_)</c:formatCode>
                <c:ptCount val="5"/>
                <c:pt idx="0">
                  <c:v>71737.239850975675</c:v>
                </c:pt>
                <c:pt idx="1">
                  <c:v>80258.717310136824</c:v>
                </c:pt>
                <c:pt idx="2">
                  <c:v>89249.77301056002</c:v>
                </c:pt>
                <c:pt idx="3">
                  <c:v>98731.039419368215</c:v>
                </c:pt>
                <c:pt idx="4">
                  <c:v>108723.94035836222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BB-4B87-9529-37B201CE1A6B}"/>
            </c:ext>
          </c:extLst>
        </c:ser>
        <c:ser>
          <c:idx val="1"/>
          <c:order val="1"/>
          <c:tx>
            <c:v>Total Assets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5"/>
              <c:pt idx="0">
                <c:v>2024</c:v>
              </c:pt>
              <c:pt idx="1">
                <c:v>2025</c:v>
              </c:pt>
              <c:pt idx="2">
                <c:v>2026</c:v>
              </c:pt>
              <c:pt idx="3">
                <c:v>2027</c:v>
              </c:pt>
              <c:pt idx="4">
                <c:v>2028</c:v>
              </c:pt>
            </c:numLit>
          </c:cat>
          <c:val>
            <c:numRef>
              <c:f>BS!$F$17:$J$17</c:f>
              <c:numCache>
                <c:formatCode>_(* #,##0.0_);_(* \(#,##0.0\);_(* "-"??_);_(@_)</c:formatCode>
                <c:ptCount val="5"/>
                <c:pt idx="0">
                  <c:v>71737.239850975675</c:v>
                </c:pt>
                <c:pt idx="1">
                  <c:v>80258.71731013681</c:v>
                </c:pt>
                <c:pt idx="2">
                  <c:v>89249.77301056002</c:v>
                </c:pt>
                <c:pt idx="3">
                  <c:v>98731.03941936823</c:v>
                </c:pt>
                <c:pt idx="4">
                  <c:v>108723.94035836225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BB-4B87-9529-37B201CE1A6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30"/>
        <c:overlap val="100"/>
        <c:axId val="1157784624"/>
        <c:axId val="1157792944"/>
      </c:barChart>
      <c:catAx>
        <c:axId val="115778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57792944"/>
        <c:crosses val="autoZero"/>
        <c:auto val="1"/>
        <c:lblAlgn val="ctr"/>
        <c:lblOffset val="100"/>
        <c:noMultiLvlLbl val="0"/>
      </c:catAx>
      <c:valAx>
        <c:axId val="1157792944"/>
        <c:scaling>
          <c:orientation val="minMax"/>
          <c:max val="1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157784624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>
                <a:solidFill>
                  <a:schemeClr val="bg1"/>
                </a:solidFill>
              </a:rPr>
              <a:t> $ Forecaste Period </a:t>
            </a:r>
            <a:r>
              <a:rPr lang="en-US" sz="1000" b="1" i="0" u="none" strike="noStrike" baseline="0">
                <a:effectLst/>
              </a:rPr>
              <a:t>Asset Components </a:t>
            </a:r>
            <a:r>
              <a:rPr lang="en-US" sz="1000">
                <a:solidFill>
                  <a:schemeClr val="bg1"/>
                </a:solidFill>
              </a:rPr>
              <a:t> 2024 - 2028</a:t>
            </a:r>
          </a:p>
        </c:rich>
      </c:tx>
      <c:layout>
        <c:manualLayout>
          <c:xMode val="edge"/>
          <c:yMode val="edge"/>
          <c:x val="2.8680446194225735E-2"/>
          <c:y val="2.7777777777777776E-2"/>
        </c:manualLayout>
      </c:layout>
      <c:overlay val="0"/>
      <c:spPr>
        <a:solidFill>
          <a:schemeClr val="accent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2024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6D-40BB-9904-F56E195919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C6D-40BB-9904-F56E195919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C6D-40BB-9904-F56E1959198F}"/>
              </c:ext>
            </c:extLst>
          </c:dPt>
          <c:dPt>
            <c:idx val="3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C6D-40BB-9904-F56E195919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BS!$B$5:$B$10</c15:sqref>
                  </c15:fullRef>
                </c:ext>
              </c:extLst>
              <c:f>(BS!$B$6,BS!$B$8:$B$10)</c:f>
              <c:strCache>
                <c:ptCount val="4"/>
                <c:pt idx="0">
                  <c:v>Cash &amp; Equivalents</c:v>
                </c:pt>
                <c:pt idx="1">
                  <c:v>Inventory</c:v>
                </c:pt>
                <c:pt idx="2">
                  <c:v>Property &amp; Equipment (PPE)</c:v>
                </c:pt>
                <c:pt idx="3">
                  <c:v>Other Assets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BS!$F$5:$F$10</c15:sqref>
                  </c15:fullRef>
                </c:ext>
              </c:extLst>
              <c:f>(BS!$F$6,BS!$F$8:$F$10)</c:f>
              <c:numCache>
                <c:formatCode>_(* #,##0.0_);_(* \(#,##0.0\);_(* "-"??_);_(@_)</c:formatCode>
                <c:ptCount val="4"/>
                <c:pt idx="0">
                  <c:v>19115.685860062102</c:v>
                </c:pt>
                <c:pt idx="1">
                  <c:v>6418.774982596341</c:v>
                </c:pt>
                <c:pt idx="2">
                  <c:v>8108.183412353399</c:v>
                </c:pt>
                <c:pt idx="3">
                  <c:v>32711.831774227448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BS!$F$5</c15:sqref>
                  <c15:spPr xmlns:c15="http://schemas.microsoft.com/office/drawing/2012/chart"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BS!$F$7</c15:sqref>
                  <c15:spPr xmlns:c15="http://schemas.microsoft.com/office/drawing/2012/chart"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C-4C6D-40BB-9904-F56E1959198F}"/>
            </c:ext>
          </c:extLst>
        </c:ser>
        <c:ser>
          <c:idx val="1"/>
          <c:order val="1"/>
          <c:tx>
            <c:v>2025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4C6D-40BB-9904-F56E195919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4C6D-40BB-9904-F56E195919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4C6D-40BB-9904-F56E195919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4C6D-40BB-9904-F56E1959198F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BS!$B$5:$B$10</c15:sqref>
                  </c15:fullRef>
                </c:ext>
              </c:extLst>
              <c:f>(BS!$B$6,BS!$B$8:$B$10)</c:f>
              <c:strCache>
                <c:ptCount val="4"/>
                <c:pt idx="0">
                  <c:v>Cash &amp; Equivalents</c:v>
                </c:pt>
                <c:pt idx="1">
                  <c:v>Inventory</c:v>
                </c:pt>
                <c:pt idx="2">
                  <c:v>Property &amp; Equipment (PPE)</c:v>
                </c:pt>
                <c:pt idx="3">
                  <c:v>Other Assets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BS!$G$5:$G$10</c15:sqref>
                  </c15:fullRef>
                </c:ext>
              </c:extLst>
              <c:f>(BS!$G$6,BS!$G$8:$G$10)</c:f>
              <c:numCache>
                <c:formatCode>_(* #,##0.0_);_(* \(#,##0.0\);_(* "-"??_);_(@_)</c:formatCode>
                <c:ptCount val="4"/>
                <c:pt idx="0">
                  <c:v>24880.698143731039</c:v>
                </c:pt>
                <c:pt idx="1">
                  <c:v>6739.7137317261577</c:v>
                </c:pt>
                <c:pt idx="2">
                  <c:v>8638.9800589175848</c:v>
                </c:pt>
                <c:pt idx="3">
                  <c:v>34347.423362938825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BS!$G$5</c15:sqref>
                  <c15:spPr xmlns:c15="http://schemas.microsoft.com/office/drawing/2012/chart"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BS!$G$7</c15:sqref>
                  <c15:spPr xmlns:c15="http://schemas.microsoft.com/office/drawing/2012/chart"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9-4C6D-40BB-9904-F56E1959198F}"/>
            </c:ext>
          </c:extLst>
        </c:ser>
        <c:ser>
          <c:idx val="2"/>
          <c:order val="2"/>
          <c:tx>
            <c:v>2026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4C6D-40BB-9904-F56E195919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4C6D-40BB-9904-F56E195919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4C6D-40BB-9904-F56E195919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4C6D-40BB-9904-F56E1959198F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BS!$B$5:$B$10</c15:sqref>
                  </c15:fullRef>
                </c:ext>
              </c:extLst>
              <c:f>(BS!$B$6,BS!$B$8:$B$10)</c:f>
              <c:strCache>
                <c:ptCount val="4"/>
                <c:pt idx="0">
                  <c:v>Cash &amp; Equivalents</c:v>
                </c:pt>
                <c:pt idx="1">
                  <c:v>Inventory</c:v>
                </c:pt>
                <c:pt idx="2">
                  <c:v>Property &amp; Equipment (PPE)</c:v>
                </c:pt>
                <c:pt idx="3">
                  <c:v>Other Assets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BS!$H$5:$H$10</c15:sqref>
                  </c15:fullRef>
                </c:ext>
              </c:extLst>
              <c:f>(BS!$H$6,BS!$H$8:$H$10)</c:f>
              <c:numCache>
                <c:formatCode>_(* #,##0.0_);_(* \(#,##0.0\);_(* "-"??_);_(@_)</c:formatCode>
                <c:ptCount val="4"/>
                <c:pt idx="0">
                  <c:v>30969.257005073596</c:v>
                </c:pt>
                <c:pt idx="1">
                  <c:v>7076.6994183124662</c:v>
                </c:pt>
                <c:pt idx="2">
                  <c:v>9204.5249426238315</c:v>
                </c:pt>
                <c:pt idx="3">
                  <c:v>36064.794531085769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BS!$H$5</c15:sqref>
                  <c15:spPr xmlns:c15="http://schemas.microsoft.com/office/drawing/2012/chart"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BS!$H$7</c15:sqref>
                  <c15:spPr xmlns:c15="http://schemas.microsoft.com/office/drawing/2012/chart"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26-4C6D-40BB-9904-F56E1959198F}"/>
            </c:ext>
          </c:extLst>
        </c:ser>
        <c:ser>
          <c:idx val="3"/>
          <c:order val="3"/>
          <c:tx>
            <c:v>2027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4C6D-40BB-9904-F56E195919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4C6D-40BB-9904-F56E195919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4C6D-40BB-9904-F56E195919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4C6D-40BB-9904-F56E1959198F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BS!$B$5:$B$10</c15:sqref>
                  </c15:fullRef>
                </c:ext>
              </c:extLst>
              <c:f>(BS!$B$6,BS!$B$8:$B$10)</c:f>
              <c:strCache>
                <c:ptCount val="4"/>
                <c:pt idx="0">
                  <c:v>Cash &amp; Equivalents</c:v>
                </c:pt>
                <c:pt idx="1">
                  <c:v>Inventory</c:v>
                </c:pt>
                <c:pt idx="2">
                  <c:v>Property &amp; Equipment (PPE)</c:v>
                </c:pt>
                <c:pt idx="3">
                  <c:v>Other Assets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BS!$I$5:$I$10</c15:sqref>
                  </c15:fullRef>
                </c:ext>
              </c:extLst>
              <c:f>(BS!$I$6,BS!$I$8:$I$10)</c:f>
              <c:numCache>
                <c:formatCode>_(* #,##0.0_);_(* \(#,##0.0\);_(* "-"??_);_(@_)</c:formatCode>
                <c:ptCount val="4"/>
                <c:pt idx="0">
                  <c:v>37394.155970461608</c:v>
                </c:pt>
                <c:pt idx="1">
                  <c:v>7430.5343892280907</c:v>
                </c:pt>
                <c:pt idx="2">
                  <c:v>9807.0928329008784</c:v>
                </c:pt>
                <c:pt idx="3">
                  <c:v>37868.034257640058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BS!$I$5</c15:sqref>
                  <c15:spPr xmlns:c15="http://schemas.microsoft.com/office/drawing/2012/chart"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BS!$I$7</c15:sqref>
                  <c15:spPr xmlns:c15="http://schemas.microsoft.com/office/drawing/2012/chart"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33-4C6D-40BB-9904-F56E1959198F}"/>
            </c:ext>
          </c:extLst>
        </c:ser>
        <c:ser>
          <c:idx val="4"/>
          <c:order val="4"/>
          <c:tx>
            <c:v>2028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4C6D-40BB-9904-F56E195919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4C6D-40BB-9904-F56E195919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4C6D-40BB-9904-F56E195919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4C6D-40BB-9904-F56E1959198F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BS!$B$5:$B$10</c15:sqref>
                  </c15:fullRef>
                </c:ext>
              </c:extLst>
              <c:f>(BS!$B$6,BS!$B$8:$B$10)</c:f>
              <c:strCache>
                <c:ptCount val="4"/>
                <c:pt idx="0">
                  <c:v>Cash &amp; Equivalents</c:v>
                </c:pt>
                <c:pt idx="1">
                  <c:v>Inventory</c:v>
                </c:pt>
                <c:pt idx="2">
                  <c:v>Property &amp; Equipment (PPE)</c:v>
                </c:pt>
                <c:pt idx="3">
                  <c:v>Other Assets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BS!$J$5:$J$10</c15:sqref>
                  </c15:fullRef>
                </c:ext>
              </c:extLst>
              <c:f>(BS!$J$6,BS!$J$8:$J$10)</c:f>
              <c:numCache>
                <c:formatCode>_(* #,##0.0_);_(* \(#,##0.0\);_(* "-"??_);_(@_)</c:formatCode>
                <c:ptCount val="4"/>
                <c:pt idx="0">
                  <c:v>44168.552796163713</c:v>
                </c:pt>
                <c:pt idx="1">
                  <c:v>7802.0611086894951</c:v>
                </c:pt>
                <c:pt idx="2">
                  <c:v>10449.107415392486</c:v>
                </c:pt>
                <c:pt idx="3">
                  <c:v>39761.435970522063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BS!$J$5</c15:sqref>
                  <c15:spPr xmlns:c15="http://schemas.microsoft.com/office/drawing/2012/chart"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BS!$J$7</c15:sqref>
                  <c15:spPr xmlns:c15="http://schemas.microsoft.com/office/drawing/2012/chart"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40-4C6D-40BB-9904-F56E19591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54792213473316"/>
          <c:y val="0.12961614173228347"/>
          <c:w val="0.33507633420822402"/>
          <c:h val="0.775489938757655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100" b="1">
                <a:solidFill>
                  <a:schemeClr val="bg1"/>
                </a:solidFill>
              </a:rPr>
              <a:t>$ Reduction of financial liabilities - YoY</a:t>
            </a:r>
          </a:p>
        </c:rich>
      </c:tx>
      <c:layout>
        <c:manualLayout>
          <c:xMode val="edge"/>
          <c:yMode val="edge"/>
          <c:x val="5.2493000874890637E-2"/>
          <c:y val="2.7777777777777776E-2"/>
        </c:manualLayout>
      </c:layout>
      <c:overlay val="0"/>
      <c:spPr>
        <a:solidFill>
          <a:schemeClr val="accent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Years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2024</c:v>
              </c:pt>
              <c:pt idx="1">
                <c:v>2025</c:v>
              </c:pt>
              <c:pt idx="2">
                <c:v>2026</c:v>
              </c:pt>
              <c:pt idx="3">
                <c:v>2027</c:v>
              </c:pt>
              <c:pt idx="4">
                <c:v>2028</c:v>
              </c:pt>
            </c:numLit>
          </c:cat>
          <c:val>
            <c:numRef>
              <c:f>BS!$F$5:$J$5</c:f>
              <c:numCache>
                <c:formatCode>General</c:formatCode>
                <c:ptCount val="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23-42D4-B29A-2490AA413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98663504"/>
        <c:axId val="998664336"/>
      </c:barChart>
      <c:lineChart>
        <c:grouping val="stacked"/>
        <c:varyColors val="0"/>
        <c:ser>
          <c:idx val="2"/>
          <c:order val="1"/>
          <c:tx>
            <c:v>Financial Liabilities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5"/>
              <c:pt idx="0">
                <c:v>2024</c:v>
              </c:pt>
              <c:pt idx="1">
                <c:v>2025</c:v>
              </c:pt>
              <c:pt idx="2">
                <c:v>2026</c:v>
              </c:pt>
              <c:pt idx="3">
                <c:v>2027</c:v>
              </c:pt>
              <c:pt idx="4">
                <c:v>2028</c:v>
              </c:pt>
            </c:numLit>
          </c:cat>
          <c:val>
            <c:numRef>
              <c:f>BS!$F$14:$J$14</c:f>
              <c:numCache>
                <c:formatCode>_(* #,##0.0_);_(* \(#,##0.0\);_(* "-"??_);_(@_)</c:formatCode>
                <c:ptCount val="5"/>
                <c:pt idx="0">
                  <c:v>17282.328336682876</c:v>
                </c:pt>
                <c:pt idx="1">
                  <c:v>15955.066223667211</c:v>
                </c:pt>
                <c:pt idx="2">
                  <c:v>14508.350520480135</c:v>
                </c:pt>
                <c:pt idx="3">
                  <c:v>12931.430404006222</c:v>
                </c:pt>
                <c:pt idx="4">
                  <c:v>11212.587477049656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23-42D4-B29A-2490AA413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8663504"/>
        <c:axId val="998664336"/>
      </c:lineChart>
      <c:catAx>
        <c:axId val="99866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98664336"/>
        <c:crosses val="autoZero"/>
        <c:auto val="1"/>
        <c:lblAlgn val="ctr"/>
        <c:lblOffset val="100"/>
        <c:noMultiLvlLbl val="0"/>
      </c:catAx>
      <c:valAx>
        <c:axId val="99866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98663504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 b="1">
                <a:solidFill>
                  <a:schemeClr val="bg1"/>
                </a:solidFill>
              </a:rPr>
              <a:t>Liquidity Ratios</a:t>
            </a:r>
          </a:p>
        </c:rich>
      </c:tx>
      <c:layout>
        <c:manualLayout>
          <c:xMode val="edge"/>
          <c:yMode val="edge"/>
          <c:x val="4.5925337539519474E-2"/>
          <c:y val="3.1478364201487023E-2"/>
        </c:manualLayout>
      </c:layout>
      <c:overlay val="0"/>
      <c:spPr>
        <a:solidFill>
          <a:schemeClr val="accent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BS!$B$22</c:f>
              <c:strCache>
                <c:ptCount val="1"/>
                <c:pt idx="0">
                  <c:v>Liqudity Ratios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414-4FF6-B5A6-BC983F7842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414-4FF6-B5A6-BC983F7842C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414-4FF6-B5A6-BC983F7842C9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414-4FF6-B5A6-BC983F7842C9}"/>
              </c:ext>
            </c:extLst>
          </c:dPt>
          <c:dPt>
            <c:idx val="4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414-4FF6-B5A6-BC983F7842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3"/>
                      <c:pt idx="0">
                        <c:v>2021</c:v>
                      </c:pt>
                      <c:pt idx="1">
                        <c:v>2022</c:v>
                      </c:pt>
                      <c:pt idx="2">
                        <c:v>2023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BS!$C$22:$J$22</c15:sqref>
                  </c15:fullRef>
                </c:ext>
              </c:extLst>
              <c:f>BS!$F$22:$J$22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F5D05F6E-A05E-4728-AFD3-386EB277150F}">
              <c16:categoryFilterExceptions/>
            </c:ext>
            <c:ext xmlns:c16="http://schemas.microsoft.com/office/drawing/2014/chart" uri="{C5897E43-82E2-4C41-B96C-FBF1F857EA46}">
              <c16:datapointuniqueidmap xmlns:c16="http://schemas.microsoft.com/office/drawing/2014/chart"/>
            </c:ext>
            <c:ext xmlns:c16="http://schemas.microsoft.com/office/drawing/2014/chart" uri="{C3380CC4-5D6E-409C-BE32-E72D297353CC}">
              <c16:uniqueId val="{0000000A-A414-4FF6-B5A6-BC983F7842C9}"/>
            </c:ext>
          </c:extLst>
        </c:ser>
        <c:ser>
          <c:idx val="1"/>
          <c:order val="1"/>
          <c:tx>
            <c:strRef>
              <c:f>BS!$B$23</c:f>
              <c:strCache>
                <c:ptCount val="1"/>
                <c:pt idx="0">
                  <c:v>Quick Ratio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414-4FF6-B5A6-BC983F7842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A414-4FF6-B5A6-BC983F7842C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A414-4FF6-B5A6-BC983F7842C9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414-4FF6-B5A6-BC983F7842C9}"/>
              </c:ext>
            </c:extLst>
          </c:dPt>
          <c:dPt>
            <c:idx val="4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414-4FF6-B5A6-BC983F7842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3"/>
                      <c:pt idx="0">
                        <c:v>2021</c:v>
                      </c:pt>
                      <c:pt idx="1">
                        <c:v>2022</c:v>
                      </c:pt>
                      <c:pt idx="2">
                        <c:v>2023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BS!$C$23:$J$23</c15:sqref>
                  </c15:fullRef>
                </c:ext>
              </c:extLst>
              <c:f>BS!$F$23:$J$23</c:f>
              <c:numCache>
                <c:formatCode>0.00</c:formatCode>
                <c:ptCount val="5"/>
                <c:pt idx="0">
                  <c:v>0.41965514959941025</c:v>
                </c:pt>
                <c:pt idx="1">
                  <c:v>0.61334803965909757</c:v>
                </c:pt>
                <c:pt idx="2">
                  <c:v>0.82927550699175834</c:v>
                </c:pt>
                <c:pt idx="3">
                  <c:v>1.0720593010119599</c:v>
                </c:pt>
                <c:pt idx="4">
                  <c:v>1.3478226884799307</c:v>
                </c:pt>
              </c:numCache>
            </c:numRef>
          </c:val>
          <c:extLst>
            <c:ext xmlns:c16="http://schemas.microsoft.com/office/drawing/2014/chart" uri="{F5D05F6E-A05E-4728-AFD3-386EB277150F}">
              <c16:categoryFilterExceptions/>
            </c:ext>
            <c:ext xmlns:c16="http://schemas.microsoft.com/office/drawing/2014/chart" uri="{C5897E43-82E2-4C41-B96C-FBF1F857EA46}">
              <c16:datapointuniqueidmap xmlns:c16="http://schemas.microsoft.com/office/drawing/2014/chart"/>
            </c:ext>
            <c:ext xmlns:c16="http://schemas.microsoft.com/office/drawing/2014/chart" uri="{C3380CC4-5D6E-409C-BE32-E72D297353CC}">
              <c16:uniqueId val="{00000015-A414-4FF6-B5A6-BC983F7842C9}"/>
            </c:ext>
          </c:extLst>
        </c:ser>
        <c:ser>
          <c:idx val="2"/>
          <c:order val="2"/>
          <c:tx>
            <c:strRef>
              <c:f>BS!$B$24</c:f>
              <c:strCache>
                <c:ptCount val="1"/>
                <c:pt idx="0">
                  <c:v>Current Ratio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A414-4FF6-B5A6-BC983F7842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A414-4FF6-B5A6-BC983F7842C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A414-4FF6-B5A6-BC983F7842C9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A414-4FF6-B5A6-BC983F7842C9}"/>
              </c:ext>
            </c:extLst>
          </c:dPt>
          <c:dPt>
            <c:idx val="4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A414-4FF6-B5A6-BC983F7842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3"/>
                      <c:pt idx="0">
                        <c:v>2021</c:v>
                      </c:pt>
                      <c:pt idx="1">
                        <c:v>2022</c:v>
                      </c:pt>
                      <c:pt idx="2">
                        <c:v>2023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BS!$C$24:$J$24</c15:sqref>
                  </c15:fullRef>
                </c:ext>
              </c:extLst>
              <c:f>BS!$F$24:$J$24</c:f>
              <c:numCache>
                <c:formatCode>0.00</c:formatCode>
                <c:ptCount val="5"/>
                <c:pt idx="0">
                  <c:v>7.4936732415042213</c:v>
                </c:pt>
                <c:pt idx="1">
                  <c:v>8.6038198005716033</c:v>
                </c:pt>
                <c:pt idx="2">
                  <c:v>9.6688618620623821</c:v>
                </c:pt>
                <c:pt idx="3">
                  <c:v>10.689869267131764</c:v>
                </c:pt>
                <c:pt idx="4">
                  <c:v>11.667891056987395</c:v>
                </c:pt>
              </c:numCache>
            </c:numRef>
          </c:val>
          <c:extLst>
            <c:ext xmlns:c16="http://schemas.microsoft.com/office/drawing/2014/chart" uri="{F5D05F6E-A05E-4728-AFD3-386EB277150F}">
              <c16:categoryFilterExceptions/>
            </c:ext>
            <c:ext xmlns:c16="http://schemas.microsoft.com/office/drawing/2014/chart" uri="{C5897E43-82E2-4C41-B96C-FBF1F857EA46}">
              <c16:datapointuniqueidmap xmlns:c16="http://schemas.microsoft.com/office/drawing/2014/chart"/>
            </c:ext>
            <c:ext xmlns:c16="http://schemas.microsoft.com/office/drawing/2014/chart" uri="{C3380CC4-5D6E-409C-BE32-E72D297353CC}">
              <c16:uniqueId val="{00000020-A414-4FF6-B5A6-BC983F784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</cx:f>
      </cx:strDim>
      <cx:numDim type="val">
        <cx:f dir="row">_xlchart.v1.1</cx:f>
      </cx:numDim>
    </cx:data>
  </cx:chartData>
  <cx:chart>
    <cx:title pos="t" align="ctr" overlay="0">
      <cx:tx>
        <cx:txData>
          <cx:v>$ Net Cash Flow</cx:v>
        </cx:txData>
      </cx:tx>
      <cx:spPr>
        <a:solidFill>
          <a:schemeClr val="accent1"/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00" b="1">
              <a:solidFill>
                <a:schemeClr val="bg1"/>
              </a:solidFill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r>
            <a:rPr lang="en-US" sz="1000" b="1" i="0" u="none" strike="noStrike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$ Net Cash Flow</a:t>
          </a:r>
        </a:p>
      </cx:txPr>
    </cx:title>
    <cx:plotArea>
      <cx:plotAreaRegion>
        <cx:series layoutId="waterfall" uniqueId="{EB84003A-71C0-4783-8935-9E76B4B101F8}">
          <cx:tx>
            <cx:txData>
              <cx:f>_xlchart.v1.0</cx:f>
              <cx:v>Net Cash Flow</cx:v>
            </cx:txData>
          </cx:tx>
          <cx:dataLabels pos="outEnd"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 sz="10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x:txPr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  <cx:txPr>
          <a:bodyPr vertOverflow="overflow" horzOverflow="overflow" wrap="square" lIns="0" tIns="0" rIns="0" bIns="0"/>
          <a:lstStyle/>
          <a:p>
            <a:pPr algn="ctr" rtl="0">
              <a:defRPr sz="1000" b="1" i="0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000" b="1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 hidden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000" b="1" i="0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000" b="1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1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85725</xdr:rowOff>
    </xdr:from>
    <xdr:to>
      <xdr:col>7</xdr:col>
      <xdr:colOff>590550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70D63C-8A02-43FA-BC42-0693BF0611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352425</xdr:colOff>
      <xdr:row>1</xdr:row>
      <xdr:rowOff>104775</xdr:rowOff>
    </xdr:from>
    <xdr:to>
      <xdr:col>16</xdr:col>
      <xdr:colOff>47625</xdr:colOff>
      <xdr:row>18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04DF0F2-8CD1-428B-B6EB-59BF68BB5F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376635</xdr:colOff>
      <xdr:row>1</xdr:row>
      <xdr:rowOff>45640</xdr:rowOff>
    </xdr:from>
    <xdr:to>
      <xdr:col>24</xdr:col>
      <xdr:colOff>218282</xdr:colOff>
      <xdr:row>19</xdr:row>
      <xdr:rowOff>9921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69BA2AF-9549-4EC1-B238-B6CCE4E894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248047</xdr:colOff>
      <xdr:row>21</xdr:row>
      <xdr:rowOff>19844</xdr:rowOff>
    </xdr:from>
    <xdr:to>
      <xdr:col>8</xdr:col>
      <xdr:colOff>47626</xdr:colOff>
      <xdr:row>37</xdr:row>
      <xdr:rowOff>133350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989FF08-BD69-4082-8B70-A764B9A0BF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228601</xdr:colOff>
      <xdr:row>20</xdr:row>
      <xdr:rowOff>123825</xdr:rowOff>
    </xdr:from>
    <xdr:to>
      <xdr:col>16</xdr:col>
      <xdr:colOff>209550</xdr:colOff>
      <xdr:row>38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38E7784-6538-4106-9D9C-C082C689C3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446484</xdr:colOff>
      <xdr:row>20</xdr:row>
      <xdr:rowOff>148828</xdr:rowOff>
    </xdr:from>
    <xdr:to>
      <xdr:col>24</xdr:col>
      <xdr:colOff>176609</xdr:colOff>
      <xdr:row>38</xdr:row>
      <xdr:rowOff>34528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E7B197B-CDCD-4B46-85BE-D497DE5CF0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367110</xdr:colOff>
      <xdr:row>40</xdr:row>
      <xdr:rowOff>99219</xdr:rowOff>
    </xdr:from>
    <xdr:to>
      <xdr:col>8</xdr:col>
      <xdr:colOff>97235</xdr:colOff>
      <xdr:row>57</xdr:row>
      <xdr:rowOff>143669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7368C07-D399-41FB-BAE5-4C1D27390D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396876</xdr:colOff>
      <xdr:row>40</xdr:row>
      <xdr:rowOff>99219</xdr:rowOff>
    </xdr:from>
    <xdr:to>
      <xdr:col>16</xdr:col>
      <xdr:colOff>127001</xdr:colOff>
      <xdr:row>57</xdr:row>
      <xdr:rowOff>143669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D9D68249-AEA0-4FED-8B12-BD31426D9F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3676" y="6576219"/>
              <a:ext cx="4606925" cy="2797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360760</xdr:colOff>
      <xdr:row>40</xdr:row>
      <xdr:rowOff>89297</xdr:rowOff>
    </xdr:from>
    <xdr:to>
      <xdr:col>24</xdr:col>
      <xdr:colOff>208358</xdr:colOff>
      <xdr:row>57</xdr:row>
      <xdr:rowOff>128985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29A138C-30A4-42F4-B9F1-C977B7294C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0.06148</cdr:x>
      <cdr:y>0.13559</cdr:y>
    </cdr:from>
    <cdr:to>
      <cdr:x>0.42814</cdr:x>
      <cdr:y>0.94915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456D684-ACA1-0EA4-9579-4B8C264B3204}"/>
            </a:ext>
          </a:extLst>
        </cdr:cNvPr>
        <cdr:cNvSpPr txBox="1"/>
      </cdr:nvSpPr>
      <cdr:spPr>
        <a:xfrm xmlns:a="http://schemas.openxmlformats.org/drawingml/2006/main">
          <a:off x="266700" y="381000"/>
          <a:ext cx="1590675" cy="2286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ROA</a:t>
          </a:r>
          <a:b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Observation</a:t>
          </a:r>
          <a:br>
            <a:rPr lang="en-US" sz="80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Declines slightly over time due to asset growth outpacing net income</a:t>
          </a:r>
          <a:r>
            <a:rPr lang="en-US" sz="10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. </a:t>
          </a:r>
          <a:br>
            <a:rPr lang="en-US" sz="10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br>
            <a:rPr lang="en-US" sz="10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100" b="1">
              <a:solidFill>
                <a:schemeClr val="accen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ROE</a:t>
          </a:r>
          <a:br>
            <a:rPr lang="en-US" sz="1100" b="1">
              <a:solidFill>
                <a:schemeClr val="accen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US" sz="1100" b="1">
              <a:solidFill>
                <a:schemeClr val="accen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Observation</a:t>
          </a:r>
          <a:br>
            <a:rPr lang="en-US" sz="1100" b="1">
              <a:solidFill>
                <a:schemeClr val="accen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US" sz="1000" b="1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</a:t>
          </a:r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eclines over time, reflecting equity growth outpacing net income.</a:t>
          </a:r>
          <a:endParaRPr lang="en-US" sz="1000">
            <a:solidFill>
              <a:schemeClr val="accent1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0.0459</cdr:x>
      <cdr:y>0.39493</cdr:y>
    </cdr:from>
    <cdr:to>
      <cdr:x>0.27053</cdr:x>
      <cdr:y>0.53623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B131D65-1F51-4CB5-488D-909FDAEF73CC}"/>
            </a:ext>
          </a:extLst>
        </cdr:cNvPr>
        <cdr:cNvSpPr txBox="1"/>
      </cdr:nvSpPr>
      <cdr:spPr>
        <a:xfrm xmlns:a="http://schemas.openxmlformats.org/drawingml/2006/main">
          <a:off x="204785" y="1081484"/>
          <a:ext cx="1002110" cy="38695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Quick Ratio</a:t>
          </a:r>
          <a:br>
            <a:rPr lang="en-US" sz="10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0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Current Ratio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FDE8-F789-4BF2-B556-2E06EE599A72}">
  <dimension ref="A1:D76"/>
  <sheetViews>
    <sheetView workbookViewId="0">
      <selection activeCell="K24" sqref="K24"/>
    </sheetView>
  </sheetViews>
  <sheetFormatPr defaultRowHeight="15" x14ac:dyDescent="0.25"/>
  <cols>
    <col min="1" max="1" width="25.140625" style="2" customWidth="1"/>
    <col min="2" max="4" width="10" style="2" bestFit="1" customWidth="1"/>
    <col min="5" max="16384" width="9.140625" style="2"/>
  </cols>
  <sheetData>
    <row r="1" spans="1:4" x14ac:dyDescent="0.25">
      <c r="A1" s="27" t="s">
        <v>28</v>
      </c>
      <c r="B1" s="27">
        <v>2021</v>
      </c>
      <c r="C1" s="27">
        <v>2022</v>
      </c>
      <c r="D1" s="27">
        <v>2023</v>
      </c>
    </row>
    <row r="2" spans="1:4" x14ac:dyDescent="0.25">
      <c r="A2" s="28" t="s">
        <v>2</v>
      </c>
      <c r="B2" s="28"/>
      <c r="C2" s="28"/>
      <c r="D2" s="28"/>
    </row>
    <row r="3" spans="1:4" x14ac:dyDescent="0.25">
      <c r="A3" s="29" t="s">
        <v>29</v>
      </c>
      <c r="B3" s="56">
        <v>9800</v>
      </c>
      <c r="C3" s="56">
        <v>11000</v>
      </c>
      <c r="D3" s="56">
        <v>12500</v>
      </c>
    </row>
    <row r="4" spans="1:4" x14ac:dyDescent="0.25">
      <c r="A4" s="29" t="s">
        <v>30</v>
      </c>
      <c r="B4" s="56">
        <v>4500</v>
      </c>
      <c r="C4" s="56">
        <v>4900</v>
      </c>
      <c r="D4" s="56">
        <v>5200</v>
      </c>
    </row>
    <row r="5" spans="1:4" x14ac:dyDescent="0.25">
      <c r="A5" s="29" t="s">
        <v>76</v>
      </c>
      <c r="B5" s="56">
        <v>5500</v>
      </c>
      <c r="C5" s="56">
        <v>6000</v>
      </c>
      <c r="D5" s="56">
        <v>6400</v>
      </c>
    </row>
    <row r="6" spans="1:4" ht="30" x14ac:dyDescent="0.25">
      <c r="A6" s="29" t="s">
        <v>31</v>
      </c>
      <c r="B6" s="56">
        <v>6705</v>
      </c>
      <c r="C6" s="56">
        <v>7040</v>
      </c>
      <c r="D6" s="56">
        <v>7610</v>
      </c>
    </row>
    <row r="7" spans="1:4" x14ac:dyDescent="0.25">
      <c r="A7" s="29" t="s">
        <v>83</v>
      </c>
      <c r="B7" s="56">
        <v>26700</v>
      </c>
      <c r="C7" s="56">
        <v>29800</v>
      </c>
      <c r="D7" s="56">
        <v>32300</v>
      </c>
    </row>
    <row r="8" spans="1:4" x14ac:dyDescent="0.25">
      <c r="A8" s="28" t="s">
        <v>32</v>
      </c>
      <c r="B8" s="56">
        <v>53205</v>
      </c>
      <c r="C8" s="56">
        <v>58740</v>
      </c>
      <c r="D8" s="56">
        <v>64010</v>
      </c>
    </row>
    <row r="9" spans="1:4" x14ac:dyDescent="0.25">
      <c r="A9" s="26"/>
      <c r="B9" s="57"/>
      <c r="C9" s="57"/>
      <c r="D9" s="57"/>
    </row>
    <row r="10" spans="1:4" x14ac:dyDescent="0.25">
      <c r="A10" s="28" t="s">
        <v>3</v>
      </c>
      <c r="B10" s="28"/>
      <c r="C10" s="28"/>
      <c r="D10" s="28"/>
    </row>
    <row r="11" spans="1:4" x14ac:dyDescent="0.25">
      <c r="A11" s="29" t="s">
        <v>33</v>
      </c>
      <c r="B11" s="56">
        <v>3600</v>
      </c>
      <c r="C11" s="56">
        <v>3800</v>
      </c>
      <c r="D11" s="56">
        <v>4100</v>
      </c>
    </row>
    <row r="12" spans="1:4" x14ac:dyDescent="0.25">
      <c r="A12" s="29" t="s">
        <v>87</v>
      </c>
      <c r="B12" s="56">
        <v>15800</v>
      </c>
      <c r="C12" s="56">
        <v>17100</v>
      </c>
      <c r="D12" s="56">
        <v>18500</v>
      </c>
    </row>
    <row r="13" spans="1:4" x14ac:dyDescent="0.25">
      <c r="A13" s="29" t="s">
        <v>77</v>
      </c>
      <c r="B13" s="56">
        <v>7400</v>
      </c>
      <c r="C13" s="56">
        <v>8000</v>
      </c>
      <c r="D13" s="56">
        <v>8600</v>
      </c>
    </row>
    <row r="14" spans="1:4" x14ac:dyDescent="0.25">
      <c r="A14" s="28" t="s">
        <v>34</v>
      </c>
      <c r="B14" s="56">
        <v>26800</v>
      </c>
      <c r="C14" s="56">
        <v>28900</v>
      </c>
      <c r="D14" s="56">
        <v>31200</v>
      </c>
    </row>
    <row r="15" spans="1:4" x14ac:dyDescent="0.25">
      <c r="A15" s="26"/>
      <c r="B15" s="57"/>
      <c r="C15" s="57"/>
      <c r="D15" s="57"/>
    </row>
    <row r="16" spans="1:4" x14ac:dyDescent="0.25">
      <c r="A16" s="28" t="s">
        <v>4</v>
      </c>
      <c r="B16" s="28"/>
      <c r="C16" s="28"/>
      <c r="D16" s="28"/>
    </row>
    <row r="17" spans="1:4" x14ac:dyDescent="0.25">
      <c r="A17" s="28" t="s">
        <v>35</v>
      </c>
      <c r="B17" s="56">
        <v>26405</v>
      </c>
      <c r="C17" s="56">
        <v>29840</v>
      </c>
      <c r="D17" s="56">
        <v>32810</v>
      </c>
    </row>
    <row r="18" spans="1:4" x14ac:dyDescent="0.25">
      <c r="A18" s="7"/>
      <c r="B18" s="7"/>
      <c r="C18" s="7"/>
      <c r="D18" s="7"/>
    </row>
    <row r="19" spans="1:4" x14ac:dyDescent="0.25">
      <c r="A19" s="25"/>
      <c r="B19" s="7"/>
      <c r="C19" s="7"/>
      <c r="D19" s="7"/>
    </row>
    <row r="20" spans="1:4" x14ac:dyDescent="0.25">
      <c r="C20" s="5"/>
    </row>
    <row r="21" spans="1:4" x14ac:dyDescent="0.25">
      <c r="C21" s="5"/>
    </row>
    <row r="22" spans="1:4" x14ac:dyDescent="0.25">
      <c r="C22" s="5"/>
    </row>
    <row r="23" spans="1:4" x14ac:dyDescent="0.25">
      <c r="C23" s="13"/>
    </row>
    <row r="24" spans="1:4" x14ac:dyDescent="0.25">
      <c r="C24" s="3"/>
    </row>
    <row r="25" spans="1:4" x14ac:dyDescent="0.25">
      <c r="C25" s="3"/>
    </row>
    <row r="26" spans="1:4" x14ac:dyDescent="0.25">
      <c r="C26" s="3"/>
    </row>
    <row r="27" spans="1:4" x14ac:dyDescent="0.25">
      <c r="C27" s="3"/>
    </row>
    <row r="29" spans="1:4" x14ac:dyDescent="0.25">
      <c r="C29" s="1"/>
    </row>
    <row r="30" spans="1:4" x14ac:dyDescent="0.25">
      <c r="C30" s="3"/>
    </row>
    <row r="31" spans="1:4" x14ac:dyDescent="0.25">
      <c r="C31" s="13"/>
    </row>
    <row r="32" spans="1:4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13"/>
    </row>
    <row r="36" spans="3:3" x14ac:dyDescent="0.25">
      <c r="C36" s="5"/>
    </row>
    <row r="37" spans="3:3" x14ac:dyDescent="0.25">
      <c r="C37" s="5"/>
    </row>
    <row r="38" spans="3:3" x14ac:dyDescent="0.25">
      <c r="C38" s="5"/>
    </row>
    <row r="39" spans="3:3" x14ac:dyDescent="0.25">
      <c r="C39" s="13"/>
    </row>
    <row r="40" spans="3:3" x14ac:dyDescent="0.25">
      <c r="C40" s="5"/>
    </row>
    <row r="41" spans="3:3" x14ac:dyDescent="0.25">
      <c r="C41" s="5"/>
    </row>
    <row r="42" spans="3:3" x14ac:dyDescent="0.25">
      <c r="C42" s="5"/>
    </row>
    <row r="43" spans="3:3" x14ac:dyDescent="0.25">
      <c r="C43" s="13"/>
    </row>
    <row r="67" spans="3:3" x14ac:dyDescent="0.25">
      <c r="C67" s="5"/>
    </row>
    <row r="68" spans="3:3" x14ac:dyDescent="0.25">
      <c r="C68" s="13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1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A34E-1630-48EB-80B0-CEB2306E98DE}">
  <dimension ref="A2:P19"/>
  <sheetViews>
    <sheetView zoomScale="106" zoomScaleNormal="106" workbookViewId="0">
      <selection activeCell="I20" sqref="I20"/>
    </sheetView>
  </sheetViews>
  <sheetFormatPr defaultRowHeight="15" x14ac:dyDescent="0.25"/>
  <cols>
    <col min="1" max="1" width="9.140625" style="2"/>
    <col min="2" max="2" width="12" style="2" customWidth="1"/>
    <col min="3" max="4" width="10.7109375" style="2" bestFit="1" customWidth="1"/>
    <col min="5" max="6" width="9.140625" style="2"/>
    <col min="7" max="7" width="15.140625" style="2" bestFit="1" customWidth="1"/>
    <col min="8" max="9" width="9.140625" style="2"/>
    <col min="10" max="10" width="36.42578125" style="2" bestFit="1" customWidth="1"/>
    <col min="11" max="12" width="9.140625" style="2"/>
    <col min="13" max="13" width="19.7109375" style="2" bestFit="1" customWidth="1"/>
    <col min="14" max="14" width="9" style="2" bestFit="1" customWidth="1"/>
    <col min="15" max="16384" width="9.140625" style="2"/>
  </cols>
  <sheetData>
    <row r="2" spans="1:16" x14ac:dyDescent="0.25">
      <c r="A2" s="8" t="s">
        <v>38</v>
      </c>
      <c r="B2" s="9"/>
      <c r="C2" s="9"/>
      <c r="D2" s="9"/>
    </row>
    <row r="3" spans="1:16" x14ac:dyDescent="0.25">
      <c r="A3" s="9"/>
      <c r="B3" s="9"/>
      <c r="C3" s="9"/>
      <c r="D3" s="9"/>
    </row>
    <row r="4" spans="1:16" x14ac:dyDescent="0.25">
      <c r="A4" s="10" t="s">
        <v>0</v>
      </c>
      <c r="B4" s="12" t="s">
        <v>5</v>
      </c>
      <c r="C4" s="12" t="s">
        <v>6</v>
      </c>
      <c r="D4" s="12" t="s">
        <v>7</v>
      </c>
    </row>
    <row r="5" spans="1:16" x14ac:dyDescent="0.25">
      <c r="A5" s="11" t="s">
        <v>8</v>
      </c>
      <c r="B5" s="20">
        <v>3650</v>
      </c>
      <c r="C5" s="20">
        <v>3400</v>
      </c>
      <c r="D5" s="20">
        <v>3200</v>
      </c>
      <c r="G5" s="4"/>
      <c r="M5" s="1"/>
    </row>
    <row r="6" spans="1:16" x14ac:dyDescent="0.25">
      <c r="A6" s="11" t="s">
        <v>1</v>
      </c>
      <c r="B6" s="20">
        <v>3500</v>
      </c>
      <c r="C6" s="20">
        <v>3300</v>
      </c>
      <c r="D6" s="20">
        <v>3100</v>
      </c>
      <c r="G6" s="3"/>
    </row>
    <row r="7" spans="1:16" x14ac:dyDescent="0.25">
      <c r="A7" s="11" t="s">
        <v>9</v>
      </c>
      <c r="B7" s="20">
        <v>3550</v>
      </c>
      <c r="C7" s="20">
        <v>3350</v>
      </c>
      <c r="D7" s="20">
        <v>3150</v>
      </c>
      <c r="G7" s="3"/>
      <c r="M7" s="6"/>
      <c r="N7" s="6"/>
      <c r="O7" s="6"/>
      <c r="P7" s="6"/>
    </row>
    <row r="8" spans="1:16" x14ac:dyDescent="0.25">
      <c r="A8" s="11" t="s">
        <v>10</v>
      </c>
      <c r="B8" s="20">
        <v>3600</v>
      </c>
      <c r="C8" s="20">
        <v>3400</v>
      </c>
      <c r="D8" s="20">
        <v>3200</v>
      </c>
      <c r="G8" s="3"/>
      <c r="M8" s="7"/>
      <c r="N8" s="7"/>
      <c r="O8" s="7"/>
      <c r="P8" s="7"/>
    </row>
    <row r="9" spans="1:16" x14ac:dyDescent="0.25">
      <c r="A9" s="11" t="s">
        <v>11</v>
      </c>
      <c r="B9" s="20">
        <v>3700</v>
      </c>
      <c r="C9" s="20">
        <v>3500</v>
      </c>
      <c r="D9" s="20">
        <v>3300</v>
      </c>
      <c r="G9" s="3"/>
      <c r="M9" s="7"/>
      <c r="N9" s="7"/>
      <c r="O9" s="7"/>
      <c r="P9" s="7"/>
    </row>
    <row r="10" spans="1:16" x14ac:dyDescent="0.25">
      <c r="A10" s="11" t="s">
        <v>12</v>
      </c>
      <c r="B10" s="20">
        <v>3550</v>
      </c>
      <c r="C10" s="20">
        <v>3450</v>
      </c>
      <c r="D10" s="20">
        <v>3250</v>
      </c>
      <c r="G10" s="3"/>
      <c r="M10" s="7"/>
      <c r="N10" s="7"/>
      <c r="O10" s="7"/>
      <c r="P10" s="7"/>
    </row>
    <row r="11" spans="1:16" x14ac:dyDescent="0.25">
      <c r="A11" s="11" t="s">
        <v>13</v>
      </c>
      <c r="B11" s="20">
        <v>3650</v>
      </c>
      <c r="C11" s="20">
        <v>3550</v>
      </c>
      <c r="D11" s="20">
        <v>3350</v>
      </c>
      <c r="G11" s="3"/>
      <c r="M11" s="7"/>
      <c r="N11" s="7"/>
      <c r="O11" s="7"/>
      <c r="P11" s="7"/>
    </row>
    <row r="12" spans="1:16" x14ac:dyDescent="0.25">
      <c r="A12" s="11" t="s">
        <v>14</v>
      </c>
      <c r="B12" s="20">
        <v>3800</v>
      </c>
      <c r="C12" s="20">
        <v>3600</v>
      </c>
      <c r="D12" s="20">
        <v>3400</v>
      </c>
      <c r="G12" s="3"/>
      <c r="M12" s="7"/>
      <c r="N12" s="7"/>
      <c r="O12" s="7"/>
      <c r="P12" s="7"/>
    </row>
    <row r="13" spans="1:16" x14ac:dyDescent="0.25">
      <c r="A13" s="11" t="s">
        <v>15</v>
      </c>
      <c r="B13" s="20">
        <v>3850</v>
      </c>
      <c r="C13" s="20">
        <v>3650</v>
      </c>
      <c r="D13" s="20">
        <v>3450</v>
      </c>
      <c r="G13" s="3"/>
      <c r="M13" s="7"/>
      <c r="N13" s="7"/>
      <c r="O13" s="7"/>
      <c r="P13" s="7"/>
    </row>
    <row r="14" spans="1:16" x14ac:dyDescent="0.25">
      <c r="A14" s="11" t="s">
        <v>16</v>
      </c>
      <c r="B14" s="20">
        <v>3900</v>
      </c>
      <c r="C14" s="20">
        <v>3700</v>
      </c>
      <c r="D14" s="20">
        <v>3500</v>
      </c>
      <c r="G14" s="3"/>
      <c r="M14" s="7"/>
      <c r="N14" s="7"/>
      <c r="O14" s="7"/>
      <c r="P14" s="7"/>
    </row>
    <row r="15" spans="1:16" x14ac:dyDescent="0.25">
      <c r="A15" s="11" t="s">
        <v>17</v>
      </c>
      <c r="B15" s="20">
        <v>4000</v>
      </c>
      <c r="C15" s="20">
        <v>3800</v>
      </c>
      <c r="D15" s="20">
        <v>3600</v>
      </c>
      <c r="G15" s="3"/>
      <c r="M15" s="7"/>
      <c r="N15" s="7"/>
      <c r="O15" s="7"/>
      <c r="P15" s="7"/>
    </row>
    <row r="16" spans="1:16" x14ac:dyDescent="0.25">
      <c r="A16" s="11" t="s">
        <v>18</v>
      </c>
      <c r="B16" s="20">
        <v>4100</v>
      </c>
      <c r="C16" s="20">
        <v>3900</v>
      </c>
      <c r="D16" s="20">
        <v>3700</v>
      </c>
      <c r="G16" s="3"/>
      <c r="M16" s="7"/>
      <c r="N16" s="7"/>
      <c r="O16" s="7"/>
      <c r="P16" s="7"/>
    </row>
    <row r="17" spans="1:16" x14ac:dyDescent="0.25">
      <c r="A17" s="2" t="s">
        <v>50</v>
      </c>
      <c r="B17" s="21">
        <f>SUM(B5:B16)</f>
        <v>44850</v>
      </c>
      <c r="C17" s="21">
        <f t="shared" ref="C17:D17" si="0">SUM(C5:C16)</f>
        <v>42600</v>
      </c>
      <c r="D17" s="21">
        <f t="shared" si="0"/>
        <v>40200</v>
      </c>
      <c r="G17" s="3"/>
      <c r="M17" s="7"/>
      <c r="N17" s="7"/>
      <c r="O17" s="7"/>
      <c r="P17" s="7"/>
    </row>
    <row r="18" spans="1:16" x14ac:dyDescent="0.25">
      <c r="G18" s="3"/>
      <c r="M18" s="7"/>
      <c r="N18" s="7"/>
      <c r="O18" s="7"/>
      <c r="P18" s="7"/>
    </row>
    <row r="19" spans="1:16" x14ac:dyDescent="0.25">
      <c r="M19" s="7"/>
      <c r="N19" s="7"/>
      <c r="O19" s="7"/>
      <c r="P1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B6BE-7BBE-4C6E-A1CE-E3AC16F15CD8}">
  <dimension ref="A1:F18"/>
  <sheetViews>
    <sheetView workbookViewId="0">
      <selection activeCell="H27" sqref="H27"/>
    </sheetView>
  </sheetViews>
  <sheetFormatPr defaultRowHeight="15" x14ac:dyDescent="0.25"/>
  <cols>
    <col min="1" max="1" width="9.140625" style="2"/>
    <col min="2" max="2" width="10.7109375" style="2" bestFit="1" customWidth="1"/>
    <col min="3" max="4" width="10.42578125" style="2" bestFit="1" customWidth="1"/>
    <col min="5" max="5" width="9.140625" style="2"/>
    <col min="6" max="6" width="15.140625" style="2" bestFit="1" customWidth="1"/>
    <col min="7" max="16384" width="9.140625" style="2"/>
  </cols>
  <sheetData>
    <row r="1" spans="1:6" x14ac:dyDescent="0.25">
      <c r="A1" s="8" t="s">
        <v>19</v>
      </c>
      <c r="B1" s="9"/>
      <c r="C1" s="9"/>
      <c r="D1" s="9"/>
    </row>
    <row r="2" spans="1:6" x14ac:dyDescent="0.25">
      <c r="A2" s="9"/>
      <c r="B2" s="9"/>
      <c r="C2" s="9"/>
      <c r="D2" s="9"/>
    </row>
    <row r="3" spans="1:6" x14ac:dyDescent="0.25">
      <c r="A3" s="10" t="s">
        <v>0</v>
      </c>
      <c r="B3" s="12" t="s">
        <v>20</v>
      </c>
      <c r="C3" s="12" t="s">
        <v>21</v>
      </c>
      <c r="D3" s="12" t="s">
        <v>22</v>
      </c>
    </row>
    <row r="4" spans="1:6" x14ac:dyDescent="0.25">
      <c r="A4" s="11" t="s">
        <v>8</v>
      </c>
      <c r="B4" s="22">
        <v>1575</v>
      </c>
      <c r="C4" s="22">
        <v>1450</v>
      </c>
      <c r="D4" s="22">
        <v>1350</v>
      </c>
    </row>
    <row r="5" spans="1:6" x14ac:dyDescent="0.25">
      <c r="A5" s="11" t="s">
        <v>1</v>
      </c>
      <c r="B5" s="22">
        <v>1500</v>
      </c>
      <c r="C5" s="22">
        <v>1400</v>
      </c>
      <c r="D5" s="22">
        <v>1300</v>
      </c>
      <c r="F5" s="4"/>
    </row>
    <row r="6" spans="1:6" x14ac:dyDescent="0.25">
      <c r="A6" s="11" t="s">
        <v>9</v>
      </c>
      <c r="B6" s="22">
        <v>1530</v>
      </c>
      <c r="C6" s="22">
        <v>1420</v>
      </c>
      <c r="D6" s="22">
        <v>1320</v>
      </c>
      <c r="F6" s="3"/>
    </row>
    <row r="7" spans="1:6" x14ac:dyDescent="0.25">
      <c r="A7" s="11" t="s">
        <v>10</v>
      </c>
      <c r="B7" s="22">
        <v>1550</v>
      </c>
      <c r="C7" s="22">
        <v>1450</v>
      </c>
      <c r="D7" s="22">
        <v>1350</v>
      </c>
      <c r="F7" s="3"/>
    </row>
    <row r="8" spans="1:6" x14ac:dyDescent="0.25">
      <c r="A8" s="11" t="s">
        <v>11</v>
      </c>
      <c r="B8" s="22">
        <v>1570</v>
      </c>
      <c r="C8" s="22">
        <v>1470</v>
      </c>
      <c r="D8" s="22">
        <v>1370</v>
      </c>
      <c r="F8" s="3"/>
    </row>
    <row r="9" spans="1:6" x14ac:dyDescent="0.25">
      <c r="A9" s="11" t="s">
        <v>12</v>
      </c>
      <c r="B9" s="22">
        <v>1540</v>
      </c>
      <c r="C9" s="22">
        <v>1440</v>
      </c>
      <c r="D9" s="22">
        <v>1340</v>
      </c>
      <c r="F9" s="3"/>
    </row>
    <row r="10" spans="1:6" x14ac:dyDescent="0.25">
      <c r="A10" s="11" t="s">
        <v>13</v>
      </c>
      <c r="B10" s="22">
        <v>1580</v>
      </c>
      <c r="C10" s="22">
        <v>1480</v>
      </c>
      <c r="D10" s="22">
        <v>1380</v>
      </c>
      <c r="F10" s="3"/>
    </row>
    <row r="11" spans="1:6" x14ac:dyDescent="0.25">
      <c r="A11" s="11" t="s">
        <v>14</v>
      </c>
      <c r="B11" s="22">
        <v>1600</v>
      </c>
      <c r="C11" s="22">
        <v>1500</v>
      </c>
      <c r="D11" s="22">
        <v>1400</v>
      </c>
      <c r="F11" s="3"/>
    </row>
    <row r="12" spans="1:6" x14ac:dyDescent="0.25">
      <c r="A12" s="11" t="s">
        <v>15</v>
      </c>
      <c r="B12" s="22">
        <v>1620</v>
      </c>
      <c r="C12" s="22">
        <v>1520</v>
      </c>
      <c r="D12" s="22">
        <v>1420</v>
      </c>
      <c r="F12" s="3"/>
    </row>
    <row r="13" spans="1:6" x14ac:dyDescent="0.25">
      <c r="A13" s="11" t="s">
        <v>16</v>
      </c>
      <c r="B13" s="22">
        <v>1650</v>
      </c>
      <c r="C13" s="22">
        <v>1550</v>
      </c>
      <c r="D13" s="22">
        <v>1450</v>
      </c>
      <c r="F13" s="3"/>
    </row>
    <row r="14" spans="1:6" x14ac:dyDescent="0.25">
      <c r="A14" s="11" t="s">
        <v>17</v>
      </c>
      <c r="B14" s="22">
        <v>1700</v>
      </c>
      <c r="C14" s="22">
        <v>1600</v>
      </c>
      <c r="D14" s="22">
        <v>1500</v>
      </c>
      <c r="F14" s="3"/>
    </row>
    <row r="15" spans="1:6" x14ac:dyDescent="0.25">
      <c r="A15" s="11" t="s">
        <v>18</v>
      </c>
      <c r="B15" s="22">
        <v>1750</v>
      </c>
      <c r="C15" s="22">
        <v>1650</v>
      </c>
      <c r="D15" s="22">
        <v>1550</v>
      </c>
      <c r="F15" s="3"/>
    </row>
    <row r="16" spans="1:6" x14ac:dyDescent="0.25">
      <c r="A16" s="2" t="s">
        <v>50</v>
      </c>
      <c r="B16" s="23">
        <f>SUM(B4:B15)</f>
        <v>19165</v>
      </c>
      <c r="C16" s="23">
        <f t="shared" ref="C16:D16" si="0">SUM(C4:C15)</f>
        <v>17930</v>
      </c>
      <c r="D16" s="23">
        <f t="shared" si="0"/>
        <v>16730</v>
      </c>
      <c r="F16" s="3"/>
    </row>
    <row r="17" spans="2:6" x14ac:dyDescent="0.25">
      <c r="B17" s="5"/>
      <c r="D17" s="5"/>
      <c r="F17" s="3"/>
    </row>
    <row r="18" spans="2:6" x14ac:dyDescent="0.25">
      <c r="F1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4C73-7B08-48BF-8FEF-A17C3E2273CB}">
  <dimension ref="A1:Y95"/>
  <sheetViews>
    <sheetView topLeftCell="A8" workbookViewId="0">
      <selection activeCell="G18" sqref="G18"/>
    </sheetView>
  </sheetViews>
  <sheetFormatPr defaultRowHeight="15" x14ac:dyDescent="0.25"/>
  <cols>
    <col min="1" max="1" width="8.140625" style="46" customWidth="1"/>
    <col min="2" max="2" width="24.7109375" style="35" customWidth="1"/>
    <col min="3" max="3" width="20.28515625" style="47" customWidth="1"/>
    <col min="4" max="4" width="17.28515625" style="37" bestFit="1" customWidth="1"/>
    <col min="5" max="5" width="17.5703125" style="37" bestFit="1" customWidth="1"/>
    <col min="6" max="6" width="14" style="37" customWidth="1"/>
    <col min="7" max="7" width="11.140625" style="37" bestFit="1" customWidth="1"/>
    <col min="8" max="8" width="9.28515625" style="37" bestFit="1" customWidth="1"/>
    <col min="9" max="9" width="12" style="37" bestFit="1" customWidth="1"/>
    <col min="10" max="13" width="10.140625" style="37" bestFit="1" customWidth="1"/>
    <col min="14" max="14" width="9.28515625" style="37" bestFit="1" customWidth="1"/>
    <col min="15" max="15" width="10.140625" style="37" bestFit="1" customWidth="1"/>
    <col min="16" max="16" width="9.28515625" style="37" bestFit="1" customWidth="1"/>
    <col min="17" max="21" width="10.140625" style="37" bestFit="1" customWidth="1"/>
    <col min="22" max="22" width="9.28515625" style="37" bestFit="1" customWidth="1"/>
    <col min="23" max="23" width="10.140625" style="37" bestFit="1" customWidth="1"/>
    <col min="24" max="24" width="9.28515625" style="37" bestFit="1" customWidth="1"/>
    <col min="25" max="25" width="10.140625" style="37" bestFit="1" customWidth="1"/>
    <col min="26" max="16384" width="9.140625" style="37"/>
  </cols>
  <sheetData>
    <row r="1" spans="1:25" x14ac:dyDescent="0.25">
      <c r="A1" s="34"/>
      <c r="C1" s="36"/>
      <c r="D1" s="2"/>
    </row>
    <row r="2" spans="1:25" x14ac:dyDescent="0.25">
      <c r="A2" s="27" t="s">
        <v>51</v>
      </c>
      <c r="B2" s="27" t="s">
        <v>52</v>
      </c>
      <c r="C2" s="38" t="s">
        <v>53</v>
      </c>
      <c r="D2" s="2"/>
    </row>
    <row r="3" spans="1:25" ht="45" customHeight="1" x14ac:dyDescent="0.25">
      <c r="A3" s="39">
        <v>2021</v>
      </c>
      <c r="B3" s="40" t="s">
        <v>23</v>
      </c>
      <c r="C3" s="41">
        <v>3710</v>
      </c>
      <c r="D3" s="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25" x14ac:dyDescent="0.25">
      <c r="A4" s="39">
        <v>2021</v>
      </c>
      <c r="B4" s="40" t="s">
        <v>24</v>
      </c>
      <c r="C4" s="41">
        <v>1380</v>
      </c>
      <c r="D4" s="2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</row>
    <row r="5" spans="1:25" ht="30" x14ac:dyDescent="0.25">
      <c r="A5" s="39">
        <v>2021</v>
      </c>
      <c r="B5" s="40" t="s">
        <v>25</v>
      </c>
      <c r="C5" s="41">
        <v>1140</v>
      </c>
      <c r="D5" s="6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</row>
    <row r="6" spans="1:25" ht="28.5" customHeight="1" x14ac:dyDescent="0.25">
      <c r="A6" s="39">
        <v>2021</v>
      </c>
      <c r="B6" s="40" t="s">
        <v>26</v>
      </c>
      <c r="C6" s="41">
        <v>1260</v>
      </c>
      <c r="D6" s="7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</row>
    <row r="7" spans="1:25" ht="30" customHeight="1" x14ac:dyDescent="0.25">
      <c r="A7" s="39">
        <v>2021</v>
      </c>
      <c r="B7" s="40" t="s">
        <v>27</v>
      </c>
      <c r="C7" s="41">
        <v>590</v>
      </c>
      <c r="D7" s="7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</row>
    <row r="8" spans="1:25" ht="60" customHeight="1" x14ac:dyDescent="0.25">
      <c r="A8" s="39">
        <v>2021</v>
      </c>
      <c r="B8" s="40" t="s">
        <v>43</v>
      </c>
      <c r="C8" s="41">
        <v>967</v>
      </c>
      <c r="D8" s="7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</row>
    <row r="9" spans="1:25" ht="75" customHeight="1" x14ac:dyDescent="0.25">
      <c r="A9" s="39">
        <v>2021</v>
      </c>
      <c r="B9" s="40" t="s">
        <v>45</v>
      </c>
      <c r="C9" s="41">
        <v>787</v>
      </c>
      <c r="D9" s="7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</row>
    <row r="10" spans="1:25" ht="45" customHeight="1" x14ac:dyDescent="0.25">
      <c r="A10" s="39">
        <v>2021</v>
      </c>
      <c r="B10" s="40" t="s">
        <v>46</v>
      </c>
      <c r="C10" s="41">
        <v>1418</v>
      </c>
      <c r="D10" s="7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</row>
    <row r="11" spans="1:25" x14ac:dyDescent="0.25">
      <c r="A11" s="39">
        <v>2022</v>
      </c>
      <c r="B11" s="40" t="s">
        <v>23</v>
      </c>
      <c r="C11" s="41">
        <v>3830</v>
      </c>
      <c r="D11" s="7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</row>
    <row r="12" spans="1:25" x14ac:dyDescent="0.25">
      <c r="A12" s="39">
        <v>2022</v>
      </c>
      <c r="B12" s="40" t="s">
        <v>24</v>
      </c>
      <c r="C12" s="41">
        <v>1440</v>
      </c>
      <c r="D12" s="7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</row>
    <row r="13" spans="1:25" ht="30" x14ac:dyDescent="0.25">
      <c r="A13" s="39">
        <v>2022</v>
      </c>
      <c r="B13" s="40" t="s">
        <v>25</v>
      </c>
      <c r="C13" s="41">
        <v>1200</v>
      </c>
      <c r="D13" s="7"/>
      <c r="E13" s="21"/>
      <c r="G13" s="21"/>
      <c r="I13" s="45"/>
    </row>
    <row r="14" spans="1:25" x14ac:dyDescent="0.25">
      <c r="A14" s="39">
        <v>2022</v>
      </c>
      <c r="B14" s="40" t="s">
        <v>26</v>
      </c>
      <c r="C14" s="41">
        <v>1320</v>
      </c>
      <c r="D14" s="7"/>
      <c r="E14" s="21"/>
      <c r="G14" s="21"/>
      <c r="I14" s="45"/>
    </row>
    <row r="15" spans="1:25" ht="30" x14ac:dyDescent="0.25">
      <c r="A15" s="39">
        <v>2022</v>
      </c>
      <c r="B15" s="40" t="s">
        <v>27</v>
      </c>
      <c r="C15" s="41">
        <v>648</v>
      </c>
      <c r="D15" s="7"/>
      <c r="E15" s="21"/>
      <c r="G15" s="21"/>
      <c r="I15" s="45"/>
    </row>
    <row r="16" spans="1:25" x14ac:dyDescent="0.25">
      <c r="A16" s="39">
        <v>2022</v>
      </c>
      <c r="B16" s="40" t="s">
        <v>43</v>
      </c>
      <c r="C16" s="41">
        <v>1000</v>
      </c>
      <c r="D16" s="7"/>
      <c r="I16" s="45"/>
    </row>
    <row r="17" spans="1:4" x14ac:dyDescent="0.25">
      <c r="A17" s="39">
        <v>2022</v>
      </c>
      <c r="B17" s="40" t="s">
        <v>45</v>
      </c>
      <c r="C17" s="41">
        <v>820</v>
      </c>
      <c r="D17" s="7"/>
    </row>
    <row r="18" spans="1:4" x14ac:dyDescent="0.25">
      <c r="A18" s="39">
        <v>2022</v>
      </c>
      <c r="B18" s="40" t="s">
        <v>46</v>
      </c>
      <c r="C18" s="41">
        <v>1470</v>
      </c>
      <c r="D18" s="7"/>
    </row>
    <row r="19" spans="1:4" ht="30" customHeight="1" x14ac:dyDescent="0.25">
      <c r="A19" s="39">
        <v>2023</v>
      </c>
      <c r="B19" s="40" t="s">
        <v>23</v>
      </c>
      <c r="C19" s="41">
        <v>4010</v>
      </c>
      <c r="D19" s="7"/>
    </row>
    <row r="20" spans="1:4" x14ac:dyDescent="0.25">
      <c r="A20" s="39">
        <v>2023</v>
      </c>
      <c r="B20" s="40" t="s">
        <v>24</v>
      </c>
      <c r="C20" s="41">
        <v>1525</v>
      </c>
      <c r="D20" s="7"/>
    </row>
    <row r="21" spans="1:4" x14ac:dyDescent="0.25">
      <c r="A21" s="39">
        <v>2023</v>
      </c>
      <c r="B21" s="40" t="s">
        <v>25</v>
      </c>
      <c r="C21" s="41">
        <v>1400</v>
      </c>
      <c r="D21" s="7"/>
    </row>
    <row r="22" spans="1:4" x14ac:dyDescent="0.25">
      <c r="A22" s="39">
        <v>2023</v>
      </c>
      <c r="B22" s="40" t="s">
        <v>26</v>
      </c>
      <c r="C22" s="41">
        <v>1450</v>
      </c>
      <c r="D22" s="7"/>
    </row>
    <row r="23" spans="1:4" x14ac:dyDescent="0.25">
      <c r="A23" s="39">
        <v>2023</v>
      </c>
      <c r="B23" s="40" t="s">
        <v>27</v>
      </c>
      <c r="C23" s="41">
        <v>700</v>
      </c>
      <c r="D23" s="7"/>
    </row>
    <row r="24" spans="1:4" x14ac:dyDescent="0.25">
      <c r="A24" s="39">
        <v>2023</v>
      </c>
      <c r="B24" s="40" t="s">
        <v>43</v>
      </c>
      <c r="C24" s="41">
        <v>1010</v>
      </c>
      <c r="D24" s="7"/>
    </row>
    <row r="25" spans="1:4" x14ac:dyDescent="0.25">
      <c r="A25" s="39">
        <v>2023</v>
      </c>
      <c r="B25" s="40" t="s">
        <v>45</v>
      </c>
      <c r="C25" s="41">
        <v>833</v>
      </c>
      <c r="D25" s="7"/>
    </row>
    <row r="26" spans="1:4" x14ac:dyDescent="0.25">
      <c r="A26" s="52">
        <v>2023</v>
      </c>
      <c r="B26" s="53" t="s">
        <v>46</v>
      </c>
      <c r="C26" s="54">
        <v>1526</v>
      </c>
      <c r="D26" s="7"/>
    </row>
    <row r="27" spans="1:4" x14ac:dyDescent="0.25">
      <c r="D27" s="7"/>
    </row>
    <row r="28" spans="1:4" x14ac:dyDescent="0.25">
      <c r="A28" s="48"/>
      <c r="B28" s="49"/>
      <c r="C28" s="50"/>
      <c r="D28" s="7"/>
    </row>
    <row r="29" spans="1:4" x14ac:dyDescent="0.25">
      <c r="A29" s="51"/>
      <c r="B29" s="49"/>
      <c r="C29" s="50"/>
      <c r="D29" s="7"/>
    </row>
    <row r="30" spans="1:4" x14ac:dyDescent="0.25">
      <c r="A30" s="48"/>
      <c r="B30" s="49"/>
      <c r="C30" s="50"/>
      <c r="D30" s="7"/>
    </row>
    <row r="31" spans="1:4" x14ac:dyDescent="0.25">
      <c r="A31" s="48"/>
      <c r="B31" s="49"/>
      <c r="C31" s="50"/>
      <c r="D31" s="7"/>
    </row>
    <row r="32" spans="1:4" x14ac:dyDescent="0.25">
      <c r="A32" s="48"/>
      <c r="B32" s="49"/>
      <c r="C32" s="50"/>
      <c r="D32" s="7"/>
    </row>
    <row r="33" spans="1:4" x14ac:dyDescent="0.25">
      <c r="A33" s="48"/>
      <c r="B33" s="49"/>
      <c r="C33" s="50"/>
      <c r="D33" s="7"/>
    </row>
    <row r="34" spans="1:4" x14ac:dyDescent="0.25">
      <c r="A34" s="48"/>
      <c r="B34" s="49"/>
      <c r="C34" s="50"/>
      <c r="D34" s="7"/>
    </row>
    <row r="35" spans="1:4" x14ac:dyDescent="0.25">
      <c r="A35" s="48"/>
      <c r="B35" s="49"/>
      <c r="C35" s="50"/>
      <c r="D35" s="7"/>
    </row>
    <row r="36" spans="1:4" x14ac:dyDescent="0.25">
      <c r="A36" s="48"/>
      <c r="B36" s="49"/>
      <c r="C36" s="50"/>
      <c r="D36" s="7"/>
    </row>
    <row r="37" spans="1:4" x14ac:dyDescent="0.25">
      <c r="A37" s="51"/>
      <c r="B37" s="49"/>
      <c r="C37" s="50"/>
      <c r="D37" s="7"/>
    </row>
    <row r="38" spans="1:4" x14ac:dyDescent="0.25">
      <c r="A38" s="48"/>
      <c r="B38" s="49"/>
      <c r="C38" s="50"/>
      <c r="D38" s="7"/>
    </row>
    <row r="39" spans="1:4" x14ac:dyDescent="0.25">
      <c r="A39" s="48"/>
      <c r="B39" s="49"/>
      <c r="C39" s="50"/>
      <c r="D39" s="7"/>
    </row>
    <row r="40" spans="1:4" x14ac:dyDescent="0.25">
      <c r="A40" s="48"/>
      <c r="B40" s="49"/>
      <c r="C40" s="50"/>
      <c r="D40" s="7"/>
    </row>
    <row r="41" spans="1:4" x14ac:dyDescent="0.25">
      <c r="A41" s="48"/>
      <c r="B41" s="49"/>
      <c r="C41" s="50"/>
      <c r="D41" s="7"/>
    </row>
    <row r="42" spans="1:4" x14ac:dyDescent="0.25">
      <c r="A42" s="48"/>
      <c r="B42" s="49"/>
      <c r="C42" s="50"/>
      <c r="D42" s="7"/>
    </row>
    <row r="43" spans="1:4" x14ac:dyDescent="0.25">
      <c r="A43" s="48"/>
      <c r="B43" s="49"/>
      <c r="C43" s="50"/>
      <c r="D43" s="7"/>
    </row>
    <row r="44" spans="1:4" x14ac:dyDescent="0.25">
      <c r="A44" s="48"/>
      <c r="B44" s="49"/>
      <c r="C44" s="50"/>
      <c r="D44" s="7"/>
    </row>
    <row r="45" spans="1:4" x14ac:dyDescent="0.25">
      <c r="A45" s="51"/>
      <c r="B45" s="49"/>
      <c r="C45" s="50"/>
      <c r="D45" s="7"/>
    </row>
    <row r="46" spans="1:4" x14ac:dyDescent="0.25">
      <c r="A46" s="48"/>
      <c r="B46" s="49"/>
      <c r="C46" s="50"/>
      <c r="D46" s="7"/>
    </row>
    <row r="47" spans="1:4" x14ac:dyDescent="0.25">
      <c r="A47" s="48"/>
      <c r="B47" s="49"/>
      <c r="C47" s="50"/>
      <c r="D47" s="7"/>
    </row>
    <row r="48" spans="1:4" x14ac:dyDescent="0.25">
      <c r="A48" s="48"/>
      <c r="B48" s="49"/>
      <c r="C48" s="50"/>
      <c r="D48" s="7"/>
    </row>
    <row r="49" spans="1:4" x14ac:dyDescent="0.25">
      <c r="A49" s="48"/>
      <c r="B49" s="49"/>
      <c r="C49" s="50"/>
      <c r="D49" s="7"/>
    </row>
    <row r="50" spans="1:4" x14ac:dyDescent="0.25">
      <c r="A50" s="48"/>
      <c r="B50" s="49"/>
      <c r="C50" s="50"/>
      <c r="D50" s="7"/>
    </row>
    <row r="51" spans="1:4" x14ac:dyDescent="0.25">
      <c r="A51" s="48"/>
      <c r="B51" s="49"/>
      <c r="C51" s="50"/>
      <c r="D51" s="7"/>
    </row>
    <row r="52" spans="1:4" x14ac:dyDescent="0.25">
      <c r="A52" s="48"/>
      <c r="B52" s="49"/>
      <c r="C52" s="50"/>
      <c r="D52" s="7"/>
    </row>
    <row r="53" spans="1:4" x14ac:dyDescent="0.25">
      <c r="A53" s="51"/>
      <c r="B53" s="49"/>
      <c r="C53" s="50"/>
      <c r="D53" s="7"/>
    </row>
    <row r="54" spans="1:4" x14ac:dyDescent="0.25">
      <c r="A54" s="48"/>
      <c r="B54" s="49"/>
      <c r="C54" s="50"/>
      <c r="D54" s="7"/>
    </row>
    <row r="55" spans="1:4" x14ac:dyDescent="0.25">
      <c r="A55" s="48"/>
      <c r="B55" s="49"/>
      <c r="C55" s="50"/>
      <c r="D55" s="7"/>
    </row>
    <row r="56" spans="1:4" x14ac:dyDescent="0.25">
      <c r="A56" s="48"/>
      <c r="B56" s="49"/>
      <c r="C56" s="50"/>
      <c r="D56" s="7"/>
    </row>
    <row r="57" spans="1:4" x14ac:dyDescent="0.25">
      <c r="A57" s="48"/>
      <c r="B57" s="49"/>
      <c r="C57" s="50"/>
      <c r="D57" s="7"/>
    </row>
    <row r="58" spans="1:4" x14ac:dyDescent="0.25">
      <c r="A58" s="48"/>
      <c r="B58" s="49"/>
      <c r="C58" s="50"/>
      <c r="D58" s="7"/>
    </row>
    <row r="59" spans="1:4" x14ac:dyDescent="0.25">
      <c r="A59" s="48"/>
      <c r="B59" s="49"/>
      <c r="C59" s="50"/>
      <c r="D59" s="7"/>
    </row>
    <row r="60" spans="1:4" x14ac:dyDescent="0.25">
      <c r="A60" s="48"/>
      <c r="B60" s="49"/>
      <c r="C60" s="50"/>
      <c r="D60" s="7"/>
    </row>
    <row r="61" spans="1:4" x14ac:dyDescent="0.25">
      <c r="A61" s="51"/>
      <c r="B61" s="49"/>
      <c r="C61" s="50"/>
      <c r="D61" s="7"/>
    </row>
    <row r="62" spans="1:4" x14ac:dyDescent="0.25">
      <c r="A62" s="48"/>
      <c r="B62" s="49"/>
      <c r="C62" s="50"/>
      <c r="D62" s="7"/>
    </row>
    <row r="63" spans="1:4" x14ac:dyDescent="0.25">
      <c r="A63" s="48"/>
      <c r="B63" s="49"/>
      <c r="C63" s="50"/>
      <c r="D63" s="7"/>
    </row>
    <row r="64" spans="1:4" x14ac:dyDescent="0.25">
      <c r="A64" s="48"/>
      <c r="B64" s="49"/>
      <c r="C64" s="50"/>
      <c r="D64" s="7"/>
    </row>
    <row r="65" spans="1:4" x14ac:dyDescent="0.25">
      <c r="A65" s="48"/>
      <c r="B65" s="49"/>
      <c r="C65" s="50"/>
      <c r="D65" s="7"/>
    </row>
    <row r="66" spans="1:4" x14ac:dyDescent="0.25">
      <c r="A66" s="48"/>
      <c r="B66" s="49"/>
      <c r="C66" s="50"/>
      <c r="D66" s="7"/>
    </row>
    <row r="67" spans="1:4" x14ac:dyDescent="0.25">
      <c r="A67" s="48"/>
      <c r="B67" s="49"/>
      <c r="C67" s="50"/>
      <c r="D67" s="7"/>
    </row>
    <row r="68" spans="1:4" x14ac:dyDescent="0.25">
      <c r="A68" s="48"/>
      <c r="B68" s="49"/>
      <c r="C68" s="50"/>
      <c r="D68" s="7"/>
    </row>
    <row r="69" spans="1:4" x14ac:dyDescent="0.25">
      <c r="A69" s="51"/>
      <c r="B69" s="49"/>
      <c r="C69" s="50"/>
      <c r="D69" s="7"/>
    </row>
    <row r="70" spans="1:4" x14ac:dyDescent="0.25">
      <c r="A70" s="48"/>
      <c r="B70" s="49"/>
      <c r="C70" s="50"/>
      <c r="D70" s="7"/>
    </row>
    <row r="71" spans="1:4" x14ac:dyDescent="0.25">
      <c r="A71" s="48"/>
      <c r="B71" s="49"/>
      <c r="C71" s="50"/>
      <c r="D71" s="7"/>
    </row>
    <row r="72" spans="1:4" x14ac:dyDescent="0.25">
      <c r="A72" s="48"/>
      <c r="B72" s="49"/>
      <c r="C72" s="50"/>
      <c r="D72" s="7"/>
    </row>
    <row r="73" spans="1:4" x14ac:dyDescent="0.25">
      <c r="A73" s="48"/>
      <c r="B73" s="49"/>
      <c r="C73" s="50"/>
      <c r="D73" s="7"/>
    </row>
    <row r="74" spans="1:4" x14ac:dyDescent="0.25">
      <c r="A74" s="48"/>
      <c r="B74" s="49"/>
      <c r="C74" s="50"/>
      <c r="D74" s="7"/>
    </row>
    <row r="75" spans="1:4" x14ac:dyDescent="0.25">
      <c r="A75" s="48"/>
      <c r="B75" s="49"/>
      <c r="C75" s="50"/>
      <c r="D75" s="7"/>
    </row>
    <row r="76" spans="1:4" x14ac:dyDescent="0.25">
      <c r="A76" s="48"/>
      <c r="B76" s="49"/>
      <c r="C76" s="50"/>
      <c r="D76" s="7"/>
    </row>
    <row r="77" spans="1:4" x14ac:dyDescent="0.25">
      <c r="A77" s="51"/>
      <c r="B77" s="49"/>
      <c r="C77" s="50"/>
      <c r="D77" s="7"/>
    </row>
    <row r="78" spans="1:4" x14ac:dyDescent="0.25">
      <c r="A78" s="48"/>
      <c r="B78" s="49"/>
      <c r="C78" s="50"/>
      <c r="D78" s="7"/>
    </row>
    <row r="79" spans="1:4" x14ac:dyDescent="0.25">
      <c r="A79" s="48"/>
      <c r="B79" s="49"/>
      <c r="C79" s="50"/>
      <c r="D79" s="7"/>
    </row>
    <row r="80" spans="1:4" x14ac:dyDescent="0.25">
      <c r="A80" s="48"/>
      <c r="B80" s="49"/>
      <c r="C80" s="50"/>
      <c r="D80" s="7"/>
    </row>
    <row r="81" spans="1:4" x14ac:dyDescent="0.25">
      <c r="A81" s="48"/>
      <c r="B81" s="49"/>
      <c r="C81" s="50"/>
      <c r="D81" s="7"/>
    </row>
    <row r="82" spans="1:4" x14ac:dyDescent="0.25">
      <c r="A82" s="48"/>
      <c r="B82" s="49"/>
      <c r="C82" s="50"/>
      <c r="D82" s="7"/>
    </row>
    <row r="83" spans="1:4" x14ac:dyDescent="0.25">
      <c r="A83" s="48"/>
      <c r="B83" s="49"/>
      <c r="C83" s="50"/>
      <c r="D83" s="7"/>
    </row>
    <row r="84" spans="1:4" x14ac:dyDescent="0.25">
      <c r="A84" s="48"/>
      <c r="B84" s="49"/>
      <c r="C84" s="50"/>
      <c r="D84" s="7"/>
    </row>
    <row r="85" spans="1:4" x14ac:dyDescent="0.25">
      <c r="A85" s="51"/>
      <c r="B85" s="49"/>
      <c r="C85" s="50"/>
      <c r="D85" s="7"/>
    </row>
    <row r="86" spans="1:4" x14ac:dyDescent="0.25">
      <c r="A86" s="48"/>
      <c r="B86" s="49"/>
      <c r="C86" s="50"/>
      <c r="D86" s="7"/>
    </row>
    <row r="87" spans="1:4" x14ac:dyDescent="0.25">
      <c r="A87" s="48"/>
      <c r="B87" s="49"/>
      <c r="C87" s="50"/>
      <c r="D87" s="7"/>
    </row>
    <row r="88" spans="1:4" x14ac:dyDescent="0.25">
      <c r="A88" s="48"/>
      <c r="B88" s="49"/>
      <c r="C88" s="50"/>
      <c r="D88" s="7"/>
    </row>
    <row r="89" spans="1:4" x14ac:dyDescent="0.25">
      <c r="A89" s="48"/>
      <c r="B89" s="49"/>
      <c r="C89" s="50"/>
      <c r="D89" s="7"/>
    </row>
    <row r="90" spans="1:4" x14ac:dyDescent="0.25">
      <c r="A90" s="48"/>
      <c r="B90" s="49"/>
      <c r="C90" s="50"/>
      <c r="D90" s="7"/>
    </row>
    <row r="91" spans="1:4" x14ac:dyDescent="0.25">
      <c r="A91" s="48"/>
      <c r="B91" s="49"/>
      <c r="C91" s="50"/>
      <c r="D91" s="7"/>
    </row>
    <row r="92" spans="1:4" x14ac:dyDescent="0.25">
      <c r="A92" s="48"/>
      <c r="B92" s="49"/>
      <c r="C92" s="50"/>
      <c r="D92" s="7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02D8-E423-43AF-9599-DD19C1BA4614}">
  <dimension ref="B18"/>
  <sheetViews>
    <sheetView tabSelected="1" workbookViewId="0">
      <selection activeCell="I22" sqref="I22"/>
    </sheetView>
  </sheetViews>
  <sheetFormatPr defaultRowHeight="12.75" x14ac:dyDescent="0.2"/>
  <cols>
    <col min="1" max="16384" width="9.140625" style="117"/>
  </cols>
  <sheetData>
    <row r="18" spans="2:2" ht="26.25" x14ac:dyDescent="0.4">
      <c r="B18" s="118" t="s">
        <v>135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4210-EEBE-4EA0-90C6-108E269CB2B8}">
  <dimension ref="B1:AG94"/>
  <sheetViews>
    <sheetView zoomScale="89" zoomScaleNormal="89" workbookViewId="0">
      <selection activeCell="Q21" sqref="Q21"/>
    </sheetView>
  </sheetViews>
  <sheetFormatPr defaultColWidth="6" defaultRowHeight="12.75" x14ac:dyDescent="0.2"/>
  <cols>
    <col min="1" max="1" width="3.42578125" style="15" customWidth="1"/>
    <col min="2" max="2" width="37" style="15" bestFit="1" customWidth="1"/>
    <col min="3" max="3" width="15.140625" style="15" customWidth="1"/>
    <col min="4" max="4" width="13.7109375" style="15" bestFit="1" customWidth="1"/>
    <col min="5" max="5" width="14.42578125" style="15" customWidth="1"/>
    <col min="6" max="6" width="2.42578125" style="15" customWidth="1"/>
    <col min="7" max="7" width="14.7109375" style="15" customWidth="1"/>
    <col min="8" max="8" width="15.42578125" style="15" customWidth="1"/>
    <col min="9" max="9" width="12.5703125" style="15" customWidth="1"/>
    <col min="10" max="10" width="10.140625" style="15" bestFit="1" customWidth="1"/>
    <col min="11" max="11" width="9.85546875" style="15" bestFit="1" customWidth="1"/>
    <col min="12" max="12" width="11.42578125" style="15" customWidth="1"/>
    <col min="13" max="13" width="14" style="15" customWidth="1"/>
    <col min="14" max="14" width="6" style="15"/>
    <col min="15" max="15" width="16.28515625" style="15" bestFit="1" customWidth="1"/>
    <col min="16" max="16" width="10.28515625" style="15" customWidth="1"/>
    <col min="17" max="17" width="28.42578125" style="15" customWidth="1"/>
    <col min="18" max="18" width="6" style="15" customWidth="1"/>
    <col min="19" max="19" width="6" style="15"/>
    <col min="20" max="20" width="6.7109375" style="15" bestFit="1" customWidth="1"/>
    <col min="21" max="21" width="9.5703125" style="15" bestFit="1" customWidth="1"/>
    <col min="22" max="23" width="6" style="15"/>
    <col min="24" max="24" width="6" style="15" customWidth="1"/>
    <col min="25" max="16384" width="6" style="15"/>
  </cols>
  <sheetData>
    <row r="1" spans="2:20" ht="15.75" x14ac:dyDescent="0.25">
      <c r="B1" s="16" t="s">
        <v>36</v>
      </c>
    </row>
    <row r="3" spans="2:20" ht="13.5" customHeight="1" x14ac:dyDescent="0.2">
      <c r="B3" s="55" t="s">
        <v>60</v>
      </c>
      <c r="C3" s="70" t="s">
        <v>63</v>
      </c>
      <c r="I3" s="115" t="s">
        <v>56</v>
      </c>
      <c r="J3" s="115"/>
      <c r="K3" s="115"/>
      <c r="L3" s="115"/>
      <c r="M3" s="115"/>
    </row>
    <row r="4" spans="2:20" ht="15.75" customHeight="1" x14ac:dyDescent="0.2"/>
    <row r="5" spans="2:20" ht="26.25" thickBot="1" x14ac:dyDescent="0.25">
      <c r="B5" s="71" t="s">
        <v>37</v>
      </c>
      <c r="C5" s="71">
        <v>2021</v>
      </c>
      <c r="D5" s="71">
        <v>2022</v>
      </c>
      <c r="E5" s="71">
        <v>2023</v>
      </c>
      <c r="G5" s="72" t="s">
        <v>54</v>
      </c>
      <c r="H5" s="72" t="s">
        <v>55</v>
      </c>
      <c r="I5" s="73">
        <v>2024</v>
      </c>
      <c r="J5" s="73">
        <v>2025</v>
      </c>
      <c r="K5" s="73">
        <v>2026</v>
      </c>
      <c r="L5" s="73">
        <v>2027</v>
      </c>
      <c r="M5" s="73">
        <v>2028</v>
      </c>
    </row>
    <row r="6" spans="2:20" x14ac:dyDescent="0.2">
      <c r="B6" s="15" t="s">
        <v>39</v>
      </c>
      <c r="C6" s="30">
        <f>Revenue!D$17</f>
        <v>40200</v>
      </c>
      <c r="D6" s="30">
        <f>Revenue!C17</f>
        <v>42600</v>
      </c>
      <c r="E6" s="30">
        <f>Revenue!B17</f>
        <v>44850</v>
      </c>
      <c r="G6" s="61">
        <f>D6/C6-1</f>
        <v>5.9701492537313383E-2</v>
      </c>
      <c r="H6" s="61">
        <f>E6/D6-1</f>
        <v>5.2816901408450745E-2</v>
      </c>
      <c r="I6" s="67">
        <f ca="1">E6*(1+I39)</f>
        <v>47092.5</v>
      </c>
      <c r="J6" s="67">
        <f ca="1">I6*(1+J39)</f>
        <v>49447.125</v>
      </c>
      <c r="K6" s="67">
        <f ca="1">J6*(1+K39)</f>
        <v>51919.481250000004</v>
      </c>
      <c r="L6" s="67">
        <f ca="1">K6*(1+L39)</f>
        <v>54515.455312500009</v>
      </c>
      <c r="M6" s="67">
        <f ca="1">L6*(1+M39)</f>
        <v>57241.228078125016</v>
      </c>
    </row>
    <row r="7" spans="2:20" ht="13.5" thickBot="1" x14ac:dyDescent="0.25">
      <c r="B7" s="17" t="s">
        <v>40</v>
      </c>
      <c r="C7" s="31">
        <f>-Cogs!D16</f>
        <v>-16730</v>
      </c>
      <c r="D7" s="31">
        <f>-Cogs!C16</f>
        <v>-17930</v>
      </c>
      <c r="E7" s="31">
        <f>-Cogs!B16</f>
        <v>-19165</v>
      </c>
      <c r="G7" s="61">
        <f t="shared" ref="G7:G20" si="0">D7/C7-1</f>
        <v>7.1727435744172174E-2</v>
      </c>
      <c r="H7" s="61">
        <f t="shared" ref="H7:H21" si="1">E7/D7-1</f>
        <v>6.8878973786949294E-2</v>
      </c>
      <c r="I7" s="24">
        <f ca="1">I6*I46</f>
        <v>-19307.924999999999</v>
      </c>
      <c r="J7" s="24">
        <f ca="1">J6*I46</f>
        <v>-20273.321249999997</v>
      </c>
      <c r="K7" s="24">
        <f ca="1">K6*J46</f>
        <v>-21286.987312500001</v>
      </c>
      <c r="L7" s="24">
        <f ca="1">L6*K46</f>
        <v>-22351.336678125004</v>
      </c>
      <c r="M7" s="24">
        <f ca="1">M6*L46</f>
        <v>-23468.903512031255</v>
      </c>
    </row>
    <row r="8" spans="2:20" x14ac:dyDescent="0.2">
      <c r="B8" s="18" t="s">
        <v>41</v>
      </c>
      <c r="C8" s="32">
        <f>SUM(C6:C7)</f>
        <v>23470</v>
      </c>
      <c r="D8" s="32">
        <f t="shared" ref="D8:E8" si="2">SUM(D6:D7)</f>
        <v>24670</v>
      </c>
      <c r="E8" s="32">
        <f t="shared" si="2"/>
        <v>25685</v>
      </c>
      <c r="G8" s="62">
        <f t="shared" si="0"/>
        <v>5.1129100979974362E-2</v>
      </c>
      <c r="H8" s="62">
        <f t="shared" si="1"/>
        <v>4.1143088771787628E-2</v>
      </c>
      <c r="I8" s="74">
        <f t="shared" ref="I8" ca="1" si="3">SUM(I6:I7)</f>
        <v>27784.575000000001</v>
      </c>
      <c r="J8" s="74">
        <f t="shared" ref="J8" ca="1" si="4">SUM(J6:J7)</f>
        <v>29173.803750000003</v>
      </c>
      <c r="K8" s="74">
        <f t="shared" ref="K8" ca="1" si="5">SUM(K6:K7)</f>
        <v>30632.493937500003</v>
      </c>
      <c r="L8" s="74">
        <f t="shared" ref="L8" ca="1" si="6">SUM(L6:L7)</f>
        <v>32164.118634375005</v>
      </c>
      <c r="M8" s="74">
        <f t="shared" ref="M8" ca="1" si="7">SUM(M6:M7)</f>
        <v>33772.324566093761</v>
      </c>
    </row>
    <row r="9" spans="2:20" x14ac:dyDescent="0.2">
      <c r="B9" s="15" t="s">
        <v>23</v>
      </c>
      <c r="C9" s="30">
        <f>-SUMIFS(Expenses!$C:$C,Expenses!$B:$B,'P&amp;L'!$B9,Expenses!$A:$A,'P&amp;L'!C$5)</f>
        <v>-3710</v>
      </c>
      <c r="D9" s="30">
        <f>-SUMIFS(Expenses!$C:$C,Expenses!$B:$B,'P&amp;L'!$B9,Expenses!$A:$A,'P&amp;L'!D$5)</f>
        <v>-3830</v>
      </c>
      <c r="E9" s="30">
        <f>-SUMIFS(Expenses!$C:$C,Expenses!$B:$B,'P&amp;L'!$B9,Expenses!$A:$A,'P&amp;L'!E$5)</f>
        <v>-4010</v>
      </c>
      <c r="G9" s="61">
        <f t="shared" si="0"/>
        <v>3.2345013477088846E-2</v>
      </c>
      <c r="H9" s="61">
        <f t="shared" si="1"/>
        <v>4.6997389033942572E-2</v>
      </c>
      <c r="I9" s="67">
        <f ca="1">E9*(1+I61)</f>
        <v>-4090.2000000000003</v>
      </c>
      <c r="J9" s="67">
        <f ca="1">I9*(1+J61)</f>
        <v>-4172.0039999999999</v>
      </c>
      <c r="K9" s="67">
        <f ca="1">J9*(1+K61)</f>
        <v>-4255.4440800000002</v>
      </c>
      <c r="L9" s="67">
        <f ca="1">K9*(1+L61)</f>
        <v>-4340.5529616000003</v>
      </c>
      <c r="M9" s="67">
        <f ca="1">L9*(1+M61)</f>
        <v>-4427.3640208320003</v>
      </c>
      <c r="P9" s="103" t="s">
        <v>68</v>
      </c>
      <c r="Q9" s="69"/>
      <c r="R9" s="69"/>
      <c r="S9" s="69"/>
      <c r="T9" s="68">
        <f>AVERAGE(G9:H9)</f>
        <v>3.9671201255515709E-2</v>
      </c>
    </row>
    <row r="10" spans="2:20" x14ac:dyDescent="0.2">
      <c r="B10" s="15" t="s">
        <v>24</v>
      </c>
      <c r="C10" s="30">
        <f>-SUMIFS(Expenses!$C:$C,Expenses!$B:$B,'P&amp;L'!$B10,Expenses!$A:$A,'P&amp;L'!C$5)</f>
        <v>-1380</v>
      </c>
      <c r="D10" s="30">
        <f>-SUMIFS(Expenses!$C:$C,Expenses!$B:$B,'P&amp;L'!$B10,Expenses!$A:$A,'P&amp;L'!D$5)</f>
        <v>-1440</v>
      </c>
      <c r="E10" s="30">
        <f>-SUMIFS(Expenses!$C:$C,Expenses!$B:$B,'P&amp;L'!$B10,Expenses!$A:$A,'P&amp;L'!E$5)</f>
        <v>-1525</v>
      </c>
      <c r="G10" s="61">
        <f t="shared" si="0"/>
        <v>4.3478260869565188E-2</v>
      </c>
      <c r="H10" s="61">
        <f t="shared" si="1"/>
        <v>5.9027777777777679E-2</v>
      </c>
      <c r="I10" s="67">
        <f ca="1">E10*(1+I68)</f>
        <v>-1570.75</v>
      </c>
      <c r="J10" s="67">
        <f ca="1">I10*(1+J68)</f>
        <v>-1617.8724999999999</v>
      </c>
      <c r="K10" s="67">
        <f ca="1">J10*(1+K68)</f>
        <v>-1666.4086749999999</v>
      </c>
      <c r="L10" s="67">
        <f ca="1">K10*(1+L68)</f>
        <v>-1716.40093525</v>
      </c>
      <c r="M10" s="67">
        <f ca="1">L10*(1+M68)</f>
        <v>-1767.8929633074999</v>
      </c>
      <c r="P10" s="103" t="s">
        <v>69</v>
      </c>
      <c r="Q10" s="69"/>
      <c r="R10" s="69"/>
      <c r="S10" s="69"/>
      <c r="T10" s="68">
        <f>AVERAGE(G10:H10)</f>
        <v>5.1253019323671434E-2</v>
      </c>
    </row>
    <row r="11" spans="2:20" x14ac:dyDescent="0.2">
      <c r="B11" s="15" t="s">
        <v>25</v>
      </c>
      <c r="C11" s="30">
        <f>-SUMIFS(Expenses!$C:$C,Expenses!$B:$B,'P&amp;L'!$B11,Expenses!$A:$A,'P&amp;L'!C$5)</f>
        <v>-1140</v>
      </c>
      <c r="D11" s="30">
        <f>-SUMIFS(Expenses!$C:$C,Expenses!$B:$B,'P&amp;L'!$B11,Expenses!$A:$A,'P&amp;L'!D$5)</f>
        <v>-1200</v>
      </c>
      <c r="E11" s="30">
        <f>-SUMIFS(Expenses!$C:$C,Expenses!$B:$B,'P&amp;L'!$B11,Expenses!$A:$A,'P&amp;L'!E$5)</f>
        <v>-1400</v>
      </c>
      <c r="G11" s="61">
        <f t="shared" si="0"/>
        <v>5.2631578947368363E-2</v>
      </c>
      <c r="H11" s="61">
        <f t="shared" si="1"/>
        <v>0.16666666666666674</v>
      </c>
      <c r="I11" s="67">
        <f ca="1">E11*(1+I75)</f>
        <v>-1526</v>
      </c>
      <c r="J11" s="67">
        <f ca="1">I11*(1+J75)</f>
        <v>-1663.3400000000001</v>
      </c>
      <c r="K11" s="67">
        <f ca="1">J11*(1+K75)</f>
        <v>-1813.0406000000003</v>
      </c>
      <c r="L11" s="67">
        <f ca="1">K11*(1+L75)</f>
        <v>-1976.2142540000004</v>
      </c>
      <c r="M11" s="67">
        <f ca="1">L11*(1+M75)</f>
        <v>-2154.0735368600008</v>
      </c>
      <c r="P11" s="103" t="s">
        <v>70</v>
      </c>
      <c r="Q11" s="69"/>
      <c r="R11" s="69"/>
      <c r="S11" s="69"/>
      <c r="T11" s="68">
        <f>AVERAGE(G11:H11)</f>
        <v>0.10964912280701755</v>
      </c>
    </row>
    <row r="12" spans="2:20" x14ac:dyDescent="0.2">
      <c r="B12" s="15" t="s">
        <v>26</v>
      </c>
      <c r="C12" s="30">
        <f>-SUMIFS(Expenses!$C:$C,Expenses!$B:$B,'P&amp;L'!$B12,Expenses!$A:$A,'P&amp;L'!C$5)</f>
        <v>-1260</v>
      </c>
      <c r="D12" s="30">
        <f>-SUMIFS(Expenses!$C:$C,Expenses!$B:$B,'P&amp;L'!$B12,Expenses!$A:$A,'P&amp;L'!D$5)</f>
        <v>-1320</v>
      </c>
      <c r="E12" s="30">
        <f>-SUMIFS(Expenses!$C:$C,Expenses!$B:$B,'P&amp;L'!$B12,Expenses!$A:$A,'P&amp;L'!E$5)</f>
        <v>-1450</v>
      </c>
      <c r="G12" s="61">
        <f t="shared" si="0"/>
        <v>4.7619047619047672E-2</v>
      </c>
      <c r="H12" s="61">
        <f t="shared" si="1"/>
        <v>9.8484848484848397E-2</v>
      </c>
      <c r="I12" s="67">
        <f ca="1">E12*(1+I82)</f>
        <v>-1522.5</v>
      </c>
      <c r="J12" s="67">
        <f ca="1">I12*(1+J82)</f>
        <v>-1598.625</v>
      </c>
      <c r="K12" s="67">
        <f ca="1">J12*(1+K82)</f>
        <v>-1678.5562500000001</v>
      </c>
      <c r="L12" s="67">
        <f ca="1">K12*(1+L82)</f>
        <v>-1762.4840625000002</v>
      </c>
      <c r="M12" s="67">
        <f ca="1">L12*(1+M82)</f>
        <v>-1850.6082656250003</v>
      </c>
      <c r="P12" s="103" t="s">
        <v>71</v>
      </c>
      <c r="Q12" s="69"/>
      <c r="R12" s="69"/>
      <c r="S12" s="69"/>
      <c r="T12" s="68">
        <f>AVERAGE(G12:H12)</f>
        <v>7.3051948051948035E-2</v>
      </c>
    </row>
    <row r="13" spans="2:20" x14ac:dyDescent="0.2">
      <c r="B13" s="15" t="s">
        <v>27</v>
      </c>
      <c r="C13" s="30">
        <f>-SUMIFS(Expenses!$C:$C,Expenses!$B:$B,'P&amp;L'!$B13,Expenses!$A:$A,'P&amp;L'!C$5)</f>
        <v>-590</v>
      </c>
      <c r="D13" s="30">
        <f>-SUMIFS(Expenses!$C:$C,Expenses!$B:$B,'P&amp;L'!$B13,Expenses!$A:$A,'P&amp;L'!D$5)</f>
        <v>-648</v>
      </c>
      <c r="E13" s="30">
        <f>-SUMIFS(Expenses!$C:$C,Expenses!$B:$B,'P&amp;L'!$B13,Expenses!$A:$A,'P&amp;L'!E$5)</f>
        <v>-700</v>
      </c>
      <c r="G13" s="61">
        <f t="shared" si="0"/>
        <v>9.8305084745762716E-2</v>
      </c>
      <c r="H13" s="61">
        <f t="shared" si="1"/>
        <v>8.0246913580246826E-2</v>
      </c>
      <c r="I13" s="67">
        <f ca="1">E13*(1+I89)</f>
        <v>-749</v>
      </c>
      <c r="J13" s="67">
        <f ca="1">I13*(1+J89)</f>
        <v>-801.43000000000006</v>
      </c>
      <c r="K13" s="67">
        <f ca="1">J13*(1+K89)</f>
        <v>-857.53010000000006</v>
      </c>
      <c r="L13" s="67">
        <f ca="1">K13*(1+L89)</f>
        <v>-917.55720700000006</v>
      </c>
      <c r="M13" s="67">
        <f ca="1">L13*(1+M89)</f>
        <v>-981.78621149000014</v>
      </c>
      <c r="P13" s="103" t="s">
        <v>72</v>
      </c>
      <c r="Q13" s="69"/>
      <c r="R13" s="69"/>
      <c r="S13" s="69"/>
      <c r="T13" s="68">
        <f>AVERAGE(G13:H13)</f>
        <v>8.9275999163004771E-2</v>
      </c>
    </row>
    <row r="14" spans="2:20" ht="13.5" thickBot="1" x14ac:dyDescent="0.25">
      <c r="B14" s="15" t="s">
        <v>49</v>
      </c>
      <c r="C14" s="30">
        <f>SUM(C9:C13)</f>
        <v>-8080</v>
      </c>
      <c r="D14" s="30">
        <f t="shared" ref="D14:E14" si="8">SUM(D9:D13)</f>
        <v>-8438</v>
      </c>
      <c r="E14" s="30">
        <f t="shared" si="8"/>
        <v>-9085</v>
      </c>
      <c r="G14" s="61">
        <f t="shared" si="0"/>
        <v>4.4306930693069235E-2</v>
      </c>
      <c r="H14" s="61">
        <f t="shared" si="1"/>
        <v>7.6676937662953248E-2</v>
      </c>
      <c r="I14" s="67">
        <f ca="1">I6*I54</f>
        <v>-8947.5750000000007</v>
      </c>
      <c r="J14" s="67">
        <f ca="1">J6*J53</f>
        <v>-9394.9537500000006</v>
      </c>
      <c r="K14" s="67">
        <f ca="1">K6*K53</f>
        <v>-9864.7014375000017</v>
      </c>
      <c r="L14" s="67">
        <f ca="1">L6*L53</f>
        <v>-10357.936509375002</v>
      </c>
      <c r="M14" s="67">
        <f ca="1">M6*M53</f>
        <v>-10875.833334843754</v>
      </c>
    </row>
    <row r="15" spans="2:20" x14ac:dyDescent="0.2">
      <c r="B15" s="75" t="s">
        <v>42</v>
      </c>
      <c r="C15" s="76">
        <f>SUM(C8,C14)</f>
        <v>15390</v>
      </c>
      <c r="D15" s="76">
        <f t="shared" ref="D15:E15" si="9">SUM(D8,D14)</f>
        <v>16232</v>
      </c>
      <c r="E15" s="76">
        <f t="shared" si="9"/>
        <v>16600</v>
      </c>
      <c r="G15" s="62">
        <f t="shared" si="0"/>
        <v>5.4710851202079303E-2</v>
      </c>
      <c r="H15" s="62">
        <f t="shared" si="1"/>
        <v>2.2671266633809806E-2</v>
      </c>
      <c r="I15" s="77">
        <f t="shared" ref="I15" ca="1" si="10">SUM(I8,I14)</f>
        <v>18837</v>
      </c>
      <c r="J15" s="77">
        <f t="shared" ref="J15" ca="1" si="11">SUM(J8,J14)</f>
        <v>19778.850000000002</v>
      </c>
      <c r="K15" s="77">
        <f t="shared" ref="K15" ca="1" si="12">SUM(K8,K14)</f>
        <v>20767.792500000003</v>
      </c>
      <c r="L15" s="77">
        <f t="shared" ref="L15" ca="1" si="13">SUM(L8,L14)</f>
        <v>21806.182125000003</v>
      </c>
      <c r="M15" s="77">
        <f t="shared" ref="M15" ca="1" si="14">SUM(M8,M14)</f>
        <v>22896.491231250009</v>
      </c>
    </row>
    <row r="16" spans="2:20" ht="13.5" thickBot="1" x14ac:dyDescent="0.25">
      <c r="B16" s="17" t="s">
        <v>43</v>
      </c>
      <c r="C16" s="31">
        <f>-SUMIFS(Expenses!$C:$C,Expenses!$B:$B,'P&amp;L'!$B16,Expenses!$A:$A,'P&amp;L'!C$5)</f>
        <v>-967</v>
      </c>
      <c r="D16" s="31">
        <f>-SUMIFS(Expenses!$C:$C,Expenses!$B:$B,'P&amp;L'!$B16,Expenses!$A:$A,'P&amp;L'!D$5)</f>
        <v>-1000</v>
      </c>
      <c r="E16" s="31">
        <f>-SUMIFS(Expenses!$C:$C,Expenses!$B:$B,'P&amp;L'!$B16,Expenses!$A:$A,'P&amp;L'!E$5)</f>
        <v>-1010</v>
      </c>
      <c r="G16" s="61">
        <f t="shared" si="0"/>
        <v>3.4126163391933861E-2</v>
      </c>
      <c r="H16" s="61">
        <f t="shared" si="1"/>
        <v>1.0000000000000009E-2</v>
      </c>
      <c r="I16" s="67">
        <f>'Fixed Asset Roll Forward'!F6</f>
        <v>-1113.3747341281949</v>
      </c>
      <c r="J16" s="67">
        <f>'Fixed Asset Roll Forward'!G6</f>
        <v>-1186.2610448083581</v>
      </c>
      <c r="K16" s="67">
        <f>'Fixed Asset Roll Forward'!H6</f>
        <v>-1263.9188076525811</v>
      </c>
      <c r="L16" s="67">
        <f>'Fixed Asset Roll Forward'!I6</f>
        <v>-1346.660382492792</v>
      </c>
      <c r="M16" s="67">
        <f>'Fixed Asset Roll Forward'!J6</f>
        <v>-1434.8185775823313</v>
      </c>
    </row>
    <row r="17" spans="2:33" x14ac:dyDescent="0.2">
      <c r="B17" s="75" t="s">
        <v>44</v>
      </c>
      <c r="C17" s="76">
        <f>SUM(C15:C16)</f>
        <v>14423</v>
      </c>
      <c r="D17" s="76">
        <f t="shared" ref="D17:E17" si="15">SUM(D15:D16)</f>
        <v>15232</v>
      </c>
      <c r="E17" s="76">
        <f t="shared" si="15"/>
        <v>15590</v>
      </c>
      <c r="G17" s="62">
        <f t="shared" si="0"/>
        <v>5.6090965818484273E-2</v>
      </c>
      <c r="H17" s="62">
        <f t="shared" si="1"/>
        <v>2.3503151260504174E-2</v>
      </c>
      <c r="I17" s="77">
        <f t="shared" ref="I17" ca="1" si="16">SUM(I15:I16)</f>
        <v>17723.625265871804</v>
      </c>
      <c r="J17" s="77">
        <f t="shared" ref="J17" ca="1" si="17">SUM(J15:J16)</f>
        <v>18592.588955191644</v>
      </c>
      <c r="K17" s="77">
        <f t="shared" ref="K17" ca="1" si="18">SUM(K15:K16)</f>
        <v>19503.873692347421</v>
      </c>
      <c r="L17" s="77">
        <f t="shared" ref="L17" ca="1" si="19">SUM(L15:L16)</f>
        <v>20459.521742507211</v>
      </c>
      <c r="M17" s="77">
        <f t="shared" ref="M17" ca="1" si="20">SUM(M15:M16)</f>
        <v>21461.67265366768</v>
      </c>
    </row>
    <row r="18" spans="2:33" ht="13.5" thickBot="1" x14ac:dyDescent="0.25">
      <c r="B18" s="17" t="s">
        <v>45</v>
      </c>
      <c r="C18" s="31">
        <f>-SUMIFS(Expenses!$C:$C,Expenses!$B:$B,'P&amp;L'!$B18,Expenses!$A:$A,'P&amp;L'!C$5)</f>
        <v>-787</v>
      </c>
      <c r="D18" s="31">
        <f>-SUMIFS(Expenses!$C:$C,Expenses!$B:$B,'P&amp;L'!$B18,Expenses!$A:$A,'P&amp;L'!D$5)</f>
        <v>-820</v>
      </c>
      <c r="E18" s="31">
        <f>-SUMIFS(Expenses!$C:$C,Expenses!$B:$B,'P&amp;L'!$B18,Expenses!$A:$A,'P&amp;L'!E$5)</f>
        <v>-833</v>
      </c>
      <c r="G18" s="61">
        <f t="shared" si="0"/>
        <v>4.1931385006353183E-2</v>
      </c>
      <c r="H18" s="61">
        <f t="shared" si="1"/>
        <v>1.585365853658538E-2</v>
      </c>
      <c r="I18" s="24">
        <f>'Financial Liabilities'!C26</f>
        <v>-1665</v>
      </c>
      <c r="J18" s="24">
        <f>'Financial Liabilities'!D26</f>
        <v>-1555.4095503014589</v>
      </c>
      <c r="K18" s="24">
        <f>'Financial Liabilities'!E26</f>
        <v>-1435.9559601300489</v>
      </c>
      <c r="L18" s="24">
        <f>'Financial Liabilities'!F26</f>
        <v>-1305.7515468432121</v>
      </c>
      <c r="M18" s="24">
        <f>'Financial Liabilities'!G26</f>
        <v>-1163.8287363605598</v>
      </c>
    </row>
    <row r="19" spans="2:33" x14ac:dyDescent="0.2">
      <c r="B19" s="75" t="s">
        <v>47</v>
      </c>
      <c r="C19" s="76">
        <f>SUM(C17:C18)</f>
        <v>13636</v>
      </c>
      <c r="D19" s="76">
        <f t="shared" ref="D19:E19" si="21">SUM(D17:D18)</f>
        <v>14412</v>
      </c>
      <c r="E19" s="76">
        <f t="shared" si="21"/>
        <v>14757</v>
      </c>
      <c r="G19" s="62">
        <f t="shared" si="0"/>
        <v>5.6908184218245728E-2</v>
      </c>
      <c r="H19" s="62">
        <f t="shared" si="1"/>
        <v>2.3938384679433877E-2</v>
      </c>
      <c r="I19" s="77">
        <f t="shared" ref="I19" ca="1" si="22">SUM(I17:I18)</f>
        <v>16058.625265871804</v>
      </c>
      <c r="J19" s="77">
        <f t="shared" ref="J19" ca="1" si="23">SUM(J17:J18)</f>
        <v>17037.179404890187</v>
      </c>
      <c r="K19" s="77">
        <f t="shared" ref="K19" ca="1" si="24">SUM(K17:K18)</f>
        <v>18067.917732217371</v>
      </c>
      <c r="L19" s="77">
        <f t="shared" ref="L19" ca="1" si="25">SUM(L17:L18)</f>
        <v>19153.770195664001</v>
      </c>
      <c r="M19" s="77">
        <f t="shared" ref="M19" ca="1" si="26">SUM(M17:M18)</f>
        <v>20297.84391730712</v>
      </c>
    </row>
    <row r="20" spans="2:33" ht="13.5" thickBot="1" x14ac:dyDescent="0.25">
      <c r="B20" s="15" t="s">
        <v>46</v>
      </c>
      <c r="C20" s="31">
        <f>-SUMIFS(Expenses!$C:$C,Expenses!$B:$B,'P&amp;L'!$B20,Expenses!$A:$A,'P&amp;L'!C$5)</f>
        <v>-1418</v>
      </c>
      <c r="D20" s="31">
        <f>-SUMIFS(Expenses!$C:$C,Expenses!$B:$B,'P&amp;L'!$B20,Expenses!$A:$A,'P&amp;L'!D$5)</f>
        <v>-1470</v>
      </c>
      <c r="E20" s="31">
        <f>-SUMIFS(Expenses!$C:$C,Expenses!$B:$B,'P&amp;L'!$B20,Expenses!$A:$A,'P&amp;L'!E$5)</f>
        <v>-1526</v>
      </c>
      <c r="G20" s="61">
        <f t="shared" si="0"/>
        <v>3.667136812411842E-2</v>
      </c>
      <c r="H20" s="61">
        <f t="shared" si="1"/>
        <v>3.8095238095238182E-2</v>
      </c>
      <c r="I20" s="30">
        <f ca="1">-I19*I94</f>
        <v>-1605.8625265871806</v>
      </c>
      <c r="J20" s="30">
        <f ca="1">-J19*J94</f>
        <v>-1703.7179404890187</v>
      </c>
      <c r="K20" s="30">
        <f ca="1">-K19*K94</f>
        <v>-1806.7917732217372</v>
      </c>
      <c r="L20" s="30">
        <f ca="1">-L19*L94</f>
        <v>-1915.3770195664001</v>
      </c>
      <c r="M20" s="30">
        <f ca="1">-M19*M94</f>
        <v>-2029.7843917307121</v>
      </c>
    </row>
    <row r="21" spans="2:33" ht="13.5" thickBot="1" x14ac:dyDescent="0.25">
      <c r="B21" s="19" t="s">
        <v>48</v>
      </c>
      <c r="C21" s="33">
        <f>SUM(C19:C20)</f>
        <v>12218</v>
      </c>
      <c r="D21" s="33">
        <f t="shared" ref="D21:E21" si="27">SUM(D19:D20)</f>
        <v>12942</v>
      </c>
      <c r="E21" s="33">
        <f t="shared" si="27"/>
        <v>13231</v>
      </c>
      <c r="G21" s="63">
        <f>D21/C21-1</f>
        <v>5.9256834179080009E-2</v>
      </c>
      <c r="H21" s="63">
        <f t="shared" si="1"/>
        <v>2.2330397156544501E-2</v>
      </c>
      <c r="I21" s="78">
        <f t="shared" ref="I21" ca="1" si="28">SUM(I19:I20)</f>
        <v>14452.762739284623</v>
      </c>
      <c r="J21" s="78">
        <f t="shared" ref="J21" ca="1" si="29">SUM(J19:J20)</f>
        <v>15333.461464401167</v>
      </c>
      <c r="K21" s="78">
        <f t="shared" ref="K21" ca="1" si="30">SUM(K19:K20)</f>
        <v>16261.125958995633</v>
      </c>
      <c r="L21" s="78">
        <f t="shared" ref="L21" ca="1" si="31">SUM(L19:L20)</f>
        <v>17238.393176097601</v>
      </c>
      <c r="M21" s="78">
        <f t="shared" ref="M21" ca="1" si="32">SUM(M19:M20)</f>
        <v>18268.059525576409</v>
      </c>
    </row>
    <row r="22" spans="2:33" x14ac:dyDescent="0.2">
      <c r="B22" s="89"/>
      <c r="C22" s="113"/>
      <c r="D22" s="113"/>
      <c r="E22" s="113"/>
      <c r="G22" s="105"/>
      <c r="H22" s="105"/>
      <c r="I22" s="114"/>
      <c r="J22" s="114"/>
      <c r="K22" s="114"/>
      <c r="L22" s="114"/>
      <c r="M22" s="114"/>
    </row>
    <row r="24" spans="2:33" x14ac:dyDescent="0.2">
      <c r="B24" s="59" t="s">
        <v>118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2:33" x14ac:dyDescent="0.2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2:33" x14ac:dyDescent="0.2">
      <c r="B26" s="59" t="s">
        <v>125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2:33" x14ac:dyDescent="0.2">
      <c r="B27" s="14" t="s">
        <v>119</v>
      </c>
      <c r="C27" s="14"/>
      <c r="D27" s="82"/>
      <c r="E27" s="82"/>
      <c r="F27" s="82"/>
      <c r="G27" s="14"/>
      <c r="H27" s="82"/>
      <c r="I27" s="64">
        <f ca="1">J6/I6-1</f>
        <v>5.0000000000000044E-2</v>
      </c>
      <c r="J27" s="64">
        <f ca="1">K6/J6-1</f>
        <v>5.0000000000000044E-2</v>
      </c>
      <c r="K27" s="64">
        <f ca="1">L6/K6-1</f>
        <v>5.0000000000000044E-2</v>
      </c>
      <c r="L27" s="64">
        <f ca="1">M6/L6-1</f>
        <v>5.0000000000000044E-2</v>
      </c>
      <c r="M27" s="64">
        <f ca="1">M6/L6-1</f>
        <v>5.0000000000000044E-2</v>
      </c>
      <c r="N27" s="106"/>
      <c r="AC27" s="110"/>
      <c r="AD27" s="110"/>
      <c r="AE27" s="110"/>
      <c r="AF27" s="110"/>
      <c r="AG27" s="110"/>
    </row>
    <row r="28" spans="2:33" x14ac:dyDescent="0.2">
      <c r="B28" s="14"/>
      <c r="C28" s="14"/>
      <c r="D28" s="14"/>
      <c r="E28" s="14"/>
      <c r="F28" s="14"/>
      <c r="G28" s="14"/>
      <c r="H28" s="14"/>
      <c r="I28" s="108"/>
      <c r="J28" s="108"/>
      <c r="K28" s="108"/>
      <c r="L28" s="108"/>
      <c r="M28" s="108"/>
      <c r="AC28" s="110"/>
      <c r="AD28" s="110"/>
      <c r="AE28" s="110"/>
      <c r="AF28" s="110"/>
      <c r="AG28" s="110"/>
    </row>
    <row r="29" spans="2:33" x14ac:dyDescent="0.2">
      <c r="B29" s="59" t="s">
        <v>134</v>
      </c>
      <c r="C29" s="14"/>
      <c r="D29" s="14"/>
      <c r="E29" s="14"/>
      <c r="F29" s="14"/>
      <c r="G29" s="14"/>
      <c r="H29" s="14"/>
      <c r="I29" s="108"/>
      <c r="J29" s="108"/>
      <c r="K29" s="108"/>
      <c r="L29" s="108"/>
      <c r="M29" s="108"/>
      <c r="AC29" s="110"/>
      <c r="AD29" s="110"/>
      <c r="AE29" s="110"/>
      <c r="AF29" s="110"/>
      <c r="AG29" s="110"/>
    </row>
    <row r="30" spans="2:33" x14ac:dyDescent="0.2">
      <c r="B30" s="14" t="s">
        <v>120</v>
      </c>
      <c r="C30" s="14"/>
      <c r="D30" s="14"/>
      <c r="E30" s="14"/>
      <c r="F30" s="14"/>
      <c r="G30" s="14"/>
      <c r="H30" s="60"/>
      <c r="I30" s="64">
        <f ca="1">SUM(I6+I7)/SUM(I6)</f>
        <v>0.59</v>
      </c>
      <c r="J30" s="64">
        <f ca="1">SUM(J6+J7)/SUM(J6)</f>
        <v>0.59000000000000008</v>
      </c>
      <c r="K30" s="64">
        <f ca="1">SUM(K6+K7)/SUM(K6)</f>
        <v>0.59</v>
      </c>
      <c r="L30" s="64">
        <f ca="1">SUM(L6+L7)/SUM(L6)</f>
        <v>0.59</v>
      </c>
      <c r="M30" s="64">
        <f ca="1">SUM(M6+M7)/SUM(M6)</f>
        <v>0.59000000000000008</v>
      </c>
      <c r="AC30" s="110"/>
      <c r="AD30" s="110"/>
      <c r="AE30" s="110"/>
      <c r="AF30" s="110"/>
      <c r="AG30" s="110"/>
    </row>
    <row r="31" spans="2:33" x14ac:dyDescent="0.2">
      <c r="B31" s="14" t="s">
        <v>121</v>
      </c>
      <c r="C31" s="14"/>
      <c r="D31" s="14"/>
      <c r="E31" s="14"/>
      <c r="F31" s="14"/>
      <c r="G31" s="14"/>
      <c r="H31" s="14"/>
      <c r="I31" s="64">
        <f ca="1">I17/I6</f>
        <v>0.37635770591647938</v>
      </c>
      <c r="J31" s="64">
        <f ca="1">J17/J6</f>
        <v>0.37600950419648554</v>
      </c>
      <c r="K31" s="64">
        <f ca="1">K17/K6</f>
        <v>0.37565617419082781</v>
      </c>
      <c r="L31" s="64">
        <f ca="1">L17/L6</f>
        <v>0.37529764037054619</v>
      </c>
      <c r="M31" s="64">
        <f ca="1">M17/M6</f>
        <v>0.37493382609429637</v>
      </c>
      <c r="AC31" s="110"/>
      <c r="AD31" s="110"/>
      <c r="AE31" s="110"/>
      <c r="AF31" s="110"/>
      <c r="AG31" s="110"/>
    </row>
    <row r="32" spans="2:33" x14ac:dyDescent="0.2">
      <c r="B32" s="14" t="s">
        <v>122</v>
      </c>
      <c r="C32" s="14"/>
      <c r="D32" s="14"/>
      <c r="E32" s="14"/>
      <c r="F32" s="14"/>
      <c r="G32" s="14"/>
      <c r="H32" s="14"/>
      <c r="I32" s="64">
        <f ca="1">I21/I6</f>
        <v>0.30690158176534738</v>
      </c>
      <c r="J32" s="64">
        <f ca="1">J21/J6</f>
        <v>0.31009813946515935</v>
      </c>
      <c r="K32" s="64">
        <f ca="1">K21/K6</f>
        <v>0.31319892971765068</v>
      </c>
      <c r="L32" s="64">
        <f ca="1">L21/L6</f>
        <v>0.3162111198976808</v>
      </c>
      <c r="M32" s="64">
        <f ca="1">M21/M6</f>
        <v>0.31914164211577473</v>
      </c>
      <c r="AC32" s="110"/>
      <c r="AD32" s="110"/>
      <c r="AE32" s="110"/>
      <c r="AF32" s="110"/>
      <c r="AG32" s="110"/>
    </row>
    <row r="33" spans="2:33" x14ac:dyDescent="0.2">
      <c r="B33" s="14" t="s">
        <v>123</v>
      </c>
      <c r="C33" s="14"/>
      <c r="D33" s="14"/>
      <c r="E33" s="14"/>
      <c r="F33" s="14"/>
      <c r="G33" s="14"/>
      <c r="H33" s="14"/>
      <c r="I33" s="109">
        <f ca="1">I21/BS!F11</f>
        <v>0.2014680627427019</v>
      </c>
      <c r="J33" s="109">
        <f ca="1">J21/BS!G11</f>
        <v>0.19105041767798753</v>
      </c>
      <c r="K33" s="109">
        <f ca="1">K21/BS!H11</f>
        <v>0.18219795312052636</v>
      </c>
      <c r="L33" s="109">
        <f ca="1">L21/BS!I11</f>
        <v>0.17459953098311978</v>
      </c>
      <c r="M33" s="109">
        <f ca="1">M21/BS!J11</f>
        <v>0.16802241958269284</v>
      </c>
      <c r="AC33" s="111"/>
      <c r="AD33" s="111"/>
      <c r="AE33" s="111"/>
      <c r="AF33" s="111"/>
      <c r="AG33" s="111"/>
    </row>
    <row r="34" spans="2:33" x14ac:dyDescent="0.2">
      <c r="B34" s="14" t="s">
        <v>124</v>
      </c>
      <c r="C34" s="14"/>
      <c r="D34" s="14"/>
      <c r="E34" s="14"/>
      <c r="F34" s="14"/>
      <c r="G34" s="14"/>
      <c r="H34" s="14"/>
      <c r="I34" s="109">
        <f ca="1">I21/BS!E16</f>
        <v>0.44049871195625184</v>
      </c>
      <c r="J34" s="109">
        <f ca="1">J21/BS!F16</f>
        <v>0.36964437622414292</v>
      </c>
      <c r="K34" s="109">
        <f ca="1">K21/BS!G16</f>
        <v>0.32084785795697524</v>
      </c>
      <c r="L34" s="109">
        <f ca="1">L21/BS!H16</f>
        <v>0.28522247935141515</v>
      </c>
      <c r="M34" s="109">
        <f ca="1">M21/BS!I16</f>
        <v>0.25809107551621818</v>
      </c>
      <c r="AC34" s="111"/>
      <c r="AD34" s="111"/>
      <c r="AE34" s="111"/>
      <c r="AF34" s="111"/>
      <c r="AG34" s="111"/>
    </row>
    <row r="36" spans="2:33" x14ac:dyDescent="0.2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O36" s="104"/>
    </row>
    <row r="37" spans="2:33" x14ac:dyDescent="0.2">
      <c r="B37" s="14" t="s">
        <v>59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2:33" x14ac:dyDescent="0.2">
      <c r="B38" s="14" t="s">
        <v>62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O38" s="104"/>
    </row>
    <row r="39" spans="2:33" x14ac:dyDescent="0.2">
      <c r="B39" s="59" t="s">
        <v>67</v>
      </c>
      <c r="C39" s="14"/>
      <c r="D39" s="14"/>
      <c r="E39" s="14"/>
      <c r="F39" s="14"/>
      <c r="G39" s="14"/>
      <c r="H39" s="60"/>
      <c r="I39" s="60">
        <f ca="1">OFFSET(I39,MATCH($C$3,$B$40:$B$42,0),0)</f>
        <v>0.05</v>
      </c>
      <c r="J39" s="60">
        <f ca="1">OFFSET(J39,MATCH($C$3,$B$40:$B$42,0),0)</f>
        <v>0.05</v>
      </c>
      <c r="K39" s="60">
        <f ca="1">OFFSET(K39,MATCH($C$3,$B$40:$B$42,0),0)</f>
        <v>0.05</v>
      </c>
      <c r="L39" s="60">
        <f ca="1">OFFSET(L39,MATCH($C$3,$B$40:$B$42,0),0)</f>
        <v>0.05</v>
      </c>
      <c r="M39" s="60">
        <f ca="1">OFFSET(M39,MATCH($C$3,$B$40:$B$42,0),0)</f>
        <v>0.05</v>
      </c>
    </row>
    <row r="40" spans="2:33" x14ac:dyDescent="0.2">
      <c r="B40" s="14" t="s">
        <v>63</v>
      </c>
      <c r="C40" s="58"/>
      <c r="D40" s="58"/>
      <c r="E40" s="58"/>
      <c r="F40" s="14"/>
      <c r="G40" s="14"/>
      <c r="H40" s="66"/>
      <c r="I40" s="66">
        <v>0.05</v>
      </c>
      <c r="J40" s="66">
        <v>0.05</v>
      </c>
      <c r="K40" s="66">
        <v>0.05</v>
      </c>
      <c r="L40" s="66">
        <v>0.05</v>
      </c>
      <c r="M40" s="66">
        <v>0.05</v>
      </c>
    </row>
    <row r="41" spans="2:33" x14ac:dyDescent="0.2">
      <c r="B41" s="14" t="s">
        <v>61</v>
      </c>
      <c r="C41" s="58"/>
      <c r="D41" s="58"/>
      <c r="E41" s="58"/>
      <c r="F41" s="14"/>
      <c r="G41" s="14"/>
      <c r="H41" s="66"/>
      <c r="I41" s="66">
        <v>0.03</v>
      </c>
      <c r="J41" s="66">
        <v>0.03</v>
      </c>
      <c r="K41" s="66">
        <v>0.03</v>
      </c>
      <c r="L41" s="66">
        <v>0.03</v>
      </c>
      <c r="M41" s="66">
        <v>0.03</v>
      </c>
      <c r="O41" s="104"/>
    </row>
    <row r="42" spans="2:33" x14ac:dyDescent="0.2">
      <c r="B42" s="14" t="s">
        <v>64</v>
      </c>
      <c r="C42" s="58"/>
      <c r="D42" s="58"/>
      <c r="E42" s="58"/>
      <c r="F42" s="14"/>
      <c r="G42" s="14"/>
      <c r="H42" s="66"/>
      <c r="I42" s="66">
        <v>0.01</v>
      </c>
      <c r="J42" s="66">
        <v>0.01</v>
      </c>
      <c r="K42" s="66">
        <v>0.01</v>
      </c>
      <c r="L42" s="66">
        <v>0.01</v>
      </c>
      <c r="M42" s="66">
        <v>0.01</v>
      </c>
    </row>
    <row r="43" spans="2:33" x14ac:dyDescent="0.2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2:33" x14ac:dyDescent="0.2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2:33" x14ac:dyDescent="0.2">
      <c r="B45" s="14" t="s">
        <v>65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2:33" x14ac:dyDescent="0.2">
      <c r="B46" s="59" t="s">
        <v>67</v>
      </c>
      <c r="C46" s="14"/>
      <c r="D46" s="14"/>
      <c r="E46" s="14"/>
      <c r="F46" s="14"/>
      <c r="G46" s="14"/>
      <c r="H46" s="60"/>
      <c r="I46" s="60">
        <f ca="1">OFFSET(I46,MATCH($C$3,$B$40:$B$42,0),0)</f>
        <v>-0.41</v>
      </c>
      <c r="J46" s="60">
        <f ca="1">OFFSET(J46,MATCH($C$3,$B$40:$B$42,0),0)</f>
        <v>-0.41</v>
      </c>
      <c r="K46" s="60">
        <f ca="1">OFFSET(K46,MATCH($C$3,$B$40:$B$42,0),0)</f>
        <v>-0.41</v>
      </c>
      <c r="L46" s="60">
        <f ca="1">OFFSET(L46,MATCH($C$3,$B$40:$B$42,0),0)</f>
        <v>-0.41</v>
      </c>
      <c r="M46" s="60">
        <f ca="1">OFFSET(M46,MATCH($C$3,$B$40:$B$42,0),0)</f>
        <v>-0.41</v>
      </c>
    </row>
    <row r="47" spans="2:33" x14ac:dyDescent="0.2">
      <c r="B47" s="14" t="s">
        <v>63</v>
      </c>
      <c r="C47" s="64">
        <f>C$7/C$6</f>
        <v>-0.4161691542288557</v>
      </c>
      <c r="D47" s="64">
        <f t="shared" ref="D47:E49" si="33">D$7/D$6</f>
        <v>-0.42089201877934274</v>
      </c>
      <c r="E47" s="64">
        <f t="shared" si="33"/>
        <v>-0.42731326644370121</v>
      </c>
      <c r="F47" s="14"/>
      <c r="G47" s="14"/>
      <c r="H47" s="66"/>
      <c r="I47" s="66">
        <v>-0.41</v>
      </c>
      <c r="J47" s="66">
        <v>-0.41</v>
      </c>
      <c r="K47" s="66">
        <v>-0.41</v>
      </c>
      <c r="L47" s="66">
        <v>-0.41</v>
      </c>
      <c r="M47" s="66">
        <v>-0.41</v>
      </c>
    </row>
    <row r="48" spans="2:33" x14ac:dyDescent="0.2">
      <c r="B48" s="14" t="s">
        <v>61</v>
      </c>
      <c r="C48" s="64">
        <f t="shared" ref="C48:C49" si="34">C$7/C$6</f>
        <v>-0.4161691542288557</v>
      </c>
      <c r="D48" s="64">
        <f t="shared" si="33"/>
        <v>-0.42089201877934274</v>
      </c>
      <c r="E48" s="64">
        <f t="shared" si="33"/>
        <v>-0.42731326644370121</v>
      </c>
      <c r="F48" s="14"/>
      <c r="G48" s="14"/>
      <c r="H48" s="66"/>
      <c r="I48" s="66">
        <v>-0.42</v>
      </c>
      <c r="J48" s="66">
        <v>-0.42</v>
      </c>
      <c r="K48" s="66">
        <v>-0.42</v>
      </c>
      <c r="L48" s="66">
        <v>-0.42</v>
      </c>
      <c r="M48" s="66">
        <v>-0.42</v>
      </c>
    </row>
    <row r="49" spans="2:13" x14ac:dyDescent="0.2">
      <c r="B49" s="14" t="s">
        <v>64</v>
      </c>
      <c r="C49" s="64">
        <f t="shared" si="34"/>
        <v>-0.4161691542288557</v>
      </c>
      <c r="D49" s="64">
        <f t="shared" si="33"/>
        <v>-0.42089201877934274</v>
      </c>
      <c r="E49" s="64">
        <f t="shared" si="33"/>
        <v>-0.42731326644370121</v>
      </c>
      <c r="F49" s="14"/>
      <c r="G49" s="14"/>
      <c r="H49" s="66"/>
      <c r="I49" s="66">
        <v>-0.43</v>
      </c>
      <c r="J49" s="66">
        <v>-0.43</v>
      </c>
      <c r="K49" s="66">
        <v>-0.43</v>
      </c>
      <c r="L49" s="66">
        <v>-0.43</v>
      </c>
      <c r="M49" s="66">
        <v>-0.43</v>
      </c>
    </row>
    <row r="50" spans="2:13" x14ac:dyDescent="0.2">
      <c r="B50" s="14"/>
      <c r="C50" s="65"/>
      <c r="D50" s="65"/>
      <c r="E50" s="65"/>
      <c r="F50" s="14"/>
      <c r="G50" s="14"/>
      <c r="H50" s="14"/>
      <c r="I50" s="14"/>
      <c r="J50" s="14"/>
      <c r="K50" s="14"/>
      <c r="L50" s="14"/>
      <c r="M50" s="14"/>
    </row>
    <row r="51" spans="2:13" x14ac:dyDescent="0.2">
      <c r="B51" s="14"/>
      <c r="C51" s="65"/>
      <c r="D51" s="65"/>
      <c r="E51" s="65"/>
      <c r="F51" s="14"/>
      <c r="G51" s="14"/>
      <c r="H51" s="14"/>
      <c r="I51" s="14"/>
      <c r="J51" s="14"/>
      <c r="K51" s="14"/>
      <c r="L51" s="14"/>
      <c r="M51" s="14"/>
    </row>
    <row r="52" spans="2:13" x14ac:dyDescent="0.2">
      <c r="B52" s="14" t="s">
        <v>66</v>
      </c>
      <c r="C52" s="65"/>
      <c r="D52" s="65"/>
      <c r="E52" s="65"/>
      <c r="F52" s="14"/>
      <c r="G52" s="14"/>
      <c r="H52" s="14"/>
      <c r="I52" s="14"/>
      <c r="J52" s="14"/>
      <c r="K52" s="14"/>
      <c r="L52" s="14"/>
      <c r="M52" s="14"/>
    </row>
    <row r="53" spans="2:13" x14ac:dyDescent="0.2">
      <c r="B53" s="59" t="s">
        <v>67</v>
      </c>
      <c r="C53" s="65"/>
      <c r="D53" s="65"/>
      <c r="E53" s="65"/>
      <c r="F53" s="14"/>
      <c r="G53" s="14"/>
      <c r="H53" s="60"/>
      <c r="I53" s="60">
        <f ca="1">OFFSET(I53,MATCH($C$3,$B$40:$B$42,0),0)</f>
        <v>-0.19</v>
      </c>
      <c r="J53" s="60">
        <f ca="1">OFFSET(J53,MATCH($C$3,$B$40:$B$42,0),0)</f>
        <v>-0.19</v>
      </c>
      <c r="K53" s="60">
        <f ca="1">OFFSET(K53,MATCH($C$3,$B$40:$B$42,0),0)</f>
        <v>-0.19</v>
      </c>
      <c r="L53" s="60">
        <f ca="1">OFFSET(L53,MATCH($C$3,$B$40:$B$42,0),0)</f>
        <v>-0.19</v>
      </c>
      <c r="M53" s="60">
        <f ca="1">OFFSET(M53,MATCH($C$3,$B$40:$B$42,0),0)</f>
        <v>-0.19</v>
      </c>
    </row>
    <row r="54" spans="2:13" x14ac:dyDescent="0.2">
      <c r="B54" s="14" t="s">
        <v>63</v>
      </c>
      <c r="C54" s="64">
        <f>C$14/C$6</f>
        <v>-0.2009950248756219</v>
      </c>
      <c r="D54" s="64">
        <f t="shared" ref="D54:E56" si="35">D$14/D$6</f>
        <v>-0.19807511737089201</v>
      </c>
      <c r="E54" s="64">
        <f t="shared" si="35"/>
        <v>-0.20256410256410257</v>
      </c>
      <c r="F54" s="14"/>
      <c r="G54" s="14"/>
      <c r="H54" s="66"/>
      <c r="I54" s="66">
        <v>-0.19</v>
      </c>
      <c r="J54" s="66">
        <v>-0.19</v>
      </c>
      <c r="K54" s="66">
        <v>-0.19</v>
      </c>
      <c r="L54" s="66">
        <v>-0.19</v>
      </c>
      <c r="M54" s="66">
        <v>-0.19</v>
      </c>
    </row>
    <row r="55" spans="2:13" x14ac:dyDescent="0.2">
      <c r="B55" s="14" t="s">
        <v>61</v>
      </c>
      <c r="C55" s="64">
        <f t="shared" ref="C55:C56" si="36">C$14/C$6</f>
        <v>-0.2009950248756219</v>
      </c>
      <c r="D55" s="64">
        <f t="shared" si="35"/>
        <v>-0.19807511737089201</v>
      </c>
      <c r="E55" s="64">
        <f t="shared" si="35"/>
        <v>-0.20256410256410257</v>
      </c>
      <c r="F55" s="14"/>
      <c r="G55" s="14"/>
      <c r="H55" s="66"/>
      <c r="I55" s="66">
        <v>-0.2</v>
      </c>
      <c r="J55" s="66">
        <v>-0.2</v>
      </c>
      <c r="K55" s="66">
        <v>-0.2</v>
      </c>
      <c r="L55" s="66">
        <v>-0.2</v>
      </c>
      <c r="M55" s="66">
        <v>-0.2</v>
      </c>
    </row>
    <row r="56" spans="2:13" x14ac:dyDescent="0.2">
      <c r="B56" s="14" t="s">
        <v>64</v>
      </c>
      <c r="C56" s="64">
        <f t="shared" si="36"/>
        <v>-0.2009950248756219</v>
      </c>
      <c r="D56" s="64">
        <f t="shared" si="35"/>
        <v>-0.19807511737089201</v>
      </c>
      <c r="E56" s="64">
        <f t="shared" si="35"/>
        <v>-0.20256410256410257</v>
      </c>
      <c r="F56" s="14"/>
      <c r="G56" s="14"/>
      <c r="H56" s="66"/>
      <c r="I56" s="66">
        <v>-0.21</v>
      </c>
      <c r="J56" s="66">
        <v>-0.21</v>
      </c>
      <c r="K56" s="66">
        <v>-0.21</v>
      </c>
      <c r="L56" s="66">
        <v>-0.21</v>
      </c>
      <c r="M56" s="66">
        <v>-0.21</v>
      </c>
    </row>
    <row r="57" spans="2:13" x14ac:dyDescent="0.2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2:13" x14ac:dyDescent="0.2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2:13" x14ac:dyDescent="0.2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2:13" x14ac:dyDescent="0.2">
      <c r="B60" s="14" t="s">
        <v>68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2:13" x14ac:dyDescent="0.2">
      <c r="B61" s="59" t="s">
        <v>67</v>
      </c>
      <c r="C61" s="14"/>
      <c r="D61" s="14"/>
      <c r="E61" s="14"/>
      <c r="F61" s="14"/>
      <c r="G61" s="14"/>
      <c r="H61" s="60"/>
      <c r="I61" s="60">
        <f ca="1">OFFSET(I61,MATCH($C$3,$B$40:$B$42,0),0)</f>
        <v>0.02</v>
      </c>
      <c r="J61" s="60">
        <f ca="1">OFFSET(J61,MATCH($C$3,$B$40:$B$42,0),0)</f>
        <v>0.02</v>
      </c>
      <c r="K61" s="60">
        <f ca="1">OFFSET(K61,MATCH($C$3,$B$40:$B$42,0),0)</f>
        <v>0.02</v>
      </c>
      <c r="L61" s="60">
        <f ca="1">OFFSET(L61,MATCH($C$3,$B$40:$B$42,0),0)</f>
        <v>0.02</v>
      </c>
      <c r="M61" s="60">
        <f ca="1">OFFSET(M61,MATCH($C$3,$B$40:$B$42,0),0)</f>
        <v>0.02</v>
      </c>
    </row>
    <row r="62" spans="2:13" x14ac:dyDescent="0.2">
      <c r="B62" s="14" t="s">
        <v>63</v>
      </c>
      <c r="C62" s="58"/>
      <c r="D62" s="58"/>
      <c r="E62" s="58"/>
      <c r="F62" s="14"/>
      <c r="G62" s="14"/>
      <c r="H62" s="66"/>
      <c r="I62" s="66">
        <v>0.02</v>
      </c>
      <c r="J62" s="66">
        <v>0.02</v>
      </c>
      <c r="K62" s="66">
        <v>0.02</v>
      </c>
      <c r="L62" s="66">
        <v>0.02</v>
      </c>
      <c r="M62" s="66">
        <v>0.02</v>
      </c>
    </row>
    <row r="63" spans="2:13" x14ac:dyDescent="0.2">
      <c r="B63" s="14" t="s">
        <v>61</v>
      </c>
      <c r="C63" s="58"/>
      <c r="D63" s="58"/>
      <c r="E63" s="58"/>
      <c r="F63" s="14"/>
      <c r="G63" s="14"/>
      <c r="H63" s="66"/>
      <c r="I63" s="66">
        <v>0.03</v>
      </c>
      <c r="J63" s="66">
        <v>0.03</v>
      </c>
      <c r="K63" s="66">
        <v>0.03</v>
      </c>
      <c r="L63" s="66">
        <v>0.03</v>
      </c>
      <c r="M63" s="66">
        <v>0.03</v>
      </c>
    </row>
    <row r="64" spans="2:13" x14ac:dyDescent="0.2">
      <c r="B64" s="14" t="s">
        <v>64</v>
      </c>
      <c r="C64" s="58"/>
      <c r="D64" s="58"/>
      <c r="E64" s="58"/>
      <c r="F64" s="14"/>
      <c r="G64" s="14"/>
      <c r="H64" s="66"/>
      <c r="I64" s="66">
        <v>0.04</v>
      </c>
      <c r="J64" s="66">
        <v>0.04</v>
      </c>
      <c r="K64" s="66">
        <v>0.04</v>
      </c>
      <c r="L64" s="66">
        <v>0.04</v>
      </c>
      <c r="M64" s="66">
        <v>0.04</v>
      </c>
    </row>
    <row r="65" spans="2:13" x14ac:dyDescent="0.2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2:13" x14ac:dyDescent="0.2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2:13" x14ac:dyDescent="0.2">
      <c r="B67" s="14" t="s">
        <v>69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2:13" x14ac:dyDescent="0.2">
      <c r="B68" s="59" t="s">
        <v>67</v>
      </c>
      <c r="C68" s="14"/>
      <c r="D68" s="14"/>
      <c r="E68" s="14"/>
      <c r="F68" s="14"/>
      <c r="G68" s="14"/>
      <c r="H68" s="60"/>
      <c r="I68" s="60">
        <f ca="1">OFFSET(I68,MATCH($C$3,$B$40:$B$42,0),0)</f>
        <v>0.03</v>
      </c>
      <c r="J68" s="60">
        <f ca="1">OFFSET(J68,MATCH($C$3,$B$40:$B$42,0),0)</f>
        <v>0.03</v>
      </c>
      <c r="K68" s="60">
        <f ca="1">OFFSET(K68,MATCH($C$3,$B$40:$B$42,0),0)</f>
        <v>0.03</v>
      </c>
      <c r="L68" s="60">
        <f ca="1">OFFSET(L68,MATCH($C$3,$B$40:$B$42,0),0)</f>
        <v>0.03</v>
      </c>
      <c r="M68" s="60">
        <f ca="1">OFFSET(M68,MATCH($C$3,$B$40:$B$42,0),0)</f>
        <v>0.03</v>
      </c>
    </row>
    <row r="69" spans="2:13" x14ac:dyDescent="0.2">
      <c r="B69" s="14" t="s">
        <v>63</v>
      </c>
      <c r="C69" s="58"/>
      <c r="D69" s="58"/>
      <c r="E69" s="58"/>
      <c r="F69" s="14"/>
      <c r="G69" s="14"/>
      <c r="H69" s="66"/>
      <c r="I69" s="66">
        <v>0.03</v>
      </c>
      <c r="J69" s="66">
        <v>0.03</v>
      </c>
      <c r="K69" s="66">
        <v>0.03</v>
      </c>
      <c r="L69" s="66">
        <v>0.03</v>
      </c>
      <c r="M69" s="66">
        <v>0.03</v>
      </c>
    </row>
    <row r="70" spans="2:13" x14ac:dyDescent="0.2">
      <c r="B70" s="14" t="s">
        <v>61</v>
      </c>
      <c r="C70" s="58"/>
      <c r="D70" s="58"/>
      <c r="E70" s="58"/>
      <c r="F70" s="14"/>
      <c r="G70" s="14"/>
      <c r="H70" s="66"/>
      <c r="I70" s="66">
        <v>4.1000000000000002E-2</v>
      </c>
      <c r="J70" s="66">
        <v>4.1000000000000002E-2</v>
      </c>
      <c r="K70" s="66">
        <v>4.1000000000000002E-2</v>
      </c>
      <c r="L70" s="66">
        <v>4.1000000000000002E-2</v>
      </c>
      <c r="M70" s="66">
        <v>4.1000000000000002E-2</v>
      </c>
    </row>
    <row r="71" spans="2:13" x14ac:dyDescent="0.2">
      <c r="B71" s="14" t="s">
        <v>64</v>
      </c>
      <c r="C71" s="58"/>
      <c r="D71" s="58"/>
      <c r="E71" s="58"/>
      <c r="F71" s="14"/>
      <c r="G71" s="14"/>
      <c r="H71" s="66"/>
      <c r="I71" s="66">
        <v>0.05</v>
      </c>
      <c r="J71" s="66">
        <v>0.05</v>
      </c>
      <c r="K71" s="66">
        <v>0.05</v>
      </c>
      <c r="L71" s="66">
        <v>0.05</v>
      </c>
      <c r="M71" s="66">
        <v>0.05</v>
      </c>
    </row>
    <row r="72" spans="2:13" x14ac:dyDescent="0.2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2:13" x14ac:dyDescent="0.2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2:13" x14ac:dyDescent="0.2">
      <c r="B74" s="14" t="s">
        <v>70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2:13" x14ac:dyDescent="0.2">
      <c r="B75" s="59" t="s">
        <v>67</v>
      </c>
      <c r="C75" s="14"/>
      <c r="D75" s="14"/>
      <c r="E75" s="14"/>
      <c r="F75" s="14"/>
      <c r="G75" s="14"/>
      <c r="H75" s="60"/>
      <c r="I75" s="60">
        <f ca="1">OFFSET(I75,MATCH($C$3,$B$40:$B$42,0),0)</f>
        <v>0.09</v>
      </c>
      <c r="J75" s="60">
        <f ca="1">OFFSET(J75,MATCH($C$3,$B$40:$B$42,0),0)</f>
        <v>0.09</v>
      </c>
      <c r="K75" s="60">
        <f ca="1">OFFSET(K75,MATCH($C$3,$B$40:$B$42,0),0)</f>
        <v>0.09</v>
      </c>
      <c r="L75" s="60">
        <f ca="1">OFFSET(L75,MATCH($C$3,$B$40:$B$42,0),0)</f>
        <v>0.09</v>
      </c>
      <c r="M75" s="60">
        <f ca="1">OFFSET(M75,MATCH($C$3,$B$40:$B$42,0),0)</f>
        <v>0.09</v>
      </c>
    </row>
    <row r="76" spans="2:13" x14ac:dyDescent="0.2">
      <c r="B76" s="14" t="s">
        <v>63</v>
      </c>
      <c r="C76" s="58"/>
      <c r="D76" s="58"/>
      <c r="E76" s="58"/>
      <c r="F76" s="14"/>
      <c r="G76" s="14"/>
      <c r="H76" s="66"/>
      <c r="I76" s="66">
        <v>0.09</v>
      </c>
      <c r="J76" s="66">
        <v>0.09</v>
      </c>
      <c r="K76" s="66">
        <v>0.09</v>
      </c>
      <c r="L76" s="66">
        <v>0.09</v>
      </c>
      <c r="M76" s="66">
        <v>0.09</v>
      </c>
    </row>
    <row r="77" spans="2:13" x14ac:dyDescent="0.2">
      <c r="B77" s="14" t="s">
        <v>61</v>
      </c>
      <c r="C77" s="58"/>
      <c r="D77" s="58"/>
      <c r="E77" s="58"/>
      <c r="F77" s="14"/>
      <c r="G77" s="14"/>
      <c r="H77" s="66"/>
      <c r="I77" s="66">
        <v>0.1</v>
      </c>
      <c r="J77" s="66">
        <v>0.1</v>
      </c>
      <c r="K77" s="66">
        <v>0.1</v>
      </c>
      <c r="L77" s="66">
        <v>0.1</v>
      </c>
      <c r="M77" s="66">
        <v>0.1</v>
      </c>
    </row>
    <row r="78" spans="2:13" x14ac:dyDescent="0.2">
      <c r="B78" s="14" t="s">
        <v>64</v>
      </c>
      <c r="C78" s="58"/>
      <c r="D78" s="58"/>
      <c r="E78" s="58"/>
      <c r="F78" s="14"/>
      <c r="G78" s="14"/>
      <c r="H78" s="66"/>
      <c r="I78" s="66">
        <v>0.11</v>
      </c>
      <c r="J78" s="66">
        <v>0.11</v>
      </c>
      <c r="K78" s="66">
        <v>0.11</v>
      </c>
      <c r="L78" s="66">
        <v>0.11</v>
      </c>
      <c r="M78" s="66">
        <v>0.11</v>
      </c>
    </row>
    <row r="79" spans="2:13" x14ac:dyDescent="0.2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2:13" x14ac:dyDescent="0.2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2:13" x14ac:dyDescent="0.2">
      <c r="B81" s="14" t="s">
        <v>71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2:13" x14ac:dyDescent="0.2">
      <c r="B82" s="59" t="s">
        <v>67</v>
      </c>
      <c r="C82" s="14"/>
      <c r="D82" s="14"/>
      <c r="E82" s="14"/>
      <c r="F82" s="14"/>
      <c r="G82" s="14"/>
      <c r="H82" s="60"/>
      <c r="I82" s="60">
        <f ca="1">OFFSET(I82,MATCH($C$3,$B$40:$B$42,0),0)</f>
        <v>0.05</v>
      </c>
      <c r="J82" s="60">
        <f ca="1">OFFSET(J82,MATCH($C$3,$B$40:$B$42,0),0)</f>
        <v>0.05</v>
      </c>
      <c r="K82" s="60">
        <f ca="1">OFFSET(K82,MATCH($C$3,$B$40:$B$42,0),0)</f>
        <v>0.05</v>
      </c>
      <c r="L82" s="60">
        <f ca="1">OFFSET(L82,MATCH($C$3,$B$40:$B$42,0),0)</f>
        <v>0.05</v>
      </c>
      <c r="M82" s="60">
        <f ca="1">OFFSET(M82,MATCH($C$3,$B$40:$B$42,0),0)</f>
        <v>0.05</v>
      </c>
    </row>
    <row r="83" spans="2:13" x14ac:dyDescent="0.2">
      <c r="B83" s="14" t="s">
        <v>63</v>
      </c>
      <c r="C83" s="58"/>
      <c r="D83" s="58"/>
      <c r="E83" s="58"/>
      <c r="F83" s="14"/>
      <c r="G83" s="14"/>
      <c r="H83" s="66"/>
      <c r="I83" s="66">
        <v>0.05</v>
      </c>
      <c r="J83" s="66">
        <v>0.05</v>
      </c>
      <c r="K83" s="66">
        <v>0.05</v>
      </c>
      <c r="L83" s="66">
        <v>0.05</v>
      </c>
      <c r="M83" s="66">
        <v>0.05</v>
      </c>
    </row>
    <row r="84" spans="2:13" x14ac:dyDescent="0.2">
      <c r="B84" s="14" t="s">
        <v>61</v>
      </c>
      <c r="C84" s="58"/>
      <c r="D84" s="58"/>
      <c r="E84" s="58"/>
      <c r="F84" s="14"/>
      <c r="G84" s="14"/>
      <c r="H84" s="66"/>
      <c r="I84" s="66">
        <v>6.3E-2</v>
      </c>
      <c r="J84" s="66">
        <v>6.3E-2</v>
      </c>
      <c r="K84" s="66">
        <v>6.3E-2</v>
      </c>
      <c r="L84" s="66">
        <v>6.3E-2</v>
      </c>
      <c r="M84" s="66">
        <v>6.3E-2</v>
      </c>
    </row>
    <row r="85" spans="2:13" x14ac:dyDescent="0.2">
      <c r="B85" s="14" t="s">
        <v>64</v>
      </c>
      <c r="C85" s="58"/>
      <c r="D85" s="58"/>
      <c r="E85" s="58"/>
      <c r="F85" s="14"/>
      <c r="G85" s="14"/>
      <c r="H85" s="66"/>
      <c r="I85" s="66">
        <v>7.0000000000000007E-2</v>
      </c>
      <c r="J85" s="66">
        <v>7.0000000000000007E-2</v>
      </c>
      <c r="K85" s="66">
        <v>7.0000000000000007E-2</v>
      </c>
      <c r="L85" s="66">
        <v>7.0000000000000007E-2</v>
      </c>
      <c r="M85" s="66">
        <v>7.0000000000000007E-2</v>
      </c>
    </row>
    <row r="86" spans="2:13" x14ac:dyDescent="0.2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2:13" x14ac:dyDescent="0.2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2:13" x14ac:dyDescent="0.2">
      <c r="B88" s="14" t="s">
        <v>72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2:13" x14ac:dyDescent="0.2">
      <c r="B89" s="59" t="s">
        <v>67</v>
      </c>
      <c r="C89" s="14"/>
      <c r="D89" s="14"/>
      <c r="E89" s="14"/>
      <c r="F89" s="14"/>
      <c r="G89" s="14"/>
      <c r="H89" s="60"/>
      <c r="I89" s="60">
        <f ca="1">OFFSET(I89,MATCH($C$3,$B$40:$B$42,0),0)</f>
        <v>7.0000000000000007E-2</v>
      </c>
      <c r="J89" s="60">
        <f ca="1">OFFSET(J89,MATCH($C$3,$B$40:$B$42,0),0)</f>
        <v>7.0000000000000007E-2</v>
      </c>
      <c r="K89" s="60">
        <f ca="1">OFFSET(K89,MATCH($C$3,$B$40:$B$42,0),0)</f>
        <v>7.0000000000000007E-2</v>
      </c>
      <c r="L89" s="60">
        <f ca="1">OFFSET(L89,MATCH($C$3,$B$40:$B$42,0),0)</f>
        <v>7.0000000000000007E-2</v>
      </c>
      <c r="M89" s="60">
        <f ca="1">OFFSET(M89,MATCH($C$3,$B$40:$B$42,0),0)</f>
        <v>7.0000000000000007E-2</v>
      </c>
    </row>
    <row r="90" spans="2:13" x14ac:dyDescent="0.2">
      <c r="B90" s="14" t="s">
        <v>63</v>
      </c>
      <c r="C90" s="58"/>
      <c r="D90" s="58"/>
      <c r="E90" s="58"/>
      <c r="F90" s="14"/>
      <c r="G90" s="14"/>
      <c r="H90" s="66"/>
      <c r="I90" s="66">
        <v>7.0000000000000007E-2</v>
      </c>
      <c r="J90" s="66">
        <v>7.0000000000000007E-2</v>
      </c>
      <c r="K90" s="66">
        <v>7.0000000000000007E-2</v>
      </c>
      <c r="L90" s="66">
        <v>7.0000000000000007E-2</v>
      </c>
      <c r="M90" s="66">
        <v>7.0000000000000007E-2</v>
      </c>
    </row>
    <row r="91" spans="2:13" x14ac:dyDescent="0.2">
      <c r="B91" s="14" t="s">
        <v>61</v>
      </c>
      <c r="C91" s="58"/>
      <c r="D91" s="58"/>
      <c r="E91" s="58"/>
      <c r="F91" s="14"/>
      <c r="G91" s="14"/>
      <c r="H91" s="66"/>
      <c r="I91" s="66">
        <v>7.9000000000000001E-2</v>
      </c>
      <c r="J91" s="66">
        <v>7.9000000000000001E-2</v>
      </c>
      <c r="K91" s="66">
        <v>7.9000000000000001E-2</v>
      </c>
      <c r="L91" s="66">
        <v>7.9000000000000001E-2</v>
      </c>
      <c r="M91" s="66">
        <v>7.9000000000000001E-2</v>
      </c>
    </row>
    <row r="92" spans="2:13" x14ac:dyDescent="0.2">
      <c r="B92" s="14" t="s">
        <v>64</v>
      </c>
      <c r="C92" s="58"/>
      <c r="D92" s="58"/>
      <c r="E92" s="58"/>
      <c r="F92" s="14"/>
      <c r="G92" s="14"/>
      <c r="H92" s="66"/>
      <c r="I92" s="66">
        <v>0.09</v>
      </c>
      <c r="J92" s="66">
        <v>0.09</v>
      </c>
      <c r="K92" s="66">
        <v>0.09</v>
      </c>
      <c r="L92" s="66">
        <v>0.09</v>
      </c>
      <c r="M92" s="66">
        <v>0.09</v>
      </c>
    </row>
    <row r="93" spans="2:13" x14ac:dyDescent="0.2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2:13" x14ac:dyDescent="0.2">
      <c r="B94" s="14" t="s">
        <v>116</v>
      </c>
      <c r="C94" s="14"/>
      <c r="D94" s="14"/>
      <c r="E94" s="14"/>
      <c r="F94" s="14"/>
      <c r="G94" s="14"/>
      <c r="H94" s="14"/>
      <c r="I94" s="66">
        <v>0.1</v>
      </c>
      <c r="J94" s="66">
        <v>0.1</v>
      </c>
      <c r="K94" s="66">
        <v>0.1</v>
      </c>
      <c r="L94" s="66">
        <v>0.1</v>
      </c>
      <c r="M94" s="66">
        <v>0.1</v>
      </c>
    </row>
  </sheetData>
  <mergeCells count="1">
    <mergeCell ref="I3:M3"/>
  </mergeCells>
  <phoneticPr fontId="7" type="noConversion"/>
  <conditionalFormatting sqref="G6:H22">
    <cfRule type="iconSet" priority="3">
      <iconSet>
        <cfvo type="percent" val="0"/>
        <cfvo type="num" val="0.03"/>
        <cfvo type="num" val="0.05"/>
      </iconSet>
    </cfRule>
  </conditionalFormatting>
  <dataValidations count="1">
    <dataValidation type="list" allowBlank="1" showInputMessage="1" showErrorMessage="1" sqref="C3" xr:uid="{D38E0212-B4A8-405F-AD6B-91F940188078}">
      <formula1>$B$40:$B$42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2B02-9EEC-46FF-9916-2D3F15EB147B}">
  <dimension ref="B1:U35"/>
  <sheetViews>
    <sheetView workbookViewId="0">
      <selection activeCell="N32" sqref="N32"/>
    </sheetView>
  </sheetViews>
  <sheetFormatPr defaultRowHeight="12.75" x14ac:dyDescent="0.2"/>
  <cols>
    <col min="1" max="1" width="2.7109375" style="15" customWidth="1"/>
    <col min="2" max="2" width="36.140625" style="15" customWidth="1"/>
    <col min="3" max="3" width="18.28515625" style="15" bestFit="1" customWidth="1"/>
    <col min="4" max="5" width="12.85546875" style="15" bestFit="1" customWidth="1"/>
    <col min="6" max="6" width="10.7109375" style="15" customWidth="1"/>
    <col min="7" max="7" width="10.28515625" style="15" bestFit="1" customWidth="1"/>
    <col min="8" max="9" width="10.42578125" style="15" bestFit="1" customWidth="1"/>
    <col min="10" max="10" width="11.85546875" style="15" bestFit="1" customWidth="1"/>
    <col min="11" max="12" width="9.140625" style="15"/>
    <col min="13" max="13" width="16.28515625" style="15" customWidth="1"/>
    <col min="14" max="19" width="9.140625" style="15"/>
    <col min="20" max="20" width="10.28515625" style="15" bestFit="1" customWidth="1"/>
    <col min="21" max="16384" width="9.140625" style="15"/>
  </cols>
  <sheetData>
    <row r="1" spans="2:20" ht="15.75" x14ac:dyDescent="0.25">
      <c r="B1" s="16" t="s">
        <v>57</v>
      </c>
    </row>
    <row r="3" spans="2:20" x14ac:dyDescent="0.2">
      <c r="F3" s="116" t="s">
        <v>56</v>
      </c>
      <c r="G3" s="116"/>
      <c r="H3" s="116"/>
      <c r="I3" s="116"/>
      <c r="J3" s="116"/>
    </row>
    <row r="5" spans="2:20" ht="13.5" thickBot="1" x14ac:dyDescent="0.25">
      <c r="B5" s="71" t="s">
        <v>37</v>
      </c>
      <c r="C5" s="71">
        <v>2021</v>
      </c>
      <c r="D5" s="71">
        <v>2022</v>
      </c>
      <c r="E5" s="71">
        <v>2023</v>
      </c>
      <c r="F5" s="71">
        <v>2024</v>
      </c>
      <c r="G5" s="71">
        <v>2025</v>
      </c>
      <c r="H5" s="71">
        <v>2026</v>
      </c>
      <c r="I5" s="71">
        <v>2027</v>
      </c>
      <c r="J5" s="71">
        <v>2028</v>
      </c>
    </row>
    <row r="6" spans="2:20" x14ac:dyDescent="0.2">
      <c r="B6" s="15" t="s">
        <v>29</v>
      </c>
      <c r="C6" s="30">
        <f>INDEX('BS 2021-2023'!$1:$1048576,MATCH(BS!$B6,'BS 2021-2023'!$A:$A,0),MATCH(BS!C$5,'BS 2021-2023'!$1:$1,0))</f>
        <v>9800</v>
      </c>
      <c r="D6" s="30">
        <f>INDEX('BS 2021-2023'!$1:$1048576,MATCH(BS!$B6,'BS 2021-2023'!$A:$A,0),MATCH(BS!D$5,'BS 2021-2023'!$1:$1,0))</f>
        <v>11000</v>
      </c>
      <c r="E6" s="30">
        <f>INDEX('BS 2021-2023'!$1:$1048576,MATCH(BS!$B6,'BS 2021-2023'!$A:$A,0),MATCH(BS!E$5,'BS 2021-2023'!$1:$1,0))</f>
        <v>12500</v>
      </c>
      <c r="F6" s="67">
        <f ca="1">E6+'Cash FLow'!C20</f>
        <v>19115.685860062102</v>
      </c>
      <c r="G6" s="67">
        <f ca="1">F6+'Cash FLow'!D20</f>
        <v>24880.698143731039</v>
      </c>
      <c r="H6" s="67">
        <f ca="1">G6+'Cash FLow'!E20</f>
        <v>30969.257005073596</v>
      </c>
      <c r="I6" s="67">
        <f ca="1">H6+'Cash FLow'!F20</f>
        <v>37394.155970461608</v>
      </c>
      <c r="J6" s="67">
        <f ca="1">I6+'Cash FLow'!G20</f>
        <v>44168.552796163713</v>
      </c>
    </row>
    <row r="7" spans="2:20" x14ac:dyDescent="0.2">
      <c r="B7" s="15" t="s">
        <v>30</v>
      </c>
      <c r="C7" s="30">
        <f>INDEX('BS 2021-2023'!$1:$1048576,MATCH(BS!$B7,'BS 2021-2023'!$A:$A,0),MATCH(BS!C$5,'BS 2021-2023'!$1:$1,0))</f>
        <v>4500</v>
      </c>
      <c r="D7" s="30">
        <f>INDEX('BS 2021-2023'!$1:$1048576,MATCH(BS!$B7,'BS 2021-2023'!$A:$A,0),MATCH(BS!D$5,'BS 2021-2023'!$1:$1,0))</f>
        <v>4900</v>
      </c>
      <c r="E7" s="30">
        <f>INDEX('BS 2021-2023'!$1:$1048576,MATCH(BS!$B7,'BS 2021-2023'!$A:$A,0),MATCH(BS!E$5,'BS 2021-2023'!$1:$1,0))</f>
        <v>5200</v>
      </c>
      <c r="F7" s="67">
        <f ca="1">F25*'P&amp;L'!I6/360</f>
        <v>5382.7638217363883</v>
      </c>
      <c r="G7" s="67">
        <f ca="1">G25*'P&amp;L'!J6/360</f>
        <v>5651.9020128232078</v>
      </c>
      <c r="H7" s="67">
        <f ca="1">H25*'P&amp;L'!K6/360</f>
        <v>5934.4971134643692</v>
      </c>
      <c r="I7" s="67">
        <f ca="1">I25*'P&amp;L'!L6/360</f>
        <v>6231.2219691375876</v>
      </c>
      <c r="J7" s="67">
        <f ca="1">J25*'P&amp;L'!M6/360</f>
        <v>6542.783067594467</v>
      </c>
    </row>
    <row r="8" spans="2:20" x14ac:dyDescent="0.2">
      <c r="B8" s="15" t="s">
        <v>76</v>
      </c>
      <c r="C8" s="30">
        <f>INDEX('BS 2021-2023'!$1:$1048576,MATCH(BS!$B8,'BS 2021-2023'!$A:$A,0),MATCH(BS!C$5,'BS 2021-2023'!$1:$1,0))</f>
        <v>5500</v>
      </c>
      <c r="D8" s="30">
        <f>INDEX('BS 2021-2023'!$1:$1048576,MATCH(BS!$B8,'BS 2021-2023'!$A:$A,0),MATCH(BS!D$5,'BS 2021-2023'!$1:$1,0))</f>
        <v>6000</v>
      </c>
      <c r="E8" s="30">
        <f>INDEX('BS 2021-2023'!$1:$1048576,MATCH(BS!$B8,'BS 2021-2023'!$A:$A,0),MATCH(BS!E$5,'BS 2021-2023'!$1:$1,0))</f>
        <v>6400</v>
      </c>
      <c r="F8" s="67">
        <f ca="1">-F26*'P&amp;L'!I7/360</f>
        <v>6418.774982596341</v>
      </c>
      <c r="G8" s="67">
        <f ca="1">-G26*'P&amp;L'!J7/360</f>
        <v>6739.7137317261577</v>
      </c>
      <c r="H8" s="67">
        <f ca="1">-H26*'P&amp;L'!K7/360</f>
        <v>7076.6994183124662</v>
      </c>
      <c r="I8" s="67">
        <f ca="1">-I26*'P&amp;L'!L7/360</f>
        <v>7430.5343892280907</v>
      </c>
      <c r="J8" s="67">
        <f ca="1">-J26*'P&amp;L'!M7/360</f>
        <v>7802.0611086894951</v>
      </c>
    </row>
    <row r="9" spans="2:20" x14ac:dyDescent="0.2">
      <c r="B9" s="15" t="s">
        <v>31</v>
      </c>
      <c r="C9" s="30">
        <f>INDEX('BS 2021-2023'!$1:$1048576,MATCH(BS!$B9,'BS 2021-2023'!$A:$A,0),MATCH(BS!C$5,'BS 2021-2023'!$1:$1,0))</f>
        <v>6705</v>
      </c>
      <c r="D9" s="30">
        <f>INDEX('BS 2021-2023'!$1:$1048576,MATCH(BS!$B9,'BS 2021-2023'!$A:$A,0),MATCH(BS!D$5,'BS 2021-2023'!$1:$1,0))</f>
        <v>7040</v>
      </c>
      <c r="E9" s="30">
        <f>INDEX('BS 2021-2023'!$1:$1048576,MATCH(BS!$B9,'BS 2021-2023'!$A:$A,0),MATCH(BS!E$5,'BS 2021-2023'!$1:$1,0))</f>
        <v>7610</v>
      </c>
      <c r="F9" s="30">
        <f>'Fixed Asset Roll Forward'!F8</f>
        <v>8108.183412353399</v>
      </c>
      <c r="G9" s="30">
        <f>'Fixed Asset Roll Forward'!G8</f>
        <v>8638.9800589175848</v>
      </c>
      <c r="H9" s="30">
        <f>'Fixed Asset Roll Forward'!H8</f>
        <v>9204.5249426238315</v>
      </c>
      <c r="I9" s="30">
        <f>'Fixed Asset Roll Forward'!I8</f>
        <v>9807.0928329008784</v>
      </c>
      <c r="J9" s="30">
        <f>'Fixed Asset Roll Forward'!J8</f>
        <v>10449.107415392486</v>
      </c>
    </row>
    <row r="10" spans="2:20" ht="13.5" thickBot="1" x14ac:dyDescent="0.25">
      <c r="B10" s="15" t="s">
        <v>83</v>
      </c>
      <c r="C10" s="30">
        <f>INDEX('BS 2021-2023'!$1:$1048576,MATCH(BS!$B10,'BS 2021-2023'!$A:$A,0),MATCH(BS!C$5,'BS 2021-2023'!$1:$1,0))</f>
        <v>26700</v>
      </c>
      <c r="D10" s="30">
        <f>INDEX('BS 2021-2023'!$1:$1048576,MATCH(BS!$B10,'BS 2021-2023'!$A:$A,0),MATCH(BS!D$5,'BS 2021-2023'!$1:$1,0))</f>
        <v>29800</v>
      </c>
      <c r="E10" s="30">
        <f>INDEX('BS 2021-2023'!$1:$1048576,MATCH(BS!$B10,'BS 2021-2023'!$A:$A,0),MATCH(BS!E$5,'BS 2021-2023'!$1:$1,0))</f>
        <v>32300</v>
      </c>
      <c r="F10" s="30">
        <f ca="1">F20*'P&amp;L'!I6</f>
        <v>32711.831774227448</v>
      </c>
      <c r="G10" s="30">
        <f ca="1">G20*'P&amp;L'!J6</f>
        <v>34347.423362938825</v>
      </c>
      <c r="H10" s="30">
        <f ca="1">H20*'P&amp;L'!K6</f>
        <v>36064.794531085769</v>
      </c>
      <c r="I10" s="30">
        <f ca="1">I20*'P&amp;L'!L6</f>
        <v>37868.034257640058</v>
      </c>
      <c r="J10" s="30">
        <f ca="1">J20*'P&amp;L'!M6</f>
        <v>39761.435970522063</v>
      </c>
    </row>
    <row r="11" spans="2:20" ht="13.5" thickBot="1" x14ac:dyDescent="0.25">
      <c r="B11" s="19" t="s">
        <v>32</v>
      </c>
      <c r="C11" s="33">
        <f>SUM(C6:C10)</f>
        <v>53205</v>
      </c>
      <c r="D11" s="33">
        <f>SUM(D6:D10)</f>
        <v>58740</v>
      </c>
      <c r="E11" s="33">
        <f>SUM(E6:E10)</f>
        <v>64010</v>
      </c>
      <c r="F11" s="33">
        <f t="shared" ref="F11:J11" ca="1" si="0">SUM(F6:F10)</f>
        <v>71737.239850975675</v>
      </c>
      <c r="G11" s="33">
        <f t="shared" ca="1" si="0"/>
        <v>80258.717310136824</v>
      </c>
      <c r="H11" s="33">
        <f t="shared" ca="1" si="0"/>
        <v>89249.77301056002</v>
      </c>
      <c r="I11" s="33">
        <f t="shared" ca="1" si="0"/>
        <v>98731.039419368215</v>
      </c>
      <c r="J11" s="33">
        <f t="shared" ca="1" si="0"/>
        <v>108723.94035836222</v>
      </c>
    </row>
    <row r="12" spans="2:20" x14ac:dyDescent="0.2">
      <c r="C12" s="30"/>
      <c r="D12" s="30"/>
      <c r="E12" s="30"/>
    </row>
    <row r="13" spans="2:20" x14ac:dyDescent="0.2">
      <c r="B13" s="15" t="s">
        <v>33</v>
      </c>
      <c r="C13" s="30">
        <f>INDEX('BS 2021-2023'!$1:$1048576,MATCH(BS!$B13,'BS 2021-2023'!$A:$A,0),MATCH(BS!C$5,'BS 2021-2023'!$1:$1,0))</f>
        <v>3600</v>
      </c>
      <c r="D13" s="30">
        <f>INDEX('BS 2021-2023'!$1:$1048576,MATCH(BS!$B13,'BS 2021-2023'!$A:$A,0),MATCH(BS!D$5,'BS 2021-2023'!$1:$1,0))</f>
        <v>3800</v>
      </c>
      <c r="E13" s="30">
        <f>INDEX('BS 2021-2023'!$1:$1048576,MATCH(BS!$B13,'BS 2021-2023'!$A:$A,0),MATCH(BS!E$5,'BS 2021-2023'!$1:$1,0))</f>
        <v>4100</v>
      </c>
      <c r="F13" s="67">
        <f ca="1">-F27*'P&amp;L'!I7/360</f>
        <v>4125.776994539563</v>
      </c>
      <c r="G13" s="67">
        <f ca="1">-G27*'P&amp;L'!J7/360</f>
        <v>4332.0658442665408</v>
      </c>
      <c r="H13" s="67">
        <f ca="1">-H27*'P&amp;L'!K7/360</f>
        <v>4548.6691364798689</v>
      </c>
      <c r="I13" s="67">
        <f ca="1">-I27*'P&amp;L'!L7/360</f>
        <v>4776.1025933038627</v>
      </c>
      <c r="J13" s="67">
        <f ca="1">-J27*'P&amp;L'!M7/360</f>
        <v>5014.9077229690556</v>
      </c>
    </row>
    <row r="14" spans="2:20" x14ac:dyDescent="0.2">
      <c r="B14" s="15" t="s">
        <v>87</v>
      </c>
      <c r="C14" s="30">
        <v>15800</v>
      </c>
      <c r="D14" s="30">
        <v>17100</v>
      </c>
      <c r="E14" s="30">
        <v>18500</v>
      </c>
      <c r="F14" s="30">
        <f>'Financial Liabilities'!F9</f>
        <v>17282.328336682876</v>
      </c>
      <c r="G14" s="30">
        <f>'Financial Liabilities'!G9</f>
        <v>15955.066223667211</v>
      </c>
      <c r="H14" s="30">
        <f>'Financial Liabilities'!H9</f>
        <v>14508.350520480135</v>
      </c>
      <c r="I14" s="30">
        <f>'Financial Liabilities'!I9</f>
        <v>12931.430404006222</v>
      </c>
      <c r="J14" s="30">
        <f>'Financial Liabilities'!J9</f>
        <v>11212.587477049656</v>
      </c>
    </row>
    <row r="15" spans="2:20" x14ac:dyDescent="0.2">
      <c r="B15" s="15" t="s">
        <v>77</v>
      </c>
      <c r="C15" s="30">
        <f>INDEX('BS 2021-2023'!$1:$1048576,MATCH(BS!$B15,'BS 2021-2023'!$A:$A,0),MATCH(BS!C$5,'BS 2021-2023'!$1:$1,0))</f>
        <v>7400</v>
      </c>
      <c r="D15" s="30">
        <f>INDEX('BS 2021-2023'!$1:$1048576,MATCH(BS!$B15,'BS 2021-2023'!$A:$A,0),MATCH(BS!D$5,'BS 2021-2023'!$1:$1,0))</f>
        <v>8000</v>
      </c>
      <c r="E15" s="30">
        <f>INDEX('BS 2021-2023'!$1:$1048576,MATCH(BS!$B15,'BS 2021-2023'!$A:$A,0),MATCH(BS!E$5,'BS 2021-2023'!$1:$1,0))</f>
        <v>8600</v>
      </c>
      <c r="F15" s="30">
        <f ca="1">F21*'P&amp;L'!I6</f>
        <v>8847.4768761824671</v>
      </c>
      <c r="G15" s="30">
        <f ca="1">G21*'P&amp;L'!J6</f>
        <v>9289.8507199915894</v>
      </c>
      <c r="H15" s="30">
        <f ca="1">H21*'P&amp;L'!K6</f>
        <v>9754.3432559911707</v>
      </c>
      <c r="I15" s="30">
        <f ca="1">I21*'P&amp;L'!L6</f>
        <v>10242.06041879073</v>
      </c>
      <c r="J15" s="30">
        <f ca="1">J21*'P&amp;L'!M6</f>
        <v>10754.163439730268</v>
      </c>
      <c r="M15" s="67"/>
      <c r="N15" s="67"/>
      <c r="O15" s="67"/>
      <c r="P15" s="67"/>
      <c r="Q15" s="67"/>
      <c r="R15" s="67"/>
      <c r="S15" s="67"/>
      <c r="T15" s="67"/>
    </row>
    <row r="16" spans="2:20" ht="13.5" thickBot="1" x14ac:dyDescent="0.25">
      <c r="B16" s="15" t="s">
        <v>35</v>
      </c>
      <c r="C16" s="30">
        <v>26405</v>
      </c>
      <c r="D16" s="30">
        <f>INDEX('BS 2021-2023'!$1:$1048576,MATCH(BS!$B16,'BS 2021-2023'!$A:$A,0),MATCH(BS!D$5,'BS 2021-2023'!$1:$1,0))</f>
        <v>29840</v>
      </c>
      <c r="E16" s="30">
        <v>32810</v>
      </c>
      <c r="F16" s="30">
        <f ca="1">'Equity Schedule'!F10</f>
        <v>41481.657643570768</v>
      </c>
      <c r="G16" s="30">
        <f ca="1">'Equity Schedule'!G10</f>
        <v>50681.734522211467</v>
      </c>
      <c r="H16" s="30">
        <f ca="1">'Equity Schedule'!H10</f>
        <v>60438.410097608845</v>
      </c>
      <c r="I16" s="30">
        <f ca="1">'Equity Schedule'!I10</f>
        <v>70781.446003267411</v>
      </c>
      <c r="J16" s="30">
        <f ca="1">'Equity Schedule'!J10</f>
        <v>81742.28171861326</v>
      </c>
    </row>
    <row r="17" spans="2:21" ht="13.5" thickBot="1" x14ac:dyDescent="0.25">
      <c r="B17" s="19" t="s">
        <v>58</v>
      </c>
      <c r="C17" s="33">
        <f>SUM(C13:C16)</f>
        <v>53205</v>
      </c>
      <c r="D17" s="33">
        <f>SUM(D13:D16)</f>
        <v>58740</v>
      </c>
      <c r="E17" s="33">
        <f>SUM(E13:E16)</f>
        <v>64010</v>
      </c>
      <c r="F17" s="33">
        <f t="shared" ref="F17:J17" ca="1" si="1">SUM(F13:F16)</f>
        <v>71737.239850975675</v>
      </c>
      <c r="G17" s="33">
        <f t="shared" ca="1" si="1"/>
        <v>80258.71731013681</v>
      </c>
      <c r="H17" s="33">
        <f t="shared" ca="1" si="1"/>
        <v>89249.77301056002</v>
      </c>
      <c r="I17" s="33">
        <f t="shared" ca="1" si="1"/>
        <v>98731.03941936823</v>
      </c>
      <c r="J17" s="33">
        <f t="shared" ca="1" si="1"/>
        <v>108723.94035836225</v>
      </c>
    </row>
    <row r="18" spans="2:21" x14ac:dyDescent="0.2">
      <c r="M18" s="104"/>
    </row>
    <row r="19" spans="2:21" x14ac:dyDescent="0.2">
      <c r="B19" s="59" t="s">
        <v>118</v>
      </c>
      <c r="C19" s="14"/>
      <c r="D19" s="14"/>
      <c r="E19" s="14"/>
      <c r="F19" s="14"/>
      <c r="G19" s="14"/>
      <c r="H19" s="14"/>
      <c r="I19" s="14"/>
      <c r="J19" s="14"/>
      <c r="N19" s="110"/>
      <c r="O19" s="110"/>
      <c r="P19" s="110"/>
      <c r="Q19" s="110"/>
      <c r="R19" s="110"/>
      <c r="S19" s="110"/>
      <c r="T19" s="110"/>
      <c r="U19" s="110"/>
    </row>
    <row r="20" spans="2:21" x14ac:dyDescent="0.2">
      <c r="B20" s="79" t="s">
        <v>84</v>
      </c>
      <c r="C20" s="82">
        <f>C10/'P&amp;L'!C6</f>
        <v>0.66417910447761197</v>
      </c>
      <c r="D20" s="82">
        <f>D10/'P&amp;L'!D6</f>
        <v>0.69953051643192488</v>
      </c>
      <c r="E20" s="82">
        <f>E10/'P&amp;L'!E6</f>
        <v>0.72017837235228543</v>
      </c>
      <c r="F20" s="82">
        <f t="shared" ref="F20:J21" si="2">AVERAGE($C20:$E20)</f>
        <v>0.69462933108727398</v>
      </c>
      <c r="G20" s="82">
        <f t="shared" si="2"/>
        <v>0.69462933108727398</v>
      </c>
      <c r="H20" s="82">
        <f t="shared" si="2"/>
        <v>0.69462933108727398</v>
      </c>
      <c r="I20" s="82">
        <f t="shared" si="2"/>
        <v>0.69462933108727398</v>
      </c>
      <c r="J20" s="82">
        <f t="shared" si="2"/>
        <v>0.69462933108727398</v>
      </c>
      <c r="N20" s="110"/>
      <c r="O20" s="110"/>
      <c r="P20" s="110"/>
      <c r="Q20" s="110"/>
      <c r="R20" s="110"/>
      <c r="S20" s="110"/>
      <c r="T20" s="110"/>
      <c r="U20" s="110"/>
    </row>
    <row r="21" spans="2:21" x14ac:dyDescent="0.2">
      <c r="B21" s="14" t="s">
        <v>78</v>
      </c>
      <c r="C21" s="82">
        <f>C15/'P&amp;L'!C6</f>
        <v>0.18407960199004975</v>
      </c>
      <c r="D21" s="82">
        <f>D15/'P&amp;L'!D6</f>
        <v>0.18779342723004694</v>
      </c>
      <c r="E21" s="82">
        <f>E15/'P&amp;L'!E6</f>
        <v>0.19175027870680045</v>
      </c>
      <c r="F21" s="82">
        <f t="shared" si="2"/>
        <v>0.18787443597563236</v>
      </c>
      <c r="G21" s="82">
        <f t="shared" si="2"/>
        <v>0.18787443597563236</v>
      </c>
      <c r="H21" s="82">
        <f t="shared" si="2"/>
        <v>0.18787443597563236</v>
      </c>
      <c r="I21" s="82">
        <f t="shared" si="2"/>
        <v>0.18787443597563236</v>
      </c>
      <c r="J21" s="82">
        <f t="shared" si="2"/>
        <v>0.18787443597563236</v>
      </c>
      <c r="M21" s="104"/>
    </row>
    <row r="22" spans="2:21" x14ac:dyDescent="0.2">
      <c r="B22" s="59" t="s">
        <v>129</v>
      </c>
      <c r="C22" s="14"/>
      <c r="D22" s="14"/>
      <c r="E22" s="14"/>
      <c r="F22" s="14"/>
      <c r="G22" s="14"/>
      <c r="H22" s="14"/>
      <c r="I22" s="14"/>
      <c r="J22" s="14"/>
      <c r="N22" s="112"/>
      <c r="O22" s="112"/>
      <c r="P22" s="112"/>
      <c r="Q22" s="112"/>
      <c r="R22" s="112"/>
      <c r="S22" s="112"/>
      <c r="T22" s="112"/>
      <c r="U22" s="112"/>
    </row>
    <row r="23" spans="2:21" x14ac:dyDescent="0.2">
      <c r="B23" s="14" t="s">
        <v>126</v>
      </c>
      <c r="C23" s="107">
        <f>(C6-C8)/SUM(C13:C15)</f>
        <v>0.16044776119402984</v>
      </c>
      <c r="D23" s="107">
        <f t="shared" ref="D23:J23" si="3">(D6-D8)/SUM(D13:D15)</f>
        <v>0.17301038062283736</v>
      </c>
      <c r="E23" s="107">
        <f t="shared" si="3"/>
        <v>0.19551282051282051</v>
      </c>
      <c r="F23" s="107">
        <f t="shared" ca="1" si="3"/>
        <v>0.41965514959941025</v>
      </c>
      <c r="G23" s="107">
        <f t="shared" ca="1" si="3"/>
        <v>0.61334803965909757</v>
      </c>
      <c r="H23" s="107">
        <f t="shared" ca="1" si="3"/>
        <v>0.82927550699175834</v>
      </c>
      <c r="I23" s="107">
        <f t="shared" ca="1" si="3"/>
        <v>1.0720593010119599</v>
      </c>
      <c r="J23" s="107">
        <f t="shared" ca="1" si="3"/>
        <v>1.3478226884799307</v>
      </c>
      <c r="N23" s="112"/>
      <c r="O23" s="112"/>
      <c r="P23" s="112"/>
      <c r="Q23" s="112"/>
      <c r="R23" s="112"/>
      <c r="S23" s="112"/>
      <c r="T23" s="112"/>
      <c r="U23" s="112"/>
    </row>
    <row r="24" spans="2:21" x14ac:dyDescent="0.2">
      <c r="B24" s="14" t="s">
        <v>127</v>
      </c>
      <c r="C24" s="107">
        <f>SUM(C6:C8)/C13</f>
        <v>5.5</v>
      </c>
      <c r="D24" s="107">
        <f t="shared" ref="D24:J24" si="4">SUM(D6:D8)/D13</f>
        <v>5.7631578947368425</v>
      </c>
      <c r="E24" s="107">
        <f t="shared" si="4"/>
        <v>5.8780487804878048</v>
      </c>
      <c r="F24" s="107">
        <f t="shared" ca="1" si="4"/>
        <v>7.4936732415042213</v>
      </c>
      <c r="G24" s="107">
        <f t="shared" ca="1" si="4"/>
        <v>8.6038198005716033</v>
      </c>
      <c r="H24" s="107">
        <f t="shared" ca="1" si="4"/>
        <v>9.6688618620623821</v>
      </c>
      <c r="I24" s="107">
        <f t="shared" ca="1" si="4"/>
        <v>10.689869267131764</v>
      </c>
      <c r="J24" s="107">
        <f t="shared" ca="1" si="4"/>
        <v>11.667891056987395</v>
      </c>
      <c r="N24" s="112"/>
      <c r="O24" s="112"/>
      <c r="P24" s="112"/>
      <c r="Q24" s="112"/>
      <c r="R24" s="112"/>
      <c r="S24" s="112"/>
      <c r="T24" s="112"/>
      <c r="U24" s="112"/>
    </row>
    <row r="25" spans="2:21" x14ac:dyDescent="0.2">
      <c r="B25" s="79" t="s">
        <v>73</v>
      </c>
      <c r="C25" s="80">
        <f>C7/'P&amp;L'!C6*360</f>
        <v>40.298507462686565</v>
      </c>
      <c r="D25" s="80">
        <f>D7/'P&amp;L'!D6*360</f>
        <v>41.408450704225352</v>
      </c>
      <c r="E25" s="80">
        <f>E7/'P&amp;L'!E6*360</f>
        <v>41.739130434782609</v>
      </c>
      <c r="F25" s="80">
        <f>AVERAGE($C25:$E25)</f>
        <v>41.148696200564842</v>
      </c>
      <c r="G25" s="80">
        <f t="shared" ref="G25:J27" si="5">AVERAGE($C25:$E25)</f>
        <v>41.148696200564842</v>
      </c>
      <c r="H25" s="80">
        <f t="shared" si="5"/>
        <v>41.148696200564842</v>
      </c>
      <c r="I25" s="80">
        <f t="shared" si="5"/>
        <v>41.148696200564842</v>
      </c>
      <c r="J25" s="80">
        <f t="shared" si="5"/>
        <v>41.148696200564842</v>
      </c>
      <c r="N25" s="112"/>
      <c r="O25" s="112"/>
      <c r="P25" s="112"/>
      <c r="Q25" s="112"/>
      <c r="R25" s="112"/>
      <c r="S25" s="112"/>
      <c r="T25" s="112"/>
      <c r="U25" s="112"/>
    </row>
    <row r="26" spans="2:21" ht="13.5" customHeight="1" x14ac:dyDescent="0.2">
      <c r="B26" s="79" t="s">
        <v>75</v>
      </c>
      <c r="C26" s="80">
        <f>-1*C8/'P&amp;L'!C7*360</f>
        <v>118.35026897788404</v>
      </c>
      <c r="D26" s="80">
        <f>-1*D8/'P&amp;L'!D7*360</f>
        <v>120.46848856664808</v>
      </c>
      <c r="E26" s="80">
        <f>-1*E8/'P&amp;L'!E7*360</f>
        <v>120.2191494912601</v>
      </c>
      <c r="F26" s="80">
        <f>AVERAGE($C26:$E26)</f>
        <v>119.67930234526408</v>
      </c>
      <c r="G26" s="80">
        <f>AVERAGE($C26:$E26)</f>
        <v>119.67930234526408</v>
      </c>
      <c r="H26" s="80">
        <f>AVERAGE($C26:$E26)</f>
        <v>119.67930234526408</v>
      </c>
      <c r="I26" s="80">
        <f>AVERAGE($C26:$E26)</f>
        <v>119.67930234526408</v>
      </c>
      <c r="J26" s="80">
        <f>AVERAGE($C26:$E26)</f>
        <v>119.67930234526408</v>
      </c>
      <c r="N26" s="112"/>
      <c r="O26" s="112"/>
      <c r="P26" s="112"/>
      <c r="Q26" s="112"/>
      <c r="R26" s="112"/>
      <c r="S26" s="112"/>
      <c r="T26" s="112"/>
      <c r="U26" s="112"/>
    </row>
    <row r="27" spans="2:21" x14ac:dyDescent="0.2">
      <c r="B27" s="79" t="s">
        <v>74</v>
      </c>
      <c r="C27" s="81">
        <f>-1*C13/'P&amp;L'!C7*360</f>
        <v>77.465630603705918</v>
      </c>
      <c r="D27" s="81">
        <f>-1*D13/'P&amp;L'!D7*360</f>
        <v>76.296709425543781</v>
      </c>
      <c r="E27" s="81">
        <f>-1*E13/'P&amp;L'!E7*360</f>
        <v>77.015392642838506</v>
      </c>
      <c r="F27" s="80">
        <f t="shared" ref="F27" si="6">AVERAGE($C27:$E27)</f>
        <v>76.925910890696059</v>
      </c>
      <c r="G27" s="80">
        <f t="shared" si="5"/>
        <v>76.925910890696059</v>
      </c>
      <c r="H27" s="80">
        <f t="shared" si="5"/>
        <v>76.925910890696059</v>
      </c>
      <c r="I27" s="80">
        <f t="shared" si="5"/>
        <v>76.925910890696059</v>
      </c>
      <c r="J27" s="80">
        <f t="shared" si="5"/>
        <v>76.925910890696059</v>
      </c>
      <c r="N27" s="112"/>
      <c r="O27" s="112"/>
      <c r="P27" s="112"/>
      <c r="Q27" s="112"/>
      <c r="R27" s="112"/>
      <c r="S27" s="112"/>
      <c r="T27" s="112"/>
      <c r="U27" s="112"/>
    </row>
    <row r="28" spans="2:21" x14ac:dyDescent="0.2">
      <c r="B28" s="79" t="s">
        <v>128</v>
      </c>
      <c r="C28" s="80">
        <f>C25+C26-C27</f>
        <v>81.183145836864682</v>
      </c>
      <c r="D28" s="80">
        <f t="shared" ref="D28:J28" si="7">D25+D26-D27</f>
        <v>85.580229845329654</v>
      </c>
      <c r="E28" s="80">
        <f t="shared" si="7"/>
        <v>84.9428872832042</v>
      </c>
      <c r="F28" s="80">
        <f t="shared" si="7"/>
        <v>83.902087655132846</v>
      </c>
      <c r="G28" s="80">
        <f t="shared" si="7"/>
        <v>83.902087655132846</v>
      </c>
      <c r="H28" s="80">
        <f t="shared" si="7"/>
        <v>83.902087655132846</v>
      </c>
      <c r="I28" s="80">
        <f t="shared" si="7"/>
        <v>83.902087655132846</v>
      </c>
      <c r="J28" s="80">
        <f t="shared" si="7"/>
        <v>83.902087655132846</v>
      </c>
      <c r="M28" s="104"/>
    </row>
    <row r="29" spans="2:21" x14ac:dyDescent="0.2">
      <c r="B29" s="102" t="s">
        <v>130</v>
      </c>
      <c r="C29" s="80"/>
      <c r="D29" s="80"/>
      <c r="E29" s="80"/>
      <c r="F29" s="80"/>
      <c r="G29" s="80"/>
      <c r="H29" s="80"/>
      <c r="I29" s="80"/>
      <c r="J29" s="80"/>
      <c r="N29" s="112"/>
      <c r="O29" s="112"/>
      <c r="P29" s="112"/>
      <c r="Q29" s="112"/>
      <c r="R29" s="112"/>
      <c r="S29" s="112"/>
      <c r="T29" s="112"/>
      <c r="U29" s="112"/>
    </row>
    <row r="30" spans="2:21" x14ac:dyDescent="0.2">
      <c r="B30" s="79" t="s">
        <v>131</v>
      </c>
      <c r="C30" s="80">
        <f>C11/SUM(C13:C15)</f>
        <v>1.9852611940298508</v>
      </c>
      <c r="D30" s="80">
        <f t="shared" ref="D30:J30" si="8">D11/SUM(D13:D15)</f>
        <v>2.0325259515570933</v>
      </c>
      <c r="E30" s="80">
        <f t="shared" si="8"/>
        <v>2.0516025641025641</v>
      </c>
      <c r="F30" s="80">
        <f t="shared" ca="1" si="8"/>
        <v>2.3710414613478612</v>
      </c>
      <c r="G30" s="80">
        <f t="shared" ca="1" si="8"/>
        <v>2.7135532344733302</v>
      </c>
      <c r="H30" s="80">
        <f t="shared" ca="1" si="8"/>
        <v>3.0977282567372333</v>
      </c>
      <c r="I30" s="80">
        <f t="shared" ca="1" si="8"/>
        <v>3.5324678233956921</v>
      </c>
      <c r="J30" s="80">
        <f t="shared" ca="1" si="8"/>
        <v>4.0295499179650767</v>
      </c>
      <c r="N30" s="112"/>
      <c r="O30" s="112"/>
      <c r="P30" s="112"/>
      <c r="Q30" s="112"/>
      <c r="R30" s="112"/>
      <c r="S30" s="112"/>
      <c r="T30" s="112"/>
      <c r="U30" s="112"/>
    </row>
    <row r="31" spans="2:21" x14ac:dyDescent="0.2">
      <c r="B31" s="79" t="s">
        <v>132</v>
      </c>
      <c r="C31" s="80">
        <f>-'P&amp;L'!C17/'P&amp;L'!C18</f>
        <v>18.326556543837356</v>
      </c>
      <c r="D31" s="80">
        <f>-'P&amp;L'!D17/'P&amp;L'!D18</f>
        <v>18.57560975609756</v>
      </c>
      <c r="E31" s="80">
        <f>-'P&amp;L'!E17/'P&amp;L'!E18</f>
        <v>18.715486194477791</v>
      </c>
      <c r="F31" s="80">
        <f ca="1">-'P&amp;L'!I17/'P&amp;L'!I18</f>
        <v>10.644819979502586</v>
      </c>
      <c r="G31" s="80">
        <f ca="1">-'P&amp;L'!J17/'P&amp;L'!J18</f>
        <v>11.953500575837506</v>
      </c>
      <c r="H31" s="80">
        <f ca="1">-'P&amp;L'!K17/'P&amp;L'!K18</f>
        <v>13.5825012980071</v>
      </c>
      <c r="I31" s="80">
        <f ca="1">-'P&amp;L'!L17/'P&amp;L'!L18</f>
        <v>15.66877082548376</v>
      </c>
      <c r="J31" s="80">
        <f ca="1">-'P&amp;L'!M17/'P&amp;L'!M18</f>
        <v>18.440576334952045</v>
      </c>
    </row>
    <row r="35" spans="2:10" x14ac:dyDescent="0.2">
      <c r="B35" s="95" t="s">
        <v>105</v>
      </c>
      <c r="C35" s="96">
        <f t="shared" ref="C35:J35" si="9">C11-C17</f>
        <v>0</v>
      </c>
      <c r="D35" s="96">
        <f t="shared" si="9"/>
        <v>0</v>
      </c>
      <c r="E35" s="96">
        <f t="shared" si="9"/>
        <v>0</v>
      </c>
      <c r="F35" s="96">
        <f t="shared" ca="1" si="9"/>
        <v>0</v>
      </c>
      <c r="G35" s="96">
        <f t="shared" ca="1" si="9"/>
        <v>0</v>
      </c>
      <c r="H35" s="96">
        <f t="shared" ca="1" si="9"/>
        <v>0</v>
      </c>
      <c r="I35" s="96">
        <f t="shared" ca="1" si="9"/>
        <v>0</v>
      </c>
      <c r="J35" s="96">
        <f t="shared" ca="1" si="9"/>
        <v>0</v>
      </c>
    </row>
  </sheetData>
  <mergeCells count="1">
    <mergeCell ref="F3:J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9336-0501-4E89-A6A8-912A15C80503}">
  <dimension ref="W47"/>
  <sheetViews>
    <sheetView topLeftCell="A7" zoomScale="96" zoomScaleNormal="96" workbookViewId="0">
      <selection activeCell="AB30" sqref="AB30"/>
    </sheetView>
  </sheetViews>
  <sheetFormatPr defaultRowHeight="12.75" x14ac:dyDescent="0.2"/>
  <cols>
    <col min="1" max="16384" width="9.140625" style="15"/>
  </cols>
  <sheetData>
    <row r="47" spans="23:23" x14ac:dyDescent="0.2">
      <c r="W47" s="15" t="s">
        <v>133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FC34-895F-4770-9B6D-625C538BF877}">
  <dimension ref="B1:J11"/>
  <sheetViews>
    <sheetView workbookViewId="0">
      <selection activeCell="I20" sqref="I20"/>
    </sheetView>
  </sheetViews>
  <sheetFormatPr defaultRowHeight="12.75" x14ac:dyDescent="0.2"/>
  <cols>
    <col min="1" max="1" width="3.140625" style="15" customWidth="1"/>
    <col min="2" max="2" width="29.140625" style="15" bestFit="1" customWidth="1"/>
    <col min="3" max="3" width="9.28515625" style="15" bestFit="1" customWidth="1"/>
    <col min="4" max="6" width="9.85546875" style="15" bestFit="1" customWidth="1"/>
    <col min="7" max="7" width="9.140625" style="15" customWidth="1"/>
    <col min="8" max="16384" width="9.140625" style="15"/>
  </cols>
  <sheetData>
    <row r="1" spans="2:10" ht="15.75" x14ac:dyDescent="0.25">
      <c r="B1" s="16" t="s">
        <v>79</v>
      </c>
    </row>
    <row r="2" spans="2:10" x14ac:dyDescent="0.2">
      <c r="F2" s="116" t="s">
        <v>56</v>
      </c>
      <c r="G2" s="116"/>
      <c r="H2" s="116"/>
      <c r="I2" s="116"/>
      <c r="J2" s="116"/>
    </row>
    <row r="4" spans="2:10" ht="13.5" thickBot="1" x14ac:dyDescent="0.25">
      <c r="B4" s="71" t="s">
        <v>37</v>
      </c>
      <c r="C4" s="71">
        <v>2021</v>
      </c>
      <c r="D4" s="71">
        <v>2022</v>
      </c>
      <c r="E4" s="71">
        <v>2023</v>
      </c>
      <c r="F4" s="71">
        <v>2024</v>
      </c>
      <c r="G4" s="71">
        <v>2025</v>
      </c>
      <c r="H4" s="71">
        <v>2026</v>
      </c>
      <c r="I4" s="71">
        <v>2027</v>
      </c>
      <c r="J4" s="71">
        <v>2028</v>
      </c>
    </row>
    <row r="5" spans="2:10" x14ac:dyDescent="0.2">
      <c r="B5" s="15" t="s">
        <v>80</v>
      </c>
      <c r="C5" s="58"/>
      <c r="D5" s="30">
        <f>BS!C9</f>
        <v>6705</v>
      </c>
      <c r="E5" s="30">
        <f>BS!D9</f>
        <v>7040</v>
      </c>
      <c r="F5" s="67">
        <f>E8</f>
        <v>7610</v>
      </c>
      <c r="G5" s="67">
        <f t="shared" ref="G5" si="0">F8</f>
        <v>8108.183412353399</v>
      </c>
      <c r="H5" s="67">
        <f t="shared" ref="H5:J5" si="1">G8</f>
        <v>8638.9800589175848</v>
      </c>
      <c r="I5" s="67">
        <f t="shared" si="1"/>
        <v>9204.5249426238315</v>
      </c>
      <c r="J5" s="67">
        <f t="shared" si="1"/>
        <v>9807.0928329008784</v>
      </c>
    </row>
    <row r="6" spans="2:10" x14ac:dyDescent="0.2">
      <c r="B6" s="15" t="s">
        <v>43</v>
      </c>
      <c r="C6" s="58"/>
      <c r="D6" s="30">
        <f>'P&amp;L'!D16</f>
        <v>-1000</v>
      </c>
      <c r="E6" s="30">
        <f>'P&amp;L'!E16</f>
        <v>-1010</v>
      </c>
      <c r="F6" s="67">
        <f>F5*F10</f>
        <v>-1113.3747341281949</v>
      </c>
      <c r="G6" s="67">
        <f t="shared" ref="G6" si="2">G5*G10</f>
        <v>-1186.2610448083581</v>
      </c>
      <c r="H6" s="67">
        <f t="shared" ref="H6" si="3">H5*H10</f>
        <v>-1263.9188076525811</v>
      </c>
      <c r="I6" s="67">
        <f t="shared" ref="I6" si="4">I5*I10</f>
        <v>-1346.660382492792</v>
      </c>
      <c r="J6" s="67">
        <f t="shared" ref="J6" si="5">J5*J10</f>
        <v>-1434.8185775823313</v>
      </c>
    </row>
    <row r="7" spans="2:10" ht="13.5" thickBot="1" x14ac:dyDescent="0.25">
      <c r="B7" s="15" t="s">
        <v>81</v>
      </c>
      <c r="C7" s="58"/>
      <c r="D7" s="83">
        <f>D8-D6-D5</f>
        <v>1335</v>
      </c>
      <c r="E7" s="83">
        <f>E8-E6-E5</f>
        <v>1580</v>
      </c>
      <c r="F7" s="67">
        <f>F5*F11</f>
        <v>1611.5581464815946</v>
      </c>
      <c r="G7" s="67">
        <f>G5*G11</f>
        <v>1717.0576913725431</v>
      </c>
      <c r="H7" s="67">
        <f>H5*H11</f>
        <v>1829.4636913588276</v>
      </c>
      <c r="I7" s="67">
        <f>I5*I11</f>
        <v>1949.228272769838</v>
      </c>
      <c r="J7" s="67">
        <f>J5*J11</f>
        <v>2076.833160073938</v>
      </c>
    </row>
    <row r="8" spans="2:10" ht="13.5" thickBot="1" x14ac:dyDescent="0.25">
      <c r="B8" s="19" t="s">
        <v>82</v>
      </c>
      <c r="C8" s="33"/>
      <c r="D8" s="33">
        <f>BS!D9</f>
        <v>7040</v>
      </c>
      <c r="E8" s="33">
        <f>BS!E9</f>
        <v>7610</v>
      </c>
      <c r="F8" s="33">
        <f>SUM(F5:F7)</f>
        <v>8108.183412353399</v>
      </c>
      <c r="G8" s="33">
        <f t="shared" ref="G8:J8" si="6">SUM(G5:G7)</f>
        <v>8638.9800589175848</v>
      </c>
      <c r="H8" s="33">
        <f t="shared" si="6"/>
        <v>9204.5249426238315</v>
      </c>
      <c r="I8" s="33">
        <f t="shared" si="6"/>
        <v>9807.0928329008784</v>
      </c>
      <c r="J8" s="33">
        <f t="shared" si="6"/>
        <v>10449.107415392486</v>
      </c>
    </row>
    <row r="10" spans="2:10" x14ac:dyDescent="0.2">
      <c r="B10" s="14" t="s">
        <v>85</v>
      </c>
      <c r="C10" s="14"/>
      <c r="D10" s="82">
        <f>D6/D5</f>
        <v>-0.14914243102162567</v>
      </c>
      <c r="E10" s="82">
        <f>E6/E5</f>
        <v>-0.14346590909090909</v>
      </c>
      <c r="F10" s="84">
        <f>AVERAGE($D10:$E10)</f>
        <v>-0.14630417005626739</v>
      </c>
      <c r="G10" s="84">
        <f t="shared" ref="G10:J11" si="7">AVERAGE($D10:$E10)</f>
        <v>-0.14630417005626739</v>
      </c>
      <c r="H10" s="84">
        <f t="shared" si="7"/>
        <v>-0.14630417005626739</v>
      </c>
      <c r="I10" s="84">
        <f t="shared" si="7"/>
        <v>-0.14630417005626739</v>
      </c>
      <c r="J10" s="84">
        <f t="shared" si="7"/>
        <v>-0.14630417005626739</v>
      </c>
    </row>
    <row r="11" spans="2:10" x14ac:dyDescent="0.2">
      <c r="B11" s="14" t="s">
        <v>86</v>
      </c>
      <c r="C11" s="14"/>
      <c r="D11" s="82">
        <f>D7/D5</f>
        <v>0.19910514541387025</v>
      </c>
      <c r="E11" s="82">
        <f>E7/E5</f>
        <v>0.22443181818181818</v>
      </c>
      <c r="F11" s="84">
        <f>AVERAGE($D11:$E11)</f>
        <v>0.21176848179784422</v>
      </c>
      <c r="G11" s="84">
        <f t="shared" si="7"/>
        <v>0.21176848179784422</v>
      </c>
      <c r="H11" s="84">
        <f t="shared" si="7"/>
        <v>0.21176848179784422</v>
      </c>
      <c r="I11" s="84">
        <f t="shared" si="7"/>
        <v>0.21176848179784422</v>
      </c>
      <c r="J11" s="84">
        <f t="shared" si="7"/>
        <v>0.21176848179784422</v>
      </c>
    </row>
  </sheetData>
  <mergeCells count="1">
    <mergeCell ref="F2:J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D0B3-D6E7-4B3C-B5B6-24CC05901D65}">
  <dimension ref="B1:L34"/>
  <sheetViews>
    <sheetView workbookViewId="0">
      <selection activeCell="B9" sqref="B9:J9"/>
    </sheetView>
  </sheetViews>
  <sheetFormatPr defaultColWidth="7" defaultRowHeight="12.75" x14ac:dyDescent="0.2"/>
  <cols>
    <col min="1" max="1" width="3.42578125" style="15" customWidth="1"/>
    <col min="2" max="2" width="34.7109375" style="15" bestFit="1" customWidth="1"/>
    <col min="3" max="3" width="10.28515625" style="15" bestFit="1" customWidth="1"/>
    <col min="4" max="4" width="9" style="15" customWidth="1"/>
    <col min="5" max="10" width="9.28515625" style="15" bestFit="1" customWidth="1"/>
    <col min="11" max="12" width="9.7109375" style="15" bestFit="1" customWidth="1"/>
    <col min="13" max="16384" width="7" style="15"/>
  </cols>
  <sheetData>
    <row r="1" spans="2:10" ht="15.75" x14ac:dyDescent="0.25">
      <c r="B1" s="16" t="s">
        <v>87</v>
      </c>
    </row>
    <row r="3" spans="2:10" x14ac:dyDescent="0.2">
      <c r="F3" s="116" t="s">
        <v>56</v>
      </c>
      <c r="G3" s="116"/>
      <c r="H3" s="116"/>
      <c r="I3" s="116"/>
      <c r="J3" s="116"/>
    </row>
    <row r="5" spans="2:10" ht="13.5" thickBot="1" x14ac:dyDescent="0.25">
      <c r="B5" s="71" t="s">
        <v>37</v>
      </c>
      <c r="C5" s="71">
        <v>2021</v>
      </c>
      <c r="D5" s="71">
        <v>2022</v>
      </c>
      <c r="E5" s="71">
        <v>2023</v>
      </c>
      <c r="F5" s="71">
        <v>2024</v>
      </c>
      <c r="G5" s="71">
        <v>2025</v>
      </c>
      <c r="H5" s="71">
        <v>2026</v>
      </c>
      <c r="I5" s="71">
        <v>2027</v>
      </c>
      <c r="J5" s="71">
        <v>2028</v>
      </c>
    </row>
    <row r="6" spans="2:10" x14ac:dyDescent="0.2">
      <c r="B6" s="15" t="s">
        <v>98</v>
      </c>
      <c r="C6" s="58"/>
      <c r="D6" s="87">
        <f>C9</f>
        <v>15800</v>
      </c>
      <c r="E6" s="87">
        <f>D9</f>
        <v>17100</v>
      </c>
      <c r="F6" s="87">
        <f t="shared" ref="F6:J6" si="0">E9</f>
        <v>18500</v>
      </c>
      <c r="G6" s="87">
        <f t="shared" si="0"/>
        <v>17282.328336682876</v>
      </c>
      <c r="H6" s="87">
        <f t="shared" si="0"/>
        <v>15955.066223667211</v>
      </c>
      <c r="I6" s="87">
        <f t="shared" si="0"/>
        <v>14508.350520480135</v>
      </c>
      <c r="J6" s="87">
        <f t="shared" si="0"/>
        <v>12931.430404006222</v>
      </c>
    </row>
    <row r="7" spans="2:10" x14ac:dyDescent="0.2">
      <c r="B7" s="15" t="s">
        <v>89</v>
      </c>
      <c r="C7" s="58"/>
      <c r="D7" s="87">
        <v>0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</row>
    <row r="8" spans="2:10" ht="13.5" thickBot="1" x14ac:dyDescent="0.25">
      <c r="B8" s="15" t="s">
        <v>90</v>
      </c>
      <c r="C8" s="58"/>
      <c r="D8" s="87">
        <f>D9-D6</f>
        <v>1300</v>
      </c>
      <c r="E8" s="87">
        <f>E9-E6</f>
        <v>1400</v>
      </c>
      <c r="F8" s="91">
        <f>C27</f>
        <v>-1217.671663317125</v>
      </c>
      <c r="G8" s="91">
        <f t="shared" ref="G8:J8" si="1">D27</f>
        <v>-1327.262113015666</v>
      </c>
      <c r="H8" s="91">
        <f t="shared" si="1"/>
        <v>-1446.7157031870761</v>
      </c>
      <c r="I8" s="91">
        <f t="shared" si="1"/>
        <v>-1576.9201164739129</v>
      </c>
      <c r="J8" s="91">
        <f t="shared" si="1"/>
        <v>-1718.8429269565652</v>
      </c>
    </row>
    <row r="9" spans="2:10" ht="13.5" thickBot="1" x14ac:dyDescent="0.25">
      <c r="B9" s="19" t="s">
        <v>88</v>
      </c>
      <c r="C9" s="33">
        <f>BS!C14</f>
        <v>15800</v>
      </c>
      <c r="D9" s="33">
        <f>BS!D14</f>
        <v>17100</v>
      </c>
      <c r="E9" s="33">
        <f>BS!E14</f>
        <v>18500</v>
      </c>
      <c r="F9" s="33">
        <f>SUM(F6:F8)</f>
        <v>17282.328336682876</v>
      </c>
      <c r="G9" s="33">
        <f t="shared" ref="G9:J9" si="2">SUM(G6:G8)</f>
        <v>15955.066223667211</v>
      </c>
      <c r="H9" s="33">
        <f t="shared" si="2"/>
        <v>14508.350520480135</v>
      </c>
      <c r="I9" s="33">
        <f t="shared" si="2"/>
        <v>12931.430404006222</v>
      </c>
      <c r="J9" s="33">
        <f t="shared" si="2"/>
        <v>11212.587477049656</v>
      </c>
    </row>
    <row r="12" spans="2:10" x14ac:dyDescent="0.2">
      <c r="B12" s="89"/>
    </row>
    <row r="13" spans="2:10" x14ac:dyDescent="0.2">
      <c r="B13" s="14"/>
      <c r="C13" s="14"/>
    </row>
    <row r="14" spans="2:10" x14ac:dyDescent="0.2">
      <c r="B14" s="14" t="s">
        <v>91</v>
      </c>
      <c r="C14" s="14">
        <v>10</v>
      </c>
    </row>
    <row r="15" spans="2:10" x14ac:dyDescent="0.2">
      <c r="B15" s="14" t="s">
        <v>92</v>
      </c>
      <c r="C15" s="85">
        <v>0.09</v>
      </c>
    </row>
    <row r="16" spans="2:10" x14ac:dyDescent="0.2">
      <c r="B16" s="14" t="s">
        <v>93</v>
      </c>
      <c r="C16" s="86">
        <f>PMT(C15,C14,E9)</f>
        <v>-2882.671663317125</v>
      </c>
    </row>
    <row r="17" spans="2:12" x14ac:dyDescent="0.2">
      <c r="B17" s="14"/>
      <c r="C17" s="14"/>
    </row>
    <row r="18" spans="2:12" x14ac:dyDescent="0.2">
      <c r="B18" s="89"/>
    </row>
    <row r="21" spans="2:12" x14ac:dyDescent="0.2">
      <c r="C21" s="90"/>
    </row>
    <row r="22" spans="2:12" x14ac:dyDescent="0.2">
      <c r="C22" s="91"/>
    </row>
    <row r="24" spans="2:12" ht="13.5" thickBot="1" x14ac:dyDescent="0.25">
      <c r="B24" s="93" t="s">
        <v>94</v>
      </c>
      <c r="C24" s="93">
        <v>1</v>
      </c>
      <c r="D24" s="93">
        <v>2</v>
      </c>
      <c r="E24" s="93">
        <v>3</v>
      </c>
      <c r="F24" s="93">
        <v>4</v>
      </c>
      <c r="G24" s="93">
        <v>5</v>
      </c>
      <c r="H24" s="93">
        <v>6</v>
      </c>
      <c r="I24" s="93">
        <v>7</v>
      </c>
      <c r="J24" s="93">
        <v>8</v>
      </c>
      <c r="K24" s="93">
        <v>9</v>
      </c>
      <c r="L24" s="93">
        <v>10</v>
      </c>
    </row>
    <row r="25" spans="2:12" x14ac:dyDescent="0.2">
      <c r="B25" s="15" t="s">
        <v>95</v>
      </c>
      <c r="C25" s="91">
        <f>$C16</f>
        <v>-2882.671663317125</v>
      </c>
      <c r="D25" s="91">
        <f t="shared" ref="D25:L25" si="3">$C16</f>
        <v>-2882.671663317125</v>
      </c>
      <c r="E25" s="91">
        <f t="shared" si="3"/>
        <v>-2882.671663317125</v>
      </c>
      <c r="F25" s="91">
        <f t="shared" si="3"/>
        <v>-2882.671663317125</v>
      </c>
      <c r="G25" s="91">
        <f t="shared" si="3"/>
        <v>-2882.671663317125</v>
      </c>
      <c r="H25" s="91">
        <f t="shared" si="3"/>
        <v>-2882.671663317125</v>
      </c>
      <c r="I25" s="91">
        <f t="shared" si="3"/>
        <v>-2882.671663317125</v>
      </c>
      <c r="J25" s="91">
        <f t="shared" si="3"/>
        <v>-2882.671663317125</v>
      </c>
      <c r="K25" s="91">
        <f t="shared" si="3"/>
        <v>-2882.671663317125</v>
      </c>
      <c r="L25" s="91">
        <f t="shared" si="3"/>
        <v>-2882.671663317125</v>
      </c>
    </row>
    <row r="26" spans="2:12" x14ac:dyDescent="0.2">
      <c r="B26" s="15" t="s">
        <v>45</v>
      </c>
      <c r="C26" s="92">
        <f>-E9*C15</f>
        <v>-1665</v>
      </c>
      <c r="D26" s="92">
        <f>-C28*C15</f>
        <v>-1555.4095503014589</v>
      </c>
      <c r="E26" s="92">
        <f>-D28*C15</f>
        <v>-1435.9559601300489</v>
      </c>
      <c r="F26" s="92">
        <f>-E28*C15</f>
        <v>-1305.7515468432121</v>
      </c>
      <c r="G26" s="92">
        <f>-F28*C15</f>
        <v>-1163.8287363605598</v>
      </c>
      <c r="H26" s="92">
        <f>-G28*C15</f>
        <v>-1009.132872934469</v>
      </c>
      <c r="I26" s="92">
        <f>-H28*C15</f>
        <v>-840.51438180002992</v>
      </c>
      <c r="J26" s="92">
        <f>-I28*C15</f>
        <v>-656.72022646349149</v>
      </c>
      <c r="K26" s="92">
        <f>-J28*C15</f>
        <v>-456.38459714666448</v>
      </c>
      <c r="L26" s="92">
        <f>-K28*C15</f>
        <v>-238.01876119132302</v>
      </c>
    </row>
    <row r="27" spans="2:12" x14ac:dyDescent="0.2">
      <c r="B27" s="15" t="s">
        <v>96</v>
      </c>
      <c r="C27" s="91">
        <f>C25-C26</f>
        <v>-1217.671663317125</v>
      </c>
      <c r="D27" s="91">
        <f>D25-D26</f>
        <v>-1327.262113015666</v>
      </c>
      <c r="E27" s="91">
        <f t="shared" ref="E27:L27" si="4">E25-E26</f>
        <v>-1446.7157031870761</v>
      </c>
      <c r="F27" s="91">
        <f t="shared" si="4"/>
        <v>-1576.9201164739129</v>
      </c>
      <c r="G27" s="91">
        <f t="shared" si="4"/>
        <v>-1718.8429269565652</v>
      </c>
      <c r="H27" s="91">
        <f t="shared" si="4"/>
        <v>-1873.5387903826559</v>
      </c>
      <c r="I27" s="91">
        <f t="shared" si="4"/>
        <v>-2042.157281517095</v>
      </c>
      <c r="J27" s="91">
        <f t="shared" si="4"/>
        <v>-2225.9514368536334</v>
      </c>
      <c r="K27" s="91">
        <f t="shared" si="4"/>
        <v>-2426.2870661704605</v>
      </c>
      <c r="L27" s="91">
        <f t="shared" si="4"/>
        <v>-2644.652902125802</v>
      </c>
    </row>
    <row r="28" spans="2:12" x14ac:dyDescent="0.2">
      <c r="B28" s="15" t="s">
        <v>97</v>
      </c>
      <c r="C28" s="88">
        <f>E9+C27</f>
        <v>17282.328336682876</v>
      </c>
      <c r="D28" s="88">
        <f>C28+D27</f>
        <v>15955.066223667211</v>
      </c>
      <c r="E28" s="88">
        <f t="shared" ref="E28:L28" si="5">D28+E27</f>
        <v>14508.350520480135</v>
      </c>
      <c r="F28" s="88">
        <f t="shared" si="5"/>
        <v>12931.430404006222</v>
      </c>
      <c r="G28" s="88">
        <f t="shared" si="5"/>
        <v>11212.587477049656</v>
      </c>
      <c r="H28" s="88">
        <f t="shared" si="5"/>
        <v>9339.0486866669999</v>
      </c>
      <c r="I28" s="88">
        <f t="shared" si="5"/>
        <v>7296.891405149905</v>
      </c>
      <c r="J28" s="88">
        <f t="shared" si="5"/>
        <v>5070.9399682962721</v>
      </c>
      <c r="K28" s="88">
        <f t="shared" si="5"/>
        <v>2644.6529021258116</v>
      </c>
      <c r="L28" s="88">
        <f t="shared" si="5"/>
        <v>9.5496943686157465E-12</v>
      </c>
    </row>
    <row r="30" spans="2:12" x14ac:dyDescent="0.2"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</row>
    <row r="31" spans="2:12" x14ac:dyDescent="0.2">
      <c r="C31" s="91"/>
      <c r="D31" s="91"/>
      <c r="E31" s="91"/>
      <c r="F31" s="91"/>
      <c r="G31" s="91"/>
      <c r="H31" s="91"/>
      <c r="I31" s="91"/>
      <c r="J31" s="91"/>
      <c r="K31" s="91"/>
      <c r="L31" s="91"/>
    </row>
    <row r="32" spans="2:12" x14ac:dyDescent="0.2">
      <c r="C32" s="92"/>
      <c r="D32" s="91"/>
      <c r="E32" s="91"/>
      <c r="F32" s="91"/>
      <c r="G32" s="91"/>
      <c r="H32" s="91"/>
      <c r="I32" s="91"/>
      <c r="J32" s="91"/>
      <c r="K32" s="91"/>
      <c r="L32" s="91"/>
    </row>
    <row r="33" spans="3:12" x14ac:dyDescent="0.2">
      <c r="C33" s="91"/>
      <c r="D33" s="91"/>
      <c r="E33" s="91"/>
      <c r="F33" s="91"/>
      <c r="G33" s="91"/>
      <c r="H33" s="91"/>
      <c r="I33" s="91"/>
      <c r="J33" s="91"/>
      <c r="K33" s="91"/>
      <c r="L33" s="91"/>
    </row>
    <row r="34" spans="3:12" x14ac:dyDescent="0.2">
      <c r="C34" s="88"/>
      <c r="D34" s="88"/>
      <c r="E34" s="88"/>
      <c r="F34" s="88"/>
      <c r="G34" s="88"/>
      <c r="H34" s="88"/>
      <c r="I34" s="88"/>
      <c r="J34" s="88"/>
      <c r="K34" s="88"/>
      <c r="L34" s="88"/>
    </row>
  </sheetData>
  <mergeCells count="1">
    <mergeCell ref="F3:J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180F-1954-4A6C-BBB0-AAD33AC76546}">
  <dimension ref="B1:L35"/>
  <sheetViews>
    <sheetView workbookViewId="0">
      <selection activeCell="B10" sqref="B10:J10"/>
    </sheetView>
  </sheetViews>
  <sheetFormatPr defaultColWidth="7" defaultRowHeight="12.75" x14ac:dyDescent="0.2"/>
  <cols>
    <col min="1" max="1" width="3.42578125" style="15" customWidth="1"/>
    <col min="2" max="2" width="26.85546875" style="15" bestFit="1" customWidth="1"/>
    <col min="3" max="3" width="10.28515625" style="15" bestFit="1" customWidth="1"/>
    <col min="4" max="4" width="9" style="15" customWidth="1"/>
    <col min="5" max="5" width="9.28515625" style="15" bestFit="1" customWidth="1"/>
    <col min="6" max="6" width="11.42578125" style="15" customWidth="1"/>
    <col min="7" max="9" width="10.28515625" style="15" bestFit="1" customWidth="1"/>
    <col min="10" max="10" width="11.85546875" style="15" bestFit="1" customWidth="1"/>
    <col min="11" max="12" width="9.7109375" style="15" bestFit="1" customWidth="1"/>
    <col min="13" max="16384" width="7" style="15"/>
  </cols>
  <sheetData>
    <row r="1" spans="2:10" ht="15.75" x14ac:dyDescent="0.25">
      <c r="B1" s="16" t="s">
        <v>99</v>
      </c>
    </row>
    <row r="3" spans="2:10" x14ac:dyDescent="0.2">
      <c r="F3" s="116" t="s">
        <v>56</v>
      </c>
      <c r="G3" s="116"/>
      <c r="H3" s="116"/>
      <c r="I3" s="116"/>
      <c r="J3" s="116"/>
    </row>
    <row r="5" spans="2:10" ht="13.5" thickBot="1" x14ac:dyDescent="0.25">
      <c r="B5" s="71" t="s">
        <v>37</v>
      </c>
      <c r="C5" s="71">
        <v>2021</v>
      </c>
      <c r="D5" s="71">
        <v>2022</v>
      </c>
      <c r="E5" s="71">
        <v>2023</v>
      </c>
      <c r="F5" s="71">
        <v>2024</v>
      </c>
      <c r="G5" s="71">
        <v>2025</v>
      </c>
      <c r="H5" s="71">
        <v>2026</v>
      </c>
      <c r="I5" s="71">
        <v>2027</v>
      </c>
      <c r="J5" s="71">
        <v>2028</v>
      </c>
    </row>
    <row r="6" spans="2:10" x14ac:dyDescent="0.2">
      <c r="B6" s="15" t="s">
        <v>101</v>
      </c>
      <c r="C6" s="58"/>
      <c r="D6" s="58"/>
      <c r="E6" s="58"/>
      <c r="F6" s="30">
        <f>E10</f>
        <v>32810</v>
      </c>
      <c r="G6" s="30">
        <f t="shared" ref="G6:J6" ca="1" si="0">F10</f>
        <v>41481.657643570768</v>
      </c>
      <c r="H6" s="30">
        <f t="shared" ca="1" si="0"/>
        <v>50681.734522211467</v>
      </c>
      <c r="I6" s="30">
        <f t="shared" ca="1" si="0"/>
        <v>60438.410097608845</v>
      </c>
      <c r="J6" s="30">
        <f t="shared" ca="1" si="0"/>
        <v>70781.446003267411</v>
      </c>
    </row>
    <row r="7" spans="2:10" x14ac:dyDescent="0.2">
      <c r="B7" s="15" t="s">
        <v>117</v>
      </c>
      <c r="C7" s="58"/>
      <c r="D7" s="58"/>
      <c r="E7" s="58"/>
      <c r="F7" s="97">
        <v>0</v>
      </c>
      <c r="G7" s="97">
        <v>0</v>
      </c>
      <c r="H7" s="97">
        <v>0</v>
      </c>
      <c r="I7" s="97">
        <v>0</v>
      </c>
      <c r="J7" s="97">
        <v>0</v>
      </c>
    </row>
    <row r="8" spans="2:10" x14ac:dyDescent="0.2">
      <c r="B8" s="15" t="s">
        <v>103</v>
      </c>
      <c r="C8" s="58"/>
      <c r="D8" s="58"/>
      <c r="E8" s="58"/>
      <c r="F8" s="30">
        <f ca="1">'P&amp;L'!I21</f>
        <v>14452.762739284623</v>
      </c>
      <c r="G8" s="30">
        <f ca="1">'P&amp;L'!J21</f>
        <v>15333.461464401167</v>
      </c>
      <c r="H8" s="30">
        <f ca="1">'P&amp;L'!K21</f>
        <v>16261.125958995633</v>
      </c>
      <c r="I8" s="30">
        <f ca="1">'P&amp;L'!L21</f>
        <v>17238.393176097601</v>
      </c>
      <c r="J8" s="30">
        <f ca="1">'P&amp;L'!M21</f>
        <v>18268.059525576409</v>
      </c>
    </row>
    <row r="9" spans="2:10" ht="13.5" thickBot="1" x14ac:dyDescent="0.25">
      <c r="B9" s="15" t="s">
        <v>104</v>
      </c>
      <c r="C9" s="58"/>
      <c r="D9" s="58"/>
      <c r="E9" s="58"/>
      <c r="F9" s="91">
        <f ca="1">IF(F8&gt;0,-F8*F13,0)</f>
        <v>-5781.1050957138496</v>
      </c>
      <c r="G9" s="91">
        <f t="shared" ref="G9:J9" ca="1" si="1">IF(G8&gt;0,-G8*G13,0)</f>
        <v>-6133.3845857604674</v>
      </c>
      <c r="H9" s="91">
        <f t="shared" ca="1" si="1"/>
        <v>-6504.4503835982541</v>
      </c>
      <c r="I9" s="91">
        <f t="shared" ca="1" si="1"/>
        <v>-6895.3572704390408</v>
      </c>
      <c r="J9" s="91">
        <f t="shared" ca="1" si="1"/>
        <v>-7307.2238102305637</v>
      </c>
    </row>
    <row r="10" spans="2:10" ht="13.5" thickBot="1" x14ac:dyDescent="0.25">
      <c r="B10" s="19" t="s">
        <v>102</v>
      </c>
      <c r="C10" s="33"/>
      <c r="D10" s="33"/>
      <c r="E10" s="33">
        <f>BS!E16</f>
        <v>32810</v>
      </c>
      <c r="F10" s="33">
        <f ca="1">SUM(F6:F9)</f>
        <v>41481.657643570768</v>
      </c>
      <c r="G10" s="33">
        <f ca="1">SUM(G6:G9)</f>
        <v>50681.734522211467</v>
      </c>
      <c r="H10" s="33">
        <f ca="1">SUM(H6:H9)</f>
        <v>60438.410097608845</v>
      </c>
      <c r="I10" s="33">
        <f ca="1">SUM(I6:I9)</f>
        <v>70781.446003267411</v>
      </c>
      <c r="J10" s="33">
        <f ca="1">SUM(J6:J9)</f>
        <v>81742.28171861326</v>
      </c>
    </row>
    <row r="13" spans="2:10" x14ac:dyDescent="0.2">
      <c r="B13" s="14" t="s">
        <v>100</v>
      </c>
      <c r="C13" s="14"/>
      <c r="D13" s="14"/>
      <c r="E13" s="14"/>
      <c r="F13" s="85">
        <v>0.4</v>
      </c>
      <c r="G13" s="85">
        <v>0.4</v>
      </c>
      <c r="H13" s="85">
        <v>0.4</v>
      </c>
      <c r="I13" s="85">
        <v>0.4</v>
      </c>
      <c r="J13" s="85">
        <v>0.4</v>
      </c>
    </row>
    <row r="16" spans="2:10" x14ac:dyDescent="0.2">
      <c r="C16" s="90"/>
    </row>
    <row r="17" spans="2:12" x14ac:dyDescent="0.2">
      <c r="C17" s="91"/>
    </row>
    <row r="19" spans="2:12" x14ac:dyDescent="0.2">
      <c r="B19" s="89"/>
    </row>
    <row r="22" spans="2:12" x14ac:dyDescent="0.2">
      <c r="C22" s="90"/>
    </row>
    <row r="23" spans="2:12" x14ac:dyDescent="0.2">
      <c r="C23" s="91"/>
    </row>
    <row r="25" spans="2:12" x14ac:dyDescent="0.2"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</row>
    <row r="26" spans="2:12" x14ac:dyDescent="0.2">
      <c r="C26" s="91"/>
      <c r="D26" s="91"/>
      <c r="E26" s="91"/>
      <c r="F26" s="91"/>
      <c r="G26" s="91"/>
      <c r="H26" s="91"/>
      <c r="I26" s="91"/>
      <c r="J26" s="91"/>
      <c r="K26" s="91"/>
      <c r="L26" s="91"/>
    </row>
    <row r="27" spans="2:12" x14ac:dyDescent="0.2">
      <c r="C27" s="94"/>
      <c r="D27" s="94"/>
      <c r="E27" s="94"/>
      <c r="F27" s="94"/>
      <c r="G27" s="94"/>
      <c r="H27" s="94"/>
      <c r="I27" s="94"/>
      <c r="J27" s="94"/>
      <c r="K27" s="94"/>
      <c r="L27" s="94"/>
    </row>
    <row r="28" spans="2:12" x14ac:dyDescent="0.2">
      <c r="C28" s="91"/>
      <c r="D28" s="91"/>
      <c r="E28" s="91"/>
      <c r="F28" s="91"/>
      <c r="G28" s="91"/>
      <c r="H28" s="91"/>
      <c r="I28" s="91"/>
      <c r="J28" s="91"/>
      <c r="K28" s="91"/>
      <c r="L28" s="91"/>
    </row>
    <row r="29" spans="2:12" x14ac:dyDescent="0.2">
      <c r="C29" s="88"/>
      <c r="D29" s="88"/>
      <c r="E29" s="88"/>
      <c r="F29" s="88"/>
      <c r="G29" s="88"/>
      <c r="H29" s="88"/>
      <c r="I29" s="88"/>
      <c r="J29" s="88"/>
      <c r="K29" s="88"/>
      <c r="L29" s="88"/>
    </row>
    <row r="31" spans="2:12" x14ac:dyDescent="0.2"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</row>
    <row r="32" spans="2:12" x14ac:dyDescent="0.2">
      <c r="C32" s="91"/>
      <c r="D32" s="91"/>
      <c r="E32" s="91"/>
      <c r="F32" s="91"/>
      <c r="G32" s="91"/>
      <c r="H32" s="91"/>
      <c r="I32" s="91"/>
      <c r="J32" s="91"/>
      <c r="K32" s="91"/>
      <c r="L32" s="91"/>
    </row>
    <row r="33" spans="3:12" x14ac:dyDescent="0.2">
      <c r="C33" s="92"/>
      <c r="D33" s="91"/>
      <c r="E33" s="91"/>
      <c r="F33" s="91"/>
      <c r="G33" s="91"/>
      <c r="H33" s="91"/>
      <c r="I33" s="91"/>
      <c r="J33" s="91"/>
      <c r="K33" s="91"/>
      <c r="L33" s="91"/>
    </row>
    <row r="34" spans="3:12" x14ac:dyDescent="0.2">
      <c r="C34" s="91"/>
      <c r="D34" s="91"/>
      <c r="E34" s="91"/>
      <c r="F34" s="91"/>
      <c r="G34" s="91"/>
      <c r="H34" s="91"/>
      <c r="I34" s="91"/>
      <c r="J34" s="91"/>
      <c r="K34" s="91"/>
      <c r="L34" s="91"/>
    </row>
    <row r="35" spans="3:12" x14ac:dyDescent="0.2">
      <c r="C35" s="88"/>
      <c r="D35" s="88"/>
      <c r="E35" s="88"/>
      <c r="F35" s="88"/>
      <c r="G35" s="88"/>
      <c r="H35" s="88"/>
      <c r="I35" s="88"/>
      <c r="J35" s="88"/>
      <c r="K35" s="88"/>
      <c r="L35" s="88"/>
    </row>
  </sheetData>
  <mergeCells count="1">
    <mergeCell ref="F3:J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B021A-604D-420A-9B95-B0CE78688116}">
  <dimension ref="B1:G20"/>
  <sheetViews>
    <sheetView workbookViewId="0">
      <selection activeCell="B20" sqref="B20:G20"/>
    </sheetView>
  </sheetViews>
  <sheetFormatPr defaultRowHeight="12.75" x14ac:dyDescent="0.2"/>
  <cols>
    <col min="1" max="1" width="1.140625" style="15" customWidth="1"/>
    <col min="2" max="2" width="27.7109375" style="15" bestFit="1" customWidth="1"/>
    <col min="3" max="3" width="12.42578125" style="15" customWidth="1"/>
    <col min="4" max="7" width="10.28515625" style="15" bestFit="1" customWidth="1"/>
    <col min="8" max="16384" width="9.140625" style="15"/>
  </cols>
  <sheetData>
    <row r="1" spans="2:7" ht="15.75" x14ac:dyDescent="0.25">
      <c r="B1" s="16" t="s">
        <v>106</v>
      </c>
    </row>
    <row r="4" spans="2:7" x14ac:dyDescent="0.2">
      <c r="C4" s="116" t="s">
        <v>56</v>
      </c>
      <c r="D4" s="116"/>
      <c r="E4" s="116"/>
      <c r="F4" s="116"/>
      <c r="G4" s="116"/>
    </row>
    <row r="6" spans="2:7" ht="13.5" thickBot="1" x14ac:dyDescent="0.25">
      <c r="B6" s="71" t="s">
        <v>37</v>
      </c>
      <c r="C6" s="71">
        <v>2024</v>
      </c>
      <c r="D6" s="71">
        <v>2025</v>
      </c>
      <c r="E6" s="71">
        <v>2026</v>
      </c>
      <c r="F6" s="71">
        <v>2027</v>
      </c>
      <c r="G6" s="71">
        <v>2028</v>
      </c>
    </row>
    <row r="7" spans="2:7" x14ac:dyDescent="0.2">
      <c r="B7" s="15" t="s">
        <v>42</v>
      </c>
      <c r="C7" s="30">
        <f ca="1">'P&amp;L'!I15</f>
        <v>18837</v>
      </c>
      <c r="D7" s="30">
        <f ca="1">'P&amp;L'!J15</f>
        <v>19778.850000000002</v>
      </c>
      <c r="E7" s="30">
        <f ca="1">'P&amp;L'!K15</f>
        <v>20767.792500000003</v>
      </c>
      <c r="F7" s="30">
        <f ca="1">'P&amp;L'!L15</f>
        <v>21806.182125000003</v>
      </c>
      <c r="G7" s="30">
        <f ca="1">'P&amp;L'!M15</f>
        <v>22896.491231250009</v>
      </c>
    </row>
    <row r="8" spans="2:7" x14ac:dyDescent="0.2">
      <c r="B8" s="15" t="s">
        <v>45</v>
      </c>
      <c r="C8" s="30">
        <f>'P&amp;L'!I18</f>
        <v>-1665</v>
      </c>
      <c r="D8" s="30">
        <f>'P&amp;L'!J18</f>
        <v>-1555.4095503014589</v>
      </c>
      <c r="E8" s="30">
        <f>'P&amp;L'!K18</f>
        <v>-1435.9559601300489</v>
      </c>
      <c r="F8" s="30">
        <f>'P&amp;L'!L18</f>
        <v>-1305.7515468432121</v>
      </c>
      <c r="G8" s="30">
        <f>'P&amp;L'!M18</f>
        <v>-1163.8287363605598</v>
      </c>
    </row>
    <row r="9" spans="2:7" x14ac:dyDescent="0.2">
      <c r="B9" s="15" t="s">
        <v>46</v>
      </c>
      <c r="C9" s="30">
        <f ca="1">'P&amp;L'!I20</f>
        <v>-1605.8625265871806</v>
      </c>
      <c r="D9" s="30">
        <f ca="1">'P&amp;L'!J20</f>
        <v>-1703.7179404890187</v>
      </c>
      <c r="E9" s="30">
        <f ca="1">'P&amp;L'!K20</f>
        <v>-1806.7917732217372</v>
      </c>
      <c r="F9" s="30">
        <f ca="1">'P&amp;L'!L20</f>
        <v>-1915.3770195664001</v>
      </c>
      <c r="G9" s="30">
        <f ca="1">'P&amp;L'!M20</f>
        <v>-2029.7843917307121</v>
      </c>
    </row>
    <row r="10" spans="2:7" x14ac:dyDescent="0.2">
      <c r="B10" s="15" t="s">
        <v>114</v>
      </c>
      <c r="C10" s="30">
        <f ca="1">-(BS!F7-BS!E7)</f>
        <v>-182.76382173638831</v>
      </c>
      <c r="D10" s="30">
        <f ca="1">-(BS!G7-BS!F7)</f>
        <v>-269.13819108681946</v>
      </c>
      <c r="E10" s="30">
        <f ca="1">-(BS!H7-BS!G7)</f>
        <v>-282.59510064116148</v>
      </c>
      <c r="F10" s="30">
        <f ca="1">-(BS!I7-BS!H7)</f>
        <v>-296.72485567321837</v>
      </c>
      <c r="G10" s="30">
        <f ca="1">-(BS!J7-BS!I7)</f>
        <v>-311.56109845687934</v>
      </c>
    </row>
    <row r="11" spans="2:7" x14ac:dyDescent="0.2">
      <c r="B11" s="15" t="s">
        <v>107</v>
      </c>
      <c r="C11" s="30">
        <f ca="1">-(BS!F8-BS!E8)</f>
        <v>-18.774982596341033</v>
      </c>
      <c r="D11" s="30">
        <f ca="1">-(BS!G8-BS!F8)</f>
        <v>-320.93874912981664</v>
      </c>
      <c r="E11" s="30">
        <f ca="1">-(BS!H8-BS!G8)</f>
        <v>-336.98568658630847</v>
      </c>
      <c r="F11" s="30">
        <f ca="1">-(BS!I8-BS!H8)</f>
        <v>-353.83497091562458</v>
      </c>
      <c r="G11" s="30">
        <f ca="1">-(BS!J8-BS!I8)</f>
        <v>-371.52671946140435</v>
      </c>
    </row>
    <row r="12" spans="2:7" x14ac:dyDescent="0.2">
      <c r="B12" s="15" t="s">
        <v>115</v>
      </c>
      <c r="C12" s="30">
        <f ca="1">BS!F13-BS!E13</f>
        <v>25.77699453956302</v>
      </c>
      <c r="D12" s="30">
        <f ca="1">BS!G13-BS!F13</f>
        <v>206.28884972697779</v>
      </c>
      <c r="E12" s="30">
        <f ca="1">BS!H13-BS!G13</f>
        <v>216.60329221332813</v>
      </c>
      <c r="F12" s="30">
        <f ca="1">BS!I13-BS!H13</f>
        <v>227.43345682399377</v>
      </c>
      <c r="G12" s="30">
        <f ca="1">BS!J13-BS!I13</f>
        <v>238.80512966519291</v>
      </c>
    </row>
    <row r="13" spans="2:7" x14ac:dyDescent="0.2">
      <c r="B13" s="15" t="s">
        <v>108</v>
      </c>
      <c r="C13" s="30">
        <f ca="1">-(BS!F10-BS!E10)</f>
        <v>-411.83177422744848</v>
      </c>
      <c r="D13" s="30">
        <f ca="1">-(BS!G10-BS!F10)</f>
        <v>-1635.591588711377</v>
      </c>
      <c r="E13" s="30">
        <f ca="1">-(BS!H10-BS!G10)</f>
        <v>-1717.3711681469431</v>
      </c>
      <c r="F13" s="30">
        <f ca="1">-(BS!I10-BS!H10)</f>
        <v>-1803.2397265542895</v>
      </c>
      <c r="G13" s="30">
        <f ca="1">-(BS!J10-BS!I10)</f>
        <v>-1893.4017128820051</v>
      </c>
    </row>
    <row r="14" spans="2:7" x14ac:dyDescent="0.2">
      <c r="B14" s="15" t="s">
        <v>109</v>
      </c>
      <c r="C14" s="30">
        <f ca="1">BS!F15-BS!E15</f>
        <v>247.47687618246709</v>
      </c>
      <c r="D14" s="30">
        <f ca="1">BS!G15-BS!F15</f>
        <v>442.37384380912226</v>
      </c>
      <c r="E14" s="30">
        <f ca="1">BS!H15-BS!G15</f>
        <v>464.49253599958138</v>
      </c>
      <c r="F14" s="30">
        <f ca="1">BS!I15-BS!H15</f>
        <v>487.71716279955945</v>
      </c>
      <c r="G14" s="30">
        <f ca="1">BS!J15-BS!I15</f>
        <v>512.1030209395376</v>
      </c>
    </row>
    <row r="15" spans="2:7" ht="13.5" thickBot="1" x14ac:dyDescent="0.25">
      <c r="B15" s="17" t="s">
        <v>81</v>
      </c>
      <c r="C15" s="31">
        <f>-'Fixed Asset Roll Forward'!F7</f>
        <v>-1611.5581464815946</v>
      </c>
      <c r="D15" s="31">
        <f>-'Fixed Asset Roll Forward'!G7</f>
        <v>-1717.0576913725431</v>
      </c>
      <c r="E15" s="31">
        <f>-'Fixed Asset Roll Forward'!H7</f>
        <v>-1829.4636913588276</v>
      </c>
      <c r="F15" s="31">
        <f>-'Fixed Asset Roll Forward'!I7</f>
        <v>-1949.228272769838</v>
      </c>
      <c r="G15" s="31">
        <f>-'Fixed Asset Roll Forward'!J7</f>
        <v>-2076.833160073938</v>
      </c>
    </row>
    <row r="16" spans="2:7" x14ac:dyDescent="0.2">
      <c r="B16" s="100" t="s">
        <v>110</v>
      </c>
      <c r="C16" s="101">
        <f ca="1">SUM(C7:C15)</f>
        <v>13614.462619093076</v>
      </c>
      <c r="D16" s="101">
        <f t="shared" ref="D16:G16" ca="1" si="0">SUM(D7:D15)</f>
        <v>13225.658982445069</v>
      </c>
      <c r="E16" s="101">
        <f t="shared" ca="1" si="0"/>
        <v>14039.724948127889</v>
      </c>
      <c r="F16" s="101">
        <f t="shared" ca="1" si="0"/>
        <v>14897.17635230097</v>
      </c>
      <c r="G16" s="101">
        <f t="shared" ca="1" si="0"/>
        <v>15800.463562889237</v>
      </c>
    </row>
    <row r="17" spans="2:7" x14ac:dyDescent="0.2">
      <c r="B17" s="15" t="s">
        <v>104</v>
      </c>
      <c r="C17" s="30">
        <f ca="1">'Equity Schedule'!F9</f>
        <v>-5781.1050957138496</v>
      </c>
      <c r="D17" s="30">
        <f ca="1">'Equity Schedule'!G9</f>
        <v>-6133.3845857604674</v>
      </c>
      <c r="E17" s="30">
        <f ca="1">'Equity Schedule'!H9</f>
        <v>-6504.4503835982541</v>
      </c>
      <c r="F17" s="30">
        <f ca="1">'Equity Schedule'!I9</f>
        <v>-6895.3572704390408</v>
      </c>
      <c r="G17" s="30">
        <f ca="1">'Equity Schedule'!J9</f>
        <v>-7307.2238102305637</v>
      </c>
    </row>
    <row r="18" spans="2:7" x14ac:dyDescent="0.2">
      <c r="B18" s="15" t="s">
        <v>111</v>
      </c>
      <c r="C18" s="30">
        <f>'Financial Liabilities'!F9-'Financial Liabilities'!E9</f>
        <v>-1217.6716633171236</v>
      </c>
      <c r="D18" s="30">
        <f>'Financial Liabilities'!G9-'Financial Liabilities'!F9</f>
        <v>-1327.2621130156658</v>
      </c>
      <c r="E18" s="30">
        <f>'Financial Liabilities'!H9-'Financial Liabilities'!G9</f>
        <v>-1446.7157031870756</v>
      </c>
      <c r="F18" s="30">
        <f>'Financial Liabilities'!I9-'Financial Liabilities'!H9</f>
        <v>-1576.9201164739134</v>
      </c>
      <c r="G18" s="30">
        <f>'Financial Liabilities'!J9-'Financial Liabilities'!I9</f>
        <v>-1718.8429269565659</v>
      </c>
    </row>
    <row r="19" spans="2:7" ht="13.5" thickBot="1" x14ac:dyDescent="0.25">
      <c r="B19" s="15" t="s">
        <v>112</v>
      </c>
      <c r="C19" s="87">
        <f ca="1">'Equity Schedule'!F10-'Equity Schedule'!E10-'Equity Schedule'!F8-'Equity Schedule'!F9</f>
        <v>0</v>
      </c>
      <c r="D19" s="87">
        <f ca="1">'Equity Schedule'!G10-'Equity Schedule'!F10-'Equity Schedule'!G8-'Equity Schedule'!G9</f>
        <v>0</v>
      </c>
      <c r="E19" s="87">
        <f ca="1">'Equity Schedule'!H10-'Equity Schedule'!G10-'Equity Schedule'!H8-'Equity Schedule'!H9</f>
        <v>0</v>
      </c>
      <c r="F19" s="87">
        <f ca="1">'Equity Schedule'!I10-'Equity Schedule'!H10-'Equity Schedule'!I8-'Equity Schedule'!I9</f>
        <v>0</v>
      </c>
      <c r="G19" s="87">
        <f ca="1">'Equity Schedule'!J10-'Equity Schedule'!I10-'Equity Schedule'!J8-'Equity Schedule'!J9</f>
        <v>0</v>
      </c>
    </row>
    <row r="20" spans="2:7" ht="13.5" thickBot="1" x14ac:dyDescent="0.25">
      <c r="B20" s="98" t="s">
        <v>113</v>
      </c>
      <c r="C20" s="99">
        <f ca="1">SUM(C16:C19)</f>
        <v>6615.6858600621026</v>
      </c>
      <c r="D20" s="99">
        <f t="shared" ref="D20:G20" ca="1" si="1">SUM(D16:D19)</f>
        <v>5765.0122836689361</v>
      </c>
      <c r="E20" s="99">
        <f t="shared" ca="1" si="1"/>
        <v>6088.5588613425589</v>
      </c>
      <c r="F20" s="99">
        <f t="shared" ca="1" si="1"/>
        <v>6424.8989653880162</v>
      </c>
      <c r="G20" s="99">
        <f t="shared" ca="1" si="1"/>
        <v>6774.3968257021079</v>
      </c>
    </row>
  </sheetData>
  <mergeCells count="1">
    <mergeCell ref="C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BS 2021-2023</vt:lpstr>
      <vt:lpstr>Revenue</vt:lpstr>
      <vt:lpstr>Cogs</vt:lpstr>
      <vt:lpstr>Expenses</vt:lpstr>
      <vt:lpstr>Overview</vt:lpstr>
      <vt:lpstr>P&amp;L</vt:lpstr>
      <vt:lpstr>BS</vt:lpstr>
      <vt:lpstr>Charts Visualization</vt:lpstr>
      <vt:lpstr>Fixed Asset Roll Forward</vt:lpstr>
      <vt:lpstr>Financial Liabilities</vt:lpstr>
      <vt:lpstr>Equity Schedule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2025-05-16T10:24:14Z</dcterms:created>
  <dcterms:modified xsi:type="dcterms:W3CDTF">2025-05-31T01:34:27Z</dcterms:modified>
</cp:coreProperties>
</file>