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Files\FA Portfolio\Financial Statement Analysis with Excel\"/>
    </mc:Choice>
  </mc:AlternateContent>
  <xr:revisionPtr revIDLastSave="0" documentId="8_{0D56F263-6408-4E18-94E4-1FDE58F057F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ase Study --&gt;" sheetId="15" r:id="rId1"/>
    <sheet name="Transactions" sheetId="1" r:id="rId2"/>
    <sheet name="Historical Data --&gt;" sheetId="13" r:id="rId3"/>
    <sheet name="Historical BS" sheetId="2" r:id="rId4"/>
    <sheet name="Historical P&amp;L" sheetId="12" r:id="rId5"/>
    <sheet name="2015 Data --&gt;" sheetId="14" r:id="rId6"/>
    <sheet name="Debits &amp; Credits" sheetId="3" r:id="rId7"/>
    <sheet name="T-accounts BS" sheetId="4" r:id="rId8"/>
    <sheet name="T-accounts P&amp;L" sheetId="10" r:id="rId9"/>
    <sheet name="Output --&gt;" sheetId="16" r:id="rId10"/>
    <sheet name="P&amp;L 2015" sheetId="6" r:id="rId11"/>
    <sheet name="BS 2015" sheetId="9" r:id="rId12"/>
  </sheets>
  <definedNames>
    <definedName name="_xlnm._FilterDatabase" localSheetId="6" hidden="1">'Debits &amp; Credits'!$B$4:$L$29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6" l="1"/>
  <c r="E30" i="6"/>
  <c r="E29" i="6"/>
  <c r="E28" i="6"/>
  <c r="E27" i="6"/>
  <c r="E26" i="6"/>
  <c r="D32" i="6"/>
  <c r="D31" i="6"/>
  <c r="D30" i="6"/>
  <c r="D29" i="6"/>
  <c r="D27" i="6"/>
  <c r="D28" i="6"/>
  <c r="C27" i="6"/>
  <c r="D26" i="6"/>
  <c r="C26" i="6"/>
  <c r="C32" i="6"/>
  <c r="C31" i="6"/>
  <c r="C4" i="6"/>
  <c r="C5" i="6"/>
  <c r="C7" i="6"/>
  <c r="C9" i="6"/>
  <c r="C10" i="6"/>
  <c r="C11" i="6"/>
  <c r="C12" i="6"/>
  <c r="C13" i="6"/>
  <c r="C15" i="6"/>
  <c r="C17" i="6"/>
  <c r="C18" i="6"/>
  <c r="C22" i="9"/>
  <c r="F24" i="9"/>
  <c r="F23" i="9"/>
  <c r="F22" i="9"/>
  <c r="F21" i="9"/>
  <c r="F20" i="9"/>
  <c r="E24" i="9"/>
  <c r="E22" i="9"/>
  <c r="E21" i="9"/>
  <c r="E20" i="9"/>
  <c r="E23" i="9" s="1"/>
  <c r="F19" i="9"/>
  <c r="E19" i="9"/>
  <c r="D19" i="9"/>
  <c r="C19" i="9"/>
  <c r="C24" i="9"/>
  <c r="K16" i="9"/>
  <c r="J16" i="9"/>
  <c r="O11" i="9"/>
  <c r="O16" i="9" s="1"/>
  <c r="N11" i="9"/>
  <c r="N16" i="9" s="1"/>
  <c r="G7" i="6"/>
  <c r="G9" i="6" s="1"/>
  <c r="G15" i="6" s="1"/>
  <c r="G17" i="6" s="1"/>
  <c r="G20" i="6" s="1"/>
  <c r="G22" i="6" s="1"/>
  <c r="F7" i="6"/>
  <c r="F9" i="6" s="1"/>
  <c r="F15" i="6" s="1"/>
  <c r="F17" i="6" s="1"/>
  <c r="F20" i="6" s="1"/>
  <c r="F22" i="6" s="1"/>
  <c r="F10" i="9"/>
  <c r="F9" i="9"/>
  <c r="F7" i="9"/>
  <c r="F6" i="9"/>
  <c r="F5" i="9"/>
  <c r="C11" i="9"/>
  <c r="C7" i="9"/>
  <c r="C6" i="9"/>
  <c r="C5" i="9"/>
  <c r="Q15" i="10"/>
  <c r="Q14" i="10"/>
  <c r="Q9" i="10"/>
  <c r="Q8" i="10"/>
  <c r="M9" i="10"/>
  <c r="L8" i="10"/>
  <c r="I29" i="10"/>
  <c r="H28" i="10"/>
  <c r="H21" i="10"/>
  <c r="I22" i="10" s="1"/>
  <c r="H14" i="10"/>
  <c r="I15" i="10" s="1"/>
  <c r="H8" i="10"/>
  <c r="I9" i="10" s="1"/>
  <c r="D27" i="10"/>
  <c r="E28" i="10" s="1"/>
  <c r="D21" i="10"/>
  <c r="E22" i="10" s="1"/>
  <c r="D14" i="10"/>
  <c r="E15" i="10" s="1"/>
  <c r="D9" i="10"/>
  <c r="E10" i="10" s="1"/>
  <c r="Q16" i="4"/>
  <c r="Q17" i="4" s="1"/>
  <c r="Q8" i="4"/>
  <c r="P8" i="4"/>
  <c r="M23" i="4"/>
  <c r="M24" i="4" s="1"/>
  <c r="M16" i="4"/>
  <c r="M17" i="4" s="1"/>
  <c r="M9" i="4"/>
  <c r="M10" i="4" s="1"/>
  <c r="I23" i="4"/>
  <c r="H23" i="4"/>
  <c r="I24" i="4" s="1"/>
  <c r="D15" i="4"/>
  <c r="C15" i="4"/>
  <c r="D16" i="4" s="1"/>
  <c r="H9" i="4"/>
  <c r="I10" i="4" s="1"/>
  <c r="C9" i="4"/>
  <c r="D10" i="4" s="1"/>
  <c r="D9" i="4"/>
  <c r="C6" i="6" l="1"/>
  <c r="C20" i="9"/>
  <c r="C21" i="9"/>
  <c r="Q9" i="4"/>
  <c r="F11" i="9"/>
  <c r="I26" i="3"/>
  <c r="I25" i="3"/>
  <c r="C23" i="9" l="1"/>
  <c r="C6" i="12"/>
  <c r="C8" i="12" s="1"/>
  <c r="C14" i="12" s="1"/>
  <c r="C16" i="12" s="1"/>
  <c r="C19" i="12" s="1"/>
  <c r="C21" i="12" s="1"/>
  <c r="G10" i="2" l="1"/>
  <c r="G15" i="2" s="1"/>
  <c r="C15" i="2"/>
  <c r="D6" i="12" l="1"/>
  <c r="D8" i="12" l="1"/>
  <c r="D15" i="2"/>
  <c r="H10" i="2"/>
  <c r="H15" i="2" s="1"/>
  <c r="D14" i="12" l="1"/>
  <c r="D16" i="12" s="1"/>
  <c r="D19" i="12" s="1"/>
  <c r="D21" i="12" s="1"/>
  <c r="D18" i="2"/>
  <c r="C8" i="6"/>
  <c r="C14" i="6" s="1"/>
  <c r="C16" i="6" s="1"/>
  <c r="C19" i="6" l="1"/>
  <c r="C15" i="9"/>
  <c r="C21" i="6" l="1"/>
  <c r="C29" i="6"/>
  <c r="C30" i="6" l="1"/>
  <c r="Q23" i="4"/>
  <c r="I28" i="3"/>
  <c r="Q24" i="4" l="1"/>
  <c r="Q25" i="4"/>
  <c r="F13" i="9" s="1"/>
  <c r="F15" i="9" l="1"/>
  <c r="C18" i="9" s="1"/>
  <c r="C28" i="6"/>
</calcChain>
</file>

<file path=xl/sharedStrings.xml><?xml version="1.0" encoding="utf-8"?>
<sst xmlns="http://schemas.openxmlformats.org/spreadsheetml/2006/main" count="335" uniqueCount="114">
  <si>
    <t xml:space="preserve">Starting from the Balance Sheet at 31st December 2014, consider the accounting impact of the following transactions that occurred in 
</t>
  </si>
  <si>
    <t>2015 and complete the empty sheets “Debits &amp; Credits”, “T-accounts BS”, “T-accounts P&amp;L”, “BS 2015” and “P&amp;L 2015”</t>
  </si>
  <si>
    <t>Historical Data --&gt;</t>
  </si>
  <si>
    <t>BS 2014</t>
  </si>
  <si>
    <t>Assets</t>
  </si>
  <si>
    <t>Dec 31
2013</t>
  </si>
  <si>
    <t>Dec 31
2014</t>
  </si>
  <si>
    <t>Liabilities</t>
  </si>
  <si>
    <t>Cash</t>
  </si>
  <si>
    <t>Trade Payables</t>
  </si>
  <si>
    <t>Raw Materials</t>
  </si>
  <si>
    <t>Employee Payables</t>
  </si>
  <si>
    <t>Accounts Receivable</t>
  </si>
  <si>
    <t>Other Liabilities</t>
  </si>
  <si>
    <t>Debt</t>
  </si>
  <si>
    <t>Fixed Assets</t>
  </si>
  <si>
    <t>Equity</t>
  </si>
  <si>
    <t>Total Assets</t>
  </si>
  <si>
    <t>Total Liabilities &amp; Equity</t>
  </si>
  <si>
    <t>Check</t>
  </si>
  <si>
    <t>P&amp;L</t>
  </si>
  <si>
    <t>in 000's</t>
  </si>
  <si>
    <t>FY13</t>
  </si>
  <si>
    <t>FY14</t>
  </si>
  <si>
    <t>Revenue</t>
  </si>
  <si>
    <t>Other Revenue</t>
  </si>
  <si>
    <t>Total Revenue</t>
  </si>
  <si>
    <t>Cost of goods sold</t>
  </si>
  <si>
    <t>Gross Profit</t>
  </si>
  <si>
    <t>Cost of Personnel</t>
  </si>
  <si>
    <t>Cost of Services</t>
  </si>
  <si>
    <t>Logistic Expenses</t>
  </si>
  <si>
    <t>Utility Expenses</t>
  </si>
  <si>
    <t>Other operating expenses</t>
  </si>
  <si>
    <t>EBITDA</t>
  </si>
  <si>
    <t>D&amp;A</t>
  </si>
  <si>
    <t>EBIT</t>
  </si>
  <si>
    <t>Interest Expense</t>
  </si>
  <si>
    <t>Provisions</t>
  </si>
  <si>
    <t>Earnings before Taxes</t>
  </si>
  <si>
    <t>Taxes (15% of EBT)</t>
  </si>
  <si>
    <t>Net Income</t>
  </si>
  <si>
    <t>2015 Data --&gt;</t>
  </si>
  <si>
    <t>Debits &amp; Credits</t>
  </si>
  <si>
    <t>Balance Sheet</t>
  </si>
  <si>
    <t>Income Statement</t>
  </si>
  <si>
    <t>Transaction ID</t>
  </si>
  <si>
    <t>Account</t>
  </si>
  <si>
    <t>Asset/Liability</t>
  </si>
  <si>
    <t>Debit</t>
  </si>
  <si>
    <t>Credit</t>
  </si>
  <si>
    <t>Income/Expense</t>
  </si>
  <si>
    <t>1</t>
  </si>
  <si>
    <t>Liability</t>
  </si>
  <si>
    <t>2</t>
  </si>
  <si>
    <t>Expenses</t>
  </si>
  <si>
    <t>Asset</t>
  </si>
  <si>
    <t>Fixed Asset</t>
  </si>
  <si>
    <t>3</t>
  </si>
  <si>
    <t>4</t>
  </si>
  <si>
    <t>Depreciation</t>
  </si>
  <si>
    <t>5</t>
  </si>
  <si>
    <t>Income</t>
  </si>
  <si>
    <t>7</t>
  </si>
  <si>
    <t>COGS</t>
  </si>
  <si>
    <t>Employee Payable</t>
  </si>
  <si>
    <t>8</t>
  </si>
  <si>
    <t>9</t>
  </si>
  <si>
    <t>10</t>
  </si>
  <si>
    <t>11</t>
  </si>
  <si>
    <t>Account Receivables</t>
  </si>
  <si>
    <t>12</t>
  </si>
  <si>
    <t>Interest Expenses</t>
  </si>
  <si>
    <t>6</t>
  </si>
  <si>
    <t>13</t>
  </si>
  <si>
    <t>Provision for Expenses</t>
  </si>
  <si>
    <t>Trade Payable</t>
  </si>
  <si>
    <t>14</t>
  </si>
  <si>
    <t>Other Opex</t>
  </si>
  <si>
    <t>15</t>
  </si>
  <si>
    <t>Income Taxes</t>
  </si>
  <si>
    <t>Inventory</t>
  </si>
  <si>
    <t>Total Debits</t>
  </si>
  <si>
    <t>Total Credits</t>
  </si>
  <si>
    <t>Provision</t>
  </si>
  <si>
    <t>Other Liability</t>
  </si>
  <si>
    <t>Difference</t>
  </si>
  <si>
    <t>T-Accounts</t>
  </si>
  <si>
    <t>Liabilities &amp; Equity</t>
  </si>
  <si>
    <t>Total</t>
  </si>
  <si>
    <t>Total Liabilities</t>
  </si>
  <si>
    <t>Cost of Goods Sold</t>
  </si>
  <si>
    <t>Output --&gt;</t>
  </si>
  <si>
    <t>P&amp;L 2015</t>
  </si>
  <si>
    <t>P&amp;L 2013 &amp; 2014</t>
  </si>
  <si>
    <t>FY15</t>
  </si>
  <si>
    <t>KPIs</t>
  </si>
  <si>
    <t>Interest Coverage</t>
  </si>
  <si>
    <t>ROA</t>
  </si>
  <si>
    <t>ROE</t>
  </si>
  <si>
    <t>EBIT %</t>
  </si>
  <si>
    <t>Revenue Growth%</t>
  </si>
  <si>
    <t>Gross Margin%</t>
  </si>
  <si>
    <t>BS 2015</t>
  </si>
  <si>
    <t>BS 2013 &amp; 2014</t>
  </si>
  <si>
    <t>As of 31st of December 2015</t>
  </si>
  <si>
    <t>As of 31st of December 2013 and 2014</t>
  </si>
  <si>
    <t>Current Ratio</t>
  </si>
  <si>
    <t>DSO</t>
  </si>
  <si>
    <t>DIO</t>
  </si>
  <si>
    <t>DPO</t>
  </si>
  <si>
    <t>Net Trading Cycle</t>
  </si>
  <si>
    <t>Debt Ratio</t>
  </si>
  <si>
    <t>Saldi Case Study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</si>
</sst>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л_в_._-;\-* #,##0.00\ _л_в_._-;_-* &quot;-&quot;??\ _л_в_._-;_-@_-"/>
    <numFmt numFmtId="165" formatCode="#,##0.0_ ;\-#,##0.0\ "/>
    <numFmt numFmtId="166" formatCode="0.0"/>
    <numFmt numFmtId="167" formatCode="#,##0.0"/>
    <numFmt numFmtId="168" formatCode="#,##0_ ;\-#,##0\ "/>
    <numFmt numFmtId="169" formatCode="0.000"/>
    <numFmt numFmtId="170" formatCode="0.0%"/>
  </numFmts>
  <fonts count="29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name val="Arial"/>
      <family val="2"/>
    </font>
    <font>
      <b/>
      <i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rgb="FF002060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i/>
      <sz val="8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35"/>
      <color rgb="FF00206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9"/>
      <color theme="1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 style="thin">
        <color rgb="FF002060"/>
      </right>
      <top style="medium">
        <color rgb="FF002060"/>
      </top>
      <bottom/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/>
      <top style="thin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</cellStyleXfs>
  <cellXfs count="16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3" xfId="0" applyFont="1" applyFill="1" applyBorder="1"/>
    <xf numFmtId="0" fontId="0" fillId="2" borderId="0" xfId="0" applyFill="1"/>
    <xf numFmtId="0" fontId="5" fillId="2" borderId="0" xfId="0" applyFont="1" applyFill="1"/>
    <xf numFmtId="0" fontId="6" fillId="2" borderId="4" xfId="0" applyFont="1" applyFill="1" applyBorder="1"/>
    <xf numFmtId="0" fontId="6" fillId="2" borderId="4" xfId="0" applyFont="1" applyFill="1" applyBorder="1" applyAlignment="1">
      <alignment horizontal="left"/>
    </xf>
    <xf numFmtId="0" fontId="1" fillId="2" borderId="5" xfId="0" applyFont="1" applyFill="1" applyBorder="1"/>
    <xf numFmtId="0" fontId="6" fillId="2" borderId="4" xfId="0" applyFont="1" applyFill="1" applyBorder="1" applyAlignment="1">
      <alignment horizontal="right"/>
    </xf>
    <xf numFmtId="3" fontId="1" fillId="2" borderId="0" xfId="1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7" fontId="1" fillId="2" borderId="2" xfId="0" applyNumberFormat="1" applyFont="1" applyFill="1" applyBorder="1"/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right"/>
    </xf>
    <xf numFmtId="168" fontId="1" fillId="2" borderId="2" xfId="1" applyNumberFormat="1" applyFont="1" applyFill="1" applyBorder="1" applyAlignment="1">
      <alignment horizontal="center"/>
    </xf>
    <xf numFmtId="168" fontId="1" fillId="2" borderId="0" xfId="1" applyNumberFormat="1" applyFont="1" applyFill="1" applyAlignment="1">
      <alignment horizontal="center"/>
    </xf>
    <xf numFmtId="168" fontId="1" fillId="2" borderId="3" xfId="1" applyNumberFormat="1" applyFont="1" applyFill="1" applyBorder="1" applyAlignment="1">
      <alignment horizontal="center"/>
    </xf>
    <xf numFmtId="168" fontId="1" fillId="2" borderId="0" xfId="1" applyNumberFormat="1" applyFont="1" applyFill="1"/>
    <xf numFmtId="168" fontId="1" fillId="2" borderId="3" xfId="1" applyNumberFormat="1" applyFont="1" applyFill="1" applyBorder="1"/>
    <xf numFmtId="1" fontId="1" fillId="2" borderId="0" xfId="0" applyNumberFormat="1" applyFont="1" applyFill="1"/>
    <xf numFmtId="1" fontId="1" fillId="2" borderId="3" xfId="0" applyNumberFormat="1" applyFont="1" applyFill="1" applyBorder="1"/>
    <xf numFmtId="1" fontId="1" fillId="2" borderId="0" xfId="0" applyNumberFormat="1" applyFont="1" applyFill="1" applyAlignment="1">
      <alignment horizontal="center"/>
    </xf>
    <xf numFmtId="3" fontId="1" fillId="2" borderId="0" xfId="0" applyNumberFormat="1" applyFont="1" applyFill="1"/>
    <xf numFmtId="0" fontId="8" fillId="2" borderId="0" xfId="2" applyFont="1" applyFill="1"/>
    <xf numFmtId="0" fontId="5" fillId="2" borderId="0" xfId="2" applyFont="1" applyFill="1"/>
    <xf numFmtId="0" fontId="9" fillId="2" borderId="0" xfId="2" applyFont="1" applyFill="1"/>
    <xf numFmtId="3" fontId="9" fillId="2" borderId="0" xfId="2" applyNumberFormat="1" applyFont="1" applyFill="1"/>
    <xf numFmtId="166" fontId="9" fillId="2" borderId="0" xfId="3" applyNumberFormat="1" applyFont="1" applyFill="1" applyBorder="1" applyAlignment="1">
      <alignment horizontal="left"/>
    </xf>
    <xf numFmtId="166" fontId="9" fillId="2" borderId="0" xfId="2" applyNumberFormat="1" applyFont="1" applyFill="1"/>
    <xf numFmtId="0" fontId="11" fillId="2" borderId="4" xfId="0" applyFont="1" applyFill="1" applyBorder="1"/>
    <xf numFmtId="0" fontId="12" fillId="2" borderId="4" xfId="0" applyFont="1" applyFill="1" applyBorder="1"/>
    <xf numFmtId="0" fontId="11" fillId="2" borderId="4" xfId="0" applyFont="1" applyFill="1" applyBorder="1" applyAlignment="1">
      <alignment horizontal="right"/>
    </xf>
    <xf numFmtId="0" fontId="11" fillId="2" borderId="7" xfId="0" applyFont="1" applyFill="1" applyBorder="1"/>
    <xf numFmtId="3" fontId="11" fillId="2" borderId="7" xfId="0" applyNumberFormat="1" applyFont="1" applyFill="1" applyBorder="1" applyAlignment="1">
      <alignment horizontal="right"/>
    </xf>
    <xf numFmtId="3" fontId="1" fillId="2" borderId="8" xfId="1" applyNumberFormat="1" applyFont="1" applyFill="1" applyBorder="1" applyAlignment="1">
      <alignment horizontal="right"/>
    </xf>
    <xf numFmtId="3" fontId="1" fillId="2" borderId="9" xfId="1" applyNumberFormat="1" applyFont="1" applyFill="1" applyBorder="1" applyAlignment="1">
      <alignment horizontal="right"/>
    </xf>
    <xf numFmtId="3" fontId="1" fillId="2" borderId="9" xfId="0" applyNumberFormat="1" applyFont="1" applyFill="1" applyBorder="1"/>
    <xf numFmtId="3" fontId="11" fillId="2" borderId="10" xfId="0" applyNumberFormat="1" applyFont="1" applyFill="1" applyBorder="1"/>
    <xf numFmtId="0" fontId="12" fillId="2" borderId="0" xfId="0" applyFont="1" applyFill="1"/>
    <xf numFmtId="3" fontId="12" fillId="2" borderId="0" xfId="0" applyNumberFormat="1" applyFont="1" applyFill="1" applyAlignment="1">
      <alignment horizontal="right"/>
    </xf>
    <xf numFmtId="0" fontId="14" fillId="2" borderId="0" xfId="0" applyFont="1" applyFill="1"/>
    <xf numFmtId="0" fontId="15" fillId="4" borderId="0" xfId="0" applyFont="1" applyFill="1"/>
    <xf numFmtId="3" fontId="15" fillId="4" borderId="0" xfId="0" applyNumberFormat="1" applyFont="1" applyFill="1" applyAlignment="1">
      <alignment horizontal="right"/>
    </xf>
    <xf numFmtId="167" fontId="15" fillId="4" borderId="0" xfId="0" applyNumberFormat="1" applyFont="1" applyFill="1"/>
    <xf numFmtId="0" fontId="13" fillId="2" borderId="0" xfId="0" applyFont="1" applyFill="1"/>
    <xf numFmtId="3" fontId="13" fillId="2" borderId="0" xfId="0" applyNumberFormat="1" applyFont="1" applyFill="1" applyAlignment="1">
      <alignment horizontal="right"/>
    </xf>
    <xf numFmtId="3" fontId="13" fillId="2" borderId="0" xfId="1" applyNumberFormat="1" applyFont="1" applyFill="1" applyAlignment="1">
      <alignment horizontal="right"/>
    </xf>
    <xf numFmtId="168" fontId="1" fillId="2" borderId="0" xfId="1" applyNumberFormat="1" applyFont="1" applyFill="1" applyBorder="1"/>
    <xf numFmtId="49" fontId="1" fillId="2" borderId="3" xfId="0" applyNumberFormat="1" applyFont="1" applyFill="1" applyBorder="1"/>
    <xf numFmtId="168" fontId="1" fillId="2" borderId="0" xfId="1" applyNumberFormat="1" applyFont="1" applyFill="1" applyBorder="1" applyAlignment="1">
      <alignment horizontal="right"/>
    </xf>
    <xf numFmtId="168" fontId="16" fillId="2" borderId="0" xfId="1" applyNumberFormat="1" applyFont="1" applyFill="1" applyBorder="1" applyAlignment="1"/>
    <xf numFmtId="168" fontId="16" fillId="2" borderId="0" xfId="1" applyNumberFormat="1" applyFont="1" applyFill="1" applyAlignment="1">
      <alignment horizontal="center"/>
    </xf>
    <xf numFmtId="3" fontId="1" fillId="2" borderId="6" xfId="0" applyNumberFormat="1" applyFont="1" applyFill="1" applyBorder="1"/>
    <xf numFmtId="168" fontId="1" fillId="2" borderId="2" xfId="1" applyNumberFormat="1" applyFont="1" applyFill="1" applyBorder="1" applyAlignment="1">
      <alignment horizontal="left"/>
    </xf>
    <xf numFmtId="49" fontId="11" fillId="2" borderId="7" xfId="0" applyNumberFormat="1" applyFont="1" applyFill="1" applyBorder="1" applyAlignment="1">
      <alignment horizontal="right"/>
    </xf>
    <xf numFmtId="168" fontId="11" fillId="2" borderId="7" xfId="0" applyNumberFormat="1" applyFont="1" applyFill="1" applyBorder="1"/>
    <xf numFmtId="168" fontId="1" fillId="2" borderId="0" xfId="1" applyNumberFormat="1" applyFont="1" applyFill="1" applyAlignment="1">
      <alignment horizontal="right"/>
    </xf>
    <xf numFmtId="168" fontId="1" fillId="2" borderId="3" xfId="1" applyNumberFormat="1" applyFont="1" applyFill="1" applyBorder="1" applyAlignment="1">
      <alignment horizontal="left"/>
    </xf>
    <xf numFmtId="165" fontId="1" fillId="2" borderId="3" xfId="1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left"/>
    </xf>
    <xf numFmtId="3" fontId="1" fillId="2" borderId="0" xfId="1" applyNumberFormat="1" applyFont="1" applyFill="1" applyAlignment="1">
      <alignment horizontal="left"/>
    </xf>
    <xf numFmtId="3" fontId="1" fillId="2" borderId="0" xfId="0" applyNumberFormat="1" applyFont="1" applyFill="1" applyAlignment="1">
      <alignment horizontal="left"/>
    </xf>
    <xf numFmtId="0" fontId="6" fillId="2" borderId="0" xfId="0" applyFont="1" applyFill="1"/>
    <xf numFmtId="49" fontId="11" fillId="2" borderId="0" xfId="0" applyNumberFormat="1" applyFont="1" applyFill="1"/>
    <xf numFmtId="3" fontId="16" fillId="3" borderId="0" xfId="0" applyNumberFormat="1" applyFont="1" applyFill="1"/>
    <xf numFmtId="49" fontId="18" fillId="2" borderId="0" xfId="0" applyNumberFormat="1" applyFont="1" applyFill="1"/>
    <xf numFmtId="3" fontId="18" fillId="2" borderId="0" xfId="0" applyNumberFormat="1" applyFont="1" applyFill="1"/>
    <xf numFmtId="0" fontId="1" fillId="2" borderId="0" xfId="0" applyFont="1" applyFill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1" fontId="1" fillId="2" borderId="0" xfId="0" applyNumberFormat="1" applyFont="1" applyFill="1" applyAlignment="1">
      <alignment horizontal="left"/>
    </xf>
    <xf numFmtId="1" fontId="1" fillId="2" borderId="0" xfId="0" applyNumberFormat="1" applyFont="1" applyFill="1" applyAlignment="1">
      <alignment horizontal="right"/>
    </xf>
    <xf numFmtId="1" fontId="17" fillId="2" borderId="0" xfId="0" applyNumberFormat="1" applyFont="1" applyFill="1" applyAlignment="1">
      <alignment horizontal="right"/>
    </xf>
    <xf numFmtId="0" fontId="6" fillId="2" borderId="4" xfId="2" applyFont="1" applyFill="1" applyBorder="1"/>
    <xf numFmtId="0" fontId="6" fillId="2" borderId="4" xfId="2" applyFont="1" applyFill="1" applyBorder="1" applyAlignment="1">
      <alignment horizontal="right"/>
    </xf>
    <xf numFmtId="0" fontId="11" fillId="2" borderId="7" xfId="2" applyFont="1" applyFill="1" applyBorder="1"/>
    <xf numFmtId="3" fontId="11" fillId="2" borderId="7" xfId="2" applyNumberFormat="1" applyFont="1" applyFill="1" applyBorder="1"/>
    <xf numFmtId="0" fontId="11" fillId="2" borderId="11" xfId="2" applyFont="1" applyFill="1" applyBorder="1"/>
    <xf numFmtId="3" fontId="11" fillId="2" borderId="11" xfId="2" applyNumberFormat="1" applyFont="1" applyFill="1" applyBorder="1"/>
    <xf numFmtId="0" fontId="19" fillId="2" borderId="0" xfId="0" applyFont="1" applyFill="1"/>
    <xf numFmtId="0" fontId="11" fillId="2" borderId="4" xfId="0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left"/>
    </xf>
    <xf numFmtId="3" fontId="11" fillId="2" borderId="7" xfId="0" applyNumberFormat="1" applyFont="1" applyFill="1" applyBorder="1"/>
    <xf numFmtId="3" fontId="13" fillId="2" borderId="9" xfId="0" applyNumberFormat="1" applyFont="1" applyFill="1" applyBorder="1" applyAlignment="1">
      <alignment horizontal="right"/>
    </xf>
    <xf numFmtId="3" fontId="12" fillId="2" borderId="9" xfId="0" applyNumberFormat="1" applyFont="1" applyFill="1" applyBorder="1" applyAlignment="1">
      <alignment horizontal="right"/>
    </xf>
    <xf numFmtId="3" fontId="13" fillId="2" borderId="9" xfId="1" applyNumberFormat="1" applyFont="1" applyFill="1" applyBorder="1" applyAlignment="1">
      <alignment horizontal="right"/>
    </xf>
    <xf numFmtId="3" fontId="1" fillId="2" borderId="9" xfId="0" applyNumberFormat="1" applyFont="1" applyFill="1" applyBorder="1" applyAlignment="1">
      <alignment horizontal="right"/>
    </xf>
    <xf numFmtId="3" fontId="11" fillId="2" borderId="10" xfId="0" applyNumberFormat="1" applyFont="1" applyFill="1" applyBorder="1" applyAlignment="1">
      <alignment horizontal="right"/>
    </xf>
    <xf numFmtId="0" fontId="1" fillId="2" borderId="12" xfId="0" applyFont="1" applyFill="1" applyBorder="1"/>
    <xf numFmtId="0" fontId="1" fillId="2" borderId="13" xfId="0" applyFont="1" applyFill="1" applyBorder="1"/>
    <xf numFmtId="0" fontId="11" fillId="2" borderId="14" xfId="0" applyFont="1" applyFill="1" applyBorder="1"/>
    <xf numFmtId="168" fontId="1" fillId="2" borderId="0" xfId="1" applyNumberFormat="1" applyFont="1" applyFill="1" applyBorder="1" applyAlignment="1">
      <alignment horizontal="left"/>
    </xf>
    <xf numFmtId="168" fontId="16" fillId="2" borderId="0" xfId="1" applyNumberFormat="1" applyFont="1" applyFill="1" applyAlignment="1">
      <alignment horizontal="right"/>
    </xf>
    <xf numFmtId="168" fontId="16" fillId="2" borderId="0" xfId="1" applyNumberFormat="1" applyFont="1" applyFill="1" applyBorder="1" applyAlignment="1">
      <alignment horizontal="right"/>
    </xf>
    <xf numFmtId="0" fontId="15" fillId="5" borderId="0" xfId="0" applyFont="1" applyFill="1"/>
    <xf numFmtId="167" fontId="15" fillId="5" borderId="0" xfId="0" applyNumberFormat="1" applyFont="1" applyFill="1"/>
    <xf numFmtId="3" fontId="15" fillId="5" borderId="0" xfId="0" applyNumberFormat="1" applyFont="1" applyFill="1" applyAlignment="1">
      <alignment horizontal="right"/>
    </xf>
    <xf numFmtId="0" fontId="20" fillId="5" borderId="0" xfId="0" applyFont="1" applyFill="1"/>
    <xf numFmtId="0" fontId="21" fillId="5" borderId="0" xfId="0" applyFont="1" applyFill="1"/>
    <xf numFmtId="168" fontId="16" fillId="2" borderId="0" xfId="1" applyNumberFormat="1" applyFont="1" applyFill="1" applyBorder="1" applyAlignment="1">
      <alignment horizontal="left"/>
    </xf>
    <xf numFmtId="168" fontId="1" fillId="2" borderId="6" xfId="1" applyNumberFormat="1" applyFont="1" applyFill="1" applyBorder="1" applyAlignment="1">
      <alignment horizontal="right"/>
    </xf>
    <xf numFmtId="168" fontId="16" fillId="3" borderId="0" xfId="1" applyNumberFormat="1" applyFont="1" applyFill="1" applyBorder="1" applyAlignment="1"/>
    <xf numFmtId="168" fontId="16" fillId="3" borderId="0" xfId="1" applyNumberFormat="1" applyFont="1" applyFill="1" applyBorder="1" applyAlignment="1">
      <alignment horizontal="right"/>
    </xf>
    <xf numFmtId="168" fontId="16" fillId="3" borderId="0" xfId="1" applyNumberFormat="1" applyFont="1" applyFill="1" applyAlignment="1">
      <alignment horizontal="center"/>
    </xf>
    <xf numFmtId="3" fontId="1" fillId="2" borderId="9" xfId="1" applyNumberFormat="1" applyFont="1" applyFill="1" applyBorder="1" applyAlignment="1">
      <alignment horizontal="left"/>
    </xf>
    <xf numFmtId="168" fontId="1" fillId="2" borderId="6" xfId="1" applyNumberFormat="1" applyFont="1" applyFill="1" applyBorder="1" applyAlignment="1"/>
    <xf numFmtId="165" fontId="1" fillId="2" borderId="6" xfId="1" applyNumberFormat="1" applyFont="1" applyFill="1" applyBorder="1" applyAlignment="1">
      <alignment horizontal="left"/>
    </xf>
    <xf numFmtId="165" fontId="4" fillId="3" borderId="0" xfId="1" applyNumberFormat="1" applyFont="1" applyFill="1" applyBorder="1" applyAlignment="1">
      <alignment horizontal="left"/>
    </xf>
    <xf numFmtId="168" fontId="4" fillId="3" borderId="0" xfId="1" applyNumberFormat="1" applyFont="1" applyFill="1" applyBorder="1" applyAlignment="1">
      <alignment horizontal="right"/>
    </xf>
    <xf numFmtId="3" fontId="1" fillId="2" borderId="6" xfId="1" applyNumberFormat="1" applyFont="1" applyFill="1" applyBorder="1" applyAlignment="1">
      <alignment horizontal="right"/>
    </xf>
    <xf numFmtId="168" fontId="4" fillId="3" borderId="0" xfId="1" applyNumberFormat="1" applyFont="1" applyFill="1" applyBorder="1" applyAlignment="1">
      <alignment horizontal="left"/>
    </xf>
    <xf numFmtId="168" fontId="4" fillId="3" borderId="0" xfId="1" applyNumberFormat="1" applyFont="1" applyFill="1" applyBorder="1" applyAlignment="1"/>
    <xf numFmtId="168" fontId="1" fillId="2" borderId="6" xfId="1" applyNumberFormat="1" applyFont="1" applyFill="1" applyBorder="1" applyAlignment="1">
      <alignment horizontal="left"/>
    </xf>
    <xf numFmtId="3" fontId="1" fillId="2" borderId="2" xfId="1" applyNumberFormat="1" applyFont="1" applyFill="1" applyBorder="1" applyAlignment="1">
      <alignment horizontal="left"/>
    </xf>
    <xf numFmtId="3" fontId="1" fillId="2" borderId="3" xfId="1" applyNumberFormat="1" applyFont="1" applyFill="1" applyBorder="1" applyAlignment="1">
      <alignment horizontal="left"/>
    </xf>
    <xf numFmtId="168" fontId="16" fillId="3" borderId="0" xfId="1" applyNumberFormat="1" applyFont="1" applyFill="1" applyBorder="1" applyAlignment="1">
      <alignment horizontal="left"/>
    </xf>
    <xf numFmtId="168" fontId="16" fillId="3" borderId="0" xfId="1" applyNumberFormat="1" applyFont="1" applyFill="1" applyAlignment="1"/>
    <xf numFmtId="0" fontId="4" fillId="3" borderId="0" xfId="0" applyFont="1" applyFill="1" applyAlignment="1">
      <alignment horizontal="left"/>
    </xf>
    <xf numFmtId="3" fontId="1" fillId="2" borderId="15" xfId="1" applyNumberFormat="1" applyFont="1" applyFill="1" applyBorder="1" applyAlignment="1">
      <alignment horizontal="left"/>
    </xf>
    <xf numFmtId="3" fontId="4" fillId="3" borderId="0" xfId="0" applyNumberFormat="1" applyFont="1" applyFill="1" applyAlignment="1">
      <alignment horizontal="left"/>
    </xf>
    <xf numFmtId="3" fontId="4" fillId="3" borderId="0" xfId="0" applyNumberFormat="1" applyFont="1" applyFill="1"/>
    <xf numFmtId="1" fontId="1" fillId="2" borderId="6" xfId="0" applyNumberFormat="1" applyFont="1" applyFill="1" applyBorder="1" applyAlignment="1">
      <alignment horizontal="right"/>
    </xf>
    <xf numFmtId="168" fontId="16" fillId="3" borderId="0" xfId="1" applyNumberFormat="1" applyFont="1" applyFill="1" applyAlignment="1">
      <alignment horizontal="right"/>
    </xf>
    <xf numFmtId="0" fontId="1" fillId="2" borderId="6" xfId="0" applyFont="1" applyFill="1" applyBorder="1" applyAlignment="1">
      <alignment horizontal="right"/>
    </xf>
    <xf numFmtId="1" fontId="1" fillId="2" borderId="6" xfId="0" applyNumberFormat="1" applyFont="1" applyFill="1" applyBorder="1"/>
    <xf numFmtId="1" fontId="1" fillId="2" borderId="2" xfId="0" applyNumberFormat="1" applyFont="1" applyFill="1" applyBorder="1" applyAlignment="1">
      <alignment horizontal="left"/>
    </xf>
    <xf numFmtId="168" fontId="23" fillId="2" borderId="2" xfId="1" applyNumberFormat="1" applyFont="1" applyFill="1" applyBorder="1" applyAlignment="1">
      <alignment horizontal="left"/>
    </xf>
    <xf numFmtId="168" fontId="23" fillId="2" borderId="6" xfId="1" applyNumberFormat="1" applyFont="1" applyFill="1" applyBorder="1" applyAlignment="1"/>
    <xf numFmtId="0" fontId="1" fillId="2" borderId="6" xfId="0" applyFont="1" applyFill="1" applyBorder="1"/>
    <xf numFmtId="168" fontId="1" fillId="2" borderId="6" xfId="0" applyNumberFormat="1" applyFont="1" applyFill="1" applyBorder="1"/>
    <xf numFmtId="0" fontId="24" fillId="5" borderId="0" xfId="2" applyFont="1" applyFill="1"/>
    <xf numFmtId="0" fontId="25" fillId="5" borderId="0" xfId="0" applyFont="1" applyFill="1"/>
    <xf numFmtId="4" fontId="25" fillId="5" borderId="0" xfId="0" applyNumberFormat="1" applyFont="1" applyFill="1"/>
    <xf numFmtId="169" fontId="25" fillId="5" borderId="0" xfId="0" applyNumberFormat="1" applyFont="1" applyFill="1"/>
    <xf numFmtId="2" fontId="25" fillId="5" borderId="0" xfId="0" applyNumberFormat="1" applyFont="1" applyFill="1"/>
    <xf numFmtId="3" fontId="26" fillId="5" borderId="0" xfId="0" applyNumberFormat="1" applyFont="1" applyFill="1"/>
    <xf numFmtId="0" fontId="26" fillId="5" borderId="0" xfId="0" applyFont="1" applyFill="1"/>
    <xf numFmtId="3" fontId="26" fillId="5" borderId="0" xfId="0" applyNumberFormat="1" applyFont="1" applyFill="1" applyAlignment="1">
      <alignment horizontal="right"/>
    </xf>
    <xf numFmtId="167" fontId="24" fillId="5" borderId="0" xfId="2" applyNumberFormat="1" applyFont="1" applyFill="1"/>
    <xf numFmtId="170" fontId="24" fillId="5" borderId="0" xfId="2" applyNumberFormat="1" applyFont="1" applyFill="1"/>
    <xf numFmtId="10" fontId="24" fillId="5" borderId="0" xfId="3" applyNumberFormat="1" applyFont="1" applyFill="1" applyBorder="1" applyAlignment="1">
      <alignment horizontal="right"/>
    </xf>
    <xf numFmtId="9" fontId="24" fillId="5" borderId="0" xfId="2" applyNumberFormat="1" applyFont="1" applyFill="1"/>
    <xf numFmtId="3" fontId="4" fillId="3" borderId="0" xfId="1" applyNumberFormat="1" applyFont="1" applyFill="1" applyBorder="1" applyAlignment="1">
      <alignment horizontal="right"/>
    </xf>
    <xf numFmtId="3" fontId="27" fillId="5" borderId="0" xfId="2" applyNumberFormat="1" applyFont="1" applyFill="1"/>
    <xf numFmtId="0" fontId="17" fillId="2" borderId="0" xfId="0" applyFont="1" applyFill="1" applyAlignment="1">
      <alignment horizontal="center"/>
    </xf>
    <xf numFmtId="0" fontId="27" fillId="5" borderId="0" xfId="2" applyFont="1" applyFill="1"/>
    <xf numFmtId="170" fontId="28" fillId="5" borderId="0" xfId="2" applyNumberFormat="1" applyFont="1" applyFill="1"/>
    <xf numFmtId="9" fontId="28" fillId="5" borderId="0" xfId="2" applyNumberFormat="1" applyFont="1" applyFill="1"/>
    <xf numFmtId="0" fontId="22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8" fontId="17" fillId="2" borderId="1" xfId="1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1" fontId="17" fillId="2" borderId="1" xfId="0" applyNumberFormat="1" applyFont="1" applyFill="1" applyBorder="1" applyAlignment="1">
      <alignment horizontal="center"/>
    </xf>
    <xf numFmtId="3" fontId="17" fillId="2" borderId="1" xfId="0" applyNumberFormat="1" applyFont="1" applyFill="1" applyBorder="1" applyAlignment="1">
      <alignment horizontal="center"/>
    </xf>
    <xf numFmtId="0" fontId="4" fillId="3" borderId="0" xfId="2" applyFont="1" applyFill="1" applyAlignment="1">
      <alignment horizontal="center"/>
    </xf>
    <xf numFmtId="0" fontId="10" fillId="3" borderId="0" xfId="0" applyFont="1" applyFill="1" applyAlignment="1">
      <alignment horizontal="center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66675</xdr:rowOff>
    </xdr:from>
    <xdr:to>
      <xdr:col>8</xdr:col>
      <xdr:colOff>424366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23875"/>
          <a:ext cx="5101141" cy="3333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533401</xdr:colOff>
      <xdr:row>5</xdr:row>
      <xdr:rowOff>42335</xdr:rowOff>
    </xdr:from>
    <xdr:to>
      <xdr:col>16</xdr:col>
      <xdr:colOff>47626</xdr:colOff>
      <xdr:row>22</xdr:row>
      <xdr:rowOff>72095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1068" y="994835"/>
          <a:ext cx="8330141" cy="3268260"/>
        </a:xfrm>
        <a:prstGeom prst="rect">
          <a:avLst/>
        </a:prstGeom>
      </xdr:spPr>
    </xdr:pic>
    <xdr:clientData/>
  </xdr:twoCellAnchor>
  <xdr:twoCellAnchor editAs="oneCell">
    <xdr:from>
      <xdr:col>2</xdr:col>
      <xdr:colOff>518584</xdr:colOff>
      <xdr:row>38</xdr:row>
      <xdr:rowOff>146046</xdr:rowOff>
    </xdr:from>
    <xdr:to>
      <xdr:col>16</xdr:col>
      <xdr:colOff>116418</xdr:colOff>
      <xdr:row>55</xdr:row>
      <xdr:rowOff>135234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1" y="7385046"/>
          <a:ext cx="8413750" cy="3227688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476252</xdr:colOff>
      <xdr:row>55</xdr:row>
      <xdr:rowOff>103708</xdr:rowOff>
    </xdr:from>
    <xdr:to>
      <xdr:col>16</xdr:col>
      <xdr:colOff>115846</xdr:colOff>
      <xdr:row>68</xdr:row>
      <xdr:rowOff>188383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919" y="10581208"/>
          <a:ext cx="8455510" cy="2561175"/>
        </a:xfrm>
        <a:prstGeom prst="rect">
          <a:avLst/>
        </a:prstGeom>
      </xdr:spPr>
    </xdr:pic>
    <xdr:clientData/>
  </xdr:twoCellAnchor>
  <xdr:twoCellAnchor editAs="oneCell">
    <xdr:from>
      <xdr:col>16</xdr:col>
      <xdr:colOff>412751</xdr:colOff>
      <xdr:row>11</xdr:row>
      <xdr:rowOff>188384</xdr:rowOff>
    </xdr:from>
    <xdr:to>
      <xdr:col>19</xdr:col>
      <xdr:colOff>571780</xdr:colOff>
      <xdr:row>15</xdr:row>
      <xdr:rowOff>150385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6334" y="2283884"/>
          <a:ext cx="2000529" cy="724001"/>
        </a:xfrm>
        <a:prstGeom prst="rect">
          <a:avLst/>
        </a:prstGeom>
      </xdr:spPr>
    </xdr:pic>
    <xdr:clientData/>
  </xdr:twoCellAnchor>
  <xdr:twoCellAnchor editAs="oneCell">
    <xdr:from>
      <xdr:col>2</xdr:col>
      <xdr:colOff>533358</xdr:colOff>
      <xdr:row>21</xdr:row>
      <xdr:rowOff>179918</xdr:rowOff>
    </xdr:from>
    <xdr:to>
      <xdr:col>16</xdr:col>
      <xdr:colOff>47626</xdr:colOff>
      <xdr:row>38</xdr:row>
      <xdr:rowOff>181743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1AE540-7DBB-47BD-B52C-CE0AB4F2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1025" y="4180418"/>
          <a:ext cx="8330184" cy="324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J13"/>
  <sheetViews>
    <sheetView workbookViewId="0">
      <selection activeCell="J14" sqref="J14"/>
    </sheetView>
  </sheetViews>
  <sheetFormatPr defaultRowHeight="12" x14ac:dyDescent="0.2"/>
  <cols>
    <col min="1" max="16384" width="9.140625" style="1"/>
  </cols>
  <sheetData>
    <row r="13" spans="10:10" ht="44.25" x14ac:dyDescent="0.6">
      <c r="J13" s="83" t="s">
        <v>113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B12"/>
  <sheetViews>
    <sheetView workbookViewId="0">
      <selection activeCell="C12" sqref="C12"/>
    </sheetView>
  </sheetViews>
  <sheetFormatPr defaultRowHeight="12" x14ac:dyDescent="0.2"/>
  <cols>
    <col min="1" max="1" width="2" style="1" customWidth="1"/>
    <col min="2" max="16384" width="9.140625" style="1"/>
  </cols>
  <sheetData>
    <row r="12" spans="2:2" ht="44.25" x14ac:dyDescent="0.6">
      <c r="B12" s="83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Q41"/>
  <sheetViews>
    <sheetView workbookViewId="0">
      <selection activeCell="C32" sqref="C32"/>
    </sheetView>
  </sheetViews>
  <sheetFormatPr defaultRowHeight="12" x14ac:dyDescent="0.2"/>
  <cols>
    <col min="1" max="1" width="2" style="26" customWidth="1"/>
    <col min="2" max="2" width="21.85546875" style="26" customWidth="1"/>
    <col min="3" max="3" width="20.140625" style="26" customWidth="1"/>
    <col min="4" max="4" width="15" style="26" customWidth="1"/>
    <col min="5" max="5" width="20.7109375" style="26" customWidth="1"/>
    <col min="6" max="6" width="8" style="26" bestFit="1" customWidth="1"/>
    <col min="7" max="7" width="10.85546875" style="26" bestFit="1" customWidth="1"/>
    <col min="8" max="16384" width="9.140625" style="26"/>
  </cols>
  <sheetData>
    <row r="1" spans="2:17" ht="15.75" x14ac:dyDescent="0.25">
      <c r="B1" s="25" t="s">
        <v>20</v>
      </c>
      <c r="E1" s="25" t="s">
        <v>20</v>
      </c>
    </row>
    <row r="2" spans="2:17" x14ac:dyDescent="0.2">
      <c r="B2" s="160" t="s">
        <v>93</v>
      </c>
      <c r="C2" s="160"/>
      <c r="E2" s="160" t="s">
        <v>94</v>
      </c>
      <c r="F2" s="160"/>
      <c r="G2" s="160"/>
    </row>
    <row r="3" spans="2:17" ht="12.75" thickBot="1" x14ac:dyDescent="0.25">
      <c r="B3" s="77" t="s">
        <v>21</v>
      </c>
      <c r="C3" s="78" t="s">
        <v>95</v>
      </c>
    </row>
    <row r="4" spans="2:17" ht="12.75" thickBot="1" x14ac:dyDescent="0.25">
      <c r="B4" s="27" t="s">
        <v>24</v>
      </c>
      <c r="C4" s="28">
        <f>'T-accounts P&amp;L'!Q9</f>
        <v>524449000</v>
      </c>
      <c r="D4" s="27"/>
      <c r="E4" s="77" t="s">
        <v>21</v>
      </c>
      <c r="F4" s="78" t="s">
        <v>22</v>
      </c>
      <c r="G4" s="78" t="s">
        <v>23</v>
      </c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2:17" x14ac:dyDescent="0.2">
      <c r="B5" s="27" t="s">
        <v>25</v>
      </c>
      <c r="C5" s="28">
        <f>'T-accounts P&amp;L'!Q15</f>
        <v>2000000</v>
      </c>
      <c r="D5" s="27"/>
      <c r="E5" s="27" t="s">
        <v>24</v>
      </c>
      <c r="F5" s="28">
        <v>363881.20929999999</v>
      </c>
      <c r="G5" s="28">
        <v>455746.18099999998</v>
      </c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2:17" x14ac:dyDescent="0.2">
      <c r="B6" s="81" t="s">
        <v>26</v>
      </c>
      <c r="C6" s="82">
        <f>+SUM(C4:C5)</f>
        <v>526449000</v>
      </c>
      <c r="D6" s="27"/>
      <c r="E6" s="27" t="s">
        <v>25</v>
      </c>
      <c r="F6" s="28">
        <v>2000</v>
      </c>
      <c r="G6" s="28">
        <v>2000</v>
      </c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2:17" x14ac:dyDescent="0.2">
      <c r="B7" s="27" t="s">
        <v>27</v>
      </c>
      <c r="C7" s="28">
        <f>-'T-accounts P&amp;L'!E10</f>
        <v>-270900000</v>
      </c>
      <c r="D7" s="27"/>
      <c r="E7" s="81" t="s">
        <v>26</v>
      </c>
      <c r="F7" s="82">
        <f>+SUM(F5:F6)</f>
        <v>365881.20929999999</v>
      </c>
      <c r="G7" s="82">
        <f>+SUM(G5:G6)</f>
        <v>457746.18099999998</v>
      </c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2:17" x14ac:dyDescent="0.2">
      <c r="B8" s="81" t="s">
        <v>28</v>
      </c>
      <c r="C8" s="82">
        <f>SUM(C6:C7)</f>
        <v>255549000</v>
      </c>
      <c r="D8" s="27"/>
      <c r="E8" s="27" t="s">
        <v>27</v>
      </c>
      <c r="F8" s="28">
        <v>-267080.35853000003</v>
      </c>
      <c r="G8" s="28">
        <v>-297495</v>
      </c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2:17" x14ac:dyDescent="0.2">
      <c r="B9" s="27" t="s">
        <v>29</v>
      </c>
      <c r="C9" s="28">
        <f>-'T-accounts P&amp;L'!E15</f>
        <v>-12500000</v>
      </c>
      <c r="D9" s="27"/>
      <c r="E9" s="81" t="s">
        <v>28</v>
      </c>
      <c r="F9" s="82">
        <f>SUM(F7:F8)</f>
        <v>98800.850769999961</v>
      </c>
      <c r="G9" s="82">
        <f>SUM(G7:G8)</f>
        <v>160251.18099999998</v>
      </c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2:17" x14ac:dyDescent="0.2">
      <c r="B10" s="27" t="s">
        <v>30</v>
      </c>
      <c r="C10" s="28">
        <f>-'T-accounts P&amp;L'!E22</f>
        <v>-5500000</v>
      </c>
      <c r="D10" s="27"/>
      <c r="E10" s="27" t="s">
        <v>29</v>
      </c>
      <c r="F10" s="28">
        <v>-12375.000000000002</v>
      </c>
      <c r="G10" s="28">
        <v>-12375.000000000002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2:17" x14ac:dyDescent="0.2">
      <c r="B11" s="27" t="s">
        <v>31</v>
      </c>
      <c r="C11" s="28">
        <f>-'T-accounts P&amp;L'!I15</f>
        <v>-35000000</v>
      </c>
      <c r="D11" s="27"/>
      <c r="E11" s="27" t="s">
        <v>30</v>
      </c>
      <c r="F11" s="28">
        <v>-5929.0000000000009</v>
      </c>
      <c r="G11" s="28">
        <v>-6050.0000000000009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</row>
    <row r="12" spans="2:17" x14ac:dyDescent="0.2">
      <c r="B12" s="27" t="s">
        <v>32</v>
      </c>
      <c r="C12" s="28">
        <f>-'T-accounts P&amp;L'!I9</f>
        <v>-10000000</v>
      </c>
      <c r="D12" s="27"/>
      <c r="E12" s="27" t="s">
        <v>31</v>
      </c>
      <c r="F12" s="28">
        <v>-2707.25</v>
      </c>
      <c r="G12" s="28">
        <v>-3570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2:17" x14ac:dyDescent="0.2">
      <c r="B13" s="27" t="s">
        <v>33</v>
      </c>
      <c r="C13" s="28">
        <f>-'T-accounts P&amp;L'!M9</f>
        <v>-35000000</v>
      </c>
      <c r="D13" s="27"/>
      <c r="E13" s="27" t="s">
        <v>32</v>
      </c>
      <c r="F13" s="28">
        <v>-11875</v>
      </c>
      <c r="G13" s="28">
        <v>-19000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2:17" x14ac:dyDescent="0.2">
      <c r="B14" s="81" t="s">
        <v>34</v>
      </c>
      <c r="C14" s="82">
        <f>SUM(C8:C13)</f>
        <v>157549000</v>
      </c>
      <c r="D14" s="27"/>
      <c r="E14" s="27" t="s">
        <v>33</v>
      </c>
      <c r="F14" s="28">
        <v>-32760</v>
      </c>
      <c r="G14" s="28">
        <v>-42000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2:17" x14ac:dyDescent="0.2">
      <c r="B15" s="27" t="s">
        <v>35</v>
      </c>
      <c r="C15" s="28">
        <f>-'T-accounts P&amp;L'!I29</f>
        <v>-20000000</v>
      </c>
      <c r="D15" s="27"/>
      <c r="E15" s="81" t="s">
        <v>34</v>
      </c>
      <c r="F15" s="82">
        <f>SUM(F9:F14)</f>
        <v>33154.600769999961</v>
      </c>
      <c r="G15" s="82">
        <f>SUM(G9:G14)</f>
        <v>77256.180999999982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2:17" x14ac:dyDescent="0.2">
      <c r="B16" s="81" t="s">
        <v>36</v>
      </c>
      <c r="C16" s="82">
        <f>SUM(C14:C15)</f>
        <v>137549000</v>
      </c>
      <c r="D16" s="27"/>
      <c r="E16" s="27" t="s">
        <v>35</v>
      </c>
      <c r="F16" s="28">
        <v>-16500</v>
      </c>
      <c r="G16" s="28">
        <v>-15000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2:17" x14ac:dyDescent="0.2">
      <c r="B17" s="27" t="s">
        <v>37</v>
      </c>
      <c r="C17" s="28">
        <f>-'T-accounts P&amp;L'!E28</f>
        <v>-5600000</v>
      </c>
      <c r="D17" s="27"/>
      <c r="E17" s="81" t="s">
        <v>36</v>
      </c>
      <c r="F17" s="82">
        <f>SUM(F15:F16)</f>
        <v>16654.600769999961</v>
      </c>
      <c r="G17" s="82">
        <f>SUM(G15:G16)</f>
        <v>62256.180999999982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2:17" x14ac:dyDescent="0.2">
      <c r="B18" s="27" t="s">
        <v>38</v>
      </c>
      <c r="C18" s="28">
        <f>-'T-accounts P&amp;L'!I22</f>
        <v>-3000000</v>
      </c>
      <c r="D18" s="27"/>
      <c r="E18" s="27" t="s">
        <v>37</v>
      </c>
      <c r="F18" s="28">
        <v>-6720</v>
      </c>
      <c r="G18" s="28">
        <v>-5600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2:17" x14ac:dyDescent="0.2">
      <c r="B19" s="81" t="s">
        <v>39</v>
      </c>
      <c r="C19" s="82">
        <f>SUM(C16:C18)</f>
        <v>128949000</v>
      </c>
      <c r="D19" s="27"/>
      <c r="E19" s="27" t="s">
        <v>38</v>
      </c>
      <c r="F19" s="28">
        <v>0</v>
      </c>
      <c r="G19" s="28"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2:17" x14ac:dyDescent="0.2">
      <c r="B20" s="27" t="s">
        <v>40</v>
      </c>
      <c r="C20" s="28">
        <v>-19342350</v>
      </c>
      <c r="D20" s="27"/>
      <c r="E20" s="81" t="s">
        <v>39</v>
      </c>
      <c r="F20" s="82">
        <f>SUM(F17:F19)</f>
        <v>9934.6007699999609</v>
      </c>
      <c r="G20" s="82">
        <f>SUM(G17:G19)</f>
        <v>56656.180999999982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2:17" ht="12.75" thickBot="1" x14ac:dyDescent="0.25">
      <c r="B21" s="79" t="s">
        <v>41</v>
      </c>
      <c r="C21" s="80">
        <f>SUM(C19:C20)</f>
        <v>109606650</v>
      </c>
      <c r="D21" s="27"/>
      <c r="E21" s="27" t="s">
        <v>40</v>
      </c>
      <c r="F21" s="28">
        <v>-2541.706500000003</v>
      </c>
      <c r="G21" s="28">
        <v>-8498.427150000005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2:17" ht="12.75" thickBot="1" x14ac:dyDescent="0.25">
      <c r="B22" s="27"/>
      <c r="C22" s="28"/>
      <c r="D22" s="27"/>
      <c r="E22" s="79" t="s">
        <v>41</v>
      </c>
      <c r="F22" s="80">
        <f>SUM(F20:F21)</f>
        <v>7392.8942699999579</v>
      </c>
      <c r="G22" s="80">
        <f>SUM(G20:G21)</f>
        <v>48157.753849999979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2:17" x14ac:dyDescent="0.2"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2:17" x14ac:dyDescent="0.2"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2:17" x14ac:dyDescent="0.2">
      <c r="B25" s="149" t="s">
        <v>96</v>
      </c>
      <c r="C25" s="147">
        <v>2015</v>
      </c>
      <c r="D25" s="149">
        <v>2014</v>
      </c>
      <c r="E25" s="149">
        <v>2013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2:17" x14ac:dyDescent="0.2">
      <c r="B26" s="134" t="s">
        <v>97</v>
      </c>
      <c r="C26" s="142">
        <f>-C16/C17</f>
        <v>24.56232142857143</v>
      </c>
      <c r="D26" s="142">
        <f>-G17/G18</f>
        <v>11.117175178571426</v>
      </c>
      <c r="E26" s="142">
        <f>-F17/F18</f>
        <v>2.4783632098214228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2:17" x14ac:dyDescent="0.2">
      <c r="B27" s="134" t="s">
        <v>98</v>
      </c>
      <c r="C27" s="143">
        <f>C21/'BS 2015'!C15</f>
        <v>0.25792895147417688</v>
      </c>
      <c r="D27" s="150">
        <f>(G22*1000)/'Historical BS'!D15</f>
        <v>0.18172737301886785</v>
      </c>
      <c r="E27" s="150">
        <f>F22*1000/'BS 2015'!J16</f>
        <v>2.5610192503550622E-2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2:17" x14ac:dyDescent="0.2">
      <c r="B28" s="134" t="s">
        <v>99</v>
      </c>
      <c r="C28" s="143">
        <f>C21/'BS 2015'!F13</f>
        <v>0.47736705361103438</v>
      </c>
      <c r="D28" s="150">
        <f>G22*1000/'Historical BS'!H13</f>
        <v>0.53508615388888869</v>
      </c>
      <c r="E28" s="150">
        <f>F22*1000/'BS 2015'!N14</f>
        <v>8.2143269666666199E-2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</row>
    <row r="29" spans="2:17" x14ac:dyDescent="0.2">
      <c r="B29" s="134" t="s">
        <v>100</v>
      </c>
      <c r="C29" s="144">
        <f>C16/C4</f>
        <v>0.26227335737126012</v>
      </c>
      <c r="D29" s="150">
        <f>G17/G5</f>
        <v>0.13660274862511682</v>
      </c>
      <c r="E29" s="150">
        <f>F17/F5</f>
        <v>4.5769334454061249E-2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  <row r="30" spans="2:17" x14ac:dyDescent="0.2">
      <c r="B30" s="134" t="s">
        <v>41</v>
      </c>
      <c r="C30" s="144">
        <f>C21/C4</f>
        <v>0.20899391551895419</v>
      </c>
      <c r="D30" s="150">
        <f>G22/G5</f>
        <v>0.10566792626617749</v>
      </c>
      <c r="E30" s="150">
        <f>F22/F5</f>
        <v>2.0316779435304459E-2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 spans="2:17" x14ac:dyDescent="0.2">
      <c r="B31" s="134" t="s">
        <v>101</v>
      </c>
      <c r="C31" s="145">
        <f>(C4/G5)*0.001-1</f>
        <v>0.15074798619102414</v>
      </c>
      <c r="D31" s="150">
        <f>G5/F5-1</f>
        <v>0.25245868528556636</v>
      </c>
      <c r="E31" s="150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</row>
    <row r="32" spans="2:17" x14ac:dyDescent="0.2">
      <c r="B32" s="134" t="s">
        <v>102</v>
      </c>
      <c r="C32" s="145">
        <f>C8/C4</f>
        <v>0.48727140293908466</v>
      </c>
      <c r="D32" s="150">
        <f>G9/G5</f>
        <v>0.35162374953614806</v>
      </c>
      <c r="E32" s="151">
        <f>F9/F5</f>
        <v>0.27151951858152729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</row>
    <row r="33" spans="2:3" x14ac:dyDescent="0.2">
      <c r="B33" s="27"/>
      <c r="C33" s="30"/>
    </row>
    <row r="34" spans="2:3" x14ac:dyDescent="0.2">
      <c r="B34" s="27"/>
      <c r="C34" s="30"/>
    </row>
    <row r="35" spans="2:3" x14ac:dyDescent="0.2">
      <c r="B35" s="27"/>
      <c r="C35" s="30"/>
    </row>
    <row r="36" spans="2:3" x14ac:dyDescent="0.2">
      <c r="B36" s="27"/>
      <c r="C36" s="27"/>
    </row>
    <row r="37" spans="2:3" x14ac:dyDescent="0.2">
      <c r="B37" s="27"/>
      <c r="C37" s="27"/>
    </row>
    <row r="38" spans="2:3" x14ac:dyDescent="0.2">
      <c r="B38" s="27"/>
      <c r="C38" s="27"/>
    </row>
    <row r="39" spans="2:3" x14ac:dyDescent="0.2">
      <c r="B39" s="27"/>
      <c r="C39" s="27"/>
    </row>
    <row r="40" spans="2:3" x14ac:dyDescent="0.2">
      <c r="B40" s="27"/>
      <c r="C40" s="27"/>
    </row>
    <row r="41" spans="2:3" x14ac:dyDescent="0.2">
      <c r="B41" s="27"/>
      <c r="C41" s="27"/>
    </row>
  </sheetData>
  <mergeCells count="2">
    <mergeCell ref="E2:G2"/>
    <mergeCell ref="B2:C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O32"/>
  <sheetViews>
    <sheetView workbookViewId="0">
      <selection activeCell="C24" sqref="C24"/>
    </sheetView>
  </sheetViews>
  <sheetFormatPr defaultRowHeight="12" outlineLevelRow="1" x14ac:dyDescent="0.2"/>
  <cols>
    <col min="1" max="1" width="2" style="1" customWidth="1"/>
    <col min="2" max="2" width="19.85546875" style="1" customWidth="1"/>
    <col min="3" max="3" width="13.5703125" style="1" customWidth="1"/>
    <col min="4" max="4" width="1.5703125" style="1" customWidth="1"/>
    <col min="5" max="5" width="20.42578125" style="1" bestFit="1" customWidth="1"/>
    <col min="6" max="6" width="15.7109375" style="1" bestFit="1" customWidth="1"/>
    <col min="7" max="8" width="9.140625" style="1"/>
    <col min="9" max="9" width="17.5703125" style="1" bestFit="1" customWidth="1"/>
    <col min="10" max="11" width="10.85546875" style="1" bestFit="1" customWidth="1"/>
    <col min="12" max="12" width="9.140625" style="1"/>
    <col min="13" max="13" width="20.42578125" style="1" bestFit="1" customWidth="1"/>
    <col min="14" max="15" width="11.42578125" style="1" bestFit="1" customWidth="1"/>
    <col min="16" max="16384" width="9.140625" style="1"/>
  </cols>
  <sheetData>
    <row r="1" spans="2:15" ht="15.75" x14ac:dyDescent="0.25">
      <c r="B1" s="2" t="s">
        <v>103</v>
      </c>
      <c r="I1" s="2" t="s">
        <v>104</v>
      </c>
    </row>
    <row r="2" spans="2:15" ht="15.75" x14ac:dyDescent="0.25">
      <c r="J2" s="2"/>
    </row>
    <row r="3" spans="2:15" x14ac:dyDescent="0.2">
      <c r="B3" s="161" t="s">
        <v>105</v>
      </c>
      <c r="C3" s="161"/>
      <c r="D3" s="161"/>
      <c r="E3" s="161"/>
      <c r="F3" s="161"/>
      <c r="I3" s="154" t="s">
        <v>106</v>
      </c>
      <c r="J3" s="154"/>
      <c r="K3" s="154"/>
      <c r="L3" s="154"/>
      <c r="M3" s="154"/>
      <c r="N3" s="154"/>
      <c r="O3" s="154"/>
    </row>
    <row r="4" spans="2:15" ht="12.75" thickBot="1" x14ac:dyDescent="0.25">
      <c r="B4" s="31" t="s">
        <v>4</v>
      </c>
      <c r="C4" s="32"/>
      <c r="D4" s="32"/>
      <c r="E4" s="32"/>
      <c r="F4" s="33" t="s">
        <v>7</v>
      </c>
      <c r="I4" s="153"/>
      <c r="J4" s="153"/>
      <c r="K4" s="153"/>
      <c r="L4" s="153"/>
      <c r="M4" s="153"/>
      <c r="N4" s="153"/>
      <c r="O4" s="153"/>
    </row>
    <row r="5" spans="2:15" ht="24.75" thickBot="1" x14ac:dyDescent="0.25">
      <c r="B5" s="1" t="s">
        <v>8</v>
      </c>
      <c r="C5" s="36">
        <f>'T-accounts BS'!I24</f>
        <v>147914000</v>
      </c>
      <c r="E5" s="1" t="s">
        <v>9</v>
      </c>
      <c r="F5" s="10">
        <f>'T-accounts BS'!M17</f>
        <v>30500000</v>
      </c>
      <c r="I5" s="31" t="s">
        <v>4</v>
      </c>
      <c r="J5" s="84" t="s">
        <v>5</v>
      </c>
      <c r="K5" s="84" t="s">
        <v>6</v>
      </c>
      <c r="L5" s="32"/>
      <c r="M5" s="85" t="s">
        <v>7</v>
      </c>
      <c r="N5" s="84" t="s">
        <v>5</v>
      </c>
      <c r="O5" s="84" t="s">
        <v>6</v>
      </c>
    </row>
    <row r="6" spans="2:15" x14ac:dyDescent="0.2">
      <c r="B6" s="1" t="s">
        <v>81</v>
      </c>
      <c r="C6" s="37">
        <f>'T-accounts BS'!D16</f>
        <v>33550000</v>
      </c>
      <c r="E6" s="1" t="s">
        <v>11</v>
      </c>
      <c r="F6" s="10">
        <f>'T-accounts BS'!M10</f>
        <v>2500000</v>
      </c>
      <c r="I6" s="92" t="s">
        <v>8</v>
      </c>
      <c r="J6" s="10">
        <v>43000000</v>
      </c>
      <c r="K6" s="36">
        <v>65000000</v>
      </c>
      <c r="M6" s="1" t="s">
        <v>9</v>
      </c>
      <c r="N6" s="10">
        <v>27500000</v>
      </c>
      <c r="O6" s="36">
        <v>20000000</v>
      </c>
    </row>
    <row r="7" spans="2:15" x14ac:dyDescent="0.2">
      <c r="B7" s="1" t="s">
        <v>12</v>
      </c>
      <c r="C7" s="37">
        <f>'T-accounts BS'!I10</f>
        <v>33485000</v>
      </c>
      <c r="E7" s="1" t="s">
        <v>13</v>
      </c>
      <c r="F7" s="10">
        <f>'T-accounts BS'!Q17</f>
        <v>39342350</v>
      </c>
      <c r="I7" s="93" t="s">
        <v>10</v>
      </c>
      <c r="J7" s="10">
        <v>48000000</v>
      </c>
      <c r="K7" s="37">
        <v>32000000</v>
      </c>
      <c r="M7" s="1" t="s">
        <v>11</v>
      </c>
      <c r="N7" s="10">
        <v>5000000</v>
      </c>
      <c r="O7" s="37">
        <v>0</v>
      </c>
    </row>
    <row r="8" spans="2:15" x14ac:dyDescent="0.2">
      <c r="C8" s="37"/>
      <c r="F8" s="10"/>
      <c r="I8" s="93" t="s">
        <v>12</v>
      </c>
      <c r="J8" s="10">
        <v>31000000</v>
      </c>
      <c r="K8" s="37">
        <v>18000000</v>
      </c>
      <c r="M8" s="1" t="s">
        <v>13</v>
      </c>
      <c r="N8" s="10">
        <v>26170000</v>
      </c>
      <c r="O8" s="37">
        <v>15000000</v>
      </c>
    </row>
    <row r="9" spans="2:15" x14ac:dyDescent="0.2">
      <c r="C9" s="37"/>
      <c r="E9" s="1" t="s">
        <v>84</v>
      </c>
      <c r="F9" s="10">
        <f>'T-accounts BS'!M24</f>
        <v>3000000</v>
      </c>
      <c r="I9" s="93"/>
      <c r="J9" s="10"/>
      <c r="K9" s="37"/>
      <c r="N9" s="10"/>
      <c r="O9" s="37"/>
    </row>
    <row r="10" spans="2:15" x14ac:dyDescent="0.2">
      <c r="C10" s="37"/>
      <c r="E10" s="1" t="s">
        <v>14</v>
      </c>
      <c r="F10" s="10">
        <f>'T-accounts BS'!Q9</f>
        <v>120000000</v>
      </c>
      <c r="I10" s="93"/>
      <c r="J10" s="10"/>
      <c r="K10" s="37"/>
      <c r="M10" s="1" t="s">
        <v>14</v>
      </c>
      <c r="N10" s="10">
        <v>140000000</v>
      </c>
      <c r="O10" s="37">
        <v>140000000</v>
      </c>
    </row>
    <row r="11" spans="2:15" x14ac:dyDescent="0.2">
      <c r="B11" s="1" t="s">
        <v>15</v>
      </c>
      <c r="C11" s="37">
        <f>'T-accounts BS'!D10</f>
        <v>210000000</v>
      </c>
      <c r="E11" s="46" t="s">
        <v>7</v>
      </c>
      <c r="F11" s="47">
        <f>SUM(F5:F10)</f>
        <v>195342350</v>
      </c>
      <c r="I11" s="93"/>
      <c r="J11" s="47"/>
      <c r="K11" s="37"/>
      <c r="M11" s="46" t="s">
        <v>7</v>
      </c>
      <c r="N11" s="47">
        <f>SUM(N6:N10)</f>
        <v>198670000</v>
      </c>
      <c r="O11" s="87">
        <f>SUM(O6:O10)</f>
        <v>175000000</v>
      </c>
    </row>
    <row r="12" spans="2:15" x14ac:dyDescent="0.2">
      <c r="C12" s="38"/>
      <c r="E12" s="40"/>
      <c r="F12" s="41"/>
      <c r="I12" s="93" t="s">
        <v>15</v>
      </c>
      <c r="J12" s="10">
        <v>166670000</v>
      </c>
      <c r="K12" s="37">
        <v>150000000</v>
      </c>
      <c r="M12" s="46"/>
      <c r="N12" s="47"/>
      <c r="O12" s="87"/>
    </row>
    <row r="13" spans="2:15" x14ac:dyDescent="0.2">
      <c r="C13" s="38"/>
      <c r="E13" s="46" t="s">
        <v>16</v>
      </c>
      <c r="F13" s="48">
        <f>'T-accounts BS'!Q25</f>
        <v>229606650</v>
      </c>
      <c r="I13" s="93"/>
      <c r="J13" s="41"/>
      <c r="K13" s="38"/>
      <c r="M13" s="40"/>
      <c r="N13" s="41"/>
      <c r="O13" s="88"/>
    </row>
    <row r="14" spans="2:15" x14ac:dyDescent="0.2">
      <c r="C14" s="38"/>
      <c r="F14" s="11"/>
      <c r="I14" s="93"/>
      <c r="J14" s="48"/>
      <c r="K14" s="38"/>
      <c r="M14" s="46" t="s">
        <v>16</v>
      </c>
      <c r="N14" s="48">
        <v>90000000</v>
      </c>
      <c r="O14" s="89">
        <v>90000000</v>
      </c>
    </row>
    <row r="15" spans="2:15" ht="12.75" thickBot="1" x14ac:dyDescent="0.25">
      <c r="B15" s="34" t="s">
        <v>17</v>
      </c>
      <c r="C15" s="39">
        <f>SUM(C11,C5:C7)</f>
        <v>424949000</v>
      </c>
      <c r="D15" s="34"/>
      <c r="E15" s="34" t="s">
        <v>18</v>
      </c>
      <c r="F15" s="35">
        <f>SUM(F13,F11)</f>
        <v>424949000</v>
      </c>
      <c r="I15" s="93"/>
      <c r="J15" s="11"/>
      <c r="K15" s="38"/>
      <c r="N15" s="11"/>
      <c r="O15" s="90"/>
    </row>
    <row r="16" spans="2:15" ht="12.75" thickBot="1" x14ac:dyDescent="0.25">
      <c r="C16" s="24"/>
      <c r="F16" s="11"/>
      <c r="I16" s="94" t="s">
        <v>17</v>
      </c>
      <c r="J16" s="86">
        <f>SUM(J6:J15)</f>
        <v>288670000</v>
      </c>
      <c r="K16" s="39">
        <f>SUM(K12,K6:K8)</f>
        <v>265000000</v>
      </c>
      <c r="L16" s="34"/>
      <c r="M16" s="34" t="s">
        <v>18</v>
      </c>
      <c r="N16" s="35">
        <f>SUM(N14,N11)</f>
        <v>288670000</v>
      </c>
      <c r="O16" s="91">
        <f>SUM(O14,O11)</f>
        <v>265000000</v>
      </c>
    </row>
    <row r="17" spans="2:9" x14ac:dyDescent="0.2">
      <c r="B17" s="102" t="s">
        <v>96</v>
      </c>
      <c r="C17" s="139">
        <v>2015</v>
      </c>
      <c r="D17" s="101"/>
      <c r="E17" s="140">
        <v>2014</v>
      </c>
      <c r="F17" s="141">
        <v>2013</v>
      </c>
    </row>
    <row r="18" spans="2:9" s="42" customFormat="1" ht="10.5" hidden="1" outlineLevel="1" x14ac:dyDescent="0.15">
      <c r="B18" s="98" t="s">
        <v>19</v>
      </c>
      <c r="C18" s="99">
        <f>C15-F15</f>
        <v>0</v>
      </c>
      <c r="D18" s="98"/>
      <c r="E18" s="98"/>
      <c r="F18" s="100"/>
    </row>
    <row r="19" spans="2:9" ht="15" collapsed="1" x14ac:dyDescent="0.25">
      <c r="B19" s="135" t="s">
        <v>107</v>
      </c>
      <c r="C19" s="136">
        <f>SUM(C5:C7)/SUM(F5:F7)</f>
        <v>2.9712747788812499</v>
      </c>
      <c r="D19" s="136" t="e">
        <f t="shared" ref="D19" si="0">SUM(D5:D7)/SUM(G5:G7)</f>
        <v>#DIV/0!</v>
      </c>
      <c r="E19" s="136">
        <f>SUM(K6:K8)/SUM(O6:O8)</f>
        <v>3.2857142857142856</v>
      </c>
      <c r="F19" s="138">
        <f>SUM(J6:J8)/SUM(N6:N8)</f>
        <v>2.079427305266746</v>
      </c>
      <c r="I19" s="4"/>
    </row>
    <row r="20" spans="2:9" ht="15" x14ac:dyDescent="0.25">
      <c r="B20" s="135" t="s">
        <v>108</v>
      </c>
      <c r="C20" s="138">
        <f>C7/'P&amp;L 2015'!C4*360</f>
        <v>22.985266441541505</v>
      </c>
      <c r="D20" s="135"/>
      <c r="E20" s="138">
        <f>K8/('Historical P&amp;L'!D4*1000)*360</f>
        <v>14.218440592922924</v>
      </c>
      <c r="F20" s="138">
        <f>J8/('Historical P&amp;L'!C4*1000)*360</f>
        <v>30.66934954258436</v>
      </c>
      <c r="I20" s="4"/>
    </row>
    <row r="21" spans="2:9" ht="15" x14ac:dyDescent="0.25">
      <c r="B21" s="135" t="s">
        <v>109</v>
      </c>
      <c r="C21" s="138">
        <f>-C6/'P&amp;L 2015'!C7*360</f>
        <v>44.584717607973424</v>
      </c>
      <c r="D21" s="135"/>
      <c r="E21" s="138">
        <f>-K7/('Historical P&amp;L'!D7*1000)*360</f>
        <v>38.723339888065347</v>
      </c>
      <c r="F21" s="138">
        <f>-J7/('Historical P&amp;L'!C7*1000)*360</f>
        <v>64.699628587846945</v>
      </c>
      <c r="I21" s="4"/>
    </row>
    <row r="22" spans="2:9" ht="15" x14ac:dyDescent="0.25">
      <c r="B22" s="135" t="s">
        <v>110</v>
      </c>
      <c r="C22" s="138">
        <f>-F5/'P&amp;L 2015'!C7*360</f>
        <v>40.53156146179402</v>
      </c>
      <c r="D22" s="135"/>
      <c r="E22" s="138">
        <f>-O6/('Historical P&amp;L'!D7*1000)*360</f>
        <v>24.202087430040841</v>
      </c>
      <c r="F22" s="138">
        <f>-N6/('Historical P&amp;L'!C7*1000)*360</f>
        <v>37.067495545120643</v>
      </c>
      <c r="I22" s="4"/>
    </row>
    <row r="23" spans="2:9" ht="15" x14ac:dyDescent="0.25">
      <c r="B23" s="135" t="s">
        <v>111</v>
      </c>
      <c r="C23" s="138">
        <f>C20+C21-C22</f>
        <v>27.038422587720909</v>
      </c>
      <c r="D23" s="135"/>
      <c r="E23" s="138">
        <f>E20+E21-E22</f>
        <v>28.73969305094743</v>
      </c>
      <c r="F23" s="138">
        <f>F20+F21-F22</f>
        <v>58.301482585310659</v>
      </c>
      <c r="I23" s="4"/>
    </row>
    <row r="24" spans="2:9" ht="15" x14ac:dyDescent="0.25">
      <c r="B24" s="135" t="s">
        <v>112</v>
      </c>
      <c r="C24" s="137">
        <f>F11/C15</f>
        <v>0.45968422093004102</v>
      </c>
      <c r="D24" s="135"/>
      <c r="E24" s="138">
        <f>O11/K16</f>
        <v>0.660377358490566</v>
      </c>
      <c r="F24" s="138">
        <f>N11/J16</f>
        <v>0.68822530917656843</v>
      </c>
      <c r="I24" s="4"/>
    </row>
    <row r="25" spans="2:9" ht="15" x14ac:dyDescent="0.25">
      <c r="I25" s="4"/>
    </row>
    <row r="26" spans="2:9" ht="15" x14ac:dyDescent="0.25">
      <c r="I26" s="4"/>
    </row>
    <row r="27" spans="2:9" ht="15" x14ac:dyDescent="0.25">
      <c r="I27" s="4"/>
    </row>
    <row r="28" spans="2:9" ht="15" x14ac:dyDescent="0.25">
      <c r="I28" s="4"/>
    </row>
    <row r="29" spans="2:9" ht="15" x14ac:dyDescent="0.25">
      <c r="I29" s="4"/>
    </row>
    <row r="30" spans="2:9" ht="15" x14ac:dyDescent="0.25">
      <c r="I30" s="4"/>
    </row>
    <row r="31" spans="2:9" ht="15" x14ac:dyDescent="0.25">
      <c r="I31" s="4"/>
    </row>
    <row r="32" spans="2:9" ht="15" x14ac:dyDescent="0.25">
      <c r="I32" s="4"/>
    </row>
  </sheetData>
  <mergeCells count="3">
    <mergeCell ref="B3:F3"/>
    <mergeCell ref="I4:O4"/>
    <mergeCell ref="I3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3"/>
  <sheetViews>
    <sheetView zoomScale="93" zoomScaleNormal="93" workbookViewId="0">
      <selection activeCell="R71" sqref="R71"/>
    </sheetView>
  </sheetViews>
  <sheetFormatPr defaultRowHeight="15" x14ac:dyDescent="0.25"/>
  <cols>
    <col min="1" max="4" width="9.140625" style="4"/>
    <col min="5" max="5" width="12.5703125" style="4" bestFit="1" customWidth="1"/>
    <col min="6" max="16384" width="9.140625" style="4"/>
  </cols>
  <sheetData>
    <row r="2" spans="2:16" x14ac:dyDescent="0.25">
      <c r="B2" s="1"/>
    </row>
    <row r="3" spans="2:16" x14ac:dyDescent="0.25">
      <c r="B3" s="1"/>
    </row>
    <row r="4" spans="2:16" x14ac:dyDescent="0.25">
      <c r="B4" s="1"/>
      <c r="D4" s="152" t="s">
        <v>0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</row>
    <row r="5" spans="2:16" x14ac:dyDescent="0.25">
      <c r="B5" s="1"/>
      <c r="D5" s="152" t="s">
        <v>1</v>
      </c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</row>
    <row r="6" spans="2:16" x14ac:dyDescent="0.25">
      <c r="B6" s="1"/>
    </row>
    <row r="7" spans="2:16" x14ac:dyDescent="0.25">
      <c r="B7" s="1"/>
    </row>
    <row r="8" spans="2:16" x14ac:dyDescent="0.25">
      <c r="B8" s="1"/>
    </row>
    <row r="9" spans="2:16" x14ac:dyDescent="0.25">
      <c r="B9" s="1"/>
    </row>
    <row r="10" spans="2:16" x14ac:dyDescent="0.25">
      <c r="B10" s="1"/>
    </row>
    <row r="11" spans="2:16" x14ac:dyDescent="0.25">
      <c r="B11" s="1"/>
    </row>
    <row r="12" spans="2:16" x14ac:dyDescent="0.25">
      <c r="B12" s="1"/>
    </row>
    <row r="13" spans="2:16" x14ac:dyDescent="0.25">
      <c r="B13" s="1"/>
    </row>
  </sheetData>
  <mergeCells count="2">
    <mergeCell ref="D4:P4"/>
    <mergeCell ref="D5:P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2"/>
  <sheetViews>
    <sheetView workbookViewId="0">
      <selection activeCell="G23" sqref="G23"/>
    </sheetView>
  </sheetViews>
  <sheetFormatPr defaultRowHeight="12" x14ac:dyDescent="0.2"/>
  <cols>
    <col min="1" max="1" width="2" style="1" customWidth="1"/>
    <col min="2" max="16384" width="9.140625" style="1"/>
  </cols>
  <sheetData>
    <row r="12" spans="2:2" ht="44.25" x14ac:dyDescent="0.6">
      <c r="B12" s="8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32"/>
  <sheetViews>
    <sheetView tabSelected="1" workbookViewId="0">
      <selection activeCell="D7" sqref="D7"/>
    </sheetView>
  </sheetViews>
  <sheetFormatPr defaultRowHeight="12" outlineLevelRow="1" x14ac:dyDescent="0.2"/>
  <cols>
    <col min="1" max="1" width="2" style="1" customWidth="1"/>
    <col min="2" max="2" width="19.85546875" style="1" customWidth="1"/>
    <col min="3" max="4" width="10.85546875" style="1" customWidth="1"/>
    <col min="5" max="5" width="1.5703125" style="1" customWidth="1"/>
    <col min="6" max="6" width="20.42578125" style="1" bestFit="1" customWidth="1"/>
    <col min="7" max="8" width="11.42578125" style="1" customWidth="1"/>
    <col min="9" max="16384" width="9.140625" style="1"/>
  </cols>
  <sheetData>
    <row r="1" spans="2:8" ht="15.75" x14ac:dyDescent="0.25">
      <c r="B1" s="2" t="s">
        <v>3</v>
      </c>
      <c r="C1" s="2"/>
    </row>
    <row r="3" spans="2:8" x14ac:dyDescent="0.2">
      <c r="B3" s="153"/>
      <c r="C3" s="153"/>
      <c r="D3" s="153"/>
      <c r="E3" s="153"/>
      <c r="F3" s="153"/>
      <c r="G3" s="153"/>
      <c r="H3" s="153"/>
    </row>
    <row r="4" spans="2:8" ht="24.75" thickBot="1" x14ac:dyDescent="0.25">
      <c r="B4" s="31" t="s">
        <v>4</v>
      </c>
      <c r="C4" s="84" t="s">
        <v>5</v>
      </c>
      <c r="D4" s="84" t="s">
        <v>6</v>
      </c>
      <c r="E4" s="32"/>
      <c r="F4" s="85" t="s">
        <v>7</v>
      </c>
      <c r="G4" s="84" t="s">
        <v>5</v>
      </c>
      <c r="H4" s="84" t="s">
        <v>6</v>
      </c>
    </row>
    <row r="5" spans="2:8" x14ac:dyDescent="0.2">
      <c r="B5" s="92" t="s">
        <v>8</v>
      </c>
      <c r="C5" s="10">
        <v>43000000</v>
      </c>
      <c r="D5" s="36">
        <v>65000000</v>
      </c>
      <c r="F5" s="1" t="s">
        <v>9</v>
      </c>
      <c r="G5" s="10">
        <v>27500000</v>
      </c>
      <c r="H5" s="36">
        <v>20000000</v>
      </c>
    </row>
    <row r="6" spans="2:8" x14ac:dyDescent="0.2">
      <c r="B6" s="93" t="s">
        <v>10</v>
      </c>
      <c r="C6" s="10">
        <v>48000000</v>
      </c>
      <c r="D6" s="37">
        <v>32000000</v>
      </c>
      <c r="F6" s="1" t="s">
        <v>11</v>
      </c>
      <c r="G6" s="10">
        <v>5000000</v>
      </c>
      <c r="H6" s="37">
        <v>0</v>
      </c>
    </row>
    <row r="7" spans="2:8" x14ac:dyDescent="0.2">
      <c r="B7" s="93" t="s">
        <v>12</v>
      </c>
      <c r="C7" s="10">
        <v>31000000</v>
      </c>
      <c r="D7" s="37">
        <v>18000000</v>
      </c>
      <c r="F7" s="1" t="s">
        <v>13</v>
      </c>
      <c r="G7" s="10">
        <v>26170000</v>
      </c>
      <c r="H7" s="37">
        <v>15000000</v>
      </c>
    </row>
    <row r="8" spans="2:8" x14ac:dyDescent="0.2">
      <c r="B8" s="93"/>
      <c r="C8" s="10"/>
      <c r="D8" s="37"/>
      <c r="G8" s="10"/>
      <c r="H8" s="37"/>
    </row>
    <row r="9" spans="2:8" x14ac:dyDescent="0.2">
      <c r="B9" s="93"/>
      <c r="C9" s="10"/>
      <c r="D9" s="37"/>
      <c r="F9" s="1" t="s">
        <v>14</v>
      </c>
      <c r="G9" s="10">
        <v>140000000</v>
      </c>
      <c r="H9" s="37">
        <v>140000000</v>
      </c>
    </row>
    <row r="10" spans="2:8" x14ac:dyDescent="0.2">
      <c r="B10" s="93"/>
      <c r="C10" s="47"/>
      <c r="D10" s="37"/>
      <c r="F10" s="46" t="s">
        <v>7</v>
      </c>
      <c r="G10" s="47">
        <f>SUM(G5:G9)</f>
        <v>198670000</v>
      </c>
      <c r="H10" s="87">
        <f>SUM(H5:H9)</f>
        <v>175000000</v>
      </c>
    </row>
    <row r="11" spans="2:8" x14ac:dyDescent="0.2">
      <c r="B11" s="93" t="s">
        <v>15</v>
      </c>
      <c r="C11" s="10">
        <v>166670000</v>
      </c>
      <c r="D11" s="37">
        <v>150000000</v>
      </c>
      <c r="F11" s="46"/>
      <c r="G11" s="47"/>
      <c r="H11" s="87"/>
    </row>
    <row r="12" spans="2:8" x14ac:dyDescent="0.2">
      <c r="B12" s="93"/>
      <c r="C12" s="41"/>
      <c r="D12" s="38"/>
      <c r="F12" s="40"/>
      <c r="G12" s="41"/>
      <c r="H12" s="88"/>
    </row>
    <row r="13" spans="2:8" x14ac:dyDescent="0.2">
      <c r="B13" s="93"/>
      <c r="C13" s="48"/>
      <c r="D13" s="38"/>
      <c r="F13" s="46" t="s">
        <v>16</v>
      </c>
      <c r="G13" s="48">
        <v>90000000</v>
      </c>
      <c r="H13" s="89">
        <v>90000000</v>
      </c>
    </row>
    <row r="14" spans="2:8" x14ac:dyDescent="0.2">
      <c r="B14" s="93"/>
      <c r="C14" s="11"/>
      <c r="D14" s="38"/>
      <c r="G14" s="11"/>
      <c r="H14" s="90"/>
    </row>
    <row r="15" spans="2:8" ht="12.75" thickBot="1" x14ac:dyDescent="0.25">
      <c r="B15" s="94" t="s">
        <v>17</v>
      </c>
      <c r="C15" s="86">
        <f>SUM(C5:C14)</f>
        <v>288670000</v>
      </c>
      <c r="D15" s="39">
        <f>SUM(D11,D5:D7)</f>
        <v>265000000</v>
      </c>
      <c r="E15" s="34"/>
      <c r="F15" s="34" t="s">
        <v>18</v>
      </c>
      <c r="G15" s="35">
        <f>SUM(G13,G10)</f>
        <v>288670000</v>
      </c>
      <c r="H15" s="91">
        <f>SUM(H13,H10)</f>
        <v>265000000</v>
      </c>
    </row>
    <row r="16" spans="2:8" x14ac:dyDescent="0.2">
      <c r="D16" s="24"/>
      <c r="H16" s="11"/>
    </row>
    <row r="17" spans="2:11" x14ac:dyDescent="0.2">
      <c r="D17" s="24"/>
      <c r="H17" s="11"/>
    </row>
    <row r="18" spans="2:11" s="42" customFormat="1" ht="10.5" hidden="1" outlineLevel="1" x14ac:dyDescent="0.15">
      <c r="B18" s="43" t="s">
        <v>19</v>
      </c>
      <c r="C18" s="43"/>
      <c r="D18" s="45">
        <f>D15-H15</f>
        <v>0</v>
      </c>
      <c r="E18" s="43"/>
      <c r="F18" s="43"/>
      <c r="G18" s="43"/>
      <c r="H18" s="44"/>
    </row>
    <row r="19" spans="2:11" ht="15" collapsed="1" x14ac:dyDescent="0.25">
      <c r="K19" s="4"/>
    </row>
    <row r="20" spans="2:11" ht="15" x14ac:dyDescent="0.25">
      <c r="K20" s="4"/>
    </row>
    <row r="21" spans="2:11" ht="15" x14ac:dyDescent="0.25">
      <c r="K21" s="4"/>
    </row>
    <row r="22" spans="2:11" ht="15" x14ac:dyDescent="0.25">
      <c r="K22" s="4"/>
    </row>
    <row r="23" spans="2:11" ht="15" x14ac:dyDescent="0.25">
      <c r="K23" s="4"/>
    </row>
    <row r="24" spans="2:11" ht="15" x14ac:dyDescent="0.25">
      <c r="K24" s="4"/>
    </row>
    <row r="25" spans="2:11" ht="15" x14ac:dyDescent="0.25">
      <c r="K25" s="4"/>
    </row>
    <row r="26" spans="2:11" ht="15" x14ac:dyDescent="0.25">
      <c r="K26" s="4"/>
    </row>
    <row r="27" spans="2:11" ht="15" x14ac:dyDescent="0.25">
      <c r="K27" s="4"/>
    </row>
    <row r="28" spans="2:11" ht="15" x14ac:dyDescent="0.25">
      <c r="K28" s="4"/>
    </row>
    <row r="29" spans="2:11" ht="15" x14ac:dyDescent="0.25">
      <c r="K29" s="4"/>
    </row>
    <row r="30" spans="2:11" ht="15" x14ac:dyDescent="0.25">
      <c r="K30" s="4"/>
    </row>
    <row r="31" spans="2:11" ht="15" x14ac:dyDescent="0.25">
      <c r="K31" s="4"/>
    </row>
    <row r="32" spans="2:11" ht="15" x14ac:dyDescent="0.25">
      <c r="K32" s="4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41"/>
  <sheetViews>
    <sheetView workbookViewId="0">
      <selection activeCell="E37" sqref="E37"/>
    </sheetView>
  </sheetViews>
  <sheetFormatPr defaultRowHeight="12" x14ac:dyDescent="0.2"/>
  <cols>
    <col min="1" max="1" width="2" style="26" customWidth="1"/>
    <col min="2" max="2" width="26.28515625" style="26" customWidth="1"/>
    <col min="3" max="3" width="14.7109375" style="26" customWidth="1"/>
    <col min="4" max="4" width="14.140625" style="26" bestFit="1" customWidth="1"/>
    <col min="5" max="16384" width="9.140625" style="26"/>
  </cols>
  <sheetData>
    <row r="1" spans="2:18" ht="15.75" x14ac:dyDescent="0.25">
      <c r="B1" s="25" t="s">
        <v>20</v>
      </c>
      <c r="C1" s="25"/>
    </row>
    <row r="3" spans="2:18" ht="12.75" thickBot="1" x14ac:dyDescent="0.25">
      <c r="B3" s="77" t="s">
        <v>21</v>
      </c>
      <c r="C3" s="78" t="s">
        <v>22</v>
      </c>
      <c r="D3" s="78" t="s">
        <v>23</v>
      </c>
    </row>
    <row r="4" spans="2:18" x14ac:dyDescent="0.2">
      <c r="B4" s="27" t="s">
        <v>24</v>
      </c>
      <c r="C4" s="28">
        <v>363881.20929999999</v>
      </c>
      <c r="D4" s="28">
        <v>455746.18100000004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2:18" x14ac:dyDescent="0.2">
      <c r="B5" s="27" t="s">
        <v>25</v>
      </c>
      <c r="C5" s="28">
        <v>2000</v>
      </c>
      <c r="D5" s="28">
        <v>2000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</row>
    <row r="6" spans="2:18" x14ac:dyDescent="0.2">
      <c r="B6" s="81" t="s">
        <v>26</v>
      </c>
      <c r="C6" s="82">
        <f>+SUM(C4:C5)</f>
        <v>365881.20929999999</v>
      </c>
      <c r="D6" s="82">
        <f>+SUM(D4:D5)</f>
        <v>457746.18100000004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2:18" x14ac:dyDescent="0.2">
      <c r="B7" s="27" t="s">
        <v>27</v>
      </c>
      <c r="C7" s="28">
        <v>-267080.35853000003</v>
      </c>
      <c r="D7" s="28">
        <v>-297495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2:18" x14ac:dyDescent="0.2">
      <c r="B8" s="81" t="s">
        <v>28</v>
      </c>
      <c r="C8" s="82">
        <f>SUM(C6:C7)</f>
        <v>98800.850769999961</v>
      </c>
      <c r="D8" s="82">
        <f>SUM(D6:D7)</f>
        <v>160251.18100000004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2:18" x14ac:dyDescent="0.2">
      <c r="B9" s="27" t="s">
        <v>29</v>
      </c>
      <c r="C9" s="28">
        <v>-12375.000000000002</v>
      </c>
      <c r="D9" s="28">
        <v>-12375.000000000002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2:18" x14ac:dyDescent="0.2">
      <c r="B10" s="27" t="s">
        <v>30</v>
      </c>
      <c r="C10" s="28">
        <v>-5929.0000000000009</v>
      </c>
      <c r="D10" s="28">
        <v>-6050.0000000000009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2:18" x14ac:dyDescent="0.2">
      <c r="B11" s="27" t="s">
        <v>31</v>
      </c>
      <c r="C11" s="28">
        <v>-2707.25</v>
      </c>
      <c r="D11" s="28">
        <v>-3570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2:18" x14ac:dyDescent="0.2">
      <c r="B12" s="27" t="s">
        <v>32</v>
      </c>
      <c r="C12" s="28">
        <v>-11875</v>
      </c>
      <c r="D12" s="28">
        <v>-19000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2:18" x14ac:dyDescent="0.2">
      <c r="B13" s="27" t="s">
        <v>33</v>
      </c>
      <c r="C13" s="28">
        <v>-32760</v>
      </c>
      <c r="D13" s="28">
        <v>-42000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2:18" x14ac:dyDescent="0.2">
      <c r="B14" s="81" t="s">
        <v>34</v>
      </c>
      <c r="C14" s="82">
        <f>SUM(C8:C13)</f>
        <v>33154.600769999961</v>
      </c>
      <c r="D14" s="82">
        <f>SUM(D8:D13)</f>
        <v>77256.181000000041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2:18" x14ac:dyDescent="0.2">
      <c r="B15" s="27" t="s">
        <v>35</v>
      </c>
      <c r="C15" s="28">
        <v>-16500</v>
      </c>
      <c r="D15" s="28">
        <v>-15000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</row>
    <row r="16" spans="2:18" x14ac:dyDescent="0.2">
      <c r="B16" s="81" t="s">
        <v>36</v>
      </c>
      <c r="C16" s="82">
        <f>SUM(C14:C15)</f>
        <v>16654.600769999961</v>
      </c>
      <c r="D16" s="82">
        <f>SUM(D14:D15)</f>
        <v>62256.181000000041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2:18" x14ac:dyDescent="0.2">
      <c r="B17" s="27" t="s">
        <v>37</v>
      </c>
      <c r="C17" s="28">
        <v>-6720</v>
      </c>
      <c r="D17" s="28">
        <v>-5600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2:18" x14ac:dyDescent="0.2">
      <c r="B18" s="27" t="s">
        <v>38</v>
      </c>
      <c r="C18" s="28">
        <v>0</v>
      </c>
      <c r="D18" s="28">
        <v>0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2:18" x14ac:dyDescent="0.2">
      <c r="B19" s="81" t="s">
        <v>39</v>
      </c>
      <c r="C19" s="82">
        <f>SUM(C16:C18)</f>
        <v>9934.6007699999609</v>
      </c>
      <c r="D19" s="82">
        <f>SUM(D16:D18)</f>
        <v>56656.181000000041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2:18" x14ac:dyDescent="0.2">
      <c r="B20" s="27" t="s">
        <v>40</v>
      </c>
      <c r="C20" s="28">
        <v>-2541.706500000003</v>
      </c>
      <c r="D20" s="28">
        <v>-8498.427150000005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2:18" ht="12.75" thickBot="1" x14ac:dyDescent="0.25">
      <c r="B21" s="79" t="s">
        <v>41</v>
      </c>
      <c r="C21" s="80">
        <f>SUM(C19:C20)</f>
        <v>7392.8942699999579</v>
      </c>
      <c r="D21" s="80">
        <f>SUM(D19:D20)</f>
        <v>48157.753850000037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2:18" x14ac:dyDescent="0.2">
      <c r="B22" s="27"/>
      <c r="C22" s="27"/>
      <c r="D22" s="28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2:18" x14ac:dyDescent="0.2">
      <c r="B23" s="27"/>
      <c r="C23" s="27"/>
      <c r="D23" s="28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2:18" x14ac:dyDescent="0.2">
      <c r="B24" s="27"/>
      <c r="C24" s="27"/>
      <c r="D24" s="28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2:18" x14ac:dyDescent="0.2">
      <c r="B25" s="27"/>
      <c r="C25" s="27"/>
      <c r="D25" s="28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2:18" x14ac:dyDescent="0.2">
      <c r="B26" s="27"/>
      <c r="C26" s="27"/>
      <c r="D26" s="28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2:18" x14ac:dyDescent="0.2">
      <c r="B27" s="27"/>
      <c r="C27" s="27"/>
      <c r="D27" s="29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2:18" x14ac:dyDescent="0.2">
      <c r="B28" s="27"/>
      <c r="C28" s="27"/>
      <c r="D28" s="2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2:18" x14ac:dyDescent="0.2">
      <c r="B29" s="27"/>
      <c r="C29" s="27"/>
      <c r="D29" s="30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2:18" x14ac:dyDescent="0.2">
      <c r="B30" s="27"/>
      <c r="C30" s="27"/>
      <c r="D30" s="30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2:18" x14ac:dyDescent="0.2">
      <c r="B31" s="27"/>
      <c r="C31" s="27"/>
      <c r="D31" s="30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2:18" x14ac:dyDescent="0.2">
      <c r="B32" s="27"/>
      <c r="C32" s="27"/>
      <c r="D32" s="30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2:18" x14ac:dyDescent="0.2">
      <c r="B33" s="27"/>
      <c r="C33" s="27"/>
      <c r="D33" s="30"/>
    </row>
    <row r="34" spans="2:18" x14ac:dyDescent="0.2">
      <c r="B34" s="27"/>
      <c r="C34" s="27"/>
      <c r="D34" s="30"/>
    </row>
    <row r="35" spans="2:18" x14ac:dyDescent="0.2">
      <c r="B35" s="27"/>
      <c r="C35" s="27"/>
      <c r="D35" s="30"/>
    </row>
    <row r="36" spans="2:18" x14ac:dyDescent="0.2">
      <c r="B36" s="27"/>
      <c r="C36" s="27"/>
      <c r="D36" s="27"/>
    </row>
    <row r="37" spans="2:18" x14ac:dyDescent="0.2">
      <c r="B37" s="27"/>
      <c r="C37" s="27"/>
      <c r="D37" s="27"/>
    </row>
    <row r="38" spans="2:18" x14ac:dyDescent="0.2">
      <c r="B38" s="27"/>
      <c r="C38" s="27"/>
      <c r="D38" s="27"/>
    </row>
    <row r="39" spans="2:18" x14ac:dyDescent="0.2">
      <c r="B39" s="27"/>
      <c r="C39" s="27"/>
      <c r="D39" s="27"/>
    </row>
    <row r="40" spans="2:18" x14ac:dyDescent="0.2">
      <c r="B40" s="27"/>
      <c r="C40" s="27"/>
      <c r="D40" s="27"/>
    </row>
    <row r="41" spans="2:18" x14ac:dyDescent="0.2">
      <c r="B41" s="27"/>
      <c r="C41" s="27"/>
      <c r="D41" s="27"/>
      <c r="R41" s="26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B12"/>
  <sheetViews>
    <sheetView workbookViewId="0"/>
  </sheetViews>
  <sheetFormatPr defaultRowHeight="12" x14ac:dyDescent="0.2"/>
  <cols>
    <col min="1" max="1" width="2" style="1" customWidth="1"/>
    <col min="2" max="16384" width="9.140625" style="1"/>
  </cols>
  <sheetData>
    <row r="12" spans="2:2" ht="44.25" x14ac:dyDescent="0.6">
      <c r="B12" s="83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34"/>
  <sheetViews>
    <sheetView workbookViewId="0">
      <selection activeCell="F21" sqref="F21"/>
    </sheetView>
  </sheetViews>
  <sheetFormatPr defaultRowHeight="12" x14ac:dyDescent="0.2"/>
  <cols>
    <col min="1" max="1" width="2" style="1" customWidth="1"/>
    <col min="2" max="2" width="13.7109375" style="1" customWidth="1"/>
    <col min="3" max="3" width="18.5703125" style="1" customWidth="1"/>
    <col min="4" max="4" width="17.7109375" style="1" customWidth="1"/>
    <col min="5" max="5" width="13.28515625" style="1" customWidth="1"/>
    <col min="6" max="6" width="13.85546875" style="1" customWidth="1"/>
    <col min="7" max="7" width="2.42578125" style="1" customWidth="1"/>
    <col min="8" max="8" width="18" style="1" bestFit="1" customWidth="1"/>
    <col min="9" max="9" width="21.7109375" style="1" bestFit="1" customWidth="1"/>
    <col min="10" max="10" width="19.28515625" style="1" bestFit="1" customWidth="1"/>
    <col min="11" max="11" width="15.28515625" style="1" bestFit="1" customWidth="1"/>
    <col min="12" max="12" width="13.85546875" style="1" customWidth="1"/>
    <col min="13" max="16384" width="9.140625" style="1"/>
  </cols>
  <sheetData>
    <row r="1" spans="2:12" ht="15.75" x14ac:dyDescent="0.25">
      <c r="B1" s="2" t="s">
        <v>43</v>
      </c>
      <c r="C1" s="2"/>
    </row>
    <row r="2" spans="2:12" ht="3.75" customHeight="1" x14ac:dyDescent="0.2"/>
    <row r="3" spans="2:12" x14ac:dyDescent="0.2">
      <c r="B3" s="154" t="s">
        <v>44</v>
      </c>
      <c r="C3" s="154"/>
      <c r="D3" s="154"/>
      <c r="E3" s="154"/>
      <c r="F3" s="154"/>
      <c r="G3" s="5"/>
      <c r="H3" s="154" t="s">
        <v>45</v>
      </c>
      <c r="I3" s="154"/>
      <c r="J3" s="154"/>
      <c r="K3" s="154"/>
      <c r="L3" s="154"/>
    </row>
    <row r="4" spans="2:12" ht="12.75" thickBot="1" x14ac:dyDescent="0.25">
      <c r="B4" s="6" t="s">
        <v>46</v>
      </c>
      <c r="C4" s="6" t="s">
        <v>47</v>
      </c>
      <c r="D4" s="6" t="s">
        <v>48</v>
      </c>
      <c r="E4" s="7" t="s">
        <v>49</v>
      </c>
      <c r="F4" s="7" t="s">
        <v>50</v>
      </c>
      <c r="G4" s="65"/>
      <c r="H4" s="6" t="s">
        <v>46</v>
      </c>
      <c r="I4" s="6" t="s">
        <v>47</v>
      </c>
      <c r="J4" s="6" t="s">
        <v>51</v>
      </c>
      <c r="K4" s="7" t="s">
        <v>49</v>
      </c>
      <c r="L4" s="7" t="s">
        <v>50</v>
      </c>
    </row>
    <row r="5" spans="2:12" x14ac:dyDescent="0.2">
      <c r="B5" s="14" t="s">
        <v>52</v>
      </c>
      <c r="C5" s="1" t="s">
        <v>16</v>
      </c>
      <c r="D5" s="1" t="s">
        <v>53</v>
      </c>
      <c r="E5" s="64"/>
      <c r="F5" s="63">
        <v>30000000</v>
      </c>
      <c r="H5" s="14" t="s">
        <v>54</v>
      </c>
      <c r="I5" s="1" t="s">
        <v>35</v>
      </c>
      <c r="J5" s="1" t="s">
        <v>55</v>
      </c>
      <c r="K5" s="63">
        <v>5000000</v>
      </c>
      <c r="L5" s="63"/>
    </row>
    <row r="6" spans="2:12" x14ac:dyDescent="0.2">
      <c r="B6" s="14" t="s">
        <v>52</v>
      </c>
      <c r="C6" s="1" t="s">
        <v>8</v>
      </c>
      <c r="D6" s="1" t="s">
        <v>56</v>
      </c>
      <c r="E6" s="63">
        <v>30000000</v>
      </c>
      <c r="F6" s="64"/>
      <c r="H6" s="14" t="s">
        <v>54</v>
      </c>
      <c r="I6" s="1" t="s">
        <v>35</v>
      </c>
      <c r="J6" s="1" t="s">
        <v>55</v>
      </c>
      <c r="K6" s="63">
        <v>15000000</v>
      </c>
      <c r="L6" s="63"/>
    </row>
    <row r="7" spans="2:12" x14ac:dyDescent="0.2">
      <c r="B7" s="14" t="s">
        <v>54</v>
      </c>
      <c r="C7" s="1" t="s">
        <v>57</v>
      </c>
      <c r="D7" s="1" t="s">
        <v>56</v>
      </c>
      <c r="E7" s="64">
        <v>80000000</v>
      </c>
      <c r="F7" s="64"/>
      <c r="H7" s="14" t="s">
        <v>58</v>
      </c>
      <c r="I7" s="1" t="s">
        <v>29</v>
      </c>
      <c r="J7" s="1" t="s">
        <v>55</v>
      </c>
      <c r="K7" s="63">
        <v>12500000</v>
      </c>
      <c r="L7" s="63"/>
    </row>
    <row r="8" spans="2:12" x14ac:dyDescent="0.2">
      <c r="B8" s="14" t="s">
        <v>54</v>
      </c>
      <c r="C8" s="1" t="s">
        <v>8</v>
      </c>
      <c r="D8" s="1" t="s">
        <v>56</v>
      </c>
      <c r="E8" s="64"/>
      <c r="F8" s="64">
        <v>80000000</v>
      </c>
      <c r="H8" s="14" t="s">
        <v>59</v>
      </c>
      <c r="I8" s="1" t="s">
        <v>30</v>
      </c>
      <c r="J8" s="1" t="s">
        <v>55</v>
      </c>
      <c r="K8" s="63">
        <v>5500000</v>
      </c>
      <c r="L8" s="63"/>
    </row>
    <row r="9" spans="2:12" x14ac:dyDescent="0.2">
      <c r="B9" s="14" t="s">
        <v>54</v>
      </c>
      <c r="C9" s="1" t="s">
        <v>60</v>
      </c>
      <c r="D9" s="1" t="s">
        <v>56</v>
      </c>
      <c r="E9" s="64"/>
      <c r="F9" s="64">
        <v>5000000</v>
      </c>
      <c r="H9" s="14" t="s">
        <v>61</v>
      </c>
      <c r="I9" s="1" t="s">
        <v>24</v>
      </c>
      <c r="J9" s="1" t="s">
        <v>62</v>
      </c>
      <c r="L9" s="10">
        <v>524449000</v>
      </c>
    </row>
    <row r="10" spans="2:12" x14ac:dyDescent="0.2">
      <c r="B10" s="14" t="s">
        <v>54</v>
      </c>
      <c r="C10" s="1" t="s">
        <v>60</v>
      </c>
      <c r="D10" s="1" t="s">
        <v>56</v>
      </c>
      <c r="E10" s="64"/>
      <c r="F10" s="64">
        <v>15000000</v>
      </c>
      <c r="H10" s="14" t="s">
        <v>63</v>
      </c>
      <c r="I10" s="1" t="s">
        <v>64</v>
      </c>
      <c r="J10" s="1" t="s">
        <v>55</v>
      </c>
      <c r="K10" s="63">
        <v>32450000</v>
      </c>
      <c r="L10" s="63"/>
    </row>
    <row r="11" spans="2:12" x14ac:dyDescent="0.2">
      <c r="B11" s="14" t="s">
        <v>58</v>
      </c>
      <c r="C11" s="1" t="s">
        <v>65</v>
      </c>
      <c r="D11" s="1" t="s">
        <v>53</v>
      </c>
      <c r="E11" s="64"/>
      <c r="F11" s="64">
        <v>2500000</v>
      </c>
      <c r="H11" s="14" t="s">
        <v>66</v>
      </c>
      <c r="I11" s="1" t="s">
        <v>64</v>
      </c>
      <c r="J11" s="1" t="s">
        <v>55</v>
      </c>
      <c r="K11" s="63">
        <v>238450000</v>
      </c>
      <c r="L11" s="10"/>
    </row>
    <row r="12" spans="2:12" x14ac:dyDescent="0.2">
      <c r="B12" s="14" t="s">
        <v>58</v>
      </c>
      <c r="C12" s="1" t="s">
        <v>8</v>
      </c>
      <c r="D12" s="1" t="s">
        <v>56</v>
      </c>
      <c r="E12" s="64"/>
      <c r="F12" s="64">
        <v>10000000</v>
      </c>
      <c r="H12" s="14" t="s">
        <v>67</v>
      </c>
      <c r="I12" s="1" t="s">
        <v>25</v>
      </c>
      <c r="J12" s="1" t="s">
        <v>62</v>
      </c>
      <c r="K12" s="63"/>
      <c r="L12" s="10">
        <v>2000000</v>
      </c>
    </row>
    <row r="13" spans="2:12" x14ac:dyDescent="0.2">
      <c r="B13" s="14" t="s">
        <v>59</v>
      </c>
      <c r="C13" s="1" t="s">
        <v>8</v>
      </c>
      <c r="D13" s="1" t="s">
        <v>56</v>
      </c>
      <c r="E13" s="64"/>
      <c r="F13" s="64">
        <v>5500000</v>
      </c>
      <c r="H13" s="14" t="s">
        <v>68</v>
      </c>
      <c r="I13" s="1" t="s">
        <v>31</v>
      </c>
      <c r="J13" s="1" t="s">
        <v>55</v>
      </c>
      <c r="K13" s="63">
        <v>35000000</v>
      </c>
      <c r="L13" s="10"/>
    </row>
    <row r="14" spans="2:12" x14ac:dyDescent="0.2">
      <c r="B14" s="14" t="s">
        <v>61</v>
      </c>
      <c r="C14" s="1" t="s">
        <v>8</v>
      </c>
      <c r="D14" s="1" t="s">
        <v>56</v>
      </c>
      <c r="E14" s="64">
        <v>508964000</v>
      </c>
      <c r="F14" s="64"/>
      <c r="H14" s="14" t="s">
        <v>69</v>
      </c>
      <c r="I14" s="1" t="s">
        <v>32</v>
      </c>
      <c r="J14" s="1" t="s">
        <v>55</v>
      </c>
      <c r="K14" s="63">
        <v>10000000</v>
      </c>
      <c r="L14" s="10"/>
    </row>
    <row r="15" spans="2:12" x14ac:dyDescent="0.2">
      <c r="B15" s="14" t="s">
        <v>61</v>
      </c>
      <c r="C15" s="1" t="s">
        <v>70</v>
      </c>
      <c r="D15" s="1" t="s">
        <v>56</v>
      </c>
      <c r="E15" s="64">
        <v>15485000</v>
      </c>
      <c r="H15" s="14" t="s">
        <v>71</v>
      </c>
      <c r="I15" s="1" t="s">
        <v>72</v>
      </c>
      <c r="J15" s="1" t="s">
        <v>55</v>
      </c>
      <c r="K15" s="63">
        <v>5600000</v>
      </c>
      <c r="L15" s="10"/>
    </row>
    <row r="16" spans="2:12" x14ac:dyDescent="0.2">
      <c r="B16" s="14" t="s">
        <v>73</v>
      </c>
      <c r="C16" s="1" t="s">
        <v>8</v>
      </c>
      <c r="D16" s="1" t="s">
        <v>56</v>
      </c>
      <c r="E16" s="64"/>
      <c r="F16" s="64">
        <v>230000000</v>
      </c>
      <c r="H16" s="14" t="s">
        <v>74</v>
      </c>
      <c r="I16" s="1" t="s">
        <v>75</v>
      </c>
      <c r="J16" s="1" t="s">
        <v>55</v>
      </c>
      <c r="K16" s="63">
        <v>3000000</v>
      </c>
      <c r="L16" s="10"/>
    </row>
    <row r="17" spans="2:12" x14ac:dyDescent="0.2">
      <c r="B17" s="14" t="s">
        <v>73</v>
      </c>
      <c r="C17" s="1" t="s">
        <v>76</v>
      </c>
      <c r="D17" s="1" t="s">
        <v>53</v>
      </c>
      <c r="E17" s="64"/>
      <c r="F17" s="64">
        <v>10000000</v>
      </c>
      <c r="H17" s="14" t="s">
        <v>77</v>
      </c>
      <c r="I17" s="1" t="s">
        <v>78</v>
      </c>
      <c r="J17" s="1" t="s">
        <v>55</v>
      </c>
      <c r="K17" s="63">
        <v>35000000</v>
      </c>
      <c r="L17" s="10"/>
    </row>
    <row r="18" spans="2:12" x14ac:dyDescent="0.2">
      <c r="B18" s="14" t="s">
        <v>63</v>
      </c>
      <c r="C18" s="1" t="s">
        <v>8</v>
      </c>
      <c r="D18" s="1" t="s">
        <v>56</v>
      </c>
      <c r="E18" s="64"/>
      <c r="F18" s="64">
        <v>32450000</v>
      </c>
      <c r="H18" s="14" t="s">
        <v>79</v>
      </c>
      <c r="I18" s="1" t="s">
        <v>80</v>
      </c>
      <c r="J18" s="1" t="s">
        <v>55</v>
      </c>
      <c r="K18" s="64">
        <v>19342350</v>
      </c>
      <c r="L18" s="10"/>
    </row>
    <row r="19" spans="2:12" x14ac:dyDescent="0.2">
      <c r="B19" s="14" t="s">
        <v>66</v>
      </c>
      <c r="C19" s="1" t="s">
        <v>81</v>
      </c>
      <c r="D19" s="1" t="s">
        <v>56</v>
      </c>
      <c r="E19" s="64"/>
      <c r="F19" s="64">
        <v>238450000</v>
      </c>
      <c r="H19" s="14"/>
      <c r="K19" s="10"/>
      <c r="L19" s="10"/>
    </row>
    <row r="20" spans="2:12" x14ac:dyDescent="0.2">
      <c r="B20" s="14" t="s">
        <v>67</v>
      </c>
      <c r="C20" s="14" t="s">
        <v>8</v>
      </c>
      <c r="D20" s="1" t="s">
        <v>56</v>
      </c>
      <c r="E20" s="70">
        <v>2000000</v>
      </c>
      <c r="F20" s="64"/>
      <c r="K20" s="10"/>
      <c r="L20" s="10"/>
    </row>
    <row r="21" spans="2:12" x14ac:dyDescent="0.2">
      <c r="B21" s="14" t="s">
        <v>68</v>
      </c>
      <c r="C21" s="14" t="s">
        <v>8</v>
      </c>
      <c r="D21" s="1" t="s">
        <v>56</v>
      </c>
      <c r="E21" s="64"/>
      <c r="F21" s="64">
        <v>35000000</v>
      </c>
      <c r="L21" s="10"/>
    </row>
    <row r="22" spans="2:12" x14ac:dyDescent="0.2">
      <c r="B22" s="14" t="s">
        <v>69</v>
      </c>
      <c r="C22" s="14" t="s">
        <v>8</v>
      </c>
      <c r="D22" s="1" t="s">
        <v>56</v>
      </c>
      <c r="E22" s="64"/>
      <c r="F22" s="64">
        <v>9500000</v>
      </c>
      <c r="L22" s="10"/>
    </row>
    <row r="23" spans="2:12" x14ac:dyDescent="0.2">
      <c r="B23" s="14" t="s">
        <v>69</v>
      </c>
      <c r="C23" s="14" t="s">
        <v>76</v>
      </c>
      <c r="D23" s="1" t="s">
        <v>53</v>
      </c>
      <c r="E23" s="64"/>
      <c r="F23" s="64">
        <v>500000</v>
      </c>
      <c r="L23" s="10"/>
    </row>
    <row r="24" spans="2:12" x14ac:dyDescent="0.2">
      <c r="B24" s="14" t="s">
        <v>71</v>
      </c>
      <c r="C24" s="14" t="s">
        <v>8</v>
      </c>
      <c r="D24" s="1" t="s">
        <v>56</v>
      </c>
      <c r="E24" s="64"/>
      <c r="F24" s="64">
        <v>5600000</v>
      </c>
      <c r="H24" s="14"/>
      <c r="L24" s="10"/>
    </row>
    <row r="25" spans="2:12" x14ac:dyDescent="0.2">
      <c r="B25" s="14" t="s">
        <v>71</v>
      </c>
      <c r="C25" s="14" t="s">
        <v>14</v>
      </c>
      <c r="D25" s="1" t="s">
        <v>53</v>
      </c>
      <c r="E25" s="64">
        <v>20000000</v>
      </c>
      <c r="F25" s="64"/>
      <c r="H25" s="66" t="s">
        <v>82</v>
      </c>
      <c r="I25" s="67">
        <f>SUM(E5:E62)+SUM(K5:K23)</f>
        <v>1073291350</v>
      </c>
      <c r="L25" s="10"/>
    </row>
    <row r="26" spans="2:12" x14ac:dyDescent="0.2">
      <c r="B26" s="14" t="s">
        <v>71</v>
      </c>
      <c r="C26" s="14" t="s">
        <v>8</v>
      </c>
      <c r="D26" s="1" t="s">
        <v>56</v>
      </c>
      <c r="E26" s="64"/>
      <c r="F26" s="64">
        <v>20000000</v>
      </c>
      <c r="H26" s="66" t="s">
        <v>83</v>
      </c>
      <c r="I26" s="67">
        <f>SUM(F5:F62)+SUM(L5:L23)</f>
        <v>1313291350</v>
      </c>
    </row>
    <row r="27" spans="2:12" x14ac:dyDescent="0.2">
      <c r="B27" s="14" t="s">
        <v>74</v>
      </c>
      <c r="C27" s="14" t="s">
        <v>84</v>
      </c>
      <c r="D27" s="1" t="s">
        <v>53</v>
      </c>
      <c r="E27" s="64"/>
      <c r="F27" s="64">
        <v>3000000</v>
      </c>
      <c r="H27" s="14"/>
    </row>
    <row r="28" spans="2:12" x14ac:dyDescent="0.2">
      <c r="B28" s="14" t="s">
        <v>77</v>
      </c>
      <c r="C28" s="14" t="s">
        <v>85</v>
      </c>
      <c r="D28" s="1" t="s">
        <v>53</v>
      </c>
      <c r="F28" s="64">
        <v>5000000</v>
      </c>
      <c r="H28" s="68" t="s">
        <v>86</v>
      </c>
      <c r="I28" s="69">
        <f>I25-I26</f>
        <v>-240000000</v>
      </c>
    </row>
    <row r="29" spans="2:12" x14ac:dyDescent="0.2">
      <c r="B29" s="14" t="s">
        <v>77</v>
      </c>
      <c r="C29" s="1" t="s">
        <v>8</v>
      </c>
      <c r="D29" s="1" t="s">
        <v>56</v>
      </c>
      <c r="F29" s="64">
        <v>30000000</v>
      </c>
    </row>
    <row r="30" spans="2:12" x14ac:dyDescent="0.2">
      <c r="B30" s="14" t="s">
        <v>79</v>
      </c>
      <c r="C30" s="1" t="s">
        <v>85</v>
      </c>
      <c r="D30" s="1" t="s">
        <v>53</v>
      </c>
      <c r="F30" s="64">
        <v>19342350</v>
      </c>
    </row>
    <row r="31" spans="2:12" x14ac:dyDescent="0.2">
      <c r="B31" s="14"/>
    </row>
    <row r="32" spans="2:12" x14ac:dyDescent="0.2">
      <c r="B32" s="14"/>
    </row>
    <row r="33" spans="5:6" x14ac:dyDescent="0.2">
      <c r="E33" s="24"/>
      <c r="F33" s="24"/>
    </row>
    <row r="34" spans="5:6" x14ac:dyDescent="0.2">
      <c r="F34" s="24"/>
    </row>
  </sheetData>
  <mergeCells count="2">
    <mergeCell ref="B3:F3"/>
    <mergeCell ref="H3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48576"/>
  <sheetViews>
    <sheetView zoomScale="90" zoomScaleNormal="90" workbookViewId="0">
      <selection activeCell="Q25" sqref="Q25"/>
    </sheetView>
  </sheetViews>
  <sheetFormatPr defaultRowHeight="12" x14ac:dyDescent="0.2"/>
  <cols>
    <col min="1" max="1" width="2" style="1" customWidth="1"/>
    <col min="2" max="2" width="3.85546875" style="1" customWidth="1"/>
    <col min="3" max="3" width="19.5703125" style="1" bestFit="1" customWidth="1"/>
    <col min="4" max="4" width="16.28515625" style="1" bestFit="1" customWidth="1"/>
    <col min="5" max="7" width="4.140625" style="1" customWidth="1"/>
    <col min="8" max="8" width="19.5703125" style="1" bestFit="1" customWidth="1"/>
    <col min="9" max="9" width="12.7109375" style="1" customWidth="1"/>
    <col min="10" max="10" width="8.5703125" style="1" customWidth="1"/>
    <col min="11" max="11" width="5.28515625" style="1" customWidth="1"/>
    <col min="12" max="12" width="18.140625" style="1" bestFit="1" customWidth="1"/>
    <col min="13" max="13" width="17.5703125" style="1" customWidth="1"/>
    <col min="14" max="14" width="7.85546875" style="1" customWidth="1"/>
    <col min="15" max="15" width="4.140625" style="1" customWidth="1"/>
    <col min="16" max="16" width="17.42578125" style="1" bestFit="1" customWidth="1"/>
    <col min="17" max="17" width="16.42578125" style="1" bestFit="1" customWidth="1"/>
    <col min="18" max="18" width="17.140625" style="1" bestFit="1" customWidth="1"/>
    <col min="19" max="16384" width="9.140625" style="1"/>
  </cols>
  <sheetData>
    <row r="1" spans="1:18" ht="15.75" x14ac:dyDescent="0.25">
      <c r="B1" s="2" t="s">
        <v>87</v>
      </c>
    </row>
    <row r="2" spans="1:18" ht="3.75" customHeight="1" x14ac:dyDescent="0.2">
      <c r="A2" s="1">
        <v>1</v>
      </c>
    </row>
    <row r="3" spans="1:18" x14ac:dyDescent="0.2">
      <c r="B3" s="154" t="s">
        <v>44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</row>
    <row r="4" spans="1:18" ht="12.75" thickBot="1" x14ac:dyDescent="0.25">
      <c r="B4" s="6" t="s">
        <v>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  <c r="O4" s="6"/>
      <c r="P4" s="6"/>
      <c r="Q4" s="6"/>
      <c r="R4" s="9" t="s">
        <v>88</v>
      </c>
    </row>
    <row r="5" spans="1:18" ht="3.75" customHeight="1" x14ac:dyDescent="0.2">
      <c r="J5" s="50"/>
    </row>
    <row r="6" spans="1:18" ht="15" customHeight="1" x14ac:dyDescent="0.2">
      <c r="B6" s="15"/>
      <c r="C6" s="156" t="s">
        <v>15</v>
      </c>
      <c r="D6" s="156"/>
      <c r="E6" s="148"/>
      <c r="F6" s="148"/>
      <c r="G6" s="15"/>
      <c r="H6" s="155" t="s">
        <v>12</v>
      </c>
      <c r="I6" s="155"/>
      <c r="J6" s="50"/>
      <c r="K6" s="15"/>
      <c r="L6" s="156" t="s">
        <v>11</v>
      </c>
      <c r="M6" s="157"/>
      <c r="N6" s="14"/>
      <c r="O6" s="15"/>
      <c r="P6" s="155" t="s">
        <v>14</v>
      </c>
      <c r="Q6" s="155"/>
      <c r="R6" s="14"/>
    </row>
    <row r="7" spans="1:18" x14ac:dyDescent="0.2">
      <c r="B7" s="15"/>
      <c r="C7" s="59">
        <v>150000000</v>
      </c>
      <c r="D7" s="58">
        <v>5000000</v>
      </c>
      <c r="E7" s="17"/>
      <c r="F7" s="17"/>
      <c r="G7" s="15"/>
      <c r="H7" s="73">
        <v>18000000</v>
      </c>
      <c r="I7" s="51"/>
      <c r="J7" s="50"/>
      <c r="K7" s="15"/>
      <c r="L7" s="62"/>
      <c r="M7" s="113">
        <v>0</v>
      </c>
      <c r="N7" s="14"/>
      <c r="O7" s="15"/>
      <c r="P7" s="55">
        <v>20000000</v>
      </c>
      <c r="Q7" s="51">
        <v>140000000</v>
      </c>
      <c r="R7" s="14"/>
    </row>
    <row r="8" spans="1:18" x14ac:dyDescent="0.2">
      <c r="B8" s="15"/>
      <c r="C8" s="59">
        <v>80000000</v>
      </c>
      <c r="D8" s="51">
        <v>15000000</v>
      </c>
      <c r="E8" s="14"/>
      <c r="F8" s="14"/>
      <c r="G8" s="15"/>
      <c r="H8" s="59">
        <v>15485000</v>
      </c>
      <c r="I8" s="58"/>
      <c r="J8" s="3"/>
      <c r="K8" s="15"/>
      <c r="L8" s="59"/>
      <c r="M8" s="58">
        <v>2500000</v>
      </c>
      <c r="N8" s="14"/>
      <c r="O8" s="15"/>
      <c r="P8" s="116">
        <f>P7</f>
        <v>20000000</v>
      </c>
      <c r="Q8" s="104">
        <f>Q7</f>
        <v>140000000</v>
      </c>
      <c r="R8" s="14"/>
    </row>
    <row r="9" spans="1:18" x14ac:dyDescent="0.2">
      <c r="B9" s="15"/>
      <c r="C9" s="55">
        <f>C7+C8</f>
        <v>230000000</v>
      </c>
      <c r="D9" s="104">
        <f>D7+D8</f>
        <v>20000000</v>
      </c>
      <c r="E9" s="14"/>
      <c r="F9" s="14"/>
      <c r="G9" s="15"/>
      <c r="H9" s="55">
        <f>H7+H8</f>
        <v>33485000</v>
      </c>
      <c r="I9" s="104">
        <v>0</v>
      </c>
      <c r="J9" s="3"/>
      <c r="K9" s="15"/>
      <c r="L9" s="110"/>
      <c r="M9" s="104">
        <f>M8+M7</f>
        <v>2500000</v>
      </c>
      <c r="N9" s="14"/>
      <c r="O9" s="15"/>
      <c r="P9" s="111" t="s">
        <v>89</v>
      </c>
      <c r="Q9" s="112">
        <f>Q8-P8</f>
        <v>120000000</v>
      </c>
      <c r="R9" s="14"/>
    </row>
    <row r="10" spans="1:18" x14ac:dyDescent="0.2">
      <c r="B10" s="15"/>
      <c r="C10" s="105" t="s">
        <v>89</v>
      </c>
      <c r="D10" s="106">
        <f>C9-D9</f>
        <v>210000000</v>
      </c>
      <c r="E10" s="14"/>
      <c r="F10" s="14"/>
      <c r="G10" s="15"/>
      <c r="H10" s="105" t="s">
        <v>89</v>
      </c>
      <c r="I10" s="107">
        <f>H9-I9</f>
        <v>33485000</v>
      </c>
      <c r="J10" s="3"/>
      <c r="K10" s="15"/>
      <c r="L10" s="105" t="s">
        <v>89</v>
      </c>
      <c r="M10" s="106">
        <f>M9-L9</f>
        <v>2500000</v>
      </c>
      <c r="N10" s="14"/>
      <c r="O10" s="15"/>
      <c r="P10" s="52"/>
      <c r="Q10" s="97"/>
      <c r="R10" s="14"/>
    </row>
    <row r="11" spans="1:18" x14ac:dyDescent="0.2">
      <c r="B11" s="15"/>
      <c r="C11" s="19"/>
      <c r="D11" s="19"/>
      <c r="E11" s="14"/>
      <c r="F11" s="14"/>
      <c r="G11" s="14"/>
      <c r="H11" s="14"/>
      <c r="I11" s="14"/>
      <c r="J11" s="3"/>
      <c r="K11" s="15"/>
      <c r="L11" s="19"/>
      <c r="M11" s="19"/>
      <c r="N11" s="14"/>
    </row>
    <row r="12" spans="1:18" x14ac:dyDescent="0.2">
      <c r="B12" s="15"/>
      <c r="C12" s="155" t="s">
        <v>81</v>
      </c>
      <c r="D12" s="155"/>
      <c r="E12" s="14"/>
      <c r="F12" s="14"/>
      <c r="G12" s="15"/>
      <c r="H12" s="155" t="s">
        <v>8</v>
      </c>
      <c r="I12" s="155"/>
      <c r="J12" s="50"/>
      <c r="K12" s="15"/>
      <c r="L12" s="155" t="s">
        <v>9</v>
      </c>
      <c r="M12" s="155"/>
      <c r="N12" s="14"/>
      <c r="P12" s="155" t="s">
        <v>13</v>
      </c>
      <c r="Q12" s="155"/>
      <c r="R12" s="14"/>
    </row>
    <row r="13" spans="1:18" x14ac:dyDescent="0.2">
      <c r="B13" s="15"/>
      <c r="C13" s="108">
        <v>32000000</v>
      </c>
      <c r="D13" s="11">
        <v>238450000</v>
      </c>
      <c r="E13" s="14"/>
      <c r="F13" s="14"/>
      <c r="G13" s="15"/>
      <c r="H13" s="55">
        <v>65000000</v>
      </c>
      <c r="I13" s="64">
        <v>80000000</v>
      </c>
      <c r="J13" s="50"/>
      <c r="K13" s="15"/>
      <c r="L13" s="16"/>
      <c r="M13" s="51">
        <v>20000000</v>
      </c>
      <c r="N13" s="14"/>
      <c r="P13" s="16"/>
      <c r="Q13" s="51">
        <v>15000000</v>
      </c>
      <c r="R13" s="14"/>
    </row>
    <row r="14" spans="1:18" x14ac:dyDescent="0.2">
      <c r="B14" s="15"/>
      <c r="C14" s="59">
        <v>240000000</v>
      </c>
      <c r="D14" s="58"/>
      <c r="E14" s="14"/>
      <c r="F14" s="14"/>
      <c r="G14" s="15"/>
      <c r="H14" s="59">
        <v>30000000</v>
      </c>
      <c r="I14" s="64">
        <v>10000000</v>
      </c>
      <c r="J14" s="50"/>
      <c r="K14" s="15"/>
      <c r="L14" s="20"/>
      <c r="M14" s="11">
        <v>10000000</v>
      </c>
      <c r="N14" s="14"/>
      <c r="P14" s="20"/>
      <c r="Q14" s="58">
        <v>5000000</v>
      </c>
      <c r="R14" s="14"/>
    </row>
    <row r="15" spans="1:18" x14ac:dyDescent="0.2">
      <c r="B15" s="15"/>
      <c r="C15" s="55">
        <f>C13+C14</f>
        <v>272000000</v>
      </c>
      <c r="D15" s="109">
        <f>D13</f>
        <v>238450000</v>
      </c>
      <c r="E15" s="14"/>
      <c r="F15" s="14"/>
      <c r="G15" s="15"/>
      <c r="H15" s="71">
        <v>508964000</v>
      </c>
      <c r="I15" s="64">
        <v>5500000</v>
      </c>
      <c r="J15" s="50"/>
      <c r="K15" s="15"/>
      <c r="L15" s="60"/>
      <c r="M15" s="51">
        <v>500000</v>
      </c>
      <c r="N15" s="14"/>
      <c r="P15" s="3"/>
      <c r="Q15" s="58">
        <v>19342350</v>
      </c>
      <c r="R15" s="14"/>
    </row>
    <row r="16" spans="1:18" x14ac:dyDescent="0.2">
      <c r="B16" s="15"/>
      <c r="C16" s="105" t="s">
        <v>89</v>
      </c>
      <c r="D16" s="105">
        <f>C15-D15</f>
        <v>33550000</v>
      </c>
      <c r="E16" s="14"/>
      <c r="F16" s="14"/>
      <c r="G16" s="15"/>
      <c r="H16" s="72">
        <v>2000000</v>
      </c>
      <c r="I16" s="64">
        <v>230000000</v>
      </c>
      <c r="J16" s="50"/>
      <c r="K16" s="15"/>
      <c r="L16" s="104"/>
      <c r="M16" s="104">
        <f>M13+M14+M15</f>
        <v>30500000</v>
      </c>
      <c r="N16" s="14"/>
      <c r="P16" s="110"/>
      <c r="Q16" s="104">
        <f>Q13+Q14+Q15</f>
        <v>39342350</v>
      </c>
      <c r="R16" s="14"/>
    </row>
    <row r="17" spans="2:18" x14ac:dyDescent="0.2">
      <c r="B17" s="15"/>
      <c r="C17" s="49"/>
      <c r="D17" s="49"/>
      <c r="E17" s="14"/>
      <c r="F17" s="14"/>
      <c r="G17" s="15"/>
      <c r="H17" s="60"/>
      <c r="I17" s="64">
        <v>32450000</v>
      </c>
      <c r="J17" s="50"/>
      <c r="L17" s="105" t="s">
        <v>89</v>
      </c>
      <c r="M17" s="106">
        <f>M16-L16</f>
        <v>30500000</v>
      </c>
      <c r="N17" s="14"/>
      <c r="P17" s="105" t="s">
        <v>89</v>
      </c>
      <c r="Q17" s="106">
        <f>Q16-P16</f>
        <v>39342350</v>
      </c>
      <c r="R17" s="14"/>
    </row>
    <row r="18" spans="2:18" ht="15" x14ac:dyDescent="0.25">
      <c r="E18" s="14"/>
      <c r="F18" s="14"/>
      <c r="G18" s="15"/>
      <c r="H18" s="60"/>
      <c r="I18" s="64">
        <v>35000000</v>
      </c>
      <c r="J18" s="50"/>
      <c r="Q18" s="4"/>
    </row>
    <row r="19" spans="2:18" ht="15" x14ac:dyDescent="0.25">
      <c r="E19" s="14"/>
      <c r="F19" s="14"/>
      <c r="G19" s="15"/>
      <c r="H19" s="59"/>
      <c r="I19" s="64">
        <v>9500000</v>
      </c>
      <c r="J19" s="50"/>
      <c r="Q19" s="4"/>
    </row>
    <row r="20" spans="2:18" x14ac:dyDescent="0.2">
      <c r="F20" s="14"/>
      <c r="G20" s="15"/>
      <c r="H20" s="60"/>
      <c r="I20" s="64">
        <v>5600000</v>
      </c>
      <c r="J20" s="50"/>
      <c r="K20" s="15"/>
      <c r="P20" s="155" t="s">
        <v>16</v>
      </c>
      <c r="Q20" s="155"/>
      <c r="R20" s="14"/>
    </row>
    <row r="21" spans="2:18" x14ac:dyDescent="0.2">
      <c r="F21" s="14"/>
      <c r="G21" s="15"/>
      <c r="H21" s="60"/>
      <c r="I21" s="64">
        <v>20000000</v>
      </c>
      <c r="J21" s="50"/>
      <c r="K21" s="15"/>
      <c r="L21" s="155" t="s">
        <v>84</v>
      </c>
      <c r="M21" s="155"/>
      <c r="N21" s="14"/>
      <c r="P21" s="16"/>
      <c r="Q21" s="51">
        <v>90000000</v>
      </c>
      <c r="R21" s="14"/>
    </row>
    <row r="22" spans="2:18" x14ac:dyDescent="0.2">
      <c r="B22" s="15"/>
      <c r="F22" s="14"/>
      <c r="G22" s="15"/>
      <c r="H22" s="60"/>
      <c r="I22" s="64">
        <v>30000000</v>
      </c>
      <c r="J22" s="50"/>
      <c r="K22" s="15"/>
      <c r="L22" s="55"/>
      <c r="M22" s="51">
        <v>3000000</v>
      </c>
      <c r="N22" s="14"/>
      <c r="P22" s="18"/>
      <c r="Q22" s="51">
        <v>30000000</v>
      </c>
      <c r="R22" s="14"/>
    </row>
    <row r="23" spans="2:18" x14ac:dyDescent="0.2">
      <c r="B23" s="15"/>
      <c r="F23" s="14"/>
      <c r="H23" s="110">
        <f>H13+H14+H15+H16</f>
        <v>605964000</v>
      </c>
      <c r="I23" s="54">
        <f>I13+I14+I15+I16+I17+I18+I19+I20+I21+I22</f>
        <v>458050000</v>
      </c>
      <c r="J23" s="3"/>
      <c r="K23" s="15"/>
      <c r="L23" s="16"/>
      <c r="M23" s="104">
        <f>M22</f>
        <v>3000000</v>
      </c>
      <c r="N23" s="14"/>
      <c r="P23" s="18"/>
      <c r="Q23" s="51">
        <f>'P&amp;L 2015'!C21</f>
        <v>109606650</v>
      </c>
    </row>
    <row r="24" spans="2:18" x14ac:dyDescent="0.2">
      <c r="H24" s="111" t="s">
        <v>89</v>
      </c>
      <c r="I24" s="112">
        <f>H23-I23</f>
        <v>147914000</v>
      </c>
      <c r="J24" s="3"/>
      <c r="L24" s="114" t="s">
        <v>89</v>
      </c>
      <c r="M24" s="115">
        <f>M23-L23</f>
        <v>3000000</v>
      </c>
      <c r="N24" s="14"/>
      <c r="P24" s="132"/>
      <c r="Q24" s="133">
        <f>Q21+Q22+Q23</f>
        <v>229606650</v>
      </c>
    </row>
    <row r="25" spans="2:18" x14ac:dyDescent="0.2">
      <c r="H25" s="52"/>
      <c r="I25" s="97"/>
      <c r="J25" s="3"/>
      <c r="K25" s="15"/>
      <c r="L25" s="52"/>
      <c r="M25" s="97"/>
      <c r="N25" s="14"/>
      <c r="P25" s="111" t="s">
        <v>89</v>
      </c>
      <c r="Q25" s="112">
        <f>Q21+Q22+Q23</f>
        <v>229606650</v>
      </c>
    </row>
    <row r="26" spans="2:18" ht="15" x14ac:dyDescent="0.25">
      <c r="J26" s="3"/>
      <c r="K26" s="15"/>
      <c r="Q26" s="4"/>
    </row>
    <row r="27" spans="2:18" ht="15" x14ac:dyDescent="0.25">
      <c r="J27" s="3"/>
      <c r="K27" s="15"/>
      <c r="Q27" s="4"/>
    </row>
    <row r="28" spans="2:18" ht="12.75" thickBot="1" x14ac:dyDescent="0.25">
      <c r="B28" s="34" t="s">
        <v>17</v>
      </c>
      <c r="C28" s="34"/>
      <c r="D28" s="57"/>
      <c r="E28" s="34"/>
      <c r="F28" s="34"/>
      <c r="G28" s="34"/>
      <c r="H28" s="34"/>
      <c r="I28" s="34"/>
      <c r="J28" s="34"/>
      <c r="K28" s="56"/>
      <c r="L28" s="34"/>
      <c r="M28" s="34"/>
      <c r="N28" s="34"/>
      <c r="O28" s="34"/>
      <c r="P28" s="34"/>
      <c r="Q28" s="34" t="s">
        <v>90</v>
      </c>
      <c r="R28" s="57"/>
    </row>
    <row r="29" spans="2:18" x14ac:dyDescent="0.2">
      <c r="G29" s="14"/>
      <c r="H29" s="14"/>
      <c r="I29" s="14"/>
      <c r="K29" s="15"/>
      <c r="L29" s="49"/>
      <c r="M29" s="19"/>
      <c r="N29" s="14"/>
    </row>
    <row r="30" spans="2:18" x14ac:dyDescent="0.2">
      <c r="G30" s="14"/>
      <c r="H30" s="14"/>
      <c r="I30" s="14"/>
    </row>
    <row r="31" spans="2:18" x14ac:dyDescent="0.2">
      <c r="G31" s="14"/>
      <c r="H31" s="14"/>
      <c r="I31" s="14"/>
    </row>
    <row r="32" spans="2:18" x14ac:dyDescent="0.2">
      <c r="G32" s="14"/>
      <c r="H32" s="14"/>
      <c r="I32" s="14"/>
    </row>
    <row r="33" spans="7:14" x14ac:dyDescent="0.2">
      <c r="G33" s="14"/>
      <c r="H33" s="14"/>
      <c r="I33" s="14"/>
    </row>
    <row r="34" spans="7:14" x14ac:dyDescent="0.2">
      <c r="G34" s="14"/>
      <c r="H34" s="14"/>
      <c r="I34" s="14"/>
    </row>
    <row r="35" spans="7:14" x14ac:dyDescent="0.2">
      <c r="G35" s="14"/>
      <c r="H35" s="14"/>
      <c r="I35" s="14"/>
      <c r="L35" s="17"/>
      <c r="M35" s="17"/>
      <c r="N35" s="14"/>
    </row>
    <row r="36" spans="7:14" x14ac:dyDescent="0.2">
      <c r="G36" s="14"/>
      <c r="H36" s="14"/>
      <c r="I36" s="14"/>
    </row>
    <row r="37" spans="7:14" x14ac:dyDescent="0.2">
      <c r="G37" s="14"/>
      <c r="H37" s="14"/>
      <c r="I37" s="14"/>
    </row>
    <row r="38" spans="7:14" x14ac:dyDescent="0.2">
      <c r="G38" s="14"/>
      <c r="H38" s="14"/>
      <c r="I38" s="14"/>
    </row>
    <row r="1048576" spans="3:3" x14ac:dyDescent="0.2">
      <c r="C1048576" s="59"/>
    </row>
  </sheetData>
  <mergeCells count="11">
    <mergeCell ref="B3:R3"/>
    <mergeCell ref="H12:I12"/>
    <mergeCell ref="P12:Q12"/>
    <mergeCell ref="L21:M21"/>
    <mergeCell ref="P20:Q20"/>
    <mergeCell ref="C6:D6"/>
    <mergeCell ref="C12:D12"/>
    <mergeCell ref="H6:I6"/>
    <mergeCell ref="P6:Q6"/>
    <mergeCell ref="L6:M6"/>
    <mergeCell ref="L12:M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38"/>
  <sheetViews>
    <sheetView zoomScale="90" zoomScaleNormal="90" workbookViewId="0">
      <selection activeCell="Q7" sqref="Q7:Q9"/>
    </sheetView>
  </sheetViews>
  <sheetFormatPr defaultRowHeight="12" x14ac:dyDescent="0.2"/>
  <cols>
    <col min="1" max="1" width="2" style="1" customWidth="1"/>
    <col min="2" max="2" width="9.140625" style="1"/>
    <col min="3" max="3" width="9.7109375" style="1" bestFit="1" customWidth="1"/>
    <col min="4" max="4" width="17.42578125" style="70" bestFit="1" customWidth="1"/>
    <col min="5" max="5" width="12.28515625" style="1" bestFit="1" customWidth="1"/>
    <col min="6" max="6" width="4.42578125" style="1" customWidth="1"/>
    <col min="7" max="7" width="3.28515625" style="1" customWidth="1"/>
    <col min="8" max="8" width="17.42578125" style="70" bestFit="1" customWidth="1"/>
    <col min="9" max="9" width="11.7109375" style="61" customWidth="1"/>
    <col min="10" max="10" width="9.85546875" style="1" customWidth="1"/>
    <col min="11" max="11" width="4.28515625" style="1" customWidth="1"/>
    <col min="12" max="12" width="17.42578125" style="1" bestFit="1" customWidth="1"/>
    <col min="13" max="13" width="9.85546875" style="1" customWidth="1"/>
    <col min="14" max="14" width="3.140625" style="1" customWidth="1"/>
    <col min="15" max="15" width="9.140625" style="1"/>
    <col min="16" max="16" width="14" style="1" customWidth="1"/>
    <col min="17" max="17" width="13.42578125" style="1" bestFit="1" customWidth="1"/>
    <col min="18" max="18" width="7.5703125" style="1" bestFit="1" customWidth="1"/>
    <col min="19" max="16384" width="9.140625" style="1"/>
  </cols>
  <sheetData>
    <row r="1" spans="2:20" ht="15.75" x14ac:dyDescent="0.25">
      <c r="B1" s="2" t="s">
        <v>87</v>
      </c>
    </row>
    <row r="2" spans="2:20" ht="3.75" customHeight="1" x14ac:dyDescent="0.2"/>
    <row r="3" spans="2:20" x14ac:dyDescent="0.2">
      <c r="C3" s="154" t="s">
        <v>45</v>
      </c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</row>
    <row r="4" spans="2:20" ht="12.75" thickBot="1" x14ac:dyDescent="0.25">
      <c r="C4" s="6" t="s">
        <v>55</v>
      </c>
      <c r="D4" s="7"/>
      <c r="E4" s="6"/>
      <c r="F4" s="6"/>
      <c r="G4" s="6"/>
      <c r="H4" s="7"/>
      <c r="I4" s="9"/>
      <c r="J4" s="6"/>
      <c r="K4" s="6"/>
      <c r="L4" s="6"/>
      <c r="M4" s="6"/>
      <c r="N4" s="6"/>
      <c r="O4" s="6"/>
      <c r="P4" s="6"/>
      <c r="Q4" s="7"/>
      <c r="R4" s="7" t="s">
        <v>62</v>
      </c>
    </row>
    <row r="5" spans="2:20" ht="3.75" customHeight="1" x14ac:dyDescent="0.2">
      <c r="N5" s="8"/>
    </row>
    <row r="6" spans="2:20" ht="15" customHeight="1" x14ac:dyDescent="0.2">
      <c r="C6" s="15"/>
      <c r="D6" s="156" t="s">
        <v>91</v>
      </c>
      <c r="E6" s="156"/>
      <c r="F6" s="12"/>
      <c r="G6" s="15"/>
      <c r="H6" s="156" t="s">
        <v>32</v>
      </c>
      <c r="I6" s="156"/>
      <c r="J6" s="12"/>
      <c r="K6" s="15"/>
      <c r="L6" s="158" t="s">
        <v>78</v>
      </c>
      <c r="M6" s="158"/>
      <c r="N6" s="22"/>
      <c r="O6" s="23"/>
      <c r="P6" s="156" t="s">
        <v>24</v>
      </c>
      <c r="Q6" s="156"/>
    </row>
    <row r="7" spans="2:20" x14ac:dyDescent="0.2">
      <c r="C7" s="15"/>
      <c r="D7" s="117">
        <v>32450000</v>
      </c>
      <c r="E7" s="24"/>
      <c r="G7" s="15"/>
      <c r="H7" s="73">
        <v>10000000</v>
      </c>
      <c r="I7" s="75"/>
      <c r="J7" s="21"/>
      <c r="K7" s="15"/>
      <c r="L7" s="73">
        <v>35000000</v>
      </c>
      <c r="M7" s="24"/>
      <c r="N7" s="22"/>
      <c r="O7" s="21"/>
      <c r="P7" s="13"/>
      <c r="Q7" s="24">
        <v>524449000</v>
      </c>
      <c r="R7" s="14"/>
    </row>
    <row r="8" spans="2:20" x14ac:dyDescent="0.2">
      <c r="C8" s="15"/>
      <c r="D8" s="118">
        <v>238450000</v>
      </c>
      <c r="E8" s="24"/>
      <c r="G8" s="15"/>
      <c r="H8" s="73">
        <f>H7</f>
        <v>10000000</v>
      </c>
      <c r="I8" s="125">
        <v>0</v>
      </c>
      <c r="J8" s="21"/>
      <c r="K8" s="15"/>
      <c r="L8" s="129">
        <f>L7</f>
        <v>35000000</v>
      </c>
      <c r="M8" s="128">
        <v>0</v>
      </c>
      <c r="N8" s="22"/>
      <c r="O8" s="21"/>
      <c r="P8" s="13"/>
      <c r="Q8" s="54">
        <f>Q7</f>
        <v>524449000</v>
      </c>
    </row>
    <row r="9" spans="2:20" x14ac:dyDescent="0.2">
      <c r="C9" s="15"/>
      <c r="D9" s="73">
        <f>D7+D8</f>
        <v>270900000</v>
      </c>
      <c r="E9" s="109"/>
      <c r="G9" s="15"/>
      <c r="H9" s="121" t="s">
        <v>89</v>
      </c>
      <c r="I9" s="115">
        <f>H8-I8</f>
        <v>10000000</v>
      </c>
      <c r="J9" s="21"/>
      <c r="L9" s="114" t="s">
        <v>89</v>
      </c>
      <c r="M9" s="112">
        <f>L8-M8</f>
        <v>35000000</v>
      </c>
      <c r="N9" s="22"/>
      <c r="O9" s="21"/>
      <c r="P9" s="114" t="s">
        <v>89</v>
      </c>
      <c r="Q9" s="146">
        <f>Q8-P8</f>
        <v>524449000</v>
      </c>
    </row>
    <row r="10" spans="2:20" x14ac:dyDescent="0.2">
      <c r="C10" s="15"/>
      <c r="D10" s="119" t="s">
        <v>89</v>
      </c>
      <c r="E10" s="120">
        <f>D9-E9</f>
        <v>270900000</v>
      </c>
      <c r="G10" s="15"/>
      <c r="H10" s="103"/>
      <c r="I10" s="97"/>
      <c r="J10" s="21"/>
      <c r="K10" s="21"/>
      <c r="L10" s="52"/>
      <c r="M10" s="97"/>
      <c r="N10" s="3"/>
      <c r="P10" s="52"/>
      <c r="Q10" s="97"/>
    </row>
    <row r="11" spans="2:20" x14ac:dyDescent="0.2">
      <c r="C11" s="15"/>
      <c r="D11" s="64"/>
      <c r="E11" s="24"/>
      <c r="F11" s="12"/>
      <c r="G11" s="15"/>
      <c r="H11" s="74"/>
      <c r="I11" s="75"/>
      <c r="J11" s="21"/>
      <c r="K11" s="23"/>
      <c r="L11" s="52"/>
      <c r="M11" s="53"/>
      <c r="N11" s="3"/>
    </row>
    <row r="12" spans="2:20" x14ac:dyDescent="0.2">
      <c r="C12" s="15"/>
      <c r="D12" s="159" t="s">
        <v>29</v>
      </c>
      <c r="E12" s="159"/>
      <c r="F12" s="14"/>
      <c r="G12" s="15"/>
      <c r="H12" s="158" t="s">
        <v>31</v>
      </c>
      <c r="I12" s="158"/>
      <c r="J12" s="23"/>
      <c r="K12" s="21"/>
      <c r="L12" s="158" t="s">
        <v>80</v>
      </c>
      <c r="M12" s="158"/>
      <c r="N12" s="3"/>
      <c r="P12" s="157" t="s">
        <v>25</v>
      </c>
      <c r="Q12" s="157"/>
    </row>
    <row r="13" spans="2:20" x14ac:dyDescent="0.2">
      <c r="C13" s="15"/>
      <c r="D13" s="117">
        <v>12500000</v>
      </c>
      <c r="E13" s="24"/>
      <c r="G13" s="15"/>
      <c r="H13" s="73">
        <v>35000000</v>
      </c>
      <c r="I13" s="76"/>
      <c r="J13" s="21"/>
      <c r="K13" s="15"/>
      <c r="L13" s="73"/>
      <c r="M13" s="24"/>
      <c r="N13" s="3"/>
      <c r="P13" s="13"/>
      <c r="Q13" s="54">
        <v>2000000</v>
      </c>
      <c r="R13" s="14"/>
    </row>
    <row r="14" spans="2:20" x14ac:dyDescent="0.2">
      <c r="D14" s="73">
        <f>D13</f>
        <v>12500000</v>
      </c>
      <c r="E14" s="127">
        <v>0</v>
      </c>
      <c r="G14" s="15"/>
      <c r="H14" s="73">
        <f>H13</f>
        <v>35000000</v>
      </c>
      <c r="I14" s="125">
        <v>0</v>
      </c>
      <c r="J14" s="21"/>
      <c r="K14" s="21"/>
      <c r="L14" s="22"/>
      <c r="M14" s="21"/>
      <c r="N14" s="3"/>
      <c r="P14" s="13"/>
      <c r="Q14" s="54">
        <f>Q13</f>
        <v>2000000</v>
      </c>
    </row>
    <row r="15" spans="2:20" ht="15" x14ac:dyDescent="0.25">
      <c r="C15" s="15"/>
      <c r="D15" s="121" t="s">
        <v>89</v>
      </c>
      <c r="E15" s="115">
        <f>D14-E14</f>
        <v>12500000</v>
      </c>
      <c r="G15" s="15"/>
      <c r="H15" s="121" t="s">
        <v>89</v>
      </c>
      <c r="I15" s="112">
        <f>H14-I14</f>
        <v>35000000</v>
      </c>
      <c r="J15" s="21"/>
      <c r="K15" s="21"/>
      <c r="L15" s="95"/>
      <c r="M15" s="51"/>
      <c r="N15" s="3"/>
      <c r="P15" s="114" t="s">
        <v>89</v>
      </c>
      <c r="Q15" s="112">
        <f>Q14-P14</f>
        <v>2000000</v>
      </c>
      <c r="T15" s="4"/>
    </row>
    <row r="16" spans="2:20" ht="15" x14ac:dyDescent="0.25">
      <c r="C16" s="15"/>
      <c r="D16" s="103"/>
      <c r="E16" s="52"/>
      <c r="F16" s="12"/>
      <c r="G16" s="15"/>
      <c r="H16" s="103"/>
      <c r="I16" s="96"/>
      <c r="J16" s="21"/>
      <c r="K16" s="23"/>
      <c r="L16" s="52"/>
      <c r="M16" s="97"/>
      <c r="N16" s="3"/>
      <c r="P16" s="52"/>
      <c r="Q16" s="96"/>
      <c r="T16" s="4"/>
    </row>
    <row r="17" spans="3:20" ht="15" x14ac:dyDescent="0.25">
      <c r="C17" s="15"/>
      <c r="D17" s="64"/>
      <c r="E17" s="24"/>
      <c r="F17" s="12"/>
      <c r="G17" s="15"/>
      <c r="H17" s="74"/>
      <c r="I17" s="75"/>
      <c r="J17" s="21"/>
      <c r="K17" s="21"/>
      <c r="L17" s="23"/>
      <c r="M17" s="23"/>
      <c r="N17" s="3"/>
      <c r="T17" s="4"/>
    </row>
    <row r="18" spans="3:20" ht="15" x14ac:dyDescent="0.25">
      <c r="C18" s="15"/>
      <c r="D18" s="64"/>
      <c r="E18" s="24"/>
      <c r="G18" s="15"/>
      <c r="H18" s="74"/>
      <c r="I18" s="75"/>
      <c r="J18" s="21"/>
      <c r="K18" s="21"/>
      <c r="L18" s="21"/>
      <c r="M18" s="21"/>
      <c r="N18" s="3"/>
      <c r="T18" s="4"/>
    </row>
    <row r="19" spans="3:20" ht="15" x14ac:dyDescent="0.25">
      <c r="C19" s="15"/>
      <c r="D19" s="159" t="s">
        <v>30</v>
      </c>
      <c r="E19" s="159"/>
      <c r="G19" s="15"/>
      <c r="H19" s="158" t="s">
        <v>75</v>
      </c>
      <c r="I19" s="158"/>
      <c r="J19" s="21"/>
      <c r="K19" s="23"/>
      <c r="L19" s="21"/>
      <c r="M19" s="21"/>
      <c r="N19" s="3"/>
      <c r="T19" s="4"/>
    </row>
    <row r="20" spans="3:20" ht="15" x14ac:dyDescent="0.25">
      <c r="C20" s="15"/>
      <c r="D20" s="117">
        <v>5500000</v>
      </c>
      <c r="E20" s="24"/>
      <c r="G20" s="15"/>
      <c r="H20" s="73">
        <v>3000000</v>
      </c>
      <c r="I20" s="75"/>
      <c r="J20" s="21"/>
      <c r="K20" s="21"/>
      <c r="L20" s="23"/>
      <c r="M20" s="23"/>
      <c r="N20" s="3"/>
      <c r="T20" s="4"/>
    </row>
    <row r="21" spans="3:20" ht="15" x14ac:dyDescent="0.25">
      <c r="C21" s="15"/>
      <c r="D21" s="130">
        <f>D20</f>
        <v>5500000</v>
      </c>
      <c r="E21" s="131">
        <v>0</v>
      </c>
      <c r="G21" s="15"/>
      <c r="H21" s="55">
        <f>H20</f>
        <v>3000000</v>
      </c>
      <c r="I21" s="104">
        <v>0</v>
      </c>
      <c r="J21" s="21"/>
      <c r="K21" s="23"/>
      <c r="L21" s="21"/>
      <c r="M21" s="21"/>
      <c r="N21" s="3"/>
      <c r="T21" s="4"/>
    </row>
    <row r="22" spans="3:20" ht="15" x14ac:dyDescent="0.25">
      <c r="C22" s="15"/>
      <c r="D22" s="123" t="s">
        <v>89</v>
      </c>
      <c r="E22" s="124">
        <f>D21-E21</f>
        <v>5500000</v>
      </c>
      <c r="F22" s="12"/>
      <c r="G22" s="15"/>
      <c r="H22" s="119" t="s">
        <v>89</v>
      </c>
      <c r="I22" s="126">
        <f>H21-I21</f>
        <v>3000000</v>
      </c>
      <c r="J22" s="23"/>
      <c r="K22" s="21"/>
      <c r="L22" s="23"/>
      <c r="M22" s="23"/>
      <c r="N22" s="3"/>
      <c r="T22" s="4"/>
    </row>
    <row r="23" spans="3:20" ht="15" x14ac:dyDescent="0.25">
      <c r="C23" s="15"/>
      <c r="F23" s="12"/>
      <c r="G23" s="15"/>
      <c r="H23" s="74"/>
      <c r="I23" s="75"/>
      <c r="J23" s="21"/>
      <c r="K23" s="21"/>
      <c r="L23" s="21"/>
      <c r="M23" s="21"/>
      <c r="N23" s="3"/>
      <c r="T23" s="4"/>
    </row>
    <row r="24" spans="3:20" ht="15" x14ac:dyDescent="0.25">
      <c r="C24" s="15"/>
      <c r="D24" s="64"/>
      <c r="E24" s="24"/>
      <c r="G24" s="15"/>
      <c r="H24" s="74"/>
      <c r="I24" s="75"/>
      <c r="J24" s="21"/>
      <c r="K24" s="21"/>
      <c r="L24" s="21"/>
      <c r="M24" s="21"/>
      <c r="N24" s="3"/>
      <c r="T24" s="4"/>
    </row>
    <row r="25" spans="3:20" ht="15" x14ac:dyDescent="0.25">
      <c r="C25" s="15"/>
      <c r="D25" s="159" t="s">
        <v>37</v>
      </c>
      <c r="E25" s="159"/>
      <c r="G25" s="15"/>
      <c r="H25" s="158" t="s">
        <v>35</v>
      </c>
      <c r="I25" s="158"/>
      <c r="J25" s="23"/>
      <c r="K25" s="21"/>
      <c r="L25" s="21"/>
      <c r="M25" s="21"/>
      <c r="N25" s="3"/>
      <c r="T25" s="4"/>
    </row>
    <row r="26" spans="3:20" ht="15" x14ac:dyDescent="0.25">
      <c r="C26" s="15"/>
      <c r="D26" s="73">
        <v>5600000</v>
      </c>
      <c r="E26" s="24"/>
      <c r="F26" s="12"/>
      <c r="G26" s="15"/>
      <c r="H26" s="117">
        <v>5000000</v>
      </c>
      <c r="I26" s="75"/>
      <c r="J26" s="21"/>
      <c r="K26" s="21"/>
      <c r="L26" s="21"/>
      <c r="M26" s="21"/>
      <c r="T26" s="4"/>
    </row>
    <row r="27" spans="3:20" ht="15" x14ac:dyDescent="0.25">
      <c r="C27" s="15"/>
      <c r="D27" s="55">
        <f>D26</f>
        <v>5600000</v>
      </c>
      <c r="E27" s="109">
        <v>0</v>
      </c>
      <c r="G27" s="15"/>
      <c r="H27" s="122">
        <v>15000000</v>
      </c>
      <c r="I27" s="51"/>
      <c r="J27" s="21"/>
      <c r="K27" s="21"/>
      <c r="L27" s="21"/>
      <c r="M27" s="21"/>
      <c r="T27" s="4"/>
    </row>
    <row r="28" spans="3:20" x14ac:dyDescent="0.2">
      <c r="C28" s="15"/>
      <c r="D28" s="119" t="s">
        <v>89</v>
      </c>
      <c r="E28" s="105">
        <f>D27-E27</f>
        <v>5600000</v>
      </c>
      <c r="H28" s="55">
        <f>H27+H26</f>
        <v>20000000</v>
      </c>
      <c r="I28" s="127">
        <v>0</v>
      </c>
      <c r="J28" s="21"/>
      <c r="K28" s="21"/>
      <c r="L28" s="21"/>
      <c r="M28" s="21"/>
    </row>
    <row r="29" spans="3:20" x14ac:dyDescent="0.2">
      <c r="C29" s="15"/>
      <c r="D29" s="64"/>
      <c r="E29" s="24"/>
      <c r="F29" s="12"/>
      <c r="G29" s="15"/>
      <c r="H29" s="119" t="s">
        <v>89</v>
      </c>
      <c r="I29" s="126">
        <f>H28-I28</f>
        <v>20000000</v>
      </c>
      <c r="J29" s="21"/>
      <c r="L29" s="21"/>
      <c r="M29" s="21"/>
    </row>
    <row r="30" spans="3:20" x14ac:dyDescent="0.2">
      <c r="C30" s="15"/>
      <c r="D30" s="64"/>
      <c r="E30" s="24"/>
      <c r="G30" s="15"/>
      <c r="H30" s="74"/>
      <c r="I30" s="75"/>
      <c r="J30" s="21"/>
      <c r="K30" s="12"/>
    </row>
    <row r="31" spans="3:20" x14ac:dyDescent="0.2">
      <c r="G31" s="15"/>
      <c r="H31" s="74"/>
      <c r="I31" s="75"/>
      <c r="J31" s="21"/>
      <c r="L31" s="12"/>
      <c r="M31" s="12"/>
    </row>
    <row r="32" spans="3:20" x14ac:dyDescent="0.2">
      <c r="F32" s="12"/>
      <c r="G32" s="15"/>
      <c r="H32" s="74"/>
      <c r="I32" s="75"/>
      <c r="J32" s="21"/>
    </row>
    <row r="33" spans="4:13" x14ac:dyDescent="0.2">
      <c r="G33" s="15"/>
      <c r="H33" s="74"/>
      <c r="K33" s="12"/>
    </row>
    <row r="34" spans="4:13" x14ac:dyDescent="0.2">
      <c r="G34" s="15"/>
      <c r="J34" s="12"/>
      <c r="L34" s="12"/>
      <c r="M34" s="12"/>
    </row>
    <row r="35" spans="4:13" x14ac:dyDescent="0.2">
      <c r="D35" s="64"/>
      <c r="E35" s="24"/>
      <c r="F35" s="12"/>
    </row>
    <row r="36" spans="4:13" x14ac:dyDescent="0.2">
      <c r="D36" s="64"/>
      <c r="E36" s="24"/>
    </row>
    <row r="37" spans="4:13" x14ac:dyDescent="0.2">
      <c r="J37" s="12"/>
    </row>
    <row r="38" spans="4:13" x14ac:dyDescent="0.2">
      <c r="G38" s="12"/>
    </row>
  </sheetData>
  <mergeCells count="13">
    <mergeCell ref="C3:R3"/>
    <mergeCell ref="D6:E6"/>
    <mergeCell ref="H6:I6"/>
    <mergeCell ref="H25:I25"/>
    <mergeCell ref="D25:E25"/>
    <mergeCell ref="D12:E12"/>
    <mergeCell ref="H12:I12"/>
    <mergeCell ref="H19:I19"/>
    <mergeCell ref="P6:Q6"/>
    <mergeCell ref="P12:Q12"/>
    <mergeCell ref="L6:M6"/>
    <mergeCell ref="L12:M12"/>
    <mergeCell ref="D19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Case Study --&gt;</vt:lpstr>
      <vt:lpstr>Transactions</vt:lpstr>
      <vt:lpstr>Historical Data --&gt;</vt:lpstr>
      <vt:lpstr>Historical BS</vt:lpstr>
      <vt:lpstr>Historical P&amp;L</vt:lpstr>
      <vt:lpstr>2015 Data --&gt;</vt:lpstr>
      <vt:lpstr>Debits &amp; Credits</vt:lpstr>
      <vt:lpstr>T-accounts BS</vt:lpstr>
      <vt:lpstr>T-accounts P&amp;L</vt:lpstr>
      <vt:lpstr>Output --&gt;</vt:lpstr>
      <vt:lpstr>P&amp;L 2015</vt:lpstr>
      <vt:lpstr>BS 2015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</dc:creator>
  <cp:keywords/>
  <dc:description/>
  <cp:lastModifiedBy>user</cp:lastModifiedBy>
  <cp:revision/>
  <dcterms:created xsi:type="dcterms:W3CDTF">2015-12-26T17:11:50Z</dcterms:created>
  <dcterms:modified xsi:type="dcterms:W3CDTF">2025-05-31T01:56:37Z</dcterms:modified>
  <cp:category/>
  <cp:contentStatus/>
</cp:coreProperties>
</file>