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E I" sheetId="1" r:id="rId4"/>
  </sheets>
  <definedNames/>
  <calcPr/>
</workbook>
</file>

<file path=xl/sharedStrings.xml><?xml version="1.0" encoding="utf-8"?>
<sst xmlns="http://schemas.openxmlformats.org/spreadsheetml/2006/main" count="182" uniqueCount="116">
  <si>
    <t>Cálculos sobre el modelo Original</t>
  </si>
  <si>
    <t>Conmutación Paquetes</t>
  </si>
  <si>
    <t>Fuentes</t>
  </si>
  <si>
    <t>Envía Tráfico</t>
  </si>
  <si>
    <t>Modelo</t>
  </si>
  <si>
    <t>Sesiones/hora</t>
  </si>
  <si>
    <t>Msgs/sesión</t>
  </si>
  <si>
    <t>Lm (octetos)</t>
  </si>
  <si>
    <t>Lamdba (msg/s)</t>
  </si>
  <si>
    <t>1/lambda</t>
  </si>
  <si>
    <t>F-PC-A</t>
  </si>
  <si>
    <t>100%--&gt;FR-BD-A</t>
  </si>
  <si>
    <t>M/M/1</t>
  </si>
  <si>
    <t>F-PC-C</t>
  </si>
  <si>
    <t>20% --&gt; A
20% --&gt; C
60% --&gt; DB</t>
  </si>
  <si>
    <t xml:space="preserve">M/M/1 </t>
  </si>
  <si>
    <t>FR-PC-A</t>
  </si>
  <si>
    <t>100% --&gt; A</t>
  </si>
  <si>
    <t>M/D/1</t>
  </si>
  <si>
    <t>FR-PC-C</t>
  </si>
  <si>
    <t>100% --&gt; F-PC-C</t>
  </si>
  <si>
    <t>CALCULOS</t>
  </si>
  <si>
    <t>DATOS COMNET</t>
  </si>
  <si>
    <t>Enlaces</t>
  </si>
  <si>
    <t>Rb (bps)</t>
  </si>
  <si>
    <t>Longitud (Km.)</t>
  </si>
  <si>
    <t>Tp (seg)</t>
  </si>
  <si>
    <t>Lambda (msg/s)</t>
  </si>
  <si>
    <t>1/mu (seg.)</t>
  </si>
  <si>
    <t>Rho</t>
  </si>
  <si>
    <t>E(T) (seg)</t>
  </si>
  <si>
    <t>Rtotal (seg)</t>
  </si>
  <si>
    <t>Simulacion. P95_10*600s</t>
  </si>
  <si>
    <t>Ocupacion</t>
  </si>
  <si>
    <t>delta/y (%)</t>
  </si>
  <si>
    <t>a-b</t>
  </si>
  <si>
    <t>a--&gt;b</t>
  </si>
  <si>
    <t>a-b Channel Utilization from A</t>
  </si>
  <si>
    <t>a&lt;--b</t>
  </si>
  <si>
    <t>a-b Channel Utilization from B</t>
  </si>
  <si>
    <t>b-bd</t>
  </si>
  <si>
    <t>b-&gt;bd</t>
  </si>
  <si>
    <t>b-bd Channel Utilization from B</t>
  </si>
  <si>
    <t>b&lt;-bd</t>
  </si>
  <si>
    <t>b-bd Channel Utilization from BD</t>
  </si>
  <si>
    <t>a-c</t>
  </si>
  <si>
    <t>a--&gt;c</t>
  </si>
  <si>
    <t>a-c Channel Utilization from A</t>
  </si>
  <si>
    <t>a&lt;--c</t>
  </si>
  <si>
    <t>a-c Channel Utilization from C</t>
  </si>
  <si>
    <t>c-b</t>
  </si>
  <si>
    <t>c--&gt;b</t>
  </si>
  <si>
    <t>b-c Channel Utilization from C</t>
  </si>
  <si>
    <t>b--&gt;c</t>
  </si>
  <si>
    <t>b-c Channel Utilization from B</t>
  </si>
  <si>
    <t>c-bd</t>
  </si>
  <si>
    <t>c--&gt;bd</t>
  </si>
  <si>
    <t>c-bd Channel Utilization from C</t>
  </si>
  <si>
    <t>c&lt;--bd</t>
  </si>
  <si>
    <t>c-bd Channel Utilization from bd</t>
  </si>
  <si>
    <t>adsl-c</t>
  </si>
  <si>
    <t>C--&gt;PC-C</t>
  </si>
  <si>
    <t>adsl-c Channel Utilization from C</t>
  </si>
  <si>
    <t>C&lt;--PC-C</t>
  </si>
  <si>
    <t>adsl-c Channel Utilization from PC-C</t>
  </si>
  <si>
    <t>Retardos extremo a extremo (seg)</t>
  </si>
  <si>
    <t>Retardo (s)</t>
  </si>
  <si>
    <r>
      <t>F-PC-A</t>
    </r>
    <r>
      <rPr>
        <rFont val="Arial"/>
        <sz val="8.0"/>
      </rPr>
      <t xml:space="preserve">--&gt; </t>
    </r>
    <r>
      <rPr>
        <rFont val="Arial"/>
        <color rgb="FF7F7F7F"/>
        <sz val="8.0"/>
      </rPr>
      <t>A&gt;B&gt;BD</t>
    </r>
    <r>
      <rPr>
        <rFont val="Arial"/>
        <sz val="8.0"/>
      </rPr>
      <t xml:space="preserve"> --&gt;</t>
    </r>
    <r>
      <rPr>
        <rFont val="Arial"/>
        <b/>
        <sz val="8.0"/>
      </rPr>
      <t>FR-BD-A</t>
    </r>
  </si>
  <si>
    <t>Message Delay from A (F-PC-A) to BD</t>
  </si>
  <si>
    <r>
      <t>FR-BD-A</t>
    </r>
    <r>
      <rPr>
        <rFont val="Arial"/>
        <sz val="8.0"/>
      </rPr>
      <t xml:space="preserve">--&gt; </t>
    </r>
    <r>
      <rPr>
        <rFont val="Arial"/>
        <color rgb="FF808080"/>
        <sz val="8.0"/>
      </rPr>
      <t xml:space="preserve">BD&gt;B&gt;A </t>
    </r>
    <r>
      <rPr>
        <rFont val="Arial"/>
        <sz val="8.0"/>
      </rPr>
      <t>--&gt;</t>
    </r>
    <r>
      <rPr>
        <rFont val="Arial"/>
        <b/>
        <sz val="8.0"/>
      </rPr>
      <t>F-PC-A</t>
    </r>
  </si>
  <si>
    <t>Message Delay from BD (FR-DB-A) to A</t>
  </si>
  <si>
    <r>
      <t xml:space="preserve">F-PC-C--&gt; </t>
    </r>
    <r>
      <rPr>
        <rFont val="Arial"/>
        <b/>
        <color rgb="FF808080"/>
        <sz val="8.0"/>
      </rPr>
      <t>PC-C&gt;</t>
    </r>
    <r>
      <rPr>
        <rFont val="Arial"/>
        <color rgb="FF808080"/>
        <sz val="8.0"/>
      </rPr>
      <t xml:space="preserve">C&gt;A </t>
    </r>
    <r>
      <rPr>
        <rFont val="Arial"/>
        <b/>
        <sz val="8.0"/>
      </rPr>
      <t>--&gt;F-PC-A</t>
    </r>
  </si>
  <si>
    <t>Message Delay from PC-C (F-PC-C) to A</t>
  </si>
  <si>
    <r>
      <t xml:space="preserve">F-PC-C--&gt; </t>
    </r>
    <r>
      <rPr>
        <rFont val="Arial"/>
        <b/>
        <color rgb="FF808080"/>
        <sz val="8.0"/>
      </rPr>
      <t xml:space="preserve">PC-C&gt;C&gt;B&gt;BD </t>
    </r>
    <r>
      <rPr>
        <rFont val="Arial"/>
        <b/>
        <sz val="8.0"/>
      </rPr>
      <t>&gt;FR-BD-C</t>
    </r>
  </si>
  <si>
    <t>Message Delay from PC-C (F-PC-C) to DB</t>
  </si>
  <si>
    <r>
      <t xml:space="preserve">FR-BD-C--&gt;  </t>
    </r>
    <r>
      <rPr>
        <rFont val="Arial"/>
        <b/>
        <color rgb="FF808080"/>
        <sz val="8.0"/>
      </rPr>
      <t xml:space="preserve">BD&gt;C&gt;PC_C </t>
    </r>
    <r>
      <rPr>
        <rFont val="Arial"/>
        <b/>
        <sz val="8.0"/>
      </rPr>
      <t>--&gt;PC-C</t>
    </r>
  </si>
  <si>
    <t>Message Delay from BD (FR-DB-C) to C</t>
  </si>
  <si>
    <t>Conmutación Circuitos</t>
  </si>
  <si>
    <t>Llamadas/hora</t>
  </si>
  <si>
    <t>Duración/
llamada
(min) (1/mu)</t>
  </si>
  <si>
    <t>lamdba (ll/min)</t>
  </si>
  <si>
    <t>A</t>
  </si>
  <si>
    <t>Simulacion
1 repetición. T.simulacion= 6000 (s)</t>
  </si>
  <si>
    <t>Pb</t>
  </si>
  <si>
    <t>F-TF-A</t>
  </si>
  <si>
    <t>50%--&gt;B
50%--&gt; TF-C</t>
  </si>
  <si>
    <t>TF-C --&gt; A (758 Attempts)</t>
  </si>
  <si>
    <t>F-TF-B</t>
  </si>
  <si>
    <t>50%--&gt;A
50% --&gt;TF-C</t>
  </si>
  <si>
    <t>TF-C --&gt; B (496 Attempts)</t>
  </si>
  <si>
    <t>F-TF-C</t>
  </si>
  <si>
    <t>60%--&gt; A
40%--&gt;B</t>
  </si>
  <si>
    <t>A --&gt; TF-C (4026 Attempts)</t>
  </si>
  <si>
    <t>A --&gt; B (3898 Attempts)</t>
  </si>
  <si>
    <t>Capacidad (kbps)</t>
  </si>
  <si>
    <t>Nro circuitos</t>
  </si>
  <si>
    <t>Carga (Erlang)</t>
  </si>
  <si>
    <t>Pb(%)</t>
  </si>
  <si>
    <t>B --&gt; TF-C (2017 Attempts)</t>
  </si>
  <si>
    <t>B --&gt; A (2059 Attempts)</t>
  </si>
  <si>
    <t>b-c</t>
  </si>
  <si>
    <t>pri-c (30B)</t>
  </si>
  <si>
    <t>Pb ext-ext(%)</t>
  </si>
  <si>
    <t>Pb A-B</t>
  </si>
  <si>
    <t>Pb A-TFC</t>
  </si>
  <si>
    <t>Pb B-TFC</t>
  </si>
  <si>
    <t>Cálculos con modificaciones en aras de una mejor calidad de servicio (QoS)</t>
  </si>
  <si>
    <t>Datos contrastados con COMNET III</t>
  </si>
  <si>
    <t>3 canales a 64 kbps</t>
  </si>
  <si>
    <t>Modelo M/M/3</t>
  </si>
  <si>
    <t>E2(3, 1) =</t>
  </si>
  <si>
    <r>
      <t>F-PC-A</t>
    </r>
    <r>
      <rPr>
        <rFont val="Arial"/>
        <sz val="8.0"/>
      </rPr>
      <t xml:space="preserve">--&gt; </t>
    </r>
    <r>
      <rPr>
        <rFont val="Arial"/>
        <color rgb="FF7F7F7F"/>
        <sz val="8.0"/>
      </rPr>
      <t>A&gt;B&gt;BD</t>
    </r>
    <r>
      <rPr>
        <rFont val="Arial"/>
        <sz val="8.0"/>
      </rPr>
      <t xml:space="preserve"> --&gt;</t>
    </r>
    <r>
      <rPr>
        <rFont val="Arial"/>
        <b/>
        <sz val="8.0"/>
      </rPr>
      <t>FR-BD-A</t>
    </r>
  </si>
  <si>
    <r>
      <t>FR-BD-A</t>
    </r>
    <r>
      <rPr>
        <rFont val="Arial"/>
        <sz val="8.0"/>
      </rPr>
      <t xml:space="preserve">--&gt; </t>
    </r>
    <r>
      <rPr>
        <rFont val="Arial"/>
        <color rgb="FF808080"/>
        <sz val="8.0"/>
      </rPr>
      <t xml:space="preserve">BD&gt;B&gt;A </t>
    </r>
    <r>
      <rPr>
        <rFont val="Arial"/>
        <sz val="8.0"/>
      </rPr>
      <t>--&gt;</t>
    </r>
    <r>
      <rPr>
        <rFont val="Arial"/>
        <b/>
        <sz val="8.0"/>
      </rPr>
      <t>F-PC-A</t>
    </r>
  </si>
  <si>
    <r>
      <t xml:space="preserve">F-PC-C--&gt; </t>
    </r>
    <r>
      <rPr>
        <rFont val="Arial"/>
        <b/>
        <color rgb="FF808080"/>
        <sz val="8.0"/>
      </rPr>
      <t>PC-C&gt;</t>
    </r>
    <r>
      <rPr>
        <rFont val="Arial"/>
        <color rgb="FF808080"/>
        <sz val="8.0"/>
      </rPr>
      <t xml:space="preserve">C&gt;A </t>
    </r>
    <r>
      <rPr>
        <rFont val="Arial"/>
        <b/>
        <sz val="8.0"/>
      </rPr>
      <t>--&gt;F-PC-A</t>
    </r>
  </si>
  <si>
    <r>
      <t xml:space="preserve">F-PC-C--&gt; </t>
    </r>
    <r>
      <rPr>
        <rFont val="Arial"/>
        <b/>
        <color rgb="FF808080"/>
        <sz val="8.0"/>
      </rPr>
      <t xml:space="preserve">PC-C&gt;C&gt;B&gt;BD </t>
    </r>
    <r>
      <rPr>
        <rFont val="Arial"/>
        <b/>
        <sz val="8.0"/>
      </rPr>
      <t>&gt;FR-BD-C</t>
    </r>
  </si>
  <si>
    <r>
      <t xml:space="preserve">FR-BD-C--&gt;  </t>
    </r>
    <r>
      <rPr>
        <rFont val="Arial"/>
        <b/>
        <color rgb="FF808080"/>
        <sz val="8.0"/>
      </rPr>
      <t xml:space="preserve">BD&gt;C&gt;PC_C </t>
    </r>
    <r>
      <rPr>
        <rFont val="Arial"/>
        <b/>
        <sz val="8.0"/>
      </rPr>
      <t>--&gt;PC-C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</si>
</sst>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00000"/>
    <numFmt numFmtId="166" formatCode="#,##0.0000"/>
    <numFmt numFmtId="167" formatCode="0.0000%"/>
    <numFmt numFmtId="168" formatCode="#,##0.000000"/>
  </numFmts>
  <fonts count="29">
    <font>
      <sz val="10.0"/>
      <color rgb="FF000000"/>
      <name val="Arial"/>
    </font>
    <font>
      <b/>
      <sz val="24.0"/>
      <color theme="1"/>
      <name val="Courier New"/>
    </font>
    <font>
      <b/>
      <u/>
      <sz val="10.0"/>
      <color theme="1"/>
      <name val="Arial"/>
    </font>
    <font/>
    <font>
      <i/>
      <sz val="10.0"/>
      <name val="Arial"/>
    </font>
    <font>
      <b/>
      <sz val="8.0"/>
      <name val="Arial"/>
    </font>
    <font>
      <b/>
      <sz val="8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sz val="10.0"/>
      <color theme="1"/>
      <name val="Arial"/>
    </font>
    <font>
      <b/>
      <sz val="10.0"/>
      <name val="Arial"/>
    </font>
    <font>
      <sz val="8.0"/>
      <name val="Arial"/>
    </font>
    <font>
      <sz val="10.0"/>
      <name val="Arial"/>
    </font>
    <font>
      <i/>
      <sz val="10.0"/>
      <color theme="1"/>
      <name val="Arial"/>
    </font>
    <font>
      <color rgb="FFFFFFFF"/>
    </font>
    <font>
      <sz val="10.0"/>
      <color rgb="FFFFFFFF"/>
      <name val="Arial"/>
    </font>
    <font>
      <b/>
      <sz val="10.0"/>
      <color rgb="FFFFFFFF"/>
      <name val="Arial"/>
    </font>
    <font>
      <sz val="10.0"/>
      <color rgb="FFFF0000"/>
      <name val="Arial"/>
    </font>
    <font>
      <b/>
      <sz val="10.0"/>
      <color rgb="FFFF0000"/>
      <name val="Arial"/>
    </font>
    <font>
      <sz val="11.0"/>
      <color rgb="FFFFFFFF"/>
      <name val="Calibri"/>
    </font>
    <font>
      <sz val="11.0"/>
      <color rgb="FF000000"/>
      <name val="Calibri"/>
    </font>
    <font>
      <b/>
      <sz val="10.0"/>
      <color rgb="FF000000"/>
      <name val="Arial"/>
    </font>
    <font>
      <sz val="11.0"/>
      <color rgb="FF000000"/>
    </font>
    <font>
      <color rgb="FFFF0000"/>
      <name val="Calibri"/>
    </font>
    <font>
      <color theme="1"/>
      <name val="Calibri"/>
    </font>
    <font>
      <color rgb="FF000000"/>
    </font>
    <font>
      <b/>
      <u/>
      <sz val="10.0"/>
      <color theme="1"/>
      <name val="Arial"/>
    </font>
    <font>
      <sz val="10.0"/>
      <color theme="6"/>
      <name val="Arial"/>
    </font>
    <font>
      <color theme="6"/>
    </font>
  </fonts>
  <fills count="9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938953"/>
        <bgColor rgb="FF938953"/>
      </patternFill>
    </fill>
    <fill>
      <patternFill patternType="solid">
        <fgColor rgb="FFDDD9C3"/>
        <bgColor rgb="FFDDD9C3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Border="1" applyFill="1" applyFont="1"/>
    <xf borderId="2" fillId="0" fontId="3" numFmtId="0" xfId="0" applyBorder="1" applyFont="1"/>
    <xf borderId="3" fillId="3" fontId="4" numFmtId="0" xfId="0" applyAlignment="1" applyBorder="1" applyFill="1" applyFont="1">
      <alignment horizontal="center"/>
    </xf>
    <xf borderId="3" fillId="3" fontId="5" numFmtId="0" xfId="0" applyAlignment="1" applyBorder="1" applyFont="1">
      <alignment horizontal="center"/>
    </xf>
    <xf borderId="3" fillId="3" fontId="6" numFmtId="0" xfId="0" applyAlignment="1" applyBorder="1" applyFont="1">
      <alignment horizontal="center"/>
    </xf>
    <xf borderId="3" fillId="0" fontId="7" numFmtId="0" xfId="0" applyAlignment="1" applyBorder="1" applyFont="1">
      <alignment horizontal="center" vertical="center"/>
    </xf>
    <xf borderId="3" fillId="0" fontId="8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vertical="center"/>
    </xf>
    <xf borderId="3" fillId="0" fontId="10" numFmtId="0" xfId="0" applyAlignment="1" applyBorder="1" applyFont="1">
      <alignment horizontal="center" vertical="center"/>
    </xf>
    <xf borderId="3" fillId="0" fontId="11" numFmtId="0" xfId="0" applyAlignment="1" applyBorder="1" applyFont="1">
      <alignment horizontal="center" readingOrder="0" shrinkToFit="0" vertical="center" wrapText="1"/>
    </xf>
    <xf borderId="3" fillId="0" fontId="12" numFmtId="0" xfId="0" applyAlignment="1" applyBorder="1" applyFont="1">
      <alignment horizontal="center" readingOrder="0" vertical="center"/>
    </xf>
    <xf borderId="3" fillId="0" fontId="9" numFmtId="0" xfId="0" applyAlignment="1" applyBorder="1" applyFont="1">
      <alignment horizontal="center" readingOrder="0" vertical="center"/>
    </xf>
    <xf borderId="0" fillId="0" fontId="10" numFmtId="0" xfId="0" applyFont="1"/>
    <xf borderId="0" fillId="0" fontId="7" numFmtId="0" xfId="0" applyFont="1"/>
    <xf borderId="3" fillId="4" fontId="13" numFmtId="0" xfId="0" applyAlignment="1" applyBorder="1" applyFill="1" applyFont="1">
      <alignment horizontal="center" vertical="center"/>
    </xf>
    <xf borderId="3" fillId="4" fontId="6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vertical="center"/>
    </xf>
    <xf borderId="3" fillId="4" fontId="6" numFmtId="0" xfId="0" applyAlignment="1" applyBorder="1" applyFont="1">
      <alignment horizontal="center" readingOrder="0" vertical="center"/>
    </xf>
    <xf borderId="4" fillId="4" fontId="6" numFmtId="0" xfId="0" applyAlignment="1" applyBorder="1" applyFont="1">
      <alignment horizontal="center"/>
    </xf>
    <xf borderId="5" fillId="0" fontId="10" numFmtId="0" xfId="0" applyAlignment="1" applyBorder="1" applyFont="1">
      <alignment vertical="center"/>
    </xf>
    <xf borderId="6" fillId="0" fontId="9" numFmtId="0" xfId="0" applyAlignment="1" applyBorder="1" applyFont="1">
      <alignment vertical="center"/>
    </xf>
    <xf borderId="6" fillId="0" fontId="9" numFmtId="164" xfId="0" applyAlignment="1" applyBorder="1" applyFont="1" applyNumberFormat="1">
      <alignment vertical="center"/>
    </xf>
    <xf borderId="7" fillId="0" fontId="7" numFmtId="164" xfId="0" applyAlignment="1" applyBorder="1" applyFont="1" applyNumberFormat="1">
      <alignment vertical="center"/>
    </xf>
    <xf borderId="5" fillId="0" fontId="12" numFmtId="0" xfId="0" applyBorder="1" applyFont="1"/>
    <xf borderId="6" fillId="0" fontId="9" numFmtId="0" xfId="0" applyBorder="1" applyFont="1"/>
    <xf borderId="7" fillId="0" fontId="9" numFmtId="0" xfId="0" applyBorder="1" applyFont="1"/>
    <xf borderId="8" fillId="0" fontId="12" numFmtId="0" xfId="0" applyAlignment="1" applyBorder="1" applyFont="1">
      <alignment horizontal="right" vertical="center"/>
    </xf>
    <xf borderId="0" fillId="0" fontId="12" numFmtId="0" xfId="0" applyAlignment="1" applyFont="1">
      <alignment vertical="center"/>
    </xf>
    <xf borderId="0" fillId="0" fontId="12" numFmtId="0" xfId="0" applyAlignment="1" applyFont="1">
      <alignment readingOrder="0" vertical="center"/>
    </xf>
    <xf borderId="0" fillId="0" fontId="9" numFmtId="0" xfId="0" applyAlignment="1" applyFont="1">
      <alignment vertical="center"/>
    </xf>
    <xf borderId="0" fillId="0" fontId="12" numFmtId="165" xfId="0" applyAlignment="1" applyFont="1" applyNumberFormat="1">
      <alignment readingOrder="0" vertical="center"/>
    </xf>
    <xf borderId="0" fillId="0" fontId="9" numFmtId="164" xfId="0" applyAlignment="1" applyFont="1" applyNumberFormat="1">
      <alignment vertical="center"/>
    </xf>
    <xf borderId="9" fillId="0" fontId="7" numFmtId="164" xfId="0" applyAlignment="1" applyBorder="1" applyFont="1" applyNumberFormat="1">
      <alignment vertical="center"/>
    </xf>
    <xf borderId="8" fillId="0" fontId="12" numFmtId="0" xfId="0" applyBorder="1" applyFont="1"/>
    <xf borderId="0" fillId="0" fontId="12" numFmtId="0" xfId="0" applyAlignment="1" applyFont="1">
      <alignment readingOrder="0"/>
    </xf>
    <xf borderId="9" fillId="0" fontId="9" numFmtId="10" xfId="0" applyBorder="1" applyFont="1" applyNumberFormat="1"/>
    <xf borderId="10" fillId="0" fontId="12" numFmtId="0" xfId="0" applyAlignment="1" applyBorder="1" applyFont="1">
      <alignment horizontal="right" vertical="center"/>
    </xf>
    <xf borderId="11" fillId="0" fontId="12" numFmtId="0" xfId="0" applyAlignment="1" applyBorder="1" applyFont="1">
      <alignment vertical="center"/>
    </xf>
    <xf borderId="11" fillId="0" fontId="12" numFmtId="0" xfId="0" applyAlignment="1" applyBorder="1" applyFont="1">
      <alignment readingOrder="0" vertical="center"/>
    </xf>
    <xf borderId="11" fillId="0" fontId="9" numFmtId="0" xfId="0" applyAlignment="1" applyBorder="1" applyFont="1">
      <alignment vertical="center"/>
    </xf>
    <xf borderId="11" fillId="0" fontId="12" numFmtId="165" xfId="0" applyAlignment="1" applyBorder="1" applyFont="1" applyNumberFormat="1">
      <alignment readingOrder="0" vertical="center"/>
    </xf>
    <xf borderId="11" fillId="0" fontId="9" numFmtId="164" xfId="0" applyAlignment="1" applyBorder="1" applyFont="1" applyNumberFormat="1">
      <alignment vertical="center"/>
    </xf>
    <xf borderId="12" fillId="0" fontId="7" numFmtId="164" xfId="0" applyAlignment="1" applyBorder="1" applyFont="1" applyNumberFormat="1">
      <alignment vertical="center"/>
    </xf>
    <xf borderId="0" fillId="0" fontId="9" numFmtId="0" xfId="0" applyFont="1"/>
    <xf borderId="0" fillId="0" fontId="3" numFmtId="0" xfId="0" applyAlignment="1" applyFont="1">
      <alignment readingOrder="0"/>
    </xf>
    <xf borderId="0" fillId="0" fontId="9" numFmtId="10" xfId="0" applyFont="1" applyNumberFormat="1"/>
    <xf borderId="6" fillId="0" fontId="12" numFmtId="0" xfId="0" applyAlignment="1" applyBorder="1" applyFont="1">
      <alignment vertical="center"/>
    </xf>
    <xf borderId="6" fillId="0" fontId="12" numFmtId="165" xfId="0" applyAlignment="1" applyBorder="1" applyFont="1" applyNumberFormat="1">
      <alignment vertical="center"/>
    </xf>
    <xf borderId="0" fillId="0" fontId="12" numFmtId="164" xfId="0" applyAlignment="1" applyFont="1" applyNumberFormat="1">
      <alignment vertical="center"/>
    </xf>
    <xf borderId="9" fillId="0" fontId="10" numFmtId="164" xfId="0" applyAlignment="1" applyBorder="1" applyFont="1" applyNumberFormat="1">
      <alignment vertical="center"/>
    </xf>
    <xf borderId="0" fillId="0" fontId="12" numFmtId="10" xfId="0" applyFont="1" applyNumberFormat="1"/>
    <xf borderId="9" fillId="0" fontId="12" numFmtId="10" xfId="0" applyBorder="1" applyFont="1" applyNumberFormat="1"/>
    <xf borderId="0" fillId="0" fontId="12" numFmtId="0" xfId="0" applyAlignment="1" applyFont="1">
      <alignment horizontal="center" readingOrder="0" vertical="center"/>
    </xf>
    <xf borderId="0" fillId="0" fontId="9" numFmtId="165" xfId="0" applyAlignment="1" applyFont="1" applyNumberFormat="1">
      <alignment vertical="center"/>
    </xf>
    <xf borderId="0" fillId="0" fontId="12" numFmtId="0" xfId="0" applyFont="1"/>
    <xf borderId="8" fillId="0" fontId="12" numFmtId="0" xfId="0" applyAlignment="1" applyBorder="1" applyFont="1">
      <alignment readingOrder="0"/>
    </xf>
    <xf borderId="11" fillId="0" fontId="12" numFmtId="0" xfId="0" applyAlignment="1" applyBorder="1" applyFont="1">
      <alignment horizontal="center" readingOrder="0" vertical="center"/>
    </xf>
    <xf borderId="11" fillId="0" fontId="9" numFmtId="165" xfId="0" applyAlignment="1" applyBorder="1" applyFont="1" applyNumberFormat="1">
      <alignment vertical="center"/>
    </xf>
    <xf borderId="8" fillId="0" fontId="10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12" numFmtId="165" xfId="0" applyAlignment="1" applyFont="1" applyNumberFormat="1">
      <alignment vertical="center"/>
    </xf>
    <xf borderId="0" fillId="0" fontId="14" numFmtId="0" xfId="0" applyAlignment="1" applyFont="1">
      <alignment readingOrder="0" vertical="center"/>
    </xf>
    <xf borderId="0" fillId="0" fontId="15" numFmtId="0" xfId="0" applyAlignment="1" applyFont="1">
      <alignment vertical="center"/>
    </xf>
    <xf borderId="0" fillId="0" fontId="15" numFmtId="165" xfId="0" applyAlignment="1" applyFont="1" applyNumberFormat="1">
      <alignment readingOrder="0" vertical="center"/>
    </xf>
    <xf borderId="0" fillId="0" fontId="15" numFmtId="164" xfId="0" applyAlignment="1" applyFont="1" applyNumberFormat="1">
      <alignment vertical="center"/>
    </xf>
    <xf borderId="9" fillId="0" fontId="16" numFmtId="164" xfId="0" applyAlignment="1" applyBorder="1" applyFont="1" applyNumberFormat="1">
      <alignment vertical="center"/>
    </xf>
    <xf borderId="0" fillId="0" fontId="12" numFmtId="10" xfId="0" applyAlignment="1" applyFont="1" applyNumberFormat="1">
      <alignment readingOrder="0"/>
    </xf>
    <xf borderId="9" fillId="0" fontId="12" numFmtId="10" xfId="0" applyAlignment="1" applyBorder="1" applyFont="1" applyNumberFormat="1">
      <alignment readingOrder="0"/>
    </xf>
    <xf borderId="0" fillId="0" fontId="3" numFmtId="0" xfId="0" applyAlignment="1" applyFont="1">
      <alignment readingOrder="0" vertical="center"/>
    </xf>
    <xf borderId="11" fillId="0" fontId="15" numFmtId="0" xfId="0" applyAlignment="1" applyBorder="1" applyFont="1">
      <alignment readingOrder="0" vertical="center"/>
    </xf>
    <xf borderId="11" fillId="0" fontId="15" numFmtId="0" xfId="0" applyAlignment="1" applyBorder="1" applyFont="1">
      <alignment vertical="center"/>
    </xf>
    <xf borderId="11" fillId="0" fontId="15" numFmtId="165" xfId="0" applyAlignment="1" applyBorder="1" applyFont="1" applyNumberFormat="1">
      <alignment readingOrder="0" vertical="center"/>
    </xf>
    <xf borderId="11" fillId="0" fontId="15" numFmtId="164" xfId="0" applyAlignment="1" applyBorder="1" applyFont="1" applyNumberFormat="1">
      <alignment vertical="center"/>
    </xf>
    <xf borderId="12" fillId="0" fontId="16" numFmtId="164" xfId="0" applyAlignment="1" applyBorder="1" applyFont="1" applyNumberFormat="1">
      <alignment vertical="center"/>
    </xf>
    <xf borderId="0" fillId="0" fontId="12" numFmtId="0" xfId="0" applyAlignment="1" applyFont="1">
      <alignment horizontal="center" vertical="center"/>
    </xf>
    <xf borderId="0" fillId="0" fontId="0" numFmtId="0" xfId="0" applyAlignment="1" applyFont="1">
      <alignment vertical="center"/>
    </xf>
    <xf borderId="0" fillId="0" fontId="17" numFmtId="164" xfId="0" applyAlignment="1" applyFont="1" applyNumberFormat="1">
      <alignment vertical="center"/>
    </xf>
    <xf borderId="9" fillId="0" fontId="18" numFmtId="164" xfId="0" applyAlignment="1" applyBorder="1" applyFont="1" applyNumberFormat="1">
      <alignment vertical="center"/>
    </xf>
    <xf borderId="0" fillId="0" fontId="19" numFmtId="164" xfId="0" applyAlignment="1" applyFont="1" applyNumberFormat="1">
      <alignment vertical="center"/>
    </xf>
    <xf borderId="11" fillId="0" fontId="0" numFmtId="0" xfId="0" applyAlignment="1" applyBorder="1" applyFont="1">
      <alignment vertical="center"/>
    </xf>
    <xf borderId="11" fillId="0" fontId="20" numFmtId="164" xfId="0" applyAlignment="1" applyBorder="1" applyFont="1" applyNumberFormat="1">
      <alignment vertical="center"/>
    </xf>
    <xf borderId="11" fillId="0" fontId="0" numFmtId="164" xfId="0" applyAlignment="1" applyBorder="1" applyFont="1" applyNumberFormat="1">
      <alignment vertical="center"/>
    </xf>
    <xf borderId="12" fillId="0" fontId="21" numFmtId="164" xfId="0" applyAlignment="1" applyBorder="1" applyFont="1" applyNumberFormat="1">
      <alignment vertical="center"/>
    </xf>
    <xf borderId="0" fillId="0" fontId="22" numFmtId="164" xfId="0" applyAlignment="1" applyFont="1" applyNumberFormat="1">
      <alignment vertical="center"/>
    </xf>
    <xf borderId="0" fillId="0" fontId="0" numFmtId="164" xfId="0" applyAlignment="1" applyFont="1" applyNumberFormat="1">
      <alignment vertical="center"/>
    </xf>
    <xf borderId="9" fillId="0" fontId="21" numFmtId="164" xfId="0" applyAlignment="1" applyBorder="1" applyFont="1" applyNumberFormat="1">
      <alignment vertical="center"/>
    </xf>
    <xf borderId="0" fillId="0" fontId="23" numFmtId="0" xfId="0" applyAlignment="1" applyFont="1">
      <alignment readingOrder="0"/>
    </xf>
    <xf borderId="0" fillId="0" fontId="20" numFmtId="164" xfId="0" applyAlignment="1" applyFont="1" applyNumberFormat="1">
      <alignment vertical="center"/>
    </xf>
    <xf borderId="10" fillId="0" fontId="0" numFmtId="0" xfId="0" applyAlignment="1" applyBorder="1" applyFont="1">
      <alignment readingOrder="0"/>
    </xf>
    <xf borderId="11" fillId="0" fontId="3" numFmtId="0" xfId="0" applyAlignment="1" applyBorder="1" applyFont="1">
      <alignment readingOrder="0"/>
    </xf>
    <xf borderId="12" fillId="0" fontId="24" numFmtId="10" xfId="0" applyAlignment="1" applyBorder="1" applyFont="1" applyNumberFormat="1">
      <alignment readingOrder="0"/>
    </xf>
    <xf borderId="6" fillId="0" fontId="12" numFmtId="0" xfId="0" applyBorder="1" applyFont="1"/>
    <xf borderId="6" fillId="0" fontId="12" numFmtId="165" xfId="0" applyBorder="1" applyFont="1" applyNumberFormat="1"/>
    <xf borderId="0" fillId="0" fontId="3" numFmtId="166" xfId="0" applyAlignment="1" applyFont="1" applyNumberFormat="1">
      <alignment readingOrder="0"/>
    </xf>
    <xf borderId="1" fillId="4" fontId="7" numFmtId="0" xfId="0" applyAlignment="1" applyBorder="1" applyFont="1">
      <alignment horizontal="left"/>
    </xf>
    <xf borderId="13" fillId="0" fontId="3" numFmtId="0" xfId="0" applyBorder="1" applyFont="1"/>
    <xf borderId="0" fillId="0" fontId="12" numFmtId="165" xfId="0" applyFont="1" applyNumberFormat="1"/>
    <xf borderId="3" fillId="4" fontId="5" numFmtId="0" xfId="0" applyAlignment="1" applyBorder="1" applyFont="1">
      <alignment horizontal="center"/>
    </xf>
    <xf borderId="3" fillId="4" fontId="5" numFmtId="0" xfId="0" applyAlignment="1" applyBorder="1" applyFont="1">
      <alignment horizontal="center" readingOrder="0"/>
    </xf>
    <xf borderId="1" fillId="3" fontId="6" numFmtId="0" xfId="0" applyBorder="1" applyFont="1"/>
    <xf borderId="3" fillId="5" fontId="9" numFmtId="2" xfId="0" applyBorder="1" applyFill="1" applyFont="1" applyNumberFormat="1"/>
    <xf borderId="8" fillId="0" fontId="9" numFmtId="0" xfId="0" applyBorder="1" applyFont="1"/>
    <xf borderId="6" fillId="0" fontId="24" numFmtId="0" xfId="0" applyBorder="1" applyFont="1"/>
    <xf borderId="7" fillId="0" fontId="9" numFmtId="10" xfId="0" applyBorder="1" applyFont="1" applyNumberFormat="1"/>
    <xf borderId="3" fillId="5" fontId="0" numFmtId="2" xfId="0" applyBorder="1" applyFont="1" applyNumberFormat="1"/>
    <xf borderId="8" fillId="0" fontId="0" numFmtId="0" xfId="0" applyAlignment="1" applyBorder="1" applyFont="1">
      <alignment readingOrder="0"/>
    </xf>
    <xf borderId="0" fillId="0" fontId="25" numFmtId="0" xfId="0" applyAlignment="1" applyFont="1">
      <alignment readingOrder="0"/>
    </xf>
    <xf borderId="9" fillId="0" fontId="0" numFmtId="10" xfId="0" applyBorder="1" applyFont="1" applyNumberFormat="1"/>
    <xf borderId="3" fillId="6" fontId="6" numFmtId="0" xfId="0" applyBorder="1" applyFill="1" applyFont="1"/>
    <xf borderId="3" fillId="6" fontId="5" numFmtId="0" xfId="0" applyBorder="1" applyFont="1"/>
    <xf borderId="0" fillId="0" fontId="3" numFmtId="0" xfId="0" applyFont="1"/>
    <xf borderId="11" fillId="0" fontId="25" numFmtId="0" xfId="0" applyAlignment="1" applyBorder="1" applyFont="1">
      <alignment readingOrder="0"/>
    </xf>
    <xf borderId="12" fillId="0" fontId="0" numFmtId="10" xfId="0" applyBorder="1" applyFont="1" applyNumberFormat="1"/>
    <xf borderId="1" fillId="7" fontId="26" numFmtId="0" xfId="0" applyBorder="1" applyFill="1" applyFont="1"/>
    <xf borderId="3" fillId="8" fontId="4" numFmtId="0" xfId="0" applyAlignment="1" applyBorder="1" applyFill="1" applyFont="1">
      <alignment horizontal="center"/>
    </xf>
    <xf borderId="3" fillId="8" fontId="5" numFmtId="0" xfId="0" applyAlignment="1" applyBorder="1" applyFont="1">
      <alignment horizontal="center"/>
    </xf>
    <xf borderId="3" fillId="8" fontId="6" numFmtId="0" xfId="0" applyAlignment="1" applyBorder="1" applyFont="1">
      <alignment horizontal="center" shrinkToFit="0" wrapText="1"/>
    </xf>
    <xf borderId="3" fillId="8" fontId="6" numFmtId="0" xfId="0" applyAlignment="1" applyBorder="1" applyFont="1">
      <alignment horizontal="center" readingOrder="0"/>
    </xf>
    <xf borderId="3" fillId="8" fontId="6" numFmtId="0" xfId="0" applyAlignment="1" applyBorder="1" applyFont="1">
      <alignment horizontal="center"/>
    </xf>
    <xf borderId="3" fillId="4" fontId="6" numFmtId="0" xfId="0" applyAlignment="1" applyBorder="1" applyFont="1">
      <alignment horizontal="center" readingOrder="0" shrinkToFit="0" wrapText="1"/>
    </xf>
    <xf borderId="3" fillId="4" fontId="6" numFmtId="0" xfId="0" applyAlignment="1" applyBorder="1" applyFont="1">
      <alignment horizontal="center" readingOrder="0"/>
    </xf>
    <xf borderId="3" fillId="0" fontId="10" numFmtId="0" xfId="0" applyAlignment="1" applyBorder="1" applyFont="1">
      <alignment horizontal="center"/>
    </xf>
    <xf borderId="3" fillId="0" fontId="11" numFmtId="0" xfId="0" applyAlignment="1" applyBorder="1" applyFont="1">
      <alignment horizontal="center" shrinkToFit="0" wrapText="1"/>
    </xf>
    <xf borderId="3" fillId="0" fontId="12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3" fillId="0" fontId="9" numFmtId="0" xfId="0" applyAlignment="1" applyBorder="1" applyFont="1">
      <alignment horizontal="center"/>
    </xf>
    <xf borderId="5" fillId="0" fontId="12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3" fillId="0" fontId="12" numFmtId="0" xfId="0" applyAlignment="1" applyBorder="1" applyFont="1">
      <alignment horizontal="center" readingOrder="0"/>
    </xf>
    <xf borderId="9" fillId="0" fontId="12" numFmtId="0" xfId="0" applyAlignment="1" applyBorder="1" applyFont="1">
      <alignment readingOrder="0"/>
    </xf>
    <xf borderId="3" fillId="8" fontId="5" numFmtId="0" xfId="0" applyAlignment="1" applyBorder="1" applyFont="1">
      <alignment readingOrder="0"/>
    </xf>
    <xf borderId="3" fillId="8" fontId="5" numFmtId="0" xfId="0" applyBorder="1" applyFont="1"/>
    <xf borderId="14" fillId="8" fontId="5" numFmtId="0" xfId="0" applyBorder="1" applyFont="1"/>
    <xf borderId="3" fillId="0" fontId="10" numFmtId="0" xfId="0" applyBorder="1" applyFont="1"/>
    <xf borderId="3" fillId="0" fontId="12" numFmtId="0" xfId="0" applyBorder="1" applyFont="1"/>
    <xf borderId="9" fillId="0" fontId="9" numFmtId="0" xfId="0" applyAlignment="1" applyBorder="1" applyFont="1">
      <alignment horizontal="center"/>
    </xf>
    <xf borderId="9" fillId="0" fontId="24" numFmtId="167" xfId="0" applyAlignment="1" applyBorder="1" applyFont="1" applyNumberFormat="1">
      <alignment horizontal="center" readingOrder="0"/>
    </xf>
    <xf borderId="3" fillId="0" fontId="12" numFmtId="0" xfId="0" applyAlignment="1" applyBorder="1" applyFont="1">
      <alignment readingOrder="0"/>
    </xf>
    <xf borderId="1" fillId="0" fontId="9" numFmtId="2" xfId="0" applyAlignment="1" applyBorder="1" applyFont="1" applyNumberFormat="1">
      <alignment horizontal="center"/>
    </xf>
    <xf borderId="3" fillId="0" fontId="12" numFmtId="167" xfId="0" applyAlignment="1" applyBorder="1" applyFont="1" applyNumberFormat="1">
      <alignment horizontal="center" readingOrder="0"/>
    </xf>
    <xf borderId="0" fillId="0" fontId="12" numFmtId="0" xfId="0" applyAlignment="1" applyFont="1">
      <alignment horizontal="center"/>
    </xf>
    <xf borderId="0" fillId="0" fontId="8" numFmtId="49" xfId="0" applyAlignment="1" applyFont="1" applyNumberFormat="1">
      <alignment horizontal="left"/>
    </xf>
    <xf borderId="0" fillId="0" fontId="5" numFmtId="167" xfId="0" applyFont="1" applyNumberFormat="1"/>
    <xf borderId="0" fillId="0" fontId="11" numFmtId="0" xfId="0" applyAlignment="1" applyFont="1">
      <alignment horizontal="left"/>
    </xf>
    <xf borderId="0" fillId="0" fontId="8" numFmtId="0" xfId="0" applyAlignment="1" applyFont="1">
      <alignment horizontal="left"/>
    </xf>
    <xf borderId="1" fillId="8" fontId="7" numFmtId="0" xfId="0" applyAlignment="1" applyBorder="1" applyFont="1">
      <alignment horizontal="center"/>
    </xf>
    <xf borderId="0" fillId="0" fontId="9" numFmtId="11" xfId="0" applyFont="1" applyNumberFormat="1"/>
    <xf borderId="3" fillId="8" fontId="12" numFmtId="0" xfId="0" applyBorder="1" applyFont="1"/>
    <xf borderId="3" fillId="0" fontId="7" numFmtId="167" xfId="0" applyBorder="1" applyFont="1" applyNumberFormat="1"/>
    <xf borderId="0" fillId="0" fontId="12" numFmtId="11" xfId="0" applyFont="1" applyNumberFormat="1"/>
    <xf borderId="3" fillId="4" fontId="4" numFmtId="0" xfId="0" applyAlignment="1" applyBorder="1" applyFont="1">
      <alignment horizontal="center" vertical="center"/>
    </xf>
    <xf borderId="3" fillId="4" fontId="5" numFmtId="0" xfId="0" applyAlignment="1" applyBorder="1" applyFont="1">
      <alignment horizontal="center" shrinkToFit="0" vertical="center" wrapText="1"/>
    </xf>
    <xf borderId="3" fillId="4" fontId="5" numFmtId="0" xfId="0" applyAlignment="1" applyBorder="1" applyFont="1">
      <alignment horizontal="center" vertical="center"/>
    </xf>
    <xf borderId="3" fillId="4" fontId="5" numFmtId="0" xfId="0" applyAlignment="1" applyBorder="1" applyFont="1">
      <alignment horizontal="center" readingOrder="0" vertical="center"/>
    </xf>
    <xf borderId="6" fillId="0" fontId="12" numFmtId="164" xfId="0" applyAlignment="1" applyBorder="1" applyFont="1" applyNumberFormat="1">
      <alignment vertical="center"/>
    </xf>
    <xf borderId="7" fillId="0" fontId="10" numFmtId="164" xfId="0" applyAlignment="1" applyBorder="1" applyFont="1" applyNumberFormat="1">
      <alignment vertical="center"/>
    </xf>
    <xf borderId="0" fillId="0" fontId="27" numFmtId="0" xfId="0" applyAlignment="1" applyFont="1">
      <alignment readingOrder="0" vertical="center"/>
    </xf>
    <xf borderId="11" fillId="0" fontId="27" numFmtId="0" xfId="0" applyAlignment="1" applyBorder="1" applyFont="1">
      <alignment readingOrder="0" vertical="center"/>
    </xf>
    <xf borderId="0" fillId="0" fontId="28" numFmtId="0" xfId="0" applyAlignment="1" applyFont="1">
      <alignment readingOrder="0"/>
    </xf>
    <xf borderId="10" fillId="0" fontId="9" numFmtId="0" xfId="0" applyAlignment="1" applyBorder="1" applyFont="1">
      <alignment horizontal="right" vertical="center"/>
    </xf>
    <xf borderId="0" fillId="0" fontId="28" numFmtId="168" xfId="0" applyAlignment="1" applyFont="1" applyNumberFormat="1">
      <alignment readingOrder="0"/>
    </xf>
    <xf borderId="0" fillId="0" fontId="28" numFmtId="168" xfId="0" applyAlignment="1" applyFont="1" applyNumberFormat="1">
      <alignment horizontal="left" readingOrder="0"/>
    </xf>
    <xf borderId="6" fillId="0" fontId="9" numFmtId="165" xfId="0" applyBorder="1" applyFont="1" applyNumberFormat="1"/>
    <xf borderId="0" fillId="0" fontId="9" numFmtId="165" xfId="0" applyFont="1" applyNumberFormat="1"/>
    <xf borderId="3" fillId="8" fontId="5" numFmtId="0" xfId="0" applyAlignment="1" applyBorder="1" applyFont="1">
      <alignment horizontal="center" shrinkToFit="0" wrapText="1"/>
    </xf>
    <xf borderId="3" fillId="8" fontId="5" numFmtId="0" xfId="0" applyAlignment="1" applyBorder="1" applyFont="1">
      <alignment horizontal="center" readingOrder="0"/>
    </xf>
    <xf borderId="3" fillId="0" fontId="9" numFmtId="0" xfId="0" applyAlignment="1" applyBorder="1" applyFont="1">
      <alignment horizontal="center" readingOrder="0"/>
    </xf>
    <xf borderId="3" fillId="0" fontId="27" numFmtId="0" xfId="0" applyAlignment="1" applyBorder="1" applyFont="1">
      <alignment readingOrder="0"/>
    </xf>
    <xf borderId="9" fillId="0" fontId="3" numFmtId="10" xfId="0" applyAlignment="1" applyBorder="1" applyFont="1" applyNumberFormat="1">
      <alignment horizontal="center" readingOrder="0"/>
    </xf>
    <xf borderId="3" fillId="0" fontId="12" numFmtId="10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29"/>
    <col customWidth="1" min="3" max="3" width="11.57"/>
    <col customWidth="1" min="4" max="4" width="11.43"/>
    <col customWidth="1" min="5" max="5" width="14.0"/>
    <col customWidth="1" min="6" max="6" width="13.0"/>
    <col customWidth="1" min="7" max="7" width="13.86"/>
    <col customWidth="1" min="8" max="8" width="13.0"/>
    <col customWidth="1" min="9" max="9" width="9.71"/>
    <col customWidth="1" min="10" max="10" width="15.71"/>
    <col customWidth="1" min="11" max="11" width="36.29"/>
    <col customWidth="1" min="12" max="12" width="12.0"/>
    <col customWidth="1" min="13" max="13" width="8.57"/>
    <col customWidth="1" min="14" max="14" width="22.14"/>
    <col customWidth="1" min="15" max="26" width="10.71"/>
  </cols>
  <sheetData>
    <row r="1" ht="33.75" customHeight="1">
      <c r="A1" s="1" t="s">
        <v>0</v>
      </c>
    </row>
    <row r="2" ht="12.0" customHeight="1"/>
    <row r="3" ht="12.0" customHeight="1">
      <c r="A3" s="2" t="s">
        <v>1</v>
      </c>
      <c r="B3" s="3"/>
    </row>
    <row r="4" ht="12.0" customHeight="1"/>
    <row r="5" ht="12.0" customHeight="1">
      <c r="A5" s="4" t="s">
        <v>2</v>
      </c>
      <c r="B5" s="5" t="s">
        <v>3</v>
      </c>
      <c r="C5" s="6" t="s">
        <v>4</v>
      </c>
      <c r="D5" s="6" t="s">
        <v>5</v>
      </c>
      <c r="E5" s="6" t="s">
        <v>6</v>
      </c>
      <c r="F5" s="6" t="s">
        <v>7</v>
      </c>
      <c r="G5" s="6" t="s">
        <v>8</v>
      </c>
      <c r="H5" s="6" t="s">
        <v>9</v>
      </c>
    </row>
    <row r="6" ht="12.0" customHeight="1">
      <c r="A6" s="7" t="s">
        <v>10</v>
      </c>
      <c r="B6" s="8" t="s">
        <v>11</v>
      </c>
      <c r="C6" s="9" t="s">
        <v>12</v>
      </c>
      <c r="D6" s="9">
        <v>4.0</v>
      </c>
      <c r="E6" s="9">
        <v>3600.0</v>
      </c>
      <c r="F6" s="9">
        <v>1600.0</v>
      </c>
      <c r="G6" s="9">
        <f>D6/3600*E6</f>
        <v>4</v>
      </c>
      <c r="H6" s="9">
        <f>1/G6</f>
        <v>0.25</v>
      </c>
    </row>
    <row r="7" ht="12.0" customHeight="1">
      <c r="A7" s="10" t="s">
        <v>13</v>
      </c>
      <c r="B7" s="11" t="s">
        <v>14</v>
      </c>
      <c r="C7" s="12" t="s">
        <v>15</v>
      </c>
      <c r="D7" s="12">
        <v>7.5</v>
      </c>
      <c r="E7" s="12">
        <v>2400.0</v>
      </c>
      <c r="F7" s="12">
        <v>1600.0</v>
      </c>
      <c r="G7" s="9">
        <f t="shared" ref="G7:G9" si="1">D7*E7/3600</f>
        <v>5</v>
      </c>
      <c r="H7" s="9">
        <f t="shared" ref="H7:H9" si="2">1/G7</f>
        <v>0.2</v>
      </c>
    </row>
    <row r="8" ht="12.0" customHeight="1">
      <c r="A8" s="10" t="s">
        <v>16</v>
      </c>
      <c r="B8" s="11" t="s">
        <v>17</v>
      </c>
      <c r="C8" s="12" t="s">
        <v>18</v>
      </c>
      <c r="D8" s="12">
        <v>4.0</v>
      </c>
      <c r="E8" s="12">
        <v>3600.0</v>
      </c>
      <c r="F8" s="12">
        <v>480.0</v>
      </c>
      <c r="G8" s="9">
        <f t="shared" si="1"/>
        <v>4</v>
      </c>
      <c r="H8" s="9">
        <f t="shared" si="2"/>
        <v>0.25</v>
      </c>
    </row>
    <row r="9" ht="12.0" customHeight="1">
      <c r="A9" s="10" t="s">
        <v>19</v>
      </c>
      <c r="B9" s="11" t="s">
        <v>20</v>
      </c>
      <c r="C9" s="12" t="s">
        <v>18</v>
      </c>
      <c r="D9" s="12">
        <v>7.5</v>
      </c>
      <c r="E9" s="13">
        <f>0.6*2400</f>
        <v>1440</v>
      </c>
      <c r="F9" s="12">
        <v>480.0</v>
      </c>
      <c r="G9" s="9">
        <f t="shared" si="1"/>
        <v>3</v>
      </c>
      <c r="H9" s="9">
        <f t="shared" si="2"/>
        <v>0.3333333333</v>
      </c>
    </row>
    <row r="10" ht="12.0" customHeight="1"/>
    <row r="11" ht="12.0" customHeight="1">
      <c r="A11" s="14" t="s">
        <v>21</v>
      </c>
      <c r="K11" s="15" t="s">
        <v>22</v>
      </c>
    </row>
    <row r="12" ht="12.0" customHeight="1">
      <c r="A12" s="16" t="s">
        <v>23</v>
      </c>
      <c r="B12" s="17" t="s">
        <v>24</v>
      </c>
      <c r="C12" s="17" t="s">
        <v>25</v>
      </c>
      <c r="D12" s="18" t="s">
        <v>26</v>
      </c>
      <c r="E12" s="19" t="s">
        <v>27</v>
      </c>
      <c r="F12" s="18" t="s">
        <v>28</v>
      </c>
      <c r="G12" s="18" t="s">
        <v>29</v>
      </c>
      <c r="H12" s="18" t="s">
        <v>30</v>
      </c>
      <c r="I12" s="18" t="s">
        <v>31</v>
      </c>
      <c r="K12" s="20" t="s">
        <v>32</v>
      </c>
      <c r="L12" s="20" t="s">
        <v>33</v>
      </c>
      <c r="M12" s="20" t="s">
        <v>34</v>
      </c>
    </row>
    <row r="13" ht="12.0" customHeight="1">
      <c r="A13" s="21" t="s">
        <v>35</v>
      </c>
      <c r="B13" s="22"/>
      <c r="C13" s="22"/>
      <c r="D13" s="22"/>
      <c r="E13" s="22"/>
      <c r="F13" s="22"/>
      <c r="G13" s="23"/>
      <c r="H13" s="23"/>
      <c r="I13" s="24"/>
      <c r="K13" s="25"/>
      <c r="L13" s="26"/>
      <c r="M13" s="27"/>
    </row>
    <row r="14" ht="12.0" customHeight="1">
      <c r="A14" s="28" t="s">
        <v>36</v>
      </c>
      <c r="B14" s="29">
        <v>64000.0</v>
      </c>
      <c r="C14" s="30">
        <v>1000.0</v>
      </c>
      <c r="D14" s="31">
        <f t="shared" ref="D14:D15" si="3">C14/200000</f>
        <v>0.005</v>
      </c>
      <c r="E14" s="32">
        <v>4.0</v>
      </c>
      <c r="F14" s="33">
        <f>$F$6 * 8/B14</f>
        <v>0.2</v>
      </c>
      <c r="G14" s="33">
        <f t="shared" ref="G14:G15" si="4">E14/(1/F14)</f>
        <v>0.8</v>
      </c>
      <c r="H14" s="33">
        <f>F14/(1-G14)</f>
        <v>1</v>
      </c>
      <c r="I14" s="34">
        <f t="shared" ref="I14:I15" si="5">D14 + H14</f>
        <v>1.005</v>
      </c>
      <c r="K14" s="35" t="s">
        <v>37</v>
      </c>
      <c r="L14" s="36">
        <v>0.793892876</v>
      </c>
      <c r="M14" s="37">
        <f>0.01913537/L14</f>
        <v>0.02410321415</v>
      </c>
    </row>
    <row r="15" ht="12.0" customHeight="1">
      <c r="A15" s="38" t="s">
        <v>38</v>
      </c>
      <c r="B15" s="39">
        <v>64000.0</v>
      </c>
      <c r="C15" s="40">
        <v>1000.0</v>
      </c>
      <c r="D15" s="41">
        <f t="shared" si="3"/>
        <v>0.005</v>
      </c>
      <c r="E15" s="42">
        <v>4.0</v>
      </c>
      <c r="F15" s="43">
        <f>$F$8 * 8/B15</f>
        <v>0.06</v>
      </c>
      <c r="G15" s="43">
        <f t="shared" si="4"/>
        <v>0.24</v>
      </c>
      <c r="H15" s="43">
        <f>(F15/(1-G15))*(1-G15/2)</f>
        <v>0.06947368421</v>
      </c>
      <c r="I15" s="44">
        <f t="shared" si="5"/>
        <v>0.07447368421</v>
      </c>
      <c r="J15" s="45"/>
      <c r="K15" s="35" t="s">
        <v>39</v>
      </c>
      <c r="L15" s="46">
        <v>0.240079572</v>
      </c>
      <c r="M15" s="37">
        <f>0.003288444/L15</f>
        <v>0.01369730866</v>
      </c>
      <c r="O15" s="47"/>
    </row>
    <row r="16" ht="12.0" customHeight="1">
      <c r="A16" s="21" t="s">
        <v>40</v>
      </c>
      <c r="B16" s="48"/>
      <c r="C16" s="48"/>
      <c r="D16" s="29"/>
      <c r="E16" s="49"/>
      <c r="F16" s="50"/>
      <c r="G16" s="50"/>
      <c r="H16" s="50"/>
      <c r="I16" s="51"/>
      <c r="J16" s="45"/>
      <c r="K16" s="35"/>
      <c r="L16" s="52"/>
      <c r="M16" s="53"/>
      <c r="O16" s="47"/>
    </row>
    <row r="17" ht="12.0" customHeight="1">
      <c r="A17" s="28" t="s">
        <v>41</v>
      </c>
      <c r="B17" s="30">
        <v>128000.0</v>
      </c>
      <c r="C17" s="54">
        <v>0.0</v>
      </c>
      <c r="D17" s="31">
        <f t="shared" ref="D17:D21" si="6">C17/200000</f>
        <v>0</v>
      </c>
      <c r="E17" s="55">
        <f>E23+E14</f>
        <v>7</v>
      </c>
      <c r="F17" s="33">
        <f>$F$6 * 8/B17</f>
        <v>0.1</v>
      </c>
      <c r="G17" s="33">
        <f t="shared" ref="G17:G18" si="7">E17/(1/F17)</f>
        <v>0.7</v>
      </c>
      <c r="H17" s="33">
        <f>F17/(1-G17)</f>
        <v>0.3333333333</v>
      </c>
      <c r="I17" s="34">
        <f t="shared" ref="I17:I18" si="8">D17 + H17</f>
        <v>0.3333333333</v>
      </c>
      <c r="J17" s="56"/>
      <c r="K17" s="57" t="s">
        <v>42</v>
      </c>
      <c r="L17" s="36">
        <v>0.707138759</v>
      </c>
      <c r="M17" s="37">
        <f>0.011788483/L17</f>
        <v>0.01667067863</v>
      </c>
    </row>
    <row r="18" ht="12.0" customHeight="1">
      <c r="A18" s="38" t="s">
        <v>43</v>
      </c>
      <c r="B18" s="40">
        <v>128000.0</v>
      </c>
      <c r="C18" s="58">
        <v>0.0</v>
      </c>
      <c r="D18" s="41">
        <f t="shared" si="6"/>
        <v>0</v>
      </c>
      <c r="E18" s="59">
        <f>E15</f>
        <v>4</v>
      </c>
      <c r="F18" s="43">
        <f>$F$8 * 8/B18</f>
        <v>0.03</v>
      </c>
      <c r="G18" s="43">
        <f t="shared" si="7"/>
        <v>0.12</v>
      </c>
      <c r="H18" s="43">
        <f>(F18/(1-G18))*(1 - G18/2)</f>
        <v>0.03204545455</v>
      </c>
      <c r="I18" s="44">
        <f t="shared" si="8"/>
        <v>0.03204545455</v>
      </c>
      <c r="J18" s="56"/>
      <c r="K18" s="57" t="s">
        <v>44</v>
      </c>
      <c r="L18" s="36">
        <v>0.120035</v>
      </c>
      <c r="M18" s="37">
        <f>0.001653281/L18</f>
        <v>0.01377332445</v>
      </c>
    </row>
    <row r="19" ht="12.0" customHeight="1">
      <c r="A19" s="60" t="s">
        <v>45</v>
      </c>
      <c r="B19" s="61"/>
      <c r="C19" s="61"/>
      <c r="D19" s="31">
        <f t="shared" si="6"/>
        <v>0</v>
      </c>
      <c r="E19" s="62"/>
      <c r="F19" s="50"/>
      <c r="G19" s="50"/>
      <c r="H19" s="50"/>
      <c r="I19" s="51"/>
      <c r="K19" s="35"/>
      <c r="L19" s="52"/>
      <c r="M19" s="53"/>
    </row>
    <row r="20" ht="12.0" customHeight="1">
      <c r="A20" s="28" t="s">
        <v>46</v>
      </c>
      <c r="B20" s="63">
        <v>64000.0</v>
      </c>
      <c r="C20" s="63">
        <v>800.0</v>
      </c>
      <c r="D20" s="64">
        <f t="shared" si="6"/>
        <v>0.004</v>
      </c>
      <c r="E20" s="65">
        <v>0.0</v>
      </c>
      <c r="F20" s="66">
        <f>1600 * 8/B20</f>
        <v>0.2</v>
      </c>
      <c r="G20" s="66">
        <f t="shared" ref="G20:G21" si="9">E20/(1/F20)</f>
        <v>0</v>
      </c>
      <c r="H20" s="66">
        <f t="shared" ref="H20:H21" si="10">F20/(1-G20)</f>
        <v>0.2</v>
      </c>
      <c r="I20" s="67">
        <f t="shared" ref="I20:I21" si="11">D20 + H20</f>
        <v>0.204</v>
      </c>
      <c r="K20" s="35" t="s">
        <v>47</v>
      </c>
      <c r="L20" s="68">
        <v>0.0</v>
      </c>
      <c r="M20" s="69">
        <v>0.0</v>
      </c>
    </row>
    <row r="21" ht="12.0" customHeight="1">
      <c r="A21" s="28" t="s">
        <v>48</v>
      </c>
      <c r="B21" s="70">
        <v>64000.0</v>
      </c>
      <c r="C21" s="70">
        <v>800.0</v>
      </c>
      <c r="D21" s="41">
        <f t="shared" si="6"/>
        <v>0.004</v>
      </c>
      <c r="E21" s="59">
        <f>5*0.2</f>
        <v>1</v>
      </c>
      <c r="F21" s="43">
        <f>$F$7 * 8/B21</f>
        <v>0.2</v>
      </c>
      <c r="G21" s="43">
        <f t="shared" si="9"/>
        <v>0.2</v>
      </c>
      <c r="H21" s="43">
        <f t="shared" si="10"/>
        <v>0.25</v>
      </c>
      <c r="I21" s="44">
        <f t="shared" si="11"/>
        <v>0.254</v>
      </c>
      <c r="K21" s="35" t="s">
        <v>49</v>
      </c>
      <c r="L21" s="46">
        <v>0.200475167</v>
      </c>
      <c r="M21" s="37">
        <f>0.005372855/L21</f>
        <v>0.02680060119</v>
      </c>
    </row>
    <row r="22" ht="12.0" customHeight="1">
      <c r="A22" s="21" t="s">
        <v>50</v>
      </c>
      <c r="B22" s="48"/>
      <c r="C22" s="48"/>
      <c r="D22" s="29"/>
      <c r="E22" s="49"/>
      <c r="F22" s="50"/>
      <c r="G22" s="50"/>
      <c r="H22" s="50"/>
      <c r="I22" s="51"/>
      <c r="K22" s="35"/>
      <c r="L22" s="52"/>
      <c r="M22" s="53"/>
    </row>
    <row r="23" ht="12.0" customHeight="1">
      <c r="A23" s="28" t="s">
        <v>51</v>
      </c>
      <c r="B23" s="30">
        <v>64000.0</v>
      </c>
      <c r="C23" s="30">
        <v>600.0</v>
      </c>
      <c r="D23" s="31">
        <f t="shared" ref="D23:D24" si="12">C23/200000</f>
        <v>0.003</v>
      </c>
      <c r="E23" s="55">
        <f>5*0.6</f>
        <v>3</v>
      </c>
      <c r="F23" s="33">
        <f>$F$7 * 8/B23</f>
        <v>0.2</v>
      </c>
      <c r="G23" s="33">
        <f t="shared" ref="G23:G24" si="13">E23/(1/F23)</f>
        <v>0.6</v>
      </c>
      <c r="H23" s="33">
        <f t="shared" ref="H23:H24" si="14">F23/(1-G23)</f>
        <v>0.5</v>
      </c>
      <c r="I23" s="34">
        <f t="shared" ref="I23:I24" si="15">D23 + H23</f>
        <v>0.503</v>
      </c>
      <c r="K23" s="57" t="s">
        <v>52</v>
      </c>
      <c r="L23" s="36">
        <v>0.620369042</v>
      </c>
      <c r="M23" s="37">
        <f>0.01346634/L23</f>
        <v>0.0217069826</v>
      </c>
    </row>
    <row r="24" ht="12.0" customHeight="1">
      <c r="A24" s="38" t="s">
        <v>53</v>
      </c>
      <c r="B24" s="71">
        <v>64000.0</v>
      </c>
      <c r="C24" s="71">
        <v>600.0</v>
      </c>
      <c r="D24" s="72">
        <f t="shared" si="12"/>
        <v>0.003</v>
      </c>
      <c r="E24" s="73">
        <v>0.0</v>
      </c>
      <c r="F24" s="74">
        <f>1600 * 8/B24</f>
        <v>0.2</v>
      </c>
      <c r="G24" s="74">
        <f t="shared" si="13"/>
        <v>0</v>
      </c>
      <c r="H24" s="74">
        <f t="shared" si="14"/>
        <v>0.2</v>
      </c>
      <c r="I24" s="75">
        <f t="shared" si="15"/>
        <v>0.203</v>
      </c>
      <c r="K24" s="57" t="s">
        <v>54</v>
      </c>
      <c r="L24" s="68">
        <v>0.0</v>
      </c>
      <c r="M24" s="69">
        <v>0.0</v>
      </c>
    </row>
    <row r="25" ht="12.0" customHeight="1">
      <c r="A25" s="21" t="s">
        <v>55</v>
      </c>
      <c r="B25" s="29"/>
      <c r="C25" s="76"/>
      <c r="D25" s="77"/>
      <c r="E25" s="62"/>
      <c r="F25" s="50"/>
      <c r="G25" s="78"/>
      <c r="H25" s="78"/>
      <c r="I25" s="79"/>
      <c r="J25" s="45"/>
      <c r="K25" s="35"/>
      <c r="L25" s="52"/>
      <c r="M25" s="53"/>
    </row>
    <row r="26" ht="12.0" customHeight="1">
      <c r="A26" s="28" t="s">
        <v>56</v>
      </c>
      <c r="B26" s="63">
        <v>64000.0</v>
      </c>
      <c r="C26" s="63">
        <v>800.0</v>
      </c>
      <c r="D26" s="64">
        <f t="shared" ref="D26:D27" si="16">C26/200000</f>
        <v>0.004</v>
      </c>
      <c r="E26" s="65">
        <v>0.0</v>
      </c>
      <c r="F26" s="80">
        <f t="shared" ref="F26:F27" si="17">$F$9 * 8/B26</f>
        <v>0.06</v>
      </c>
      <c r="G26" s="66">
        <f t="shared" ref="G26:G27" si="18">E26/(1/F26)</f>
        <v>0</v>
      </c>
      <c r="H26" s="66">
        <f>F26/(1-G26)</f>
        <v>0.06</v>
      </c>
      <c r="I26" s="67">
        <f t="shared" ref="I26:I27" si="19">D26 + H26</f>
        <v>0.064</v>
      </c>
      <c r="K26" s="57" t="s">
        <v>57</v>
      </c>
      <c r="L26" s="68">
        <v>0.0</v>
      </c>
      <c r="M26" s="69">
        <v>0.0</v>
      </c>
    </row>
    <row r="27" ht="12.0" customHeight="1">
      <c r="A27" s="38" t="s">
        <v>58</v>
      </c>
      <c r="B27" s="30">
        <v>64000.0</v>
      </c>
      <c r="C27" s="30">
        <v>800.0</v>
      </c>
      <c r="D27" s="81">
        <f t="shared" si="16"/>
        <v>0.004</v>
      </c>
      <c r="E27" s="55">
        <f>5*0.6</f>
        <v>3</v>
      </c>
      <c r="F27" s="82">
        <f t="shared" si="17"/>
        <v>0.06</v>
      </c>
      <c r="G27" s="83">
        <f t="shared" si="18"/>
        <v>0.18</v>
      </c>
      <c r="H27" s="83">
        <f>(F27/(1-G27))*(1 - G27/2)</f>
        <v>0.06658536585</v>
      </c>
      <c r="I27" s="84">
        <f t="shared" si="19"/>
        <v>0.07058536585</v>
      </c>
      <c r="J27" s="56"/>
      <c r="K27" s="57" t="s">
        <v>59</v>
      </c>
      <c r="L27" s="46">
        <v>0.18379</v>
      </c>
      <c r="M27" s="37">
        <f>0.002648519/L27</f>
        <v>0.01441057185</v>
      </c>
    </row>
    <row r="28" ht="12.0" customHeight="1">
      <c r="A28" s="21" t="s">
        <v>60</v>
      </c>
      <c r="B28" s="48"/>
      <c r="C28" s="48"/>
      <c r="D28" s="77"/>
      <c r="E28" s="49"/>
      <c r="F28" s="85"/>
      <c r="G28" s="86"/>
      <c r="H28" s="86"/>
      <c r="I28" s="87"/>
      <c r="K28" s="35"/>
      <c r="L28" s="52"/>
      <c r="M28" s="53"/>
      <c r="N28" s="88"/>
    </row>
    <row r="29" ht="12.0" customHeight="1">
      <c r="A29" s="28" t="s">
        <v>61</v>
      </c>
      <c r="B29" s="30">
        <v>256000.0</v>
      </c>
      <c r="C29" s="54">
        <v>0.0</v>
      </c>
      <c r="D29" s="77">
        <f t="shared" ref="D29:D30" si="20">C29/200000</f>
        <v>0</v>
      </c>
      <c r="E29" s="55">
        <f>E27</f>
        <v>3</v>
      </c>
      <c r="F29" s="89">
        <f>$F$9 * 8/B29</f>
        <v>0.015</v>
      </c>
      <c r="G29" s="86">
        <f t="shared" ref="G29:G30" si="21">E29/(1/F29)</f>
        <v>0.045</v>
      </c>
      <c r="H29" s="86">
        <f>(F29/(1-G29))*(1-G29/2)</f>
        <v>0.01535340314</v>
      </c>
      <c r="I29" s="87">
        <f t="shared" ref="I29:I30" si="22">D29 + H29</f>
        <v>0.01535340314</v>
      </c>
      <c r="K29" s="57" t="s">
        <v>62</v>
      </c>
      <c r="L29" s="46">
        <v>0.459475</v>
      </c>
      <c r="M29" s="37">
        <f>0.00066213/L29</f>
        <v>0.001441057729</v>
      </c>
    </row>
    <row r="30" ht="12.0" customHeight="1">
      <c r="A30" s="38" t="s">
        <v>63</v>
      </c>
      <c r="B30" s="40">
        <v>128000.0</v>
      </c>
      <c r="C30" s="54">
        <v>0.0</v>
      </c>
      <c r="D30" s="81">
        <f t="shared" si="20"/>
        <v>0</v>
      </c>
      <c r="E30" s="59">
        <f>5</f>
        <v>5</v>
      </c>
      <c r="F30" s="82">
        <f>$F$7 * 8/B30</f>
        <v>0.1</v>
      </c>
      <c r="G30" s="83">
        <f t="shared" si="21"/>
        <v>0.5</v>
      </c>
      <c r="H30" s="83">
        <f>F30/(1-G30)</f>
        <v>0.2</v>
      </c>
      <c r="I30" s="84">
        <f t="shared" si="22"/>
        <v>0.2</v>
      </c>
      <c r="K30" s="90" t="s">
        <v>64</v>
      </c>
      <c r="L30" s="91">
        <v>0.505152881</v>
      </c>
      <c r="M30" s="92">
        <f>0.00629607/L30</f>
        <v>0.01246369216</v>
      </c>
    </row>
    <row r="31" ht="12.0" customHeight="1">
      <c r="C31" s="93"/>
      <c r="H31" s="94"/>
      <c r="M31" s="95"/>
    </row>
    <row r="32" ht="12.0" customHeight="1">
      <c r="A32" s="96" t="s">
        <v>65</v>
      </c>
      <c r="B32" s="97"/>
      <c r="C32" s="3"/>
      <c r="G32" s="98"/>
      <c r="K32" s="99" t="s">
        <v>32</v>
      </c>
      <c r="L32" s="100" t="s">
        <v>66</v>
      </c>
      <c r="M32" s="99" t="s">
        <v>34</v>
      </c>
      <c r="N32" s="88"/>
    </row>
    <row r="33" ht="12.0" customHeight="1">
      <c r="A33" s="101" t="s">
        <v>67</v>
      </c>
      <c r="B33" s="3"/>
      <c r="C33" s="102">
        <f>I14+I17</f>
        <v>1.338333333</v>
      </c>
      <c r="K33" s="103" t="s">
        <v>68</v>
      </c>
      <c r="L33" s="104">
        <v>1.245816285</v>
      </c>
      <c r="M33" s="105">
        <f>0.196316917/L33</f>
        <v>0.1575809526</v>
      </c>
    </row>
    <row r="34" ht="12.0" customHeight="1">
      <c r="A34" s="101" t="s">
        <v>69</v>
      </c>
      <c r="B34" s="3"/>
      <c r="C34" s="106">
        <f>I18+I15</f>
        <v>0.1065191388</v>
      </c>
      <c r="K34" s="107" t="s">
        <v>70</v>
      </c>
      <c r="L34" s="108">
        <v>0.114388249</v>
      </c>
      <c r="M34" s="109">
        <f>0.000474582/L34</f>
        <v>0.004148870222</v>
      </c>
    </row>
    <row r="35" ht="12.0" customHeight="1">
      <c r="A35" s="110" t="s">
        <v>71</v>
      </c>
      <c r="B35" s="111"/>
      <c r="C35" s="102">
        <f>I30+I21</f>
        <v>0.454</v>
      </c>
      <c r="K35" s="57" t="s">
        <v>72</v>
      </c>
      <c r="L35" s="112">
        <v>0.432081372</v>
      </c>
      <c r="M35" s="37">
        <f>0.008987776/L35</f>
        <v>0.02080111892</v>
      </c>
      <c r="N35" s="88"/>
    </row>
    <row r="36" ht="12.0" customHeight="1">
      <c r="A36" s="101" t="s">
        <v>73</v>
      </c>
      <c r="B36" s="3"/>
      <c r="C36" s="102">
        <f>I30+I23+I17</f>
        <v>1.036333333</v>
      </c>
      <c r="K36" s="57" t="s">
        <v>74</v>
      </c>
      <c r="L36" s="112">
        <v>1.070809126</v>
      </c>
      <c r="M36" s="37">
        <f>0.036952974/L36</f>
        <v>0.03450939397</v>
      </c>
    </row>
    <row r="37" ht="12.0" customHeight="1">
      <c r="A37" s="101" t="s">
        <v>75</v>
      </c>
      <c r="B37" s="3"/>
      <c r="C37" s="106">
        <f>I27+I29</f>
        <v>0.085938769</v>
      </c>
      <c r="K37" s="90" t="s">
        <v>76</v>
      </c>
      <c r="L37" s="113">
        <v>0.094161004</v>
      </c>
      <c r="M37" s="114">
        <f>0.000594287/L37</f>
        <v>0.006311391922</v>
      </c>
    </row>
    <row r="38" ht="12.0" customHeight="1">
      <c r="A38" s="56"/>
      <c r="B38" s="56"/>
      <c r="C38" s="56"/>
      <c r="M38" s="52"/>
    </row>
    <row r="39" ht="12.0" customHeight="1">
      <c r="A39" s="115" t="s">
        <v>77</v>
      </c>
      <c r="B39" s="3"/>
      <c r="C39" s="56"/>
      <c r="M39" s="52"/>
    </row>
    <row r="40" ht="12.0" customHeight="1">
      <c r="A40" s="56"/>
      <c r="B40" s="56"/>
      <c r="C40" s="56"/>
      <c r="K40" s="15" t="s">
        <v>22</v>
      </c>
      <c r="M40" s="52"/>
      <c r="N40" s="88"/>
    </row>
    <row r="41" ht="12.0" customHeight="1">
      <c r="A41" s="116" t="s">
        <v>2</v>
      </c>
      <c r="B41" s="117" t="s">
        <v>3</v>
      </c>
      <c r="C41" s="117" t="s">
        <v>78</v>
      </c>
      <c r="D41" s="118" t="s">
        <v>79</v>
      </c>
      <c r="E41" s="119" t="s">
        <v>80</v>
      </c>
      <c r="F41" s="120" t="s">
        <v>9</v>
      </c>
      <c r="G41" s="120" t="s">
        <v>81</v>
      </c>
      <c r="K41" s="121" t="s">
        <v>82</v>
      </c>
      <c r="L41" s="122" t="s">
        <v>83</v>
      </c>
    </row>
    <row r="42" ht="12.0" customHeight="1">
      <c r="A42" s="123" t="s">
        <v>84</v>
      </c>
      <c r="B42" s="124" t="s">
        <v>85</v>
      </c>
      <c r="C42" s="125">
        <v>360.0</v>
      </c>
      <c r="D42" s="126">
        <v>2.5</v>
      </c>
      <c r="E42" s="127">
        <f t="shared" ref="E42:E44" si="23">C42/60</f>
        <v>6</v>
      </c>
      <c r="F42" s="127">
        <f t="shared" ref="F42:F44" si="24">1/E42</f>
        <v>0.1666666667</v>
      </c>
      <c r="G42" s="127">
        <f t="shared" ref="G42:G44" si="25">E42/(1/D42)</f>
        <v>15</v>
      </c>
      <c r="K42" s="128" t="s">
        <v>86</v>
      </c>
      <c r="L42" s="129">
        <v>0.033</v>
      </c>
      <c r="N42" s="88"/>
    </row>
    <row r="43" ht="12.0" customHeight="1">
      <c r="A43" s="123" t="s">
        <v>87</v>
      </c>
      <c r="B43" s="124" t="s">
        <v>88</v>
      </c>
      <c r="C43" s="130">
        <v>180.0</v>
      </c>
      <c r="D43" s="130">
        <v>2.0</v>
      </c>
      <c r="E43" s="127">
        <f t="shared" si="23"/>
        <v>3</v>
      </c>
      <c r="F43" s="127">
        <f t="shared" si="24"/>
        <v>0.3333333333</v>
      </c>
      <c r="G43" s="127">
        <f t="shared" si="25"/>
        <v>6</v>
      </c>
      <c r="K43" s="57" t="s">
        <v>89</v>
      </c>
      <c r="L43" s="131">
        <v>0.0</v>
      </c>
    </row>
    <row r="44" ht="12.0" customHeight="1">
      <c r="A44" s="123" t="s">
        <v>90</v>
      </c>
      <c r="B44" s="124" t="s">
        <v>91</v>
      </c>
      <c r="C44" s="130">
        <v>60.0</v>
      </c>
      <c r="D44" s="130">
        <v>4.0</v>
      </c>
      <c r="E44" s="127">
        <f t="shared" si="23"/>
        <v>1</v>
      </c>
      <c r="F44" s="127">
        <f t="shared" si="24"/>
        <v>1</v>
      </c>
      <c r="G44" s="127">
        <f t="shared" si="25"/>
        <v>4</v>
      </c>
      <c r="K44" s="57" t="s">
        <v>92</v>
      </c>
      <c r="L44" s="131">
        <v>0.034</v>
      </c>
    </row>
    <row r="45" ht="12.0" customHeight="1">
      <c r="A45" s="56"/>
      <c r="B45" s="56"/>
      <c r="C45" s="56"/>
      <c r="K45" s="57" t="s">
        <v>93</v>
      </c>
      <c r="L45" s="131">
        <v>0.046</v>
      </c>
    </row>
    <row r="46" ht="12.0" customHeight="1">
      <c r="A46" s="116" t="s">
        <v>23</v>
      </c>
      <c r="B46" s="132" t="s">
        <v>94</v>
      </c>
      <c r="C46" s="133" t="s">
        <v>95</v>
      </c>
      <c r="D46" s="134" t="s">
        <v>96</v>
      </c>
      <c r="E46" s="117" t="s">
        <v>97</v>
      </c>
      <c r="K46" s="57" t="s">
        <v>98</v>
      </c>
      <c r="L46" s="131">
        <v>0.0</v>
      </c>
    </row>
    <row r="47" ht="12.0" customHeight="1">
      <c r="A47" s="135" t="s">
        <v>35</v>
      </c>
      <c r="B47" s="136">
        <v>64000.0</v>
      </c>
      <c r="C47" s="136">
        <v>15.0</v>
      </c>
      <c r="D47" s="137">
        <f>(G42+G43)*0.5</f>
        <v>10.5</v>
      </c>
      <c r="E47" s="138">
        <v>0.046988</v>
      </c>
      <c r="K47" s="57" t="s">
        <v>99</v>
      </c>
      <c r="L47" s="131">
        <v>0.038</v>
      </c>
    </row>
    <row r="48" ht="12.0" customHeight="1">
      <c r="A48" s="135" t="s">
        <v>45</v>
      </c>
      <c r="B48" s="139">
        <v>64000.0</v>
      </c>
      <c r="C48" s="139">
        <v>15.0</v>
      </c>
      <c r="D48" s="140">
        <f>0.5*G42+0.6*G44</f>
        <v>9.9</v>
      </c>
      <c r="E48" s="141">
        <v>0.034568</v>
      </c>
      <c r="K48" s="93"/>
      <c r="L48" s="93"/>
    </row>
    <row r="49" ht="12.0" customHeight="1">
      <c r="A49" s="135" t="s">
        <v>100</v>
      </c>
      <c r="B49" s="139">
        <v>64000.0</v>
      </c>
      <c r="C49" s="139">
        <v>15.0</v>
      </c>
      <c r="D49" s="140">
        <f>0.5*G43+0.4*G44</f>
        <v>4.6</v>
      </c>
      <c r="E49" s="141">
        <v>6.7E-5</v>
      </c>
      <c r="K49" s="56"/>
      <c r="L49" s="56"/>
    </row>
    <row r="50" ht="12.0" customHeight="1">
      <c r="A50" s="135" t="s">
        <v>101</v>
      </c>
      <c r="B50" s="139">
        <v>64000.0</v>
      </c>
      <c r="C50" s="139">
        <v>30.0</v>
      </c>
      <c r="D50" s="140">
        <f>G44+0.5*G42+0.5*G43</f>
        <v>14.5</v>
      </c>
      <c r="E50" s="141">
        <v>1.32E-4</v>
      </c>
      <c r="K50" s="56"/>
      <c r="L50" s="56"/>
    </row>
    <row r="51" ht="12.0" customHeight="1">
      <c r="A51" s="56"/>
      <c r="B51" s="56"/>
      <c r="C51" s="56"/>
      <c r="E51" s="142"/>
      <c r="F51" s="143"/>
    </row>
    <row r="52" ht="12.0" customHeight="1">
      <c r="A52" s="14"/>
      <c r="B52" s="56"/>
      <c r="C52" s="56"/>
      <c r="D52" s="144"/>
      <c r="E52" s="145"/>
      <c r="F52" s="146"/>
    </row>
    <row r="53" ht="12.0" customHeight="1">
      <c r="A53" s="147" t="s">
        <v>102</v>
      </c>
      <c r="B53" s="3"/>
      <c r="C53" s="56"/>
      <c r="D53" s="148"/>
      <c r="E53" s="56"/>
    </row>
    <row r="54" ht="12.0" customHeight="1">
      <c r="A54" s="149" t="s">
        <v>103</v>
      </c>
      <c r="B54" s="150">
        <f>E47</f>
        <v>0.046988</v>
      </c>
      <c r="C54" s="56"/>
      <c r="D54" s="56"/>
      <c r="E54" s="56"/>
    </row>
    <row r="55" ht="12.0" customHeight="1">
      <c r="A55" s="149" t="s">
        <v>104</v>
      </c>
      <c r="B55" s="150">
        <f>1-(1-E48)*(1-E50)</f>
        <v>0.03469543702</v>
      </c>
      <c r="D55" s="151"/>
      <c r="E55" s="56"/>
    </row>
    <row r="56" ht="12.0" customHeight="1">
      <c r="A56" s="149" t="s">
        <v>105</v>
      </c>
      <c r="B56" s="150">
        <f>1-(1-E49)*(1-E50)</f>
        <v>0.000198991156</v>
      </c>
      <c r="E56" s="56"/>
    </row>
    <row r="57" ht="12.0" customHeight="1"/>
    <row r="58" ht="12.0" customHeight="1"/>
    <row r="59" ht="12.0" customHeight="1">
      <c r="A59" s="1" t="s">
        <v>106</v>
      </c>
    </row>
    <row r="60" ht="12.0" customHeight="1">
      <c r="A60" s="1" t="s">
        <v>107</v>
      </c>
    </row>
    <row r="61" ht="12.0" customHeight="1"/>
    <row r="62" ht="12.0" customHeight="1">
      <c r="A62" s="14" t="s">
        <v>21</v>
      </c>
    </row>
    <row r="63" ht="12.0" customHeight="1">
      <c r="A63" s="152" t="s">
        <v>23</v>
      </c>
      <c r="B63" s="153" t="s">
        <v>24</v>
      </c>
      <c r="C63" s="153" t="s">
        <v>25</v>
      </c>
      <c r="D63" s="154" t="s">
        <v>26</v>
      </c>
      <c r="E63" s="155" t="s">
        <v>27</v>
      </c>
      <c r="F63" s="154" t="s">
        <v>28</v>
      </c>
      <c r="G63" s="154" t="s">
        <v>29</v>
      </c>
      <c r="H63" s="154" t="s">
        <v>30</v>
      </c>
      <c r="I63" s="154" t="s">
        <v>31</v>
      </c>
    </row>
    <row r="64" ht="12.0" customHeight="1">
      <c r="A64" s="21" t="s">
        <v>35</v>
      </c>
      <c r="B64" s="48"/>
      <c r="C64" s="48"/>
      <c r="D64" s="48"/>
      <c r="E64" s="48"/>
      <c r="F64" s="48"/>
      <c r="G64" s="156"/>
      <c r="H64" s="156"/>
      <c r="I64" s="157"/>
    </row>
    <row r="65" ht="12.0" customHeight="1">
      <c r="A65" s="28" t="s">
        <v>36</v>
      </c>
      <c r="B65" s="158">
        <v>128000.0</v>
      </c>
      <c r="C65" s="30">
        <v>1000.0</v>
      </c>
      <c r="D65" s="31">
        <f t="shared" ref="D65:D66" si="26">C65/200000</f>
        <v>0.005</v>
      </c>
      <c r="E65" s="32">
        <v>4.0</v>
      </c>
      <c r="F65" s="33">
        <f>$F$6 * 8/B65</f>
        <v>0.1</v>
      </c>
      <c r="G65" s="33">
        <f t="shared" ref="G65:G66" si="27">E65/(1/F65)</f>
        <v>0.4</v>
      </c>
      <c r="H65" s="33">
        <f>F65/(1-G65)</f>
        <v>0.1666666667</v>
      </c>
      <c r="I65" s="34">
        <f t="shared" ref="I65:I66" si="28">D65 + H65</f>
        <v>0.1716666667</v>
      </c>
    </row>
    <row r="66" ht="12.0" customHeight="1">
      <c r="A66" s="38" t="s">
        <v>38</v>
      </c>
      <c r="B66" s="159">
        <v>128000.0</v>
      </c>
      <c r="C66" s="40">
        <v>1000.0</v>
      </c>
      <c r="D66" s="41">
        <f t="shared" si="26"/>
        <v>0.005</v>
      </c>
      <c r="E66" s="42">
        <v>4.0</v>
      </c>
      <c r="F66" s="43">
        <f>$F$8 * 8/B66</f>
        <v>0.03</v>
      </c>
      <c r="G66" s="43">
        <f t="shared" si="27"/>
        <v>0.12</v>
      </c>
      <c r="H66" s="43">
        <f>(F66/(1-G66))*(1-G66/2)</f>
        <v>0.03204545455</v>
      </c>
      <c r="I66" s="44">
        <f t="shared" si="28"/>
        <v>0.03704545455</v>
      </c>
    </row>
    <row r="67" ht="12.0" customHeight="1">
      <c r="A67" s="21" t="s">
        <v>40</v>
      </c>
      <c r="B67" s="48"/>
      <c r="C67" s="48"/>
      <c r="D67" s="29"/>
      <c r="E67" s="49"/>
      <c r="F67" s="50"/>
      <c r="G67" s="50"/>
      <c r="H67" s="50"/>
      <c r="I67" s="51"/>
    </row>
    <row r="68" ht="12.0" customHeight="1">
      <c r="A68" s="28" t="s">
        <v>41</v>
      </c>
      <c r="B68" s="30">
        <v>128000.0</v>
      </c>
      <c r="C68" s="54">
        <v>0.0</v>
      </c>
      <c r="D68" s="31">
        <f t="shared" ref="D68:D72" si="29">C68/200000</f>
        <v>0</v>
      </c>
      <c r="E68" s="55">
        <f>E74+E65</f>
        <v>7</v>
      </c>
      <c r="F68" s="33">
        <f>$F$6 * 8/B68</f>
        <v>0.1</v>
      </c>
      <c r="G68" s="33">
        <f t="shared" ref="G68:G69" si="30">E68/(1/F68)</f>
        <v>0.7</v>
      </c>
      <c r="H68" s="33">
        <f>F68/(1-G68)</f>
        <v>0.3333333333</v>
      </c>
      <c r="I68" s="34">
        <f t="shared" ref="I68:I69" si="31">D68 + H68</f>
        <v>0.3333333333</v>
      </c>
    </row>
    <row r="69" ht="12.0" customHeight="1">
      <c r="A69" s="38" t="s">
        <v>43</v>
      </c>
      <c r="B69" s="40">
        <v>128000.0</v>
      </c>
      <c r="C69" s="58">
        <v>0.0</v>
      </c>
      <c r="D69" s="41">
        <f t="shared" si="29"/>
        <v>0</v>
      </c>
      <c r="E69" s="59">
        <f>E66</f>
        <v>4</v>
      </c>
      <c r="F69" s="43">
        <f>$F$8 * 8/B69</f>
        <v>0.03</v>
      </c>
      <c r="G69" s="43">
        <f t="shared" si="30"/>
        <v>0.12</v>
      </c>
      <c r="H69" s="43">
        <f>(F69/(1-G69))*(1 - G69/2)</f>
        <v>0.03204545455</v>
      </c>
      <c r="I69" s="44">
        <f t="shared" si="31"/>
        <v>0.03204545455</v>
      </c>
    </row>
    <row r="70" ht="12.0" customHeight="1">
      <c r="A70" s="60" t="s">
        <v>45</v>
      </c>
      <c r="B70" s="61"/>
      <c r="C70" s="61"/>
      <c r="D70" s="31">
        <f t="shared" si="29"/>
        <v>0</v>
      </c>
      <c r="E70" s="62"/>
      <c r="F70" s="50"/>
      <c r="G70" s="50"/>
      <c r="H70" s="50"/>
      <c r="I70" s="51"/>
    </row>
    <row r="71" ht="12.0" customHeight="1">
      <c r="A71" s="28" t="s">
        <v>46</v>
      </c>
      <c r="B71" s="63">
        <v>64000.0</v>
      </c>
      <c r="C71" s="63">
        <v>800.0</v>
      </c>
      <c r="D71" s="64">
        <f t="shared" si="29"/>
        <v>0.004</v>
      </c>
      <c r="E71" s="65">
        <v>0.0</v>
      </c>
      <c r="F71" s="66">
        <f>1600 * 8/B71</f>
        <v>0.2</v>
      </c>
      <c r="G71" s="66">
        <f t="shared" ref="G71:G72" si="32">E71/(1/F71)</f>
        <v>0</v>
      </c>
      <c r="H71" s="66">
        <f t="shared" ref="H71:H72" si="33">F71/(1-G71)</f>
        <v>0.2</v>
      </c>
      <c r="I71" s="67">
        <f t="shared" ref="I71:I72" si="34">D71 + H71</f>
        <v>0.204</v>
      </c>
    </row>
    <row r="72" ht="12.0" customHeight="1">
      <c r="A72" s="28" t="s">
        <v>48</v>
      </c>
      <c r="B72" s="70">
        <v>64000.0</v>
      </c>
      <c r="C72" s="70">
        <v>800.0</v>
      </c>
      <c r="D72" s="41">
        <f t="shared" si="29"/>
        <v>0.004</v>
      </c>
      <c r="E72" s="59">
        <f>5*0.2</f>
        <v>1</v>
      </c>
      <c r="F72" s="43">
        <f>$F$7 * 8/B72</f>
        <v>0.2</v>
      </c>
      <c r="G72" s="43">
        <f t="shared" si="32"/>
        <v>0.2</v>
      </c>
      <c r="H72" s="43">
        <f t="shared" si="33"/>
        <v>0.25</v>
      </c>
      <c r="I72" s="44">
        <f t="shared" si="34"/>
        <v>0.254</v>
      </c>
    </row>
    <row r="73" ht="12.0" customHeight="1">
      <c r="A73" s="21" t="s">
        <v>50</v>
      </c>
      <c r="B73" s="48"/>
      <c r="C73" s="48"/>
      <c r="D73" s="29"/>
      <c r="E73" s="49"/>
      <c r="F73" s="50"/>
      <c r="G73" s="50"/>
      <c r="H73" s="50"/>
      <c r="I73" s="51"/>
    </row>
    <row r="74" ht="12.0" customHeight="1">
      <c r="A74" s="28" t="s">
        <v>51</v>
      </c>
      <c r="B74" s="158">
        <v>256000.0</v>
      </c>
      <c r="C74" s="30">
        <v>600.0</v>
      </c>
      <c r="D74" s="31">
        <f t="shared" ref="D74:D75" si="35">C74/200000</f>
        <v>0.003</v>
      </c>
      <c r="E74" s="55">
        <f>5*0.6</f>
        <v>3</v>
      </c>
      <c r="F74" s="33">
        <f>$F$7 * 8/B74</f>
        <v>0.05</v>
      </c>
      <c r="G74" s="33">
        <f t="shared" ref="G74:G75" si="36">E74/(1/F74)</f>
        <v>0.15</v>
      </c>
      <c r="H74" s="33">
        <f t="shared" ref="H74:H75" si="37">F74/(1-G74)</f>
        <v>0.05882352941</v>
      </c>
      <c r="I74" s="34">
        <f t="shared" ref="I74:I75" si="38">D74 + H74</f>
        <v>0.06182352941</v>
      </c>
    </row>
    <row r="75" ht="12.0" customHeight="1">
      <c r="A75" s="38" t="s">
        <v>53</v>
      </c>
      <c r="B75" s="71">
        <v>64000.0</v>
      </c>
      <c r="C75" s="71">
        <v>600.0</v>
      </c>
      <c r="D75" s="72">
        <f t="shared" si="35"/>
        <v>0.003</v>
      </c>
      <c r="E75" s="73">
        <v>0.0</v>
      </c>
      <c r="F75" s="74">
        <f>1600 * 8/B75</f>
        <v>0.2</v>
      </c>
      <c r="G75" s="74">
        <f t="shared" si="36"/>
        <v>0</v>
      </c>
      <c r="H75" s="74">
        <f t="shared" si="37"/>
        <v>0.2</v>
      </c>
      <c r="I75" s="75">
        <f t="shared" si="38"/>
        <v>0.203</v>
      </c>
    </row>
    <row r="76" ht="12.0" customHeight="1">
      <c r="A76" s="21" t="s">
        <v>55</v>
      </c>
      <c r="B76" s="29"/>
      <c r="C76" s="76"/>
      <c r="D76" s="77"/>
      <c r="E76" s="62"/>
      <c r="F76" s="50"/>
      <c r="G76" s="78"/>
      <c r="H76" s="78"/>
      <c r="I76" s="79"/>
    </row>
    <row r="77" ht="12.0" customHeight="1">
      <c r="A77" s="28" t="s">
        <v>56</v>
      </c>
      <c r="B77" s="63">
        <v>64000.0</v>
      </c>
      <c r="C77" s="63">
        <v>800.0</v>
      </c>
      <c r="D77" s="64">
        <f t="shared" ref="D77:D78" si="39">C77/200000</f>
        <v>0.004</v>
      </c>
      <c r="E77" s="65">
        <v>0.0</v>
      </c>
      <c r="F77" s="80">
        <f t="shared" ref="F77:F78" si="40">$F$9 * 8/B77</f>
        <v>0.06</v>
      </c>
      <c r="G77" s="66">
        <f t="shared" ref="G77:G78" si="41">E77/(1/F77)</f>
        <v>0</v>
      </c>
      <c r="H77" s="66">
        <f>F77/(1-G77)</f>
        <v>0.06</v>
      </c>
      <c r="I77" s="67">
        <f t="shared" ref="I77:I78" si="42">D77 + H77</f>
        <v>0.064</v>
      </c>
    </row>
    <row r="78" ht="12.0" customHeight="1">
      <c r="A78" s="38" t="s">
        <v>58</v>
      </c>
      <c r="B78" s="30">
        <v>64000.0</v>
      </c>
      <c r="C78" s="30">
        <v>800.0</v>
      </c>
      <c r="D78" s="81">
        <f t="shared" si="39"/>
        <v>0.004</v>
      </c>
      <c r="E78" s="55">
        <f>5*0.6</f>
        <v>3</v>
      </c>
      <c r="F78" s="82">
        <f t="shared" si="40"/>
        <v>0.06</v>
      </c>
      <c r="G78" s="83">
        <f t="shared" si="41"/>
        <v>0.18</v>
      </c>
      <c r="H78" s="83">
        <f>(F78/(1-G78))*(1 - G78/2)</f>
        <v>0.06658536585</v>
      </c>
      <c r="I78" s="84">
        <f t="shared" si="42"/>
        <v>0.07058536585</v>
      </c>
    </row>
    <row r="79" ht="12.0" customHeight="1">
      <c r="A79" s="21" t="s">
        <v>60</v>
      </c>
      <c r="B79" s="48"/>
      <c r="C79" s="48"/>
      <c r="D79" s="77"/>
      <c r="E79" s="49"/>
      <c r="F79" s="85"/>
      <c r="G79" s="86"/>
      <c r="H79" s="86"/>
      <c r="I79" s="87"/>
    </row>
    <row r="80" ht="12.0" customHeight="1">
      <c r="A80" s="28" t="s">
        <v>61</v>
      </c>
      <c r="B80" s="158">
        <v>64000.0</v>
      </c>
      <c r="C80" s="54">
        <v>0.0</v>
      </c>
      <c r="D80" s="77">
        <f t="shared" ref="D80:D81" si="43">C80/200000</f>
        <v>0</v>
      </c>
      <c r="E80" s="55">
        <f>E78</f>
        <v>3</v>
      </c>
      <c r="F80" s="89">
        <f>$F$9 * 8/B80</f>
        <v>0.06</v>
      </c>
      <c r="G80" s="86">
        <f t="shared" ref="G80:G81" si="44">E80/(1/F80)</f>
        <v>0.18</v>
      </c>
      <c r="H80" s="86">
        <f>(F80/(1-G80))*(1-G80/2)</f>
        <v>0.06658536585</v>
      </c>
      <c r="I80" s="87">
        <f t="shared" ref="I80:I81" si="45">D80 + H80</f>
        <v>0.06658536585</v>
      </c>
      <c r="J80" s="160" t="s">
        <v>108</v>
      </c>
      <c r="K80" s="160" t="s">
        <v>109</v>
      </c>
    </row>
    <row r="81" ht="12.0" customHeight="1">
      <c r="A81" s="161" t="s">
        <v>63</v>
      </c>
      <c r="B81" s="159">
        <v>64000.0</v>
      </c>
      <c r="C81" s="54">
        <v>0.0</v>
      </c>
      <c r="D81" s="81">
        <f t="shared" si="43"/>
        <v>0</v>
      </c>
      <c r="E81" s="59">
        <f>5</f>
        <v>5</v>
      </c>
      <c r="F81" s="82">
        <f>$F$7 * 8/B81</f>
        <v>0.2</v>
      </c>
      <c r="G81" s="83">
        <f t="shared" si="44"/>
        <v>1</v>
      </c>
      <c r="H81" s="83">
        <f>F81*(1+K81/(3-G81))</f>
        <v>0.2015152</v>
      </c>
      <c r="I81" s="84">
        <f t="shared" si="45"/>
        <v>0.2015152</v>
      </c>
      <c r="J81" s="162" t="s">
        <v>110</v>
      </c>
      <c r="K81" s="163">
        <v>0.015152</v>
      </c>
    </row>
    <row r="82" ht="12.0" customHeight="1">
      <c r="C82" s="93"/>
      <c r="H82" s="164"/>
    </row>
    <row r="83" ht="12.0" customHeight="1">
      <c r="A83" s="96" t="s">
        <v>65</v>
      </c>
      <c r="B83" s="97"/>
      <c r="C83" s="3"/>
      <c r="G83" s="165"/>
    </row>
    <row r="84" ht="12.0" customHeight="1">
      <c r="A84" s="101" t="s">
        <v>111</v>
      </c>
      <c r="B84" s="3"/>
      <c r="C84" s="102">
        <f>I65+I68</f>
        <v>0.505</v>
      </c>
    </row>
    <row r="85" ht="12.0" customHeight="1">
      <c r="A85" s="101" t="s">
        <v>112</v>
      </c>
      <c r="B85" s="3"/>
      <c r="C85" s="106">
        <f>I69+I66</f>
        <v>0.06909090909</v>
      </c>
    </row>
    <row r="86" ht="12.0" customHeight="1">
      <c r="A86" s="110" t="s">
        <v>113</v>
      </c>
      <c r="B86" s="111"/>
      <c r="C86" s="102">
        <f>I81+I72</f>
        <v>0.4555152</v>
      </c>
    </row>
    <row r="87" ht="12.0" customHeight="1">
      <c r="A87" s="101" t="s">
        <v>114</v>
      </c>
      <c r="B87" s="3"/>
      <c r="C87" s="102">
        <f>I81+I74+I68</f>
        <v>0.5966720627</v>
      </c>
    </row>
    <row r="88" ht="12.0" customHeight="1">
      <c r="A88" s="101" t="s">
        <v>115</v>
      </c>
      <c r="B88" s="3"/>
      <c r="C88" s="106">
        <f>I78+I80</f>
        <v>0.1371707317</v>
      </c>
    </row>
    <row r="89" ht="12.0" customHeight="1">
      <c r="A89" s="56"/>
      <c r="B89" s="56"/>
      <c r="C89" s="56"/>
    </row>
    <row r="90" ht="12.0" customHeight="1">
      <c r="A90" s="56"/>
      <c r="B90" s="56"/>
      <c r="C90" s="56"/>
    </row>
    <row r="91" ht="12.0" customHeight="1">
      <c r="A91" s="115" t="s">
        <v>77</v>
      </c>
      <c r="B91" s="3"/>
      <c r="C91" s="56"/>
    </row>
    <row r="92" ht="12.0" customHeight="1">
      <c r="A92" s="56"/>
      <c r="B92" s="56"/>
      <c r="C92" s="56"/>
    </row>
    <row r="93" ht="12.0" customHeight="1">
      <c r="A93" s="116" t="s">
        <v>2</v>
      </c>
      <c r="B93" s="117" t="s">
        <v>3</v>
      </c>
      <c r="C93" s="117" t="s">
        <v>78</v>
      </c>
      <c r="D93" s="166" t="s">
        <v>79</v>
      </c>
      <c r="E93" s="167" t="s">
        <v>80</v>
      </c>
      <c r="F93" s="117" t="s">
        <v>9</v>
      </c>
      <c r="G93" s="117" t="s">
        <v>81</v>
      </c>
    </row>
    <row r="94" ht="12.0" customHeight="1">
      <c r="A94" s="123" t="s">
        <v>84</v>
      </c>
      <c r="B94" s="124" t="s">
        <v>85</v>
      </c>
      <c r="C94" s="125">
        <v>360.0</v>
      </c>
      <c r="D94" s="142">
        <v>2.5</v>
      </c>
      <c r="E94" s="127">
        <f t="shared" ref="E94:E96" si="46">C94/60</f>
        <v>6</v>
      </c>
      <c r="F94" s="127">
        <f t="shared" ref="F94:F96" si="47">1/E94</f>
        <v>0.1666666667</v>
      </c>
      <c r="G94" s="127">
        <f t="shared" ref="G94:G96" si="48">E94/(1/D94)</f>
        <v>15</v>
      </c>
    </row>
    <row r="95" ht="12.0" customHeight="1">
      <c r="A95" s="123" t="s">
        <v>87</v>
      </c>
      <c r="B95" s="124" t="s">
        <v>88</v>
      </c>
      <c r="C95" s="130">
        <v>180.0</v>
      </c>
      <c r="D95" s="130">
        <v>2.0</v>
      </c>
      <c r="E95" s="127">
        <f t="shared" si="46"/>
        <v>3</v>
      </c>
      <c r="F95" s="127">
        <f t="shared" si="47"/>
        <v>0.3333333333</v>
      </c>
      <c r="G95" s="127">
        <f t="shared" si="48"/>
        <v>6</v>
      </c>
    </row>
    <row r="96" ht="12.0" customHeight="1">
      <c r="A96" s="123" t="s">
        <v>90</v>
      </c>
      <c r="B96" s="124" t="s">
        <v>91</v>
      </c>
      <c r="C96" s="130">
        <v>60.0</v>
      </c>
      <c r="D96" s="168">
        <v>4.0</v>
      </c>
      <c r="E96" s="127">
        <f t="shared" si="46"/>
        <v>1</v>
      </c>
      <c r="F96" s="127">
        <f t="shared" si="47"/>
        <v>1</v>
      </c>
      <c r="G96" s="127">
        <f t="shared" si="48"/>
        <v>4</v>
      </c>
    </row>
    <row r="97" ht="12.0" customHeight="1">
      <c r="A97" s="56"/>
      <c r="B97" s="56"/>
      <c r="C97" s="56"/>
    </row>
    <row r="98" ht="12.0" customHeight="1">
      <c r="A98" s="116" t="s">
        <v>23</v>
      </c>
      <c r="B98" s="132" t="s">
        <v>94</v>
      </c>
      <c r="C98" s="133" t="s">
        <v>95</v>
      </c>
      <c r="D98" s="134" t="s">
        <v>96</v>
      </c>
      <c r="E98" s="117" t="s">
        <v>97</v>
      </c>
    </row>
    <row r="99" ht="12.0" customHeight="1">
      <c r="A99" s="135" t="s">
        <v>35</v>
      </c>
      <c r="B99" s="136">
        <v>64000.0</v>
      </c>
      <c r="C99" s="169">
        <v>18.0</v>
      </c>
      <c r="D99" s="137">
        <f>(G94+G95)*0.5</f>
        <v>10.5</v>
      </c>
      <c r="E99" s="170">
        <v>0.010471</v>
      </c>
    </row>
    <row r="100" ht="12.0" customHeight="1">
      <c r="A100" s="135" t="s">
        <v>45</v>
      </c>
      <c r="B100" s="139">
        <v>64000.0</v>
      </c>
      <c r="C100" s="169">
        <v>17.0</v>
      </c>
      <c r="D100" s="140">
        <f>0.5*G94+0.6*G96</f>
        <v>9.9</v>
      </c>
      <c r="E100" s="171">
        <v>0.012048</v>
      </c>
    </row>
    <row r="101" ht="12.0" customHeight="1">
      <c r="A101" s="135" t="s">
        <v>100</v>
      </c>
      <c r="B101" s="139">
        <v>64000.0</v>
      </c>
      <c r="C101" s="139">
        <v>15.0</v>
      </c>
      <c r="D101" s="140">
        <f>0.5*G95+0.4*G96</f>
        <v>4.6</v>
      </c>
      <c r="E101" s="141">
        <v>6.7E-5</v>
      </c>
    </row>
    <row r="102" ht="12.0" customHeight="1">
      <c r="A102" s="135" t="s">
        <v>101</v>
      </c>
      <c r="B102" s="139">
        <v>64000.0</v>
      </c>
      <c r="C102" s="169">
        <v>27.0</v>
      </c>
      <c r="D102" s="140">
        <f>G96+0.5*G94+0.5*G95</f>
        <v>14.5</v>
      </c>
      <c r="E102" s="171">
        <v>0.001005</v>
      </c>
    </row>
    <row r="103" ht="12.0" customHeight="1">
      <c r="A103" s="56"/>
      <c r="B103" s="56"/>
      <c r="C103" s="56"/>
      <c r="E103" s="142"/>
      <c r="F103" s="143"/>
    </row>
    <row r="104" ht="12.0" customHeight="1">
      <c r="A104" s="14"/>
      <c r="B104" s="56"/>
      <c r="C104" s="56"/>
      <c r="D104" s="144"/>
      <c r="E104" s="145"/>
      <c r="F104" s="146"/>
    </row>
    <row r="105" ht="12.0" customHeight="1">
      <c r="A105" s="147" t="s">
        <v>102</v>
      </c>
      <c r="B105" s="3"/>
      <c r="C105" s="56"/>
      <c r="D105" s="151"/>
      <c r="E105" s="56"/>
    </row>
    <row r="106" ht="12.0" customHeight="1">
      <c r="A106" s="149" t="s">
        <v>103</v>
      </c>
      <c r="B106" s="150">
        <f>E99</f>
        <v>0.010471</v>
      </c>
      <c r="C106" s="45"/>
      <c r="D106" s="56"/>
      <c r="E106" s="56"/>
    </row>
    <row r="107" ht="12.0" customHeight="1">
      <c r="A107" s="149" t="s">
        <v>104</v>
      </c>
      <c r="B107" s="150">
        <f>1-(1-E100)*(1-E102)</f>
        <v>0.01304089176</v>
      </c>
      <c r="D107" s="148"/>
      <c r="E107" s="56"/>
    </row>
    <row r="108" ht="12.0" customHeight="1">
      <c r="A108" s="149" t="s">
        <v>105</v>
      </c>
      <c r="B108" s="150">
        <f>1-(1-E101)*(1-E102)</f>
        <v>0.001071932665</v>
      </c>
      <c r="E108" s="45"/>
    </row>
    <row r="109" ht="12.0" customHeight="1">
      <c r="A109" s="45"/>
      <c r="B109" s="45"/>
      <c r="C109" s="45"/>
    </row>
    <row r="110" ht="12.0" customHeight="1">
      <c r="A110" s="45"/>
      <c r="B110" s="45"/>
      <c r="C110" s="45"/>
    </row>
    <row r="111" ht="12.0" customHeight="1">
      <c r="A111" s="45"/>
      <c r="B111" s="45"/>
      <c r="C111" s="45"/>
    </row>
    <row r="112" ht="12.0" customHeight="1">
      <c r="A112" s="45"/>
      <c r="B112" s="45"/>
      <c r="C112" s="45"/>
    </row>
    <row r="113" ht="12.0" customHeight="1">
      <c r="A113" s="45"/>
      <c r="B113" s="45"/>
      <c r="C113" s="45"/>
    </row>
    <row r="114" ht="12.0" customHeight="1">
      <c r="A114" s="45"/>
      <c r="B114" s="45"/>
      <c r="C114" s="45"/>
    </row>
    <row r="115" ht="12.0" customHeight="1">
      <c r="A115" s="45"/>
      <c r="B115" s="45"/>
      <c r="C115" s="45"/>
    </row>
    <row r="116" ht="12.0" customHeight="1">
      <c r="A116" s="45"/>
      <c r="B116" s="45"/>
      <c r="C116" s="45"/>
    </row>
    <row r="117" ht="12.0" customHeight="1">
      <c r="A117" s="45"/>
      <c r="B117" s="45"/>
      <c r="C117" s="45"/>
    </row>
    <row r="118" ht="12.0" customHeight="1">
      <c r="A118" s="45"/>
      <c r="B118" s="45"/>
      <c r="C118" s="45"/>
    </row>
    <row r="119" ht="12.0" customHeight="1">
      <c r="A119" s="45"/>
      <c r="B119" s="45"/>
      <c r="C119" s="45"/>
    </row>
    <row r="120" ht="12.0" customHeight="1">
      <c r="A120" s="45"/>
      <c r="B120" s="45"/>
      <c r="C120" s="45"/>
    </row>
    <row r="121" ht="12.0" customHeight="1">
      <c r="A121" s="45"/>
      <c r="B121" s="45"/>
      <c r="C121" s="45"/>
    </row>
    <row r="122" ht="12.0" customHeight="1">
      <c r="A122" s="45"/>
      <c r="B122" s="45"/>
      <c r="C122" s="45"/>
    </row>
    <row r="123" ht="12.0" customHeight="1">
      <c r="A123" s="45"/>
      <c r="B123" s="45"/>
      <c r="C123" s="45"/>
    </row>
    <row r="124" ht="12.0" customHeight="1">
      <c r="A124" s="45"/>
      <c r="B124" s="45"/>
      <c r="C124" s="45"/>
    </row>
    <row r="125" ht="12.0" customHeight="1">
      <c r="A125" s="45"/>
      <c r="B125" s="45"/>
      <c r="C125" s="45"/>
    </row>
    <row r="126" ht="12.0" customHeight="1">
      <c r="A126" s="45"/>
      <c r="B126" s="45"/>
      <c r="C126" s="45"/>
    </row>
    <row r="127" ht="12.0" customHeight="1">
      <c r="A127" s="45"/>
      <c r="B127" s="45"/>
      <c r="C127" s="45"/>
    </row>
    <row r="128" ht="12.0" customHeight="1">
      <c r="A128" s="45"/>
      <c r="B128" s="45"/>
      <c r="C128" s="45"/>
    </row>
    <row r="129" ht="12.0" customHeight="1">
      <c r="A129" s="45"/>
      <c r="B129" s="45"/>
      <c r="C129" s="45"/>
    </row>
    <row r="130" ht="12.0" customHeight="1">
      <c r="A130" s="45"/>
      <c r="B130" s="45"/>
      <c r="C130" s="45"/>
    </row>
    <row r="131" ht="12.0" customHeight="1">
      <c r="A131" s="45"/>
      <c r="B131" s="45"/>
      <c r="C131" s="45"/>
    </row>
    <row r="132" ht="12.0" customHeight="1">
      <c r="A132" s="45"/>
      <c r="B132" s="45"/>
      <c r="C132" s="45"/>
    </row>
    <row r="133" ht="12.0" customHeight="1">
      <c r="A133" s="45"/>
      <c r="B133" s="45"/>
      <c r="C133" s="45"/>
    </row>
    <row r="134" ht="12.0" customHeight="1">
      <c r="A134" s="45"/>
      <c r="B134" s="45"/>
      <c r="C134" s="45"/>
    </row>
    <row r="135" ht="12.0" customHeight="1">
      <c r="A135" s="45"/>
      <c r="B135" s="45"/>
      <c r="C135" s="45"/>
    </row>
    <row r="136" ht="12.0" customHeight="1">
      <c r="A136" s="45"/>
      <c r="B136" s="45"/>
      <c r="C136" s="45"/>
    </row>
    <row r="137" ht="12.0" customHeight="1">
      <c r="A137" s="45"/>
      <c r="B137" s="45"/>
      <c r="C137" s="45"/>
    </row>
    <row r="138" ht="12.0" customHeight="1">
      <c r="A138" s="45"/>
      <c r="B138" s="45"/>
      <c r="C138" s="45"/>
    </row>
    <row r="139" ht="12.0" customHeight="1">
      <c r="A139" s="45"/>
      <c r="B139" s="45"/>
      <c r="C139" s="45"/>
    </row>
    <row r="140" ht="12.0" customHeight="1">
      <c r="A140" s="45"/>
      <c r="B140" s="45"/>
      <c r="C140" s="45"/>
    </row>
    <row r="141" ht="12.0" customHeight="1">
      <c r="A141" s="45"/>
      <c r="B141" s="45"/>
      <c r="C141" s="45"/>
    </row>
    <row r="142" ht="12.0" customHeight="1">
      <c r="A142" s="45"/>
      <c r="B142" s="45"/>
      <c r="C142" s="45"/>
    </row>
    <row r="143" ht="12.0" customHeight="1">
      <c r="A143" s="45"/>
      <c r="B143" s="45"/>
      <c r="C143" s="45"/>
    </row>
    <row r="144" ht="12.0" customHeight="1">
      <c r="A144" s="45"/>
      <c r="B144" s="45"/>
      <c r="C144" s="45"/>
    </row>
    <row r="145" ht="12.0" customHeight="1">
      <c r="A145" s="45"/>
      <c r="B145" s="45"/>
      <c r="C145" s="45"/>
    </row>
    <row r="146" ht="12.0" customHeight="1">
      <c r="A146" s="45"/>
      <c r="B146" s="45"/>
      <c r="C146" s="45"/>
    </row>
    <row r="147" ht="12.0" customHeight="1">
      <c r="A147" s="45"/>
      <c r="B147" s="45"/>
      <c r="C147" s="45"/>
    </row>
    <row r="148" ht="12.0" customHeight="1">
      <c r="A148" s="45"/>
      <c r="B148" s="45"/>
      <c r="C148" s="45"/>
    </row>
    <row r="149" ht="12.0" customHeight="1">
      <c r="A149" s="45"/>
      <c r="B149" s="45"/>
      <c r="C149" s="45"/>
    </row>
    <row r="150" ht="12.0" customHeight="1">
      <c r="A150" s="45"/>
      <c r="B150" s="45"/>
      <c r="C150" s="45"/>
    </row>
    <row r="151" ht="12.0" customHeight="1">
      <c r="A151" s="45"/>
      <c r="B151" s="45"/>
      <c r="C151" s="45"/>
    </row>
    <row r="152" ht="12.0" customHeight="1">
      <c r="A152" s="45"/>
      <c r="B152" s="45"/>
      <c r="C152" s="45"/>
    </row>
    <row r="153" ht="12.0" customHeight="1">
      <c r="A153" s="45"/>
      <c r="B153" s="45"/>
      <c r="C153" s="45"/>
    </row>
    <row r="154" ht="12.0" customHeight="1">
      <c r="A154" s="45"/>
      <c r="B154" s="45"/>
      <c r="C154" s="45"/>
    </row>
    <row r="155" ht="12.0" customHeight="1">
      <c r="A155" s="45"/>
      <c r="B155" s="45"/>
      <c r="C155" s="45"/>
    </row>
    <row r="156" ht="12.0" customHeight="1">
      <c r="A156" s="45"/>
      <c r="B156" s="45"/>
      <c r="C156" s="45"/>
    </row>
    <row r="157" ht="12.0" customHeight="1">
      <c r="A157" s="45"/>
      <c r="B157" s="45"/>
      <c r="C157" s="45"/>
    </row>
    <row r="158" ht="12.0" customHeight="1">
      <c r="A158" s="45"/>
      <c r="B158" s="45"/>
      <c r="C158" s="45"/>
    </row>
    <row r="159" ht="12.0" customHeight="1">
      <c r="A159" s="45"/>
      <c r="B159" s="45"/>
      <c r="C159" s="45"/>
    </row>
    <row r="160" ht="12.0" customHeight="1">
      <c r="A160" s="45"/>
      <c r="B160" s="45"/>
      <c r="C160" s="45"/>
    </row>
    <row r="161" ht="12.0" customHeight="1">
      <c r="A161" s="45"/>
      <c r="B161" s="45"/>
      <c r="C161" s="45"/>
    </row>
    <row r="162" ht="12.0" customHeight="1">
      <c r="A162" s="45"/>
      <c r="B162" s="45"/>
      <c r="C162" s="45"/>
    </row>
    <row r="163" ht="12.0" customHeight="1">
      <c r="A163" s="45"/>
      <c r="B163" s="45"/>
      <c r="C163" s="45"/>
    </row>
    <row r="164" ht="12.0" customHeight="1">
      <c r="A164" s="45"/>
      <c r="B164" s="45"/>
      <c r="C164" s="45"/>
    </row>
    <row r="165" ht="12.0" customHeight="1">
      <c r="A165" s="45"/>
      <c r="B165" s="45"/>
      <c r="C165" s="45"/>
    </row>
    <row r="166" ht="12.0" customHeight="1">
      <c r="A166" s="45"/>
      <c r="B166" s="45"/>
      <c r="C166" s="45"/>
    </row>
    <row r="167" ht="12.0" customHeight="1">
      <c r="A167" s="45"/>
      <c r="B167" s="45"/>
      <c r="C167" s="45"/>
    </row>
    <row r="168" ht="12.0" customHeight="1">
      <c r="A168" s="45"/>
      <c r="B168" s="45"/>
      <c r="C168" s="45"/>
    </row>
    <row r="169" ht="12.0" customHeight="1">
      <c r="A169" s="45"/>
      <c r="B169" s="45"/>
      <c r="C169" s="45"/>
    </row>
    <row r="170" ht="12.0" customHeight="1">
      <c r="A170" s="45"/>
      <c r="B170" s="45"/>
      <c r="C170" s="45"/>
    </row>
    <row r="171" ht="12.0" customHeight="1">
      <c r="A171" s="45"/>
      <c r="B171" s="45"/>
      <c r="C171" s="45"/>
    </row>
    <row r="172" ht="12.0" customHeight="1">
      <c r="A172" s="45"/>
      <c r="B172" s="45"/>
      <c r="C172" s="45"/>
    </row>
    <row r="173" ht="12.0" customHeight="1">
      <c r="A173" s="45"/>
      <c r="B173" s="45"/>
      <c r="C173" s="45"/>
    </row>
    <row r="174" ht="12.0" customHeight="1">
      <c r="A174" s="45"/>
      <c r="B174" s="45"/>
      <c r="C174" s="45"/>
    </row>
    <row r="175" ht="12.0" customHeight="1">
      <c r="A175" s="45"/>
      <c r="B175" s="45"/>
      <c r="C175" s="45"/>
    </row>
    <row r="176" ht="12.0" customHeight="1">
      <c r="A176" s="45"/>
      <c r="B176" s="45"/>
      <c r="C176" s="45"/>
    </row>
    <row r="177" ht="12.0" customHeight="1">
      <c r="A177" s="45"/>
      <c r="B177" s="45"/>
      <c r="C177" s="45"/>
    </row>
    <row r="178" ht="12.0" customHeight="1">
      <c r="A178" s="45"/>
      <c r="B178" s="45"/>
      <c r="C178" s="45"/>
    </row>
    <row r="179" ht="12.0" customHeight="1">
      <c r="A179" s="45"/>
      <c r="B179" s="45"/>
      <c r="C179" s="45"/>
    </row>
    <row r="180" ht="12.0" customHeight="1">
      <c r="A180" s="45"/>
      <c r="B180" s="45"/>
      <c r="C180" s="45"/>
    </row>
    <row r="181" ht="12.0" customHeight="1">
      <c r="A181" s="45"/>
      <c r="B181" s="45"/>
      <c r="C181" s="45"/>
    </row>
    <row r="182" ht="12.0" customHeight="1">
      <c r="A182" s="45"/>
      <c r="B182" s="45"/>
      <c r="C182" s="45"/>
    </row>
    <row r="183" ht="12.0" customHeight="1">
      <c r="A183" s="45"/>
      <c r="B183" s="45"/>
      <c r="C183" s="45"/>
    </row>
    <row r="184" ht="12.0" customHeight="1">
      <c r="A184" s="45"/>
      <c r="B184" s="45"/>
      <c r="C184" s="45"/>
    </row>
    <row r="185" ht="12.0" customHeight="1">
      <c r="A185" s="45"/>
      <c r="B185" s="45"/>
      <c r="C185" s="45"/>
    </row>
    <row r="186" ht="12.0" customHeight="1">
      <c r="A186" s="45"/>
      <c r="B186" s="45"/>
      <c r="C186" s="45"/>
    </row>
    <row r="187" ht="12.0" customHeight="1">
      <c r="A187" s="45"/>
      <c r="B187" s="45"/>
      <c r="C187" s="45"/>
    </row>
    <row r="188" ht="12.0" customHeight="1">
      <c r="A188" s="45"/>
      <c r="B188" s="45"/>
      <c r="C188" s="45"/>
    </row>
    <row r="189" ht="12.0" customHeight="1">
      <c r="A189" s="45"/>
      <c r="B189" s="45"/>
      <c r="C189" s="45"/>
    </row>
    <row r="190" ht="12.0" customHeight="1">
      <c r="A190" s="45"/>
      <c r="B190" s="45"/>
      <c r="C190" s="45"/>
    </row>
    <row r="191" ht="12.0" customHeight="1">
      <c r="A191" s="45"/>
      <c r="B191" s="45"/>
      <c r="C191" s="45"/>
    </row>
    <row r="192" ht="12.0" customHeight="1">
      <c r="A192" s="45"/>
      <c r="B192" s="45"/>
      <c r="C192" s="45"/>
    </row>
    <row r="193" ht="12.0" customHeight="1">
      <c r="A193" s="45"/>
      <c r="B193" s="45"/>
      <c r="C193" s="45"/>
    </row>
    <row r="194" ht="12.0" customHeight="1">
      <c r="A194" s="45"/>
      <c r="B194" s="45"/>
      <c r="C194" s="45"/>
    </row>
    <row r="195" ht="12.0" customHeight="1">
      <c r="A195" s="45"/>
      <c r="B195" s="45"/>
      <c r="C195" s="45"/>
    </row>
    <row r="196" ht="12.0" customHeight="1">
      <c r="A196" s="45"/>
      <c r="B196" s="45"/>
      <c r="C196" s="45"/>
    </row>
    <row r="197" ht="12.0" customHeight="1">
      <c r="A197" s="45"/>
      <c r="B197" s="45"/>
      <c r="C197" s="45"/>
    </row>
    <row r="198" ht="12.0" customHeight="1">
      <c r="A198" s="45"/>
      <c r="B198" s="45"/>
      <c r="C198" s="45"/>
    </row>
    <row r="199" ht="12.0" customHeight="1">
      <c r="A199" s="45"/>
      <c r="B199" s="45"/>
      <c r="C199" s="45"/>
    </row>
    <row r="200" ht="12.0" customHeight="1">
      <c r="A200" s="45"/>
      <c r="B200" s="45"/>
      <c r="C200" s="45"/>
    </row>
    <row r="201" ht="12.0" customHeight="1">
      <c r="A201" s="45"/>
      <c r="B201" s="45"/>
      <c r="C201" s="45"/>
    </row>
    <row r="202" ht="12.0" customHeight="1">
      <c r="A202" s="45"/>
      <c r="B202" s="45"/>
      <c r="C202" s="45"/>
    </row>
    <row r="203" ht="12.0" customHeight="1">
      <c r="A203" s="45"/>
      <c r="B203" s="45"/>
      <c r="C203" s="45"/>
    </row>
    <row r="204" ht="12.0" customHeight="1">
      <c r="A204" s="45"/>
      <c r="B204" s="45"/>
      <c r="C204" s="45"/>
    </row>
    <row r="205" ht="12.0" customHeight="1">
      <c r="A205" s="45"/>
      <c r="B205" s="45"/>
      <c r="C205" s="45"/>
    </row>
    <row r="206" ht="12.0" customHeight="1">
      <c r="A206" s="45"/>
      <c r="B206" s="45"/>
      <c r="C206" s="45"/>
    </row>
    <row r="207" ht="12.0" customHeight="1">
      <c r="A207" s="45"/>
      <c r="B207" s="45"/>
      <c r="C207" s="45"/>
    </row>
    <row r="208" ht="12.0" customHeight="1">
      <c r="A208" s="45"/>
      <c r="B208" s="45"/>
      <c r="C208" s="45"/>
    </row>
    <row r="209" ht="12.0" customHeight="1">
      <c r="A209" s="45"/>
      <c r="B209" s="45"/>
      <c r="C209" s="45"/>
    </row>
    <row r="210" ht="12.0" customHeight="1">
      <c r="A210" s="45"/>
      <c r="B210" s="45"/>
      <c r="C210" s="45"/>
    </row>
    <row r="211" ht="12.0" customHeight="1">
      <c r="A211" s="45"/>
      <c r="B211" s="45"/>
      <c r="C211" s="45"/>
    </row>
    <row r="212" ht="12.0" customHeight="1">
      <c r="A212" s="45"/>
      <c r="B212" s="45"/>
      <c r="C212" s="45"/>
    </row>
    <row r="213" ht="12.0" customHeight="1">
      <c r="A213" s="45"/>
      <c r="B213" s="45"/>
      <c r="C213" s="45"/>
    </row>
    <row r="214" ht="12.0" customHeight="1">
      <c r="A214" s="45"/>
      <c r="B214" s="45"/>
      <c r="C214" s="45"/>
    </row>
    <row r="215" ht="12.0" customHeight="1">
      <c r="A215" s="45"/>
      <c r="B215" s="45"/>
      <c r="C215" s="45"/>
    </row>
    <row r="216" ht="12.0" customHeight="1">
      <c r="A216" s="45"/>
      <c r="B216" s="45"/>
      <c r="C216" s="45"/>
    </row>
    <row r="217" ht="12.0" customHeight="1">
      <c r="A217" s="45"/>
      <c r="B217" s="45"/>
      <c r="C217" s="45"/>
    </row>
    <row r="218" ht="12.0" customHeight="1">
      <c r="A218" s="45"/>
      <c r="B218" s="45"/>
      <c r="C218" s="45"/>
    </row>
    <row r="219" ht="12.0" customHeight="1">
      <c r="A219" s="45"/>
      <c r="B219" s="45"/>
      <c r="C219" s="45"/>
    </row>
    <row r="220" ht="12.0" customHeight="1">
      <c r="A220" s="45"/>
      <c r="B220" s="45"/>
      <c r="C220" s="45"/>
    </row>
    <row r="221" ht="12.0" customHeight="1">
      <c r="A221" s="45"/>
      <c r="B221" s="45"/>
      <c r="C221" s="45"/>
    </row>
    <row r="222" ht="12.0" customHeight="1">
      <c r="A222" s="45"/>
      <c r="B222" s="45"/>
      <c r="C222" s="45"/>
    </row>
    <row r="223" ht="12.0" customHeight="1">
      <c r="A223" s="45"/>
      <c r="B223" s="45"/>
      <c r="C223" s="45"/>
    </row>
    <row r="224" ht="12.0" customHeight="1">
      <c r="A224" s="45"/>
      <c r="B224" s="45"/>
      <c r="C224" s="45"/>
    </row>
    <row r="225" ht="12.0" customHeight="1">
      <c r="A225" s="45"/>
      <c r="B225" s="45"/>
      <c r="C225" s="45"/>
    </row>
    <row r="226" ht="12.0" customHeight="1">
      <c r="A226" s="45"/>
      <c r="B226" s="45"/>
      <c r="C226" s="45"/>
    </row>
    <row r="227" ht="12.0" customHeight="1">
      <c r="A227" s="45"/>
      <c r="B227" s="45"/>
      <c r="C227" s="45"/>
    </row>
    <row r="228" ht="12.0" customHeight="1">
      <c r="A228" s="45"/>
      <c r="B228" s="45"/>
      <c r="C228" s="45"/>
    </row>
    <row r="229" ht="12.0" customHeight="1">
      <c r="A229" s="45"/>
      <c r="B229" s="45"/>
      <c r="C229" s="45"/>
    </row>
    <row r="230" ht="12.0" customHeight="1">
      <c r="A230" s="45"/>
      <c r="B230" s="45"/>
      <c r="C230" s="45"/>
    </row>
    <row r="231" ht="12.0" customHeight="1">
      <c r="A231" s="45"/>
      <c r="B231" s="45"/>
      <c r="C231" s="45"/>
    </row>
    <row r="232" ht="12.0" customHeight="1">
      <c r="A232" s="45"/>
      <c r="B232" s="45"/>
      <c r="C232" s="45"/>
    </row>
    <row r="233" ht="12.0" customHeight="1">
      <c r="A233" s="45"/>
      <c r="B233" s="45"/>
      <c r="C233" s="45"/>
    </row>
    <row r="234" ht="12.0" customHeight="1">
      <c r="A234" s="45"/>
      <c r="B234" s="45"/>
      <c r="C234" s="45"/>
    </row>
    <row r="235" ht="12.0" customHeight="1">
      <c r="A235" s="45"/>
      <c r="B235" s="45"/>
      <c r="C235" s="45"/>
    </row>
    <row r="236" ht="12.0" customHeight="1">
      <c r="A236" s="45"/>
      <c r="B236" s="45"/>
      <c r="C236" s="45"/>
    </row>
    <row r="237" ht="12.0" customHeight="1">
      <c r="A237" s="45"/>
      <c r="B237" s="45"/>
      <c r="C237" s="45"/>
    </row>
    <row r="238" ht="12.0" customHeight="1">
      <c r="A238" s="45"/>
      <c r="B238" s="45"/>
      <c r="C238" s="45"/>
    </row>
    <row r="239" ht="12.0" customHeight="1">
      <c r="A239" s="45"/>
      <c r="B239" s="45"/>
      <c r="C239" s="45"/>
    </row>
    <row r="240" ht="12.0" customHeight="1">
      <c r="A240" s="45"/>
      <c r="B240" s="45"/>
      <c r="C240" s="45"/>
    </row>
    <row r="241" ht="12.0" customHeight="1">
      <c r="A241" s="45"/>
      <c r="B241" s="45"/>
      <c r="C241" s="45"/>
    </row>
    <row r="242" ht="12.0" customHeight="1">
      <c r="A242" s="45"/>
      <c r="B242" s="45"/>
      <c r="C242" s="45"/>
    </row>
    <row r="243" ht="12.0" customHeight="1">
      <c r="A243" s="45"/>
      <c r="B243" s="45"/>
      <c r="C243" s="45"/>
    </row>
    <row r="244" ht="12.0" customHeight="1">
      <c r="A244" s="45"/>
      <c r="B244" s="45"/>
      <c r="C244" s="45"/>
    </row>
    <row r="245" ht="12.0" customHeight="1">
      <c r="A245" s="45"/>
      <c r="B245" s="45"/>
      <c r="C245" s="45"/>
    </row>
    <row r="246" ht="12.0" customHeight="1">
      <c r="A246" s="45"/>
      <c r="B246" s="45"/>
      <c r="C246" s="45"/>
    </row>
    <row r="247" ht="12.0" customHeight="1">
      <c r="A247" s="45"/>
      <c r="B247" s="45"/>
      <c r="C247" s="45"/>
    </row>
    <row r="248" ht="12.0" customHeight="1">
      <c r="A248" s="45"/>
      <c r="B248" s="45"/>
      <c r="C248" s="45"/>
    </row>
    <row r="249" ht="12.0" customHeight="1">
      <c r="A249" s="45"/>
      <c r="B249" s="45"/>
      <c r="C249" s="45"/>
    </row>
    <row r="250" ht="12.0" customHeight="1">
      <c r="A250" s="45"/>
      <c r="B250" s="45"/>
      <c r="C250" s="45"/>
    </row>
    <row r="251" ht="12.0" customHeight="1">
      <c r="A251" s="45"/>
      <c r="B251" s="45"/>
      <c r="C251" s="45"/>
    </row>
    <row r="252" ht="12.0" customHeight="1">
      <c r="A252" s="45"/>
      <c r="B252" s="45"/>
      <c r="C252" s="45"/>
    </row>
    <row r="253" ht="12.0" customHeight="1">
      <c r="A253" s="45"/>
      <c r="B253" s="45"/>
      <c r="C253" s="45"/>
    </row>
    <row r="254" ht="12.0" customHeight="1">
      <c r="A254" s="45"/>
      <c r="B254" s="45"/>
      <c r="C254" s="45"/>
    </row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20">
    <mergeCell ref="A33:B33"/>
    <mergeCell ref="A34:B34"/>
    <mergeCell ref="A36:B36"/>
    <mergeCell ref="A37:B37"/>
    <mergeCell ref="A53:B53"/>
    <mergeCell ref="F51:G51"/>
    <mergeCell ref="A59:N59"/>
    <mergeCell ref="A60:N60"/>
    <mergeCell ref="A88:B88"/>
    <mergeCell ref="A83:C83"/>
    <mergeCell ref="A84:B84"/>
    <mergeCell ref="A85:B85"/>
    <mergeCell ref="A87:B87"/>
    <mergeCell ref="A1:H1"/>
    <mergeCell ref="A32:C32"/>
    <mergeCell ref="A39:B39"/>
    <mergeCell ref="A3:B3"/>
    <mergeCell ref="A91:B91"/>
    <mergeCell ref="F103:G103"/>
    <mergeCell ref="A105:B105"/>
  </mergeCells>
  <printOptions/>
  <pageMargins bottom="1.0" footer="0.0" header="0.0" left="0.75" right="0.75" top="1.0"/>
  <pageSetup paperSize="9" orientation="portrait"/>
  <drawing r:id="rId1"/>
</worksheet>
</file>