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hwinvarkey/Downloads/"/>
    </mc:Choice>
  </mc:AlternateContent>
  <xr:revisionPtr revIDLastSave="0" documentId="13_ncr:1_{1C187CDA-5F47-B445-A1B9-B58D8DC3CC95}" xr6:coauthVersionLast="47" xr6:coauthVersionMax="47" xr10:uidLastSave="{00000000-0000-0000-0000-000000000000}"/>
  <bookViews>
    <workbookView xWindow="1360" yWindow="4500" windowWidth="19860" windowHeight="15880" xr2:uid="{F2AF1735-4618-2845-8911-90D34F419812}"/>
  </bookViews>
  <sheets>
    <sheet name="Analysi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1" l="1"/>
  <c r="G9" i="1"/>
  <c r="J12" i="1"/>
  <c r="K12" i="1"/>
  <c r="L12" i="1"/>
  <c r="M12" i="1"/>
  <c r="N12" i="1"/>
  <c r="I12" i="1"/>
  <c r="E15" i="1"/>
  <c r="E16" i="1"/>
  <c r="N6" i="1" l="1"/>
  <c r="N8" i="1" s="1"/>
  <c r="M6" i="1"/>
  <c r="M8" i="1" s="1"/>
  <c r="L6" i="1"/>
  <c r="L8" i="1" s="1"/>
  <c r="K6" i="1"/>
  <c r="K8" i="1" s="1"/>
  <c r="J6" i="1"/>
  <c r="J8" i="1" s="1"/>
  <c r="I6" i="1"/>
  <c r="I8" i="1" s="1"/>
  <c r="G6" i="1"/>
  <c r="G8" i="1" s="1"/>
  <c r="F6" i="1"/>
  <c r="F8" i="1" s="1"/>
  <c r="E6" i="1"/>
  <c r="E8" i="1" s="1"/>
  <c r="D6" i="1"/>
  <c r="C6" i="1"/>
  <c r="B6" i="1"/>
  <c r="B8" i="1" s="1"/>
  <c r="E9" i="1"/>
  <c r="D5" i="1"/>
  <c r="D9" i="1" s="1"/>
  <c r="C5" i="1"/>
  <c r="I9" i="1"/>
  <c r="J9" i="1"/>
  <c r="K9" i="1"/>
  <c r="L9" i="1"/>
  <c r="M9" i="1"/>
  <c r="N9" i="1"/>
  <c r="B9" i="1"/>
  <c r="C2" i="1"/>
  <c r="N11" i="1"/>
  <c r="M11" i="1"/>
  <c r="L11" i="1"/>
  <c r="K11" i="1"/>
  <c r="J11" i="1"/>
  <c r="I11" i="1"/>
  <c r="G11" i="1"/>
  <c r="F11" i="1"/>
  <c r="E11" i="1"/>
  <c r="D11" i="1"/>
  <c r="C11" i="1"/>
  <c r="B11" i="1"/>
  <c r="N10" i="1"/>
  <c r="M10" i="1"/>
  <c r="K10" i="1"/>
  <c r="J10" i="1"/>
  <c r="G10" i="1"/>
  <c r="G12" i="1" s="1"/>
  <c r="F10" i="1"/>
  <c r="F12" i="1" s="1"/>
  <c r="D10" i="1"/>
  <c r="D12" i="1" s="1"/>
  <c r="C10" i="1"/>
  <c r="C12" i="1" s="1"/>
  <c r="B13" i="1" l="1"/>
  <c r="B12" i="1"/>
  <c r="E14" i="1"/>
  <c r="E12" i="1"/>
  <c r="B14" i="1"/>
  <c r="G16" i="1"/>
  <c r="L16" i="1"/>
  <c r="M16" i="1"/>
  <c r="N16" i="1"/>
  <c r="C9" i="1"/>
  <c r="F16" i="1"/>
  <c r="D14" i="1"/>
  <c r="F14" i="1"/>
  <c r="C14" i="1"/>
  <c r="G14" i="1"/>
  <c r="C8" i="1"/>
  <c r="D8" i="1"/>
  <c r="C13" i="1"/>
  <c r="F13" i="1"/>
  <c r="F17" i="1" l="1"/>
  <c r="C17" i="1"/>
  <c r="I14" i="1"/>
  <c r="J14" i="1"/>
  <c r="K14" i="1"/>
  <c r="L14" i="1"/>
  <c r="M14" i="1"/>
  <c r="K13" i="1"/>
  <c r="L13" i="1"/>
  <c r="M13" i="1"/>
  <c r="N13" i="1"/>
  <c r="J13" i="1"/>
  <c r="I13" i="1"/>
  <c r="E13" i="1"/>
  <c r="G13" i="1"/>
  <c r="D13" i="1"/>
  <c r="G17" i="1"/>
  <c r="N17" i="1"/>
  <c r="M17" i="1"/>
  <c r="K17" i="1"/>
  <c r="J17" i="1"/>
  <c r="D17" i="1"/>
  <c r="F15" i="1"/>
  <c r="M15" i="1"/>
  <c r="N15" i="1"/>
  <c r="L15" i="1"/>
  <c r="G15" i="1"/>
  <c r="N14" i="1" l="1"/>
</calcChain>
</file>

<file path=xl/sharedStrings.xml><?xml version="1.0" encoding="utf-8"?>
<sst xmlns="http://schemas.openxmlformats.org/spreadsheetml/2006/main" count="72" uniqueCount="27">
  <si>
    <t>%Arith</t>
  </si>
  <si>
    <t>DP</t>
  </si>
  <si>
    <t>SP</t>
  </si>
  <si>
    <t>CPI</t>
  </si>
  <si>
    <t>-</t>
  </si>
  <si>
    <t>FN Scalar</t>
  </si>
  <si>
    <t>FN SSE</t>
  </si>
  <si>
    <t>FN AVX</t>
  </si>
  <si>
    <t>HN SSE</t>
  </si>
  <si>
    <t>HN AVX</t>
  </si>
  <si>
    <t xml:space="preserve">HN Scalar </t>
  </si>
  <si>
    <t>Arith. FN vs Arith. HN</t>
  </si>
  <si>
    <t>Instr. FN vs Inst. HN</t>
  </si>
  <si>
    <t>Vectorization efficiency</t>
  </si>
  <si>
    <t>Speed up Time</t>
  </si>
  <si>
    <t> 0,3924</t>
  </si>
  <si>
    <t>Perf &lt;MFlops/s&gt;</t>
  </si>
  <si>
    <t>Arith SIMD</t>
  </si>
  <si>
    <t>Arith Scalar</t>
  </si>
  <si>
    <t>Vectorization Ratio</t>
  </si>
  <si>
    <t>*Arith SIMD*</t>
  </si>
  <si>
    <t>*Arith Scalar*</t>
  </si>
  <si>
    <t>*Vectorization Ratio*</t>
  </si>
  <si>
    <t>*%Arith*</t>
  </si>
  <si>
    <t xml:space="preserve">Total Ins. </t>
  </si>
  <si>
    <t>Arith Instr</t>
  </si>
  <si>
    <t>Time &lt;s&gt;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</si>
</sst>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2"/>
      <color theme="1"/>
      <name val="Calibri"/>
      <family val="2"/>
      <scheme val="minor"/>
    </font>
    <font>
      <sz val="6"/>
      <color rgb="FF333333"/>
      <name val="Helvetica Neue"/>
      <family val="2"/>
    </font>
    <font>
      <sz val="11"/>
      <color theme="1"/>
      <name val="Arial"/>
      <family val="2"/>
    </font>
    <font>
      <sz val="11"/>
      <color rgb="FF333333"/>
      <name val="Arial"/>
      <family val="2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164" fontId="0" fillId="0" borderId="0" xfId="0" applyNumberFormat="1"/>
    <xf numFmtId="0" fontId="2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2" fontId="2" fillId="0" borderId="0" xfId="0" applyNumberFormat="1" applyFont="1" applyAlignment="1">
      <alignment horizontal="right"/>
    </xf>
    <xf numFmtId="1" fontId="2" fillId="0" borderId="0" xfId="0" applyNumberFormat="1" applyFont="1" applyAlignment="1">
      <alignment horizontal="right"/>
    </xf>
    <xf numFmtId="1" fontId="3" fillId="0" borderId="0" xfId="0" applyNumberFormat="1" applyFont="1" applyAlignment="1">
      <alignment horizontal="right"/>
    </xf>
    <xf numFmtId="2" fontId="4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164" fontId="3" fillId="0" borderId="0" xfId="0" applyNumberFormat="1" applyFont="1" applyAlignment="1">
      <alignment horizontal="right"/>
    </xf>
    <xf numFmtId="2" fontId="3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right"/>
    </xf>
    <xf numFmtId="164" fontId="4" fillId="0" borderId="0" xfId="0" applyNumberFormat="1" applyFont="1" applyAlignment="1">
      <alignment horizontal="right"/>
    </xf>
    <xf numFmtId="0" fontId="4" fillId="0" borderId="0" xfId="0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6596F-86D3-4A41-B9F0-F14BC474ABD8}">
  <dimension ref="A1:P20"/>
  <sheetViews>
    <sheetView tabSelected="1" zoomScaleNormal="100" workbookViewId="0">
      <selection activeCell="G22" sqref="G22"/>
    </sheetView>
  </sheetViews>
  <sheetFormatPr baseColWidth="10" defaultColWidth="10.83203125" defaultRowHeight="16" x14ac:dyDescent="0.2"/>
  <cols>
    <col min="1" max="1" width="19.6640625" customWidth="1"/>
    <col min="2" max="2" width="16" customWidth="1"/>
    <col min="3" max="3" width="14.6640625" customWidth="1"/>
    <col min="4" max="4" width="14.1640625" customWidth="1"/>
    <col min="5" max="5" width="16.33203125" customWidth="1"/>
    <col min="6" max="6" width="14.5" customWidth="1"/>
    <col min="7" max="7" width="14.1640625" customWidth="1"/>
    <col min="8" max="8" width="20" customWidth="1"/>
    <col min="9" max="9" width="16.83203125" customWidth="1"/>
    <col min="10" max="10" width="13.33203125" customWidth="1"/>
    <col min="11" max="11" width="15.33203125" customWidth="1"/>
    <col min="12" max="12" width="14.5" customWidth="1"/>
    <col min="13" max="13" width="13.6640625" customWidth="1"/>
    <col min="14" max="14" width="13.1640625" customWidth="1"/>
  </cols>
  <sheetData>
    <row r="1" spans="1:16" x14ac:dyDescent="0.2">
      <c r="A1" s="3" t="s">
        <v>2</v>
      </c>
      <c r="B1" s="3" t="s">
        <v>5</v>
      </c>
      <c r="C1" s="3" t="s">
        <v>6</v>
      </c>
      <c r="D1" s="3" t="s">
        <v>7</v>
      </c>
      <c r="E1" s="3" t="s">
        <v>10</v>
      </c>
      <c r="F1" s="3" t="s">
        <v>8</v>
      </c>
      <c r="G1" s="3" t="s">
        <v>9</v>
      </c>
      <c r="H1" s="3" t="s">
        <v>1</v>
      </c>
      <c r="I1" s="3" t="s">
        <v>5</v>
      </c>
      <c r="J1" s="3" t="s">
        <v>6</v>
      </c>
      <c r="K1" s="3" t="s">
        <v>7</v>
      </c>
      <c r="L1" s="3" t="s">
        <v>10</v>
      </c>
      <c r="M1" s="3" t="s">
        <v>8</v>
      </c>
      <c r="N1" s="3" t="s">
        <v>9</v>
      </c>
    </row>
    <row r="2" spans="1:16" x14ac:dyDescent="0.2">
      <c r="A2" s="5" t="s">
        <v>24</v>
      </c>
      <c r="B2" s="4">
        <v>73458550000</v>
      </c>
      <c r="C2" s="4">
        <f>41804010000</f>
        <v>41804010000</v>
      </c>
      <c r="D2" s="4">
        <v>28181150000</v>
      </c>
      <c r="E2" s="4">
        <v>53034620000</v>
      </c>
      <c r="F2" s="3">
        <v>51656040000</v>
      </c>
      <c r="G2" s="4">
        <v>41947810000</v>
      </c>
      <c r="H2" s="5" t="s">
        <v>24</v>
      </c>
      <c r="I2" s="4">
        <v>73432270000</v>
      </c>
      <c r="J2" s="4">
        <v>55602820000</v>
      </c>
      <c r="K2" s="4">
        <v>32516670000</v>
      </c>
      <c r="L2" s="5">
        <v>53034650000</v>
      </c>
      <c r="M2" s="4">
        <v>53473780000</v>
      </c>
      <c r="N2" s="4">
        <v>40784140000</v>
      </c>
    </row>
    <row r="3" spans="1:16" x14ac:dyDescent="0.2">
      <c r="A3" s="5" t="s">
        <v>26</v>
      </c>
      <c r="B3" s="9">
        <v>13.72</v>
      </c>
      <c r="C3" s="9">
        <v>4.33</v>
      </c>
      <c r="D3" s="9">
        <v>3.37</v>
      </c>
      <c r="E3" s="6">
        <v>8.73</v>
      </c>
      <c r="F3" s="9">
        <v>9.1207919999999998</v>
      </c>
      <c r="G3" s="9">
        <v>8.8173569999999994</v>
      </c>
      <c r="H3" s="5" t="s">
        <v>26</v>
      </c>
      <c r="I3" s="9">
        <v>13.86121</v>
      </c>
      <c r="J3" s="9">
        <v>5.8983860000000004</v>
      </c>
      <c r="K3" s="9">
        <v>4.1845610000000004</v>
      </c>
      <c r="L3" s="9">
        <v>8.6980489999999993</v>
      </c>
      <c r="M3" s="9">
        <v>9.3073940000000004</v>
      </c>
      <c r="N3" s="9">
        <v>8.9565999999999999</v>
      </c>
    </row>
    <row r="4" spans="1:16" x14ac:dyDescent="0.2">
      <c r="A4" s="5" t="s">
        <v>3</v>
      </c>
      <c r="B4" s="9">
        <v>0.69120000000000004</v>
      </c>
      <c r="C4" s="9">
        <v>0.38329999999999997</v>
      </c>
      <c r="D4" s="9">
        <v>0.44119999999999998</v>
      </c>
      <c r="E4" s="9">
        <v>0.6089</v>
      </c>
      <c r="F4" s="9">
        <v>0.65290000000000004</v>
      </c>
      <c r="G4" s="9">
        <v>0.77759999999999996</v>
      </c>
      <c r="H4" s="5" t="s">
        <v>3</v>
      </c>
      <c r="I4" s="9">
        <v>0.69830000000000003</v>
      </c>
      <c r="J4" s="9" t="s">
        <v>15</v>
      </c>
      <c r="K4" s="9">
        <v>0.47589999999999999</v>
      </c>
      <c r="L4" s="9">
        <v>0.60670000000000002</v>
      </c>
      <c r="M4" s="9">
        <v>0.64380000000000004</v>
      </c>
      <c r="N4" s="9">
        <v>0.81230000000000002</v>
      </c>
    </row>
    <row r="5" spans="1:16" x14ac:dyDescent="0.2">
      <c r="A5" s="5" t="s">
        <v>25</v>
      </c>
      <c r="B5" s="4">
        <v>36283300000</v>
      </c>
      <c r="C5" s="4">
        <f>51955140000/4</f>
        <v>12988785000</v>
      </c>
      <c r="D5" s="4">
        <f>51679310000/4</f>
        <v>12919827500</v>
      </c>
      <c r="E5" s="4">
        <v>21201650000</v>
      </c>
      <c r="F5" s="4">
        <v>27774280000</v>
      </c>
      <c r="G5" s="3">
        <v>27782310000</v>
      </c>
      <c r="H5" s="5" t="s">
        <v>25</v>
      </c>
      <c r="I5" s="4">
        <v>36283320000</v>
      </c>
      <c r="J5" s="4">
        <v>44128750000</v>
      </c>
      <c r="K5" s="4">
        <v>44533650000</v>
      </c>
      <c r="L5" s="4">
        <v>21201670000</v>
      </c>
      <c r="M5" s="4">
        <v>22720480000</v>
      </c>
      <c r="N5" s="4">
        <v>22728500000</v>
      </c>
    </row>
    <row r="6" spans="1:16" x14ac:dyDescent="0.2">
      <c r="A6" s="8" t="s">
        <v>17</v>
      </c>
      <c r="B6" s="4">
        <f>56478270000/4</f>
        <v>14119567500</v>
      </c>
      <c r="C6" s="4">
        <f>34522720000/4</f>
        <v>8630680000</v>
      </c>
      <c r="D6" s="4">
        <f>21004090000/4</f>
        <v>5251022500</v>
      </c>
      <c r="E6" s="4">
        <f>36155800000/4</f>
        <v>9038950000</v>
      </c>
      <c r="F6" s="15">
        <f>36360310000/4</f>
        <v>9090077500</v>
      </c>
      <c r="G6" s="4">
        <f>26520350000/4</f>
        <v>6630087500</v>
      </c>
      <c r="H6" s="8" t="s">
        <v>17</v>
      </c>
      <c r="I6" s="4">
        <f>56478270000/2</f>
        <v>28239135000</v>
      </c>
      <c r="J6" s="4">
        <f>50210520000/2</f>
        <v>25105260000</v>
      </c>
      <c r="K6" s="4">
        <f>27380650000/2</f>
        <v>13690325000</v>
      </c>
      <c r="L6" s="4">
        <f>36155820000/2</f>
        <v>18077910000</v>
      </c>
      <c r="M6" s="4">
        <f>38178040000/2</f>
        <v>19089020000</v>
      </c>
      <c r="N6" s="4">
        <f>25435710000/2</f>
        <v>12717855000</v>
      </c>
    </row>
    <row r="7" spans="1:16" x14ac:dyDescent="0.2">
      <c r="A7" s="8" t="s">
        <v>18</v>
      </c>
      <c r="B7" s="5">
        <v>36283300000</v>
      </c>
      <c r="C7" s="5">
        <v>4358100000</v>
      </c>
      <c r="D7" s="5">
        <v>2345700000</v>
      </c>
      <c r="E7" s="5">
        <v>21201650000</v>
      </c>
      <c r="F7" s="5">
        <v>18684200000</v>
      </c>
      <c r="G7" s="5">
        <v>21152220000</v>
      </c>
      <c r="H7" s="8" t="s">
        <v>18</v>
      </c>
      <c r="I7" s="5">
        <v>36283320000</v>
      </c>
      <c r="J7" s="5">
        <v>19023490000</v>
      </c>
      <c r="K7" s="5">
        <v>30843320000</v>
      </c>
      <c r="L7" s="5">
        <v>21201670000</v>
      </c>
      <c r="M7" s="5">
        <v>3631460000</v>
      </c>
      <c r="N7" s="5">
        <v>10010640000</v>
      </c>
    </row>
    <row r="8" spans="1:16" x14ac:dyDescent="0.2">
      <c r="A8" s="10" t="s">
        <v>19</v>
      </c>
      <c r="B8" s="2">
        <f>B6*100/B5</f>
        <v>38.914783109584853</v>
      </c>
      <c r="C8" s="2">
        <f t="shared" ref="C8:G8" si="0">C6*100/C5</f>
        <v>66.447169615941746</v>
      </c>
      <c r="D8" s="2">
        <f t="shared" si="0"/>
        <v>40.643131651719031</v>
      </c>
      <c r="E8" s="2">
        <f t="shared" si="0"/>
        <v>42.633238450780951</v>
      </c>
      <c r="F8" s="2">
        <f t="shared" si="0"/>
        <v>32.728400160148169</v>
      </c>
      <c r="G8" s="2">
        <f t="shared" si="0"/>
        <v>23.864421281023787</v>
      </c>
      <c r="H8" s="10" t="s">
        <v>19</v>
      </c>
      <c r="I8" s="2">
        <f>I6*100/I5</f>
        <v>77.829523318152809</v>
      </c>
      <c r="J8" s="2">
        <f t="shared" ref="J8:N8" si="1">J6*100/J5</f>
        <v>56.890938447157467</v>
      </c>
      <c r="K8" s="2">
        <f t="shared" si="1"/>
        <v>30.74152915828817</v>
      </c>
      <c r="L8" s="2">
        <f t="shared" si="1"/>
        <v>85.266443633921284</v>
      </c>
      <c r="M8" s="2">
        <f t="shared" si="1"/>
        <v>84.016798940867446</v>
      </c>
      <c r="N8" s="2">
        <f t="shared" si="1"/>
        <v>55.955540400818357</v>
      </c>
    </row>
    <row r="9" spans="1:16" x14ac:dyDescent="0.2">
      <c r="A9" s="5" t="s">
        <v>0</v>
      </c>
      <c r="B9" s="2">
        <f>(B5/4)*100/B2</f>
        <v>12.348222228726268</v>
      </c>
      <c r="C9" s="2">
        <f>(C5)*100/C2</f>
        <v>31.070667622555828</v>
      </c>
      <c r="D9" s="2">
        <f>(D5)*100/D2</f>
        <v>45.845636178793271</v>
      </c>
      <c r="E9" s="2">
        <f>(E5)*100/E2</f>
        <v>39.976999929480023</v>
      </c>
      <c r="F9" s="2">
        <f t="shared" ref="F9:G9" si="2">(F5)*100/F2</f>
        <v>53.767729775646757</v>
      </c>
      <c r="G9" s="2">
        <f t="shared" si="2"/>
        <v>66.230656618307364</v>
      </c>
      <c r="H9" s="4">
        <v>27782310000</v>
      </c>
      <c r="I9" s="2">
        <f t="shared" ref="I9:N9" si="3">(I5/4)*100/I2</f>
        <v>12.352648229450077</v>
      </c>
      <c r="J9" s="2">
        <f t="shared" si="3"/>
        <v>19.841057521902666</v>
      </c>
      <c r="K9" s="2">
        <f t="shared" si="3"/>
        <v>34.239091825823493</v>
      </c>
      <c r="L9" s="2">
        <f t="shared" si="3"/>
        <v>9.9942537567420544</v>
      </c>
      <c r="M9" s="2">
        <f t="shared" si="3"/>
        <v>10.622252625492344</v>
      </c>
      <c r="N9" s="2">
        <f t="shared" si="3"/>
        <v>13.932192759244158</v>
      </c>
    </row>
    <row r="10" spans="1:16" x14ac:dyDescent="0.2">
      <c r="A10" s="8" t="s">
        <v>20</v>
      </c>
      <c r="B10" s="7">
        <v>0</v>
      </c>
      <c r="C10">
        <f>3828117000+2031942000+7074581000</f>
        <v>12934640000</v>
      </c>
      <c r="D10">
        <f>505202400+99768690+177503200+46448440+1189634000+951707000+2855121000+475853500</f>
        <v>6301238230</v>
      </c>
      <c r="E10">
        <v>0</v>
      </c>
      <c r="F10">
        <f>26345470+1741161000+759403400</f>
        <v>2526909870</v>
      </c>
      <c r="G10">
        <f>26345470+1741161000+759403400</f>
        <v>2526909870</v>
      </c>
      <c r="H10" s="8" t="s">
        <v>20</v>
      </c>
      <c r="I10">
        <v>0</v>
      </c>
      <c r="J10">
        <f>6010001000+2984477000+11792380000+981292600</f>
        <v>21768150600</v>
      </c>
      <c r="K10">
        <f>426166000+129350900+295838600+76031690+29583860+1903417000+1427563000+4758544000+951708700+475854400</f>
        <v>10474058150</v>
      </c>
      <c r="L10">
        <v>0</v>
      </c>
      <c r="M10">
        <f>26345470+1741162000+759403500</f>
        <v>2526910970</v>
      </c>
      <c r="N10">
        <f>26345470+1741162000+759403500</f>
        <v>2526910970</v>
      </c>
    </row>
    <row r="11" spans="1:16" x14ac:dyDescent="0.2">
      <c r="A11" s="8" t="s">
        <v>21</v>
      </c>
      <c r="B11">
        <f>8399276000+7451802000+18989820000+1442253000</f>
        <v>36283151000</v>
      </c>
      <c r="C11">
        <f>115415800+24536050+73608340+4231784</f>
        <v>217791974</v>
      </c>
      <c r="D11">
        <f>79037820+91194670+141788600+131795600+16864980</f>
        <v>460681670</v>
      </c>
      <c r="E11">
        <f>4442627000+5982887000+10009570000+759403900</f>
        <v>21194487900</v>
      </c>
      <c r="F11">
        <f>4389936000+3259968000+9250163000+759403800</f>
        <v>17659470800</v>
      </c>
      <c r="G11">
        <f>1529105000+3259968000+6374136000+2876027000+759403800</f>
        <v>14798639800</v>
      </c>
      <c r="H11" s="8" t="s">
        <v>21</v>
      </c>
      <c r="I11">
        <f>8399431000+7451806000+18989830000+1442253000</f>
        <v>36283320000</v>
      </c>
      <c r="J11">
        <f>210828300+91191180+273573700+16864370</f>
        <v>592457550</v>
      </c>
      <c r="K11">
        <f>79037820+91191180+141783300+131790500+16864370</f>
        <v>460667170</v>
      </c>
      <c r="L11">
        <f>4449804000+5982890000+10009570000+759403900</f>
        <v>21201667900</v>
      </c>
      <c r="M11">
        <f>4397113000+3259969000+9250167000+759403900</f>
        <v>17666652900</v>
      </c>
      <c r="N11">
        <f>1529107000+3259969000+6374138000+2876029000+759403900</f>
        <v>14798646900</v>
      </c>
    </row>
    <row r="12" spans="1:16" x14ac:dyDescent="0.2">
      <c r="A12" s="8"/>
      <c r="B12" s="16">
        <f>B10+B11</f>
        <v>36283151000</v>
      </c>
      <c r="C12" s="16">
        <f t="shared" ref="C12:G12" si="4">C10+C11</f>
        <v>13152431974</v>
      </c>
      <c r="D12" s="16">
        <f t="shared" si="4"/>
        <v>6761919900</v>
      </c>
      <c r="E12" s="16">
        <f t="shared" si="4"/>
        <v>21194487900</v>
      </c>
      <c r="F12" s="16">
        <f t="shared" si="4"/>
        <v>20186380670</v>
      </c>
      <c r="G12" s="16">
        <f t="shared" si="4"/>
        <v>17325549670</v>
      </c>
      <c r="H12" s="8"/>
      <c r="I12" s="16">
        <f>I10+I11</f>
        <v>36283320000</v>
      </c>
      <c r="J12" s="16">
        <f t="shared" ref="J12:N12" si="5">J10+J11</f>
        <v>22360608150</v>
      </c>
      <c r="K12" s="16">
        <f t="shared" si="5"/>
        <v>10934725320</v>
      </c>
      <c r="L12" s="16">
        <f t="shared" si="5"/>
        <v>21201667900</v>
      </c>
      <c r="M12" s="16">
        <f t="shared" si="5"/>
        <v>20193563870</v>
      </c>
      <c r="N12" s="16">
        <f t="shared" si="5"/>
        <v>17325557870</v>
      </c>
    </row>
    <row r="13" spans="1:16" x14ac:dyDescent="0.2">
      <c r="A13" s="10" t="s">
        <v>22</v>
      </c>
      <c r="B13" s="11">
        <f>B10*100/(B11+B10)</f>
        <v>0</v>
      </c>
      <c r="C13" s="11">
        <f>C10*100/(C11+C10)</f>
        <v>98.344093514944348</v>
      </c>
      <c r="D13" s="11">
        <f t="shared" ref="D13" si="6">D10*100/(D11+D10)</f>
        <v>93.187117315601441</v>
      </c>
      <c r="E13" s="11">
        <f>E10*100/(E11+E10)</f>
        <v>0</v>
      </c>
      <c r="F13" s="11">
        <f>F10*100/(F11+F10)</f>
        <v>12.517894670218761</v>
      </c>
      <c r="G13" s="11">
        <f t="shared" ref="G13" si="7">G10*100/(G11+G10)</f>
        <v>14.584875620861038</v>
      </c>
      <c r="H13" s="10" t="s">
        <v>22</v>
      </c>
      <c r="I13" s="11">
        <f t="shared" ref="I13" si="8">I10*100/(I11+I10)</f>
        <v>0</v>
      </c>
      <c r="J13" s="11">
        <f>J10*100/(J10+J11)</f>
        <v>97.350440801852699</v>
      </c>
      <c r="K13" s="11">
        <f t="shared" ref="K13:N13" si="9">K10*100/(K10+K11)</f>
        <v>95.787117128974216</v>
      </c>
      <c r="L13" s="11">
        <f t="shared" si="9"/>
        <v>0</v>
      </c>
      <c r="M13" s="11">
        <f t="shared" si="9"/>
        <v>12.513447285815825</v>
      </c>
      <c r="N13" s="11">
        <f t="shared" si="9"/>
        <v>14.584875066998348</v>
      </c>
    </row>
    <row r="14" spans="1:16" x14ac:dyDescent="0.2">
      <c r="A14" s="5" t="s">
        <v>23</v>
      </c>
      <c r="B14" s="13">
        <f t="shared" ref="B14:G14" si="10">((B11+B10)/B2)*100</f>
        <v>49.392686079428465</v>
      </c>
      <c r="C14" s="13">
        <f t="shared" si="10"/>
        <v>31.462130006188399</v>
      </c>
      <c r="D14" s="13">
        <f t="shared" si="10"/>
        <v>23.994478223919181</v>
      </c>
      <c r="E14" s="13">
        <f t="shared" si="10"/>
        <v>39.96349535454388</v>
      </c>
      <c r="F14" s="13">
        <f t="shared" si="10"/>
        <v>39.07845175510937</v>
      </c>
      <c r="G14" s="13">
        <f t="shared" si="10"/>
        <v>41.302632175553384</v>
      </c>
      <c r="H14" s="5" t="s">
        <v>23</v>
      </c>
      <c r="I14" s="6">
        <f t="shared" ref="I14:N14" si="11">((I11+I10)/I2)*100</f>
        <v>49.410592917800308</v>
      </c>
      <c r="J14" s="6">
        <f t="shared" si="11"/>
        <v>40.214881457451256</v>
      </c>
      <c r="K14" s="6">
        <f t="shared" si="11"/>
        <v>33.628060068881595</v>
      </c>
      <c r="L14" s="6">
        <f t="shared" si="11"/>
        <v>39.9770110672928</v>
      </c>
      <c r="M14" s="6">
        <f t="shared" si="11"/>
        <v>37.763486834108228</v>
      </c>
      <c r="N14" s="6">
        <f t="shared" si="11"/>
        <v>42.48111611523499</v>
      </c>
      <c r="O14" s="1"/>
      <c r="P14" s="1"/>
    </row>
    <row r="15" spans="1:16" x14ac:dyDescent="0.2">
      <c r="A15" s="5" t="s">
        <v>12</v>
      </c>
      <c r="B15" s="6" t="s">
        <v>4</v>
      </c>
      <c r="C15" s="6" t="s">
        <v>4</v>
      </c>
      <c r="D15" s="6" t="s">
        <v>4</v>
      </c>
      <c r="E15" s="6">
        <f>B2/E2</f>
        <v>1.3851056159165467</v>
      </c>
      <c r="F15" s="6">
        <f>C2/F2</f>
        <v>0.80927632083295586</v>
      </c>
      <c r="G15" s="6">
        <f>D2/G2</f>
        <v>0.67181457148776058</v>
      </c>
      <c r="H15" s="5" t="s">
        <v>12</v>
      </c>
      <c r="I15" s="6" t="s">
        <v>4</v>
      </c>
      <c r="J15" s="6" t="s">
        <v>4</v>
      </c>
      <c r="K15" s="6" t="s">
        <v>4</v>
      </c>
      <c r="L15" s="12">
        <f>I2/L2</f>
        <v>1.3846093073113521</v>
      </c>
      <c r="M15" s="12">
        <f>J2/M2</f>
        <v>1.0398146530879246</v>
      </c>
      <c r="N15" s="12">
        <f>K2/N2</f>
        <v>0.79728713171345533</v>
      </c>
      <c r="O15" s="1"/>
      <c r="P15" s="1"/>
    </row>
    <row r="16" spans="1:16" x14ac:dyDescent="0.2">
      <c r="A16" s="5" t="s">
        <v>11</v>
      </c>
      <c r="B16" s="6" t="s">
        <v>4</v>
      </c>
      <c r="C16" s="6" t="s">
        <v>4</v>
      </c>
      <c r="D16" s="6" t="s">
        <v>4</v>
      </c>
      <c r="E16" s="6">
        <f>(B11+B10)/(E10+E11)</f>
        <v>1.7119144926356065</v>
      </c>
      <c r="F16" s="6">
        <f>(C11+C10)/(F10+F11)</f>
        <v>0.65154978443196077</v>
      </c>
      <c r="G16" s="6">
        <f>(D11+D10)/(G10+G11)</f>
        <v>0.3902860243279081</v>
      </c>
      <c r="H16" s="5" t="s">
        <v>11</v>
      </c>
      <c r="I16" s="6" t="s">
        <v>4</v>
      </c>
      <c r="J16" s="6" t="s">
        <v>4</v>
      </c>
      <c r="K16" s="6" t="s">
        <v>4</v>
      </c>
      <c r="L16" s="6">
        <f>(I11+I10)/(L10+L11)</f>
        <v>1.7113427194093536</v>
      </c>
      <c r="M16" s="6">
        <f>(J11+J10)/(M10+M11)</f>
        <v>1.1073136120969418</v>
      </c>
      <c r="N16" s="6">
        <f>(K11+K10)/(N10+N11)</f>
        <v>0.63113265396977369</v>
      </c>
      <c r="O16" s="1"/>
      <c r="P16" s="1"/>
    </row>
    <row r="17" spans="1:16" x14ac:dyDescent="0.2">
      <c r="A17" s="5" t="s">
        <v>14</v>
      </c>
      <c r="B17" s="13" t="s">
        <v>4</v>
      </c>
      <c r="C17" s="13">
        <f>$B$3/C3</f>
        <v>3.1685912240184759</v>
      </c>
      <c r="D17" s="13">
        <f>$B$3/D3</f>
        <v>4.0712166172106823</v>
      </c>
      <c r="E17" s="13" t="s">
        <v>4</v>
      </c>
      <c r="F17" s="13">
        <f>E3/F3</f>
        <v>0.95715372086108319</v>
      </c>
      <c r="G17" s="13">
        <f>E3/F3</f>
        <v>0.95715372086108319</v>
      </c>
      <c r="H17" s="5" t="s">
        <v>14</v>
      </c>
      <c r="I17" s="13" t="s">
        <v>4</v>
      </c>
      <c r="J17" s="13">
        <f>I3/J3</f>
        <v>2.3500004916599218</v>
      </c>
      <c r="K17" s="13">
        <f>I3/K3</f>
        <v>3.3124645572140059</v>
      </c>
      <c r="L17" s="13" t="s">
        <v>4</v>
      </c>
      <c r="M17" s="13">
        <f>L3/M3</f>
        <v>0.93453108356646331</v>
      </c>
      <c r="N17" s="13">
        <f>L3/N3</f>
        <v>0.9711329075765357</v>
      </c>
      <c r="O17" s="1"/>
      <c r="P17" s="1"/>
    </row>
    <row r="18" spans="1:16" ht="18.5" customHeight="1" x14ac:dyDescent="0.2">
      <c r="A18" s="5" t="s">
        <v>13</v>
      </c>
      <c r="B18" s="3" t="s">
        <v>4</v>
      </c>
      <c r="C18" s="3">
        <v>1</v>
      </c>
      <c r="D18" s="3">
        <v>1</v>
      </c>
      <c r="E18" s="3" t="s">
        <v>4</v>
      </c>
      <c r="F18" s="3" t="s">
        <v>4</v>
      </c>
      <c r="G18" s="3" t="s">
        <v>4</v>
      </c>
      <c r="H18" s="5" t="s">
        <v>13</v>
      </c>
      <c r="I18" s="3" t="s">
        <v>4</v>
      </c>
      <c r="J18" s="3">
        <v>1</v>
      </c>
      <c r="K18" s="3">
        <v>1</v>
      </c>
      <c r="L18" s="3" t="s">
        <v>4</v>
      </c>
      <c r="M18" s="3" t="s">
        <v>4</v>
      </c>
      <c r="N18" s="3" t="s">
        <v>4</v>
      </c>
    </row>
    <row r="19" spans="1:16" x14ac:dyDescent="0.2">
      <c r="A19" s="5" t="s">
        <v>16</v>
      </c>
      <c r="B19" s="14">
        <v>2643.3454999999999</v>
      </c>
      <c r="C19" s="14">
        <v>11988.4175</v>
      </c>
      <c r="D19" s="14">
        <v>15332.190500000001</v>
      </c>
      <c r="E19" s="14">
        <v>2428.5491999999999</v>
      </c>
      <c r="F19" s="14">
        <v>3045.1610000000001</v>
      </c>
      <c r="G19" s="14">
        <v>3150.866</v>
      </c>
      <c r="H19" s="5" t="s">
        <v>16</v>
      </c>
      <c r="I19" s="14">
        <v>2617.6156000000001</v>
      </c>
      <c r="J19" s="14">
        <v>7481.4957999999997</v>
      </c>
      <c r="K19" s="14">
        <v>10642.370800000001</v>
      </c>
      <c r="L19" s="14">
        <v>2437.5201999999999</v>
      </c>
      <c r="M19" s="14">
        <v>2441.1215000000002</v>
      </c>
      <c r="N19" s="14">
        <v>2537.6352000000002</v>
      </c>
    </row>
    <row r="20" spans="1:16" x14ac:dyDescent="0.2">
      <c r="A20" s="1"/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2600e953-dff1-43e7-8800-7426a528ea50}" enabled="0" method="" siteId="{2600e953-dff1-43e7-8800-7426a528ea50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2024-11-12T22:25:34Z</dcterms:created>
  <dcterms:modified xsi:type="dcterms:W3CDTF">2024-12-05T09:11:17Z</dcterms:modified>
</cp:coreProperties>
</file>