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winvarkey/Desktop/"/>
    </mc:Choice>
  </mc:AlternateContent>
  <xr:revisionPtr revIDLastSave="0" documentId="13_ncr:1_{B1B8C7D3-16A1-FE4B-990B-93482D17EE51}" xr6:coauthVersionLast="47" xr6:coauthVersionMax="47" xr10:uidLastSave="{00000000-0000-0000-0000-000000000000}"/>
  <bookViews>
    <workbookView xWindow="2820" yWindow="2400" windowWidth="18540" windowHeight="12500" firstSheet="1" activeTab="7" xr2:uid="{763EE034-DEB6-184C-BC7E-3BE6D90C7BBD}"/>
  </bookViews>
  <sheets>
    <sheet name="Instruction Count  (2)" sheetId="14" r:id="rId1"/>
    <sheet name="Scalability" sheetId="13" r:id="rId2"/>
    <sheet name="MPI" sheetId="15" r:id="rId3"/>
    <sheet name="Analysis" sheetId="12" r:id="rId4"/>
    <sheet name="Memory Runtime Data volume" sheetId="10" r:id="rId5"/>
    <sheet name="Instruction Count " sheetId="3" r:id="rId6"/>
    <sheet name="Graphs" sheetId="11" r:id="rId7"/>
    <sheet name="Energ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" i="12" l="1"/>
  <c r="AO6" i="12"/>
  <c r="AN7" i="12"/>
  <c r="AO7" i="12"/>
  <c r="AN8" i="12"/>
  <c r="AO8" i="12"/>
  <c r="AN9" i="12"/>
  <c r="AO9" i="12"/>
  <c r="AN10" i="12"/>
  <c r="AO10" i="12"/>
  <c r="AN11" i="12"/>
  <c r="AO11" i="12"/>
  <c r="D38" i="14"/>
  <c r="AZ7" i="12"/>
  <c r="AZ8" i="12"/>
  <c r="AZ9" i="12"/>
  <c r="AZ10" i="12"/>
  <c r="AZ11" i="12"/>
  <c r="AZ6" i="12"/>
  <c r="AA7" i="12"/>
  <c r="AA8" i="12"/>
  <c r="AA9" i="12"/>
  <c r="AA10" i="12"/>
  <c r="AA11" i="12"/>
  <c r="AA12" i="12"/>
  <c r="AA13" i="12"/>
  <c r="AA14" i="12"/>
  <c r="AA15" i="12"/>
  <c r="AA6" i="12"/>
  <c r="B3" i="14"/>
  <c r="C3" i="14"/>
  <c r="D3" i="14"/>
  <c r="E3" i="14"/>
  <c r="G3" i="14"/>
  <c r="H3" i="14"/>
  <c r="I3" i="14"/>
  <c r="J3" i="14"/>
  <c r="B4" i="14"/>
  <c r="B9" i="14" s="1"/>
  <c r="C4" i="14"/>
  <c r="D4" i="14"/>
  <c r="D9" i="14" s="1"/>
  <c r="E4" i="14"/>
  <c r="G4" i="14"/>
  <c r="J14" i="14" s="1"/>
  <c r="H4" i="14"/>
  <c r="H14" i="14" s="1"/>
  <c r="J4" i="14"/>
  <c r="G5" i="14"/>
  <c r="I5" i="14"/>
  <c r="J5" i="14"/>
  <c r="D7" i="14"/>
  <c r="I7" i="14"/>
  <c r="I4" i="14" s="1"/>
  <c r="G8" i="14"/>
  <c r="C9" i="14"/>
  <c r="E9" i="14"/>
  <c r="G9" i="14"/>
  <c r="H9" i="14"/>
  <c r="J9" i="14"/>
  <c r="G12" i="14"/>
  <c r="H12" i="14"/>
  <c r="I12" i="14"/>
  <c r="J12" i="14"/>
  <c r="C13" i="14"/>
  <c r="D13" i="14"/>
  <c r="E13" i="14"/>
  <c r="H13" i="14"/>
  <c r="I13" i="14"/>
  <c r="J13" i="14"/>
  <c r="B19" i="14"/>
  <c r="C19" i="14"/>
  <c r="C23" i="14" s="1"/>
  <c r="E19" i="14"/>
  <c r="E23" i="14" s="1"/>
  <c r="G19" i="14"/>
  <c r="G23" i="14" s="1"/>
  <c r="H19" i="14"/>
  <c r="H23" i="14" s="1"/>
  <c r="J19" i="14"/>
  <c r="J28" i="14" s="1"/>
  <c r="D21" i="14"/>
  <c r="D19" i="14" s="1"/>
  <c r="I21" i="14"/>
  <c r="I19" i="14" s="1"/>
  <c r="B23" i="14"/>
  <c r="J23" i="14"/>
  <c r="G26" i="14"/>
  <c r="H26" i="14"/>
  <c r="I26" i="14"/>
  <c r="J26" i="14"/>
  <c r="C27" i="14"/>
  <c r="D27" i="14"/>
  <c r="E27" i="14"/>
  <c r="H27" i="14"/>
  <c r="I27" i="14"/>
  <c r="J27" i="14"/>
  <c r="B34" i="14"/>
  <c r="B43" i="14" s="1"/>
  <c r="D34" i="14"/>
  <c r="C36" i="14"/>
  <c r="C34" i="14" s="1"/>
  <c r="E36" i="14"/>
  <c r="E34" i="14" s="1"/>
  <c r="B38" i="14"/>
  <c r="D41" i="14"/>
  <c r="E41" i="14"/>
  <c r="B42" i="14"/>
  <c r="C42" i="14"/>
  <c r="D42" i="14"/>
  <c r="E42" i="14"/>
  <c r="D43" i="14"/>
  <c r="C48" i="14"/>
  <c r="C52" i="14" s="1"/>
  <c r="D48" i="14"/>
  <c r="E48" i="14"/>
  <c r="B50" i="14"/>
  <c r="B48" i="14" s="1"/>
  <c r="B52" i="14" s="1"/>
  <c r="C50" i="14"/>
  <c r="D50" i="14"/>
  <c r="E50" i="14"/>
  <c r="D52" i="14"/>
  <c r="E52" i="14"/>
  <c r="D55" i="14"/>
  <c r="E55" i="14"/>
  <c r="C5" i="13"/>
  <c r="F5" i="13"/>
  <c r="I5" i="13"/>
  <c r="L5" i="13"/>
  <c r="N5" i="13"/>
  <c r="P5" i="13"/>
  <c r="R5" i="13"/>
  <c r="U5" i="13"/>
  <c r="W5" i="13"/>
  <c r="Y5" i="13"/>
  <c r="AB5" i="13"/>
  <c r="AK5" i="13"/>
  <c r="AN5" i="13"/>
  <c r="C6" i="13"/>
  <c r="F6" i="13"/>
  <c r="I6" i="13"/>
  <c r="L6" i="13"/>
  <c r="N6" i="13"/>
  <c r="P6" i="13"/>
  <c r="R6" i="13"/>
  <c r="U6" i="13"/>
  <c r="W6" i="13"/>
  <c r="Y6" i="13"/>
  <c r="AB6" i="13"/>
  <c r="AH6" i="13"/>
  <c r="AK6" i="13"/>
  <c r="C7" i="13"/>
  <c r="F7" i="13"/>
  <c r="I7" i="13"/>
  <c r="L7" i="13"/>
  <c r="N7" i="13"/>
  <c r="P7" i="13"/>
  <c r="R7" i="13"/>
  <c r="U7" i="13"/>
  <c r="W7" i="13"/>
  <c r="Y7" i="13"/>
  <c r="AB7" i="13"/>
  <c r="AH7" i="13"/>
  <c r="AK7" i="13"/>
  <c r="C8" i="13"/>
  <c r="F8" i="13"/>
  <c r="I8" i="13"/>
  <c r="L8" i="13"/>
  <c r="N8" i="13"/>
  <c r="P8" i="13"/>
  <c r="R8" i="13"/>
  <c r="U8" i="13"/>
  <c r="W8" i="13"/>
  <c r="Y8" i="13"/>
  <c r="AB8" i="13"/>
  <c r="AH8" i="13"/>
  <c r="AK8" i="13"/>
  <c r="C9" i="13"/>
  <c r="F9" i="13"/>
  <c r="I9" i="13"/>
  <c r="L9" i="13"/>
  <c r="N9" i="13"/>
  <c r="P9" i="13"/>
  <c r="R9" i="13"/>
  <c r="U9" i="13"/>
  <c r="W9" i="13"/>
  <c r="Y9" i="13"/>
  <c r="AB9" i="13"/>
  <c r="AH9" i="13"/>
  <c r="AK9" i="13"/>
  <c r="C10" i="13"/>
  <c r="F10" i="13"/>
  <c r="I10" i="13"/>
  <c r="L10" i="13"/>
  <c r="N10" i="13"/>
  <c r="P10" i="13"/>
  <c r="R10" i="13"/>
  <c r="U10" i="13"/>
  <c r="W10" i="13"/>
  <c r="Y10" i="13"/>
  <c r="AB10" i="13"/>
  <c r="AH10" i="13"/>
  <c r="AK10" i="13"/>
  <c r="C11" i="13"/>
  <c r="F11" i="13"/>
  <c r="I11" i="13"/>
  <c r="L11" i="13"/>
  <c r="N11" i="13"/>
  <c r="P11" i="13"/>
  <c r="R11" i="13"/>
  <c r="U11" i="13"/>
  <c r="W11" i="13"/>
  <c r="Y11" i="13"/>
  <c r="AB11" i="13"/>
  <c r="AH11" i="13"/>
  <c r="AK11" i="13"/>
  <c r="C12" i="13"/>
  <c r="F12" i="13"/>
  <c r="I12" i="13"/>
  <c r="L12" i="13"/>
  <c r="N12" i="13"/>
  <c r="P12" i="13"/>
  <c r="R12" i="13"/>
  <c r="U12" i="13"/>
  <c r="W12" i="13"/>
  <c r="Y12" i="13"/>
  <c r="AB12" i="13"/>
  <c r="AH12" i="13"/>
  <c r="AK12" i="13"/>
  <c r="C13" i="13"/>
  <c r="F13" i="13"/>
  <c r="I13" i="13"/>
  <c r="L13" i="13"/>
  <c r="N13" i="13"/>
  <c r="P13" i="13"/>
  <c r="R13" i="13"/>
  <c r="U13" i="13"/>
  <c r="W13" i="13"/>
  <c r="Y13" i="13"/>
  <c r="AB13" i="13"/>
  <c r="AH13" i="13"/>
  <c r="AK13" i="13"/>
  <c r="C14" i="13"/>
  <c r="F14" i="13"/>
  <c r="I14" i="13"/>
  <c r="L14" i="13"/>
  <c r="N14" i="13"/>
  <c r="P14" i="13"/>
  <c r="R14" i="13"/>
  <c r="U14" i="13"/>
  <c r="W14" i="13"/>
  <c r="Y14" i="13"/>
  <c r="AB14" i="13"/>
  <c r="AH14" i="13"/>
  <c r="AK14" i="13"/>
  <c r="C15" i="13"/>
  <c r="F15" i="13"/>
  <c r="I15" i="13"/>
  <c r="L15" i="13"/>
  <c r="N15" i="13"/>
  <c r="P15" i="13"/>
  <c r="R15" i="13"/>
  <c r="U15" i="13"/>
  <c r="W15" i="13"/>
  <c r="Y15" i="13"/>
  <c r="AB15" i="13"/>
  <c r="AH15" i="13"/>
  <c r="AK15" i="13"/>
  <c r="C16" i="13"/>
  <c r="F16" i="13"/>
  <c r="I16" i="13"/>
  <c r="L16" i="13"/>
  <c r="N16" i="13"/>
  <c r="P16" i="13"/>
  <c r="R16" i="13"/>
  <c r="U16" i="13"/>
  <c r="W16" i="13"/>
  <c r="Y16" i="13"/>
  <c r="AB16" i="13"/>
  <c r="AH16" i="13"/>
  <c r="AK16" i="13"/>
  <c r="C17" i="13"/>
  <c r="F17" i="13"/>
  <c r="I17" i="13"/>
  <c r="L17" i="13"/>
  <c r="N17" i="13"/>
  <c r="P17" i="13"/>
  <c r="R17" i="13"/>
  <c r="U17" i="13"/>
  <c r="W17" i="13"/>
  <c r="Y17" i="13"/>
  <c r="AB17" i="13"/>
  <c r="AH17" i="13"/>
  <c r="AK17" i="13"/>
  <c r="C18" i="13"/>
  <c r="F18" i="13"/>
  <c r="I18" i="13"/>
  <c r="L18" i="13"/>
  <c r="N18" i="13"/>
  <c r="P18" i="13"/>
  <c r="R18" i="13"/>
  <c r="U18" i="13"/>
  <c r="W18" i="13"/>
  <c r="Y18" i="13"/>
  <c r="AB18" i="13"/>
  <c r="AH18" i="13"/>
  <c r="AK18" i="13"/>
  <c r="C19" i="13"/>
  <c r="F19" i="13"/>
  <c r="I19" i="13"/>
  <c r="L19" i="13"/>
  <c r="N19" i="13"/>
  <c r="P19" i="13"/>
  <c r="R19" i="13"/>
  <c r="U19" i="13"/>
  <c r="W19" i="13"/>
  <c r="Y19" i="13"/>
  <c r="AB19" i="13"/>
  <c r="AH19" i="13"/>
  <c r="AK19" i="13"/>
  <c r="C20" i="13"/>
  <c r="F20" i="13"/>
  <c r="I20" i="13"/>
  <c r="L20" i="13"/>
  <c r="N20" i="13"/>
  <c r="P20" i="13"/>
  <c r="R20" i="13"/>
  <c r="U20" i="13"/>
  <c r="W20" i="13"/>
  <c r="Y20" i="13"/>
  <c r="AB20" i="13"/>
  <c r="AH20" i="13"/>
  <c r="AK20" i="13"/>
  <c r="C21" i="13"/>
  <c r="F21" i="13"/>
  <c r="I21" i="13"/>
  <c r="L21" i="13"/>
  <c r="N21" i="13"/>
  <c r="P21" i="13"/>
  <c r="R21" i="13"/>
  <c r="U21" i="13"/>
  <c r="W21" i="13"/>
  <c r="Y21" i="13"/>
  <c r="AB21" i="13"/>
  <c r="AH21" i="13"/>
  <c r="AK21" i="13"/>
  <c r="C22" i="13"/>
  <c r="F22" i="13"/>
  <c r="I22" i="13"/>
  <c r="L22" i="13"/>
  <c r="N22" i="13"/>
  <c r="P22" i="13"/>
  <c r="R22" i="13"/>
  <c r="U22" i="13"/>
  <c r="W22" i="13"/>
  <c r="Y22" i="13"/>
  <c r="AB22" i="13"/>
  <c r="AH22" i="13"/>
  <c r="AK22" i="13"/>
  <c r="C23" i="13"/>
  <c r="F23" i="13"/>
  <c r="I23" i="13"/>
  <c r="L23" i="13"/>
  <c r="N23" i="13"/>
  <c r="P23" i="13"/>
  <c r="R23" i="13"/>
  <c r="U23" i="13"/>
  <c r="W23" i="13"/>
  <c r="Y23" i="13"/>
  <c r="AB23" i="13"/>
  <c r="AH23" i="13"/>
  <c r="AK23" i="13"/>
  <c r="C24" i="13"/>
  <c r="F24" i="13"/>
  <c r="I24" i="13"/>
  <c r="L24" i="13"/>
  <c r="N24" i="13"/>
  <c r="P24" i="13"/>
  <c r="R24" i="13"/>
  <c r="U24" i="13"/>
  <c r="W24" i="13"/>
  <c r="Y24" i="13"/>
  <c r="AB24" i="13"/>
  <c r="AH24" i="13"/>
  <c r="AK24" i="13"/>
  <c r="C25" i="13"/>
  <c r="F25" i="13"/>
  <c r="I25" i="13"/>
  <c r="L25" i="13"/>
  <c r="N25" i="13"/>
  <c r="P25" i="13"/>
  <c r="R25" i="13"/>
  <c r="U25" i="13"/>
  <c r="W25" i="13"/>
  <c r="Y25" i="13"/>
  <c r="AB25" i="13"/>
  <c r="AH25" i="13"/>
  <c r="AK25" i="13"/>
  <c r="C26" i="13"/>
  <c r="F26" i="13"/>
  <c r="I26" i="13"/>
  <c r="L26" i="13"/>
  <c r="N26" i="13"/>
  <c r="P26" i="13"/>
  <c r="R26" i="13"/>
  <c r="U26" i="13"/>
  <c r="W26" i="13"/>
  <c r="Y26" i="13"/>
  <c r="AB26" i="13"/>
  <c r="AH26" i="13"/>
  <c r="AK26" i="13"/>
  <c r="AN26" i="13"/>
  <c r="AQ26" i="13"/>
  <c r="AT26" i="13"/>
  <c r="AW26" i="13"/>
  <c r="C27" i="13"/>
  <c r="F27" i="13"/>
  <c r="I27" i="13"/>
  <c r="L27" i="13"/>
  <c r="N27" i="13"/>
  <c r="P27" i="13"/>
  <c r="R27" i="13"/>
  <c r="U27" i="13"/>
  <c r="W27" i="13"/>
  <c r="Y27" i="13"/>
  <c r="AB27" i="13"/>
  <c r="AH27" i="13"/>
  <c r="AK27" i="13"/>
  <c r="AN27" i="13"/>
  <c r="AQ27" i="13"/>
  <c r="AT27" i="13"/>
  <c r="AW27" i="13"/>
  <c r="C28" i="13"/>
  <c r="F28" i="13"/>
  <c r="I28" i="13"/>
  <c r="L28" i="13"/>
  <c r="N28" i="13"/>
  <c r="P28" i="13"/>
  <c r="R28" i="13"/>
  <c r="U28" i="13"/>
  <c r="W28" i="13"/>
  <c r="Y28" i="13"/>
  <c r="AB28" i="13"/>
  <c r="AH28" i="13"/>
  <c r="AK28" i="13"/>
  <c r="AN28" i="13"/>
  <c r="AQ28" i="13"/>
  <c r="AT28" i="13"/>
  <c r="AW28" i="13"/>
  <c r="C29" i="13"/>
  <c r="F29" i="13"/>
  <c r="I29" i="13"/>
  <c r="L29" i="13"/>
  <c r="N29" i="13"/>
  <c r="P29" i="13"/>
  <c r="R29" i="13"/>
  <c r="U29" i="13"/>
  <c r="W29" i="13"/>
  <c r="Y29" i="13"/>
  <c r="AB29" i="13"/>
  <c r="AH29" i="13"/>
  <c r="AK29" i="13"/>
  <c r="AN29" i="13"/>
  <c r="AQ29" i="13"/>
  <c r="AT29" i="13"/>
  <c r="AW29" i="13"/>
  <c r="C30" i="13"/>
  <c r="F30" i="13"/>
  <c r="I30" i="13"/>
  <c r="L30" i="13"/>
  <c r="N30" i="13"/>
  <c r="P30" i="13"/>
  <c r="R30" i="13"/>
  <c r="U30" i="13"/>
  <c r="W30" i="13"/>
  <c r="Y30" i="13"/>
  <c r="AB30" i="13"/>
  <c r="AH30" i="13"/>
  <c r="AK30" i="13"/>
  <c r="AN30" i="13"/>
  <c r="AQ30" i="13"/>
  <c r="AT30" i="13"/>
  <c r="AW30" i="13"/>
  <c r="C31" i="13"/>
  <c r="F31" i="13"/>
  <c r="I31" i="13"/>
  <c r="L31" i="13"/>
  <c r="N31" i="13"/>
  <c r="P31" i="13"/>
  <c r="R31" i="13"/>
  <c r="U31" i="13"/>
  <c r="Y31" i="13"/>
  <c r="AB31" i="13"/>
  <c r="AH31" i="13"/>
  <c r="AK31" i="13"/>
  <c r="AN31" i="13"/>
  <c r="AQ31" i="13"/>
  <c r="AT31" i="13"/>
  <c r="AW31" i="13"/>
  <c r="G5" i="12"/>
  <c r="N5" i="12"/>
  <c r="U5" i="12"/>
  <c r="AB6" i="12"/>
  <c r="BA6" i="12"/>
  <c r="G6" i="12"/>
  <c r="N6" i="12"/>
  <c r="U6" i="12"/>
  <c r="AB7" i="12"/>
  <c r="BA7" i="12"/>
  <c r="AB8" i="12"/>
  <c r="G7" i="12"/>
  <c r="N7" i="12"/>
  <c r="U7" i="12"/>
  <c r="AB9" i="12"/>
  <c r="BA8" i="12"/>
  <c r="AB10" i="12"/>
  <c r="AB11" i="12"/>
  <c r="AB12" i="12"/>
  <c r="BA9" i="12"/>
  <c r="G8" i="12"/>
  <c r="N8" i="12"/>
  <c r="U8" i="12"/>
  <c r="AB13" i="12"/>
  <c r="AB14" i="12"/>
  <c r="BA10" i="12"/>
  <c r="AB15" i="12"/>
  <c r="BA11" i="12"/>
  <c r="G9" i="12"/>
  <c r="N9" i="12"/>
  <c r="U9" i="12"/>
  <c r="G10" i="12"/>
  <c r="N10" i="12"/>
  <c r="U10" i="12"/>
  <c r="G11" i="12"/>
  <c r="N11" i="12"/>
  <c r="U11" i="12"/>
  <c r="L21" i="12"/>
  <c r="M21" i="12"/>
  <c r="E43" i="14" l="1"/>
  <c r="E38" i="14"/>
  <c r="I23" i="14"/>
  <c r="I28" i="14"/>
  <c r="I14" i="14"/>
  <c r="I9" i="14"/>
  <c r="D28" i="14"/>
  <c r="D23" i="14"/>
  <c r="C43" i="14"/>
  <c r="C38" i="14"/>
  <c r="E14" i="14"/>
  <c r="H28" i="14"/>
  <c r="D14" i="14"/>
  <c r="E28" i="14"/>
  <c r="C14" i="14"/>
  <c r="H5" i="14"/>
  <c r="C28" i="14"/>
  <c r="E5" i="14"/>
  <c r="C5" i="14"/>
  <c r="D5" i="14"/>
  <c r="B5" i="14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B78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B80" i="9"/>
  <c r="B70" i="9"/>
  <c r="Y64" i="9"/>
  <c r="Z64" i="9"/>
  <c r="B67" i="9"/>
  <c r="C67" i="9"/>
  <c r="D67" i="9"/>
  <c r="E67" i="9"/>
  <c r="F67" i="9"/>
  <c r="G67" i="9"/>
  <c r="H67" i="9"/>
  <c r="I67" i="9"/>
  <c r="J67" i="9"/>
  <c r="K67" i="9"/>
  <c r="L6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B77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AA64" i="9"/>
  <c r="AB64" i="9"/>
  <c r="B64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C70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G75" i="9"/>
  <c r="F75" i="9"/>
  <c r="E75" i="9"/>
  <c r="D75" i="9"/>
  <c r="C75" i="9"/>
  <c r="B75" i="9"/>
  <c r="B62" i="9"/>
  <c r="C62" i="9"/>
  <c r="D62" i="9"/>
  <c r="E62" i="9"/>
  <c r="F62" i="9"/>
  <c r="G62" i="9"/>
  <c r="H62" i="9"/>
  <c r="H75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B74" i="9"/>
  <c r="AB71" i="9"/>
  <c r="AA74" i="9"/>
  <c r="AA71" i="9"/>
  <c r="Z74" i="9"/>
  <c r="Z71" i="9"/>
  <c r="Y74" i="9"/>
  <c r="Y71" i="9"/>
  <c r="X74" i="9"/>
  <c r="X71" i="9"/>
  <c r="W74" i="9"/>
  <c r="W71" i="9"/>
  <c r="V74" i="9"/>
  <c r="V71" i="9"/>
  <c r="U74" i="9"/>
  <c r="U71" i="9"/>
  <c r="T74" i="9"/>
  <c r="T71" i="9"/>
  <c r="S74" i="9"/>
  <c r="S71" i="9"/>
  <c r="R74" i="9"/>
  <c r="R71" i="9"/>
  <c r="Q74" i="9"/>
  <c r="Q71" i="9"/>
  <c r="P74" i="9"/>
  <c r="P71" i="9"/>
  <c r="O74" i="9"/>
  <c r="O71" i="9"/>
  <c r="N74" i="9"/>
  <c r="N71" i="9"/>
  <c r="M74" i="9"/>
  <c r="M71" i="9"/>
  <c r="L74" i="9"/>
  <c r="L71" i="9"/>
  <c r="K74" i="9"/>
  <c r="K71" i="9"/>
  <c r="J74" i="9"/>
  <c r="J71" i="9"/>
  <c r="I74" i="9"/>
  <c r="I71" i="9"/>
  <c r="H74" i="9"/>
  <c r="H71" i="9"/>
  <c r="G74" i="9"/>
  <c r="G71" i="9"/>
  <c r="F74" i="9"/>
  <c r="F71" i="9"/>
  <c r="E74" i="9"/>
  <c r="E71" i="9"/>
  <c r="D74" i="9"/>
  <c r="D71" i="9"/>
  <c r="C74" i="9"/>
  <c r="C71" i="9"/>
  <c r="B74" i="9"/>
  <c r="B71" i="9"/>
  <c r="C4" i="3"/>
  <c r="C5" i="3"/>
  <c r="J5" i="3"/>
  <c r="I5" i="3"/>
  <c r="H5" i="3"/>
  <c r="G5" i="3"/>
  <c r="E5" i="3"/>
  <c r="D5" i="3"/>
  <c r="B5" i="3"/>
  <c r="J3" i="3"/>
  <c r="I3" i="3"/>
  <c r="H3" i="3"/>
  <c r="G3" i="3"/>
  <c r="E3" i="3"/>
  <c r="D3" i="3"/>
  <c r="C3" i="3"/>
  <c r="B3" i="3"/>
  <c r="H26" i="3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B73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B38" i="9"/>
  <c r="B16" i="9"/>
  <c r="C12" i="9"/>
  <c r="C6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B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B53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B59" i="9"/>
  <c r="B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C47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K48" i="9"/>
  <c r="J48" i="9"/>
  <c r="I48" i="9"/>
  <c r="H48" i="9"/>
  <c r="G48" i="9"/>
  <c r="F48" i="9"/>
  <c r="E48" i="9"/>
  <c r="D48" i="9"/>
  <c r="C48" i="9"/>
  <c r="B48" i="9"/>
  <c r="AB48" i="9"/>
  <c r="AB54" i="9"/>
  <c r="AA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C60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V37" i="9"/>
  <c r="W37" i="9"/>
  <c r="X37" i="9"/>
  <c r="Y37" i="9"/>
  <c r="Z37" i="9"/>
  <c r="AA37" i="9"/>
  <c r="AB37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B34" i="3"/>
  <c r="B38" i="3" s="1"/>
  <c r="D34" i="3"/>
  <c r="D38" i="3" s="1"/>
  <c r="C36" i="3"/>
  <c r="C34" i="3" s="1"/>
  <c r="E36" i="3"/>
  <c r="E34" i="3" s="1"/>
  <c r="D41" i="3"/>
  <c r="E41" i="3"/>
  <c r="B42" i="3"/>
  <c r="C42" i="3"/>
  <c r="D42" i="3"/>
  <c r="E42" i="3"/>
  <c r="E48" i="3"/>
  <c r="E52" i="3" s="1"/>
  <c r="B50" i="3"/>
  <c r="B48" i="3" s="1"/>
  <c r="B52" i="3" s="1"/>
  <c r="C50" i="3"/>
  <c r="C48" i="3" s="1"/>
  <c r="C52" i="3" s="1"/>
  <c r="D50" i="3"/>
  <c r="D48" i="3" s="1"/>
  <c r="D52" i="3" s="1"/>
  <c r="E50" i="3"/>
  <c r="D55" i="3"/>
  <c r="E55" i="3"/>
  <c r="V25" i="9"/>
  <c r="B35" i="9"/>
  <c r="B36" i="9" s="1"/>
  <c r="B29" i="9"/>
  <c r="B30" i="9" s="1"/>
  <c r="B23" i="9"/>
  <c r="B24" i="9" s="1"/>
  <c r="R35" i="10"/>
  <c r="E29" i="10"/>
  <c r="F29" i="10"/>
  <c r="G29" i="10"/>
  <c r="H29" i="10"/>
  <c r="I29" i="10"/>
  <c r="J29" i="10"/>
  <c r="E31" i="10"/>
  <c r="F31" i="10"/>
  <c r="G31" i="10"/>
  <c r="H31" i="10"/>
  <c r="I31" i="10"/>
  <c r="J31" i="10"/>
  <c r="G37" i="10"/>
  <c r="H37" i="10"/>
  <c r="I37" i="10"/>
  <c r="J37" i="10"/>
  <c r="G39" i="10"/>
  <c r="H39" i="10"/>
  <c r="I39" i="10"/>
  <c r="J39" i="10"/>
  <c r="W25" i="9"/>
  <c r="X25" i="9"/>
  <c r="Y25" i="9"/>
  <c r="Z25" i="9"/>
  <c r="AA25" i="9"/>
  <c r="AB25" i="9"/>
  <c r="AB14" i="9"/>
  <c r="AB16" i="9" s="1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E19" i="9"/>
  <c r="D19" i="9"/>
  <c r="C19" i="9"/>
  <c r="C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B19" i="9"/>
  <c r="H13" i="9"/>
  <c r="G13" i="9"/>
  <c r="F13" i="9"/>
  <c r="E13" i="9"/>
  <c r="D13" i="9"/>
  <c r="C8" i="9"/>
  <c r="C10" i="9" s="1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13" i="9"/>
  <c r="I13" i="9"/>
  <c r="J13" i="9"/>
  <c r="L13" i="9"/>
  <c r="M13" i="9"/>
  <c r="N13" i="9"/>
  <c r="O13" i="9"/>
  <c r="P13" i="9"/>
  <c r="Q13" i="9"/>
  <c r="R13" i="9"/>
  <c r="S13" i="9"/>
  <c r="T13" i="9"/>
  <c r="U13" i="9"/>
  <c r="V13" i="9"/>
  <c r="W13" i="9"/>
  <c r="K13" i="9"/>
  <c r="X13" i="9"/>
  <c r="Y13" i="9"/>
  <c r="Z13" i="9"/>
  <c r="AA13" i="9"/>
  <c r="AB13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D10" i="9"/>
  <c r="B10" i="9"/>
  <c r="F10" i="9"/>
  <c r="E10" i="9"/>
  <c r="AB7" i="9"/>
  <c r="AA2" i="9"/>
  <c r="AA4" i="9" s="1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G4" i="9"/>
  <c r="H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B4" i="9"/>
  <c r="F2" i="9"/>
  <c r="F4" i="9" s="1"/>
  <c r="E2" i="9"/>
  <c r="E4" i="9" s="1"/>
  <c r="D2" i="9"/>
  <c r="D4" i="9" s="1"/>
  <c r="C2" i="9"/>
  <c r="C4" i="9" s="1"/>
  <c r="B2" i="9"/>
  <c r="B4" i="9" s="1"/>
  <c r="F7" i="9"/>
  <c r="E7" i="9"/>
  <c r="D7" i="9"/>
  <c r="C7" i="9"/>
  <c r="B7" i="9"/>
  <c r="B6" i="9"/>
  <c r="J8" i="10"/>
  <c r="H8" i="10"/>
  <c r="J7" i="10"/>
  <c r="H7" i="10"/>
  <c r="J6" i="10"/>
  <c r="H6" i="10"/>
  <c r="J5" i="10"/>
  <c r="H5" i="10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D13" i="3"/>
  <c r="E19" i="3"/>
  <c r="D21" i="3"/>
  <c r="D19" i="3" s="1"/>
  <c r="C19" i="3"/>
  <c r="C23" i="3" s="1"/>
  <c r="B19" i="3"/>
  <c r="B23" i="3" s="1"/>
  <c r="E4" i="3"/>
  <c r="D7" i="3"/>
  <c r="D4" i="3" s="1"/>
  <c r="C9" i="3"/>
  <c r="B4" i="3"/>
  <c r="B9" i="3" s="1"/>
  <c r="I21" i="3"/>
  <c r="I19" i="3" s="1"/>
  <c r="I23" i="3" s="1"/>
  <c r="H19" i="3"/>
  <c r="J19" i="3"/>
  <c r="J23" i="3" s="1"/>
  <c r="G19" i="3"/>
  <c r="G23" i="3" s="1"/>
  <c r="I7" i="3"/>
  <c r="I4" i="3" s="1"/>
  <c r="H4" i="3"/>
  <c r="H9" i="3" s="1"/>
  <c r="J4" i="3"/>
  <c r="G12" i="3"/>
  <c r="G4" i="3"/>
  <c r="G8" i="3"/>
  <c r="J27" i="3"/>
  <c r="I27" i="3"/>
  <c r="H27" i="3"/>
  <c r="E27" i="3"/>
  <c r="D27" i="3"/>
  <c r="C27" i="3"/>
  <c r="J26" i="3"/>
  <c r="I26" i="3"/>
  <c r="G26" i="3"/>
  <c r="J13" i="3"/>
  <c r="I13" i="3"/>
  <c r="H13" i="3"/>
  <c r="E13" i="3"/>
  <c r="C13" i="3"/>
  <c r="J12" i="3"/>
  <c r="I12" i="3"/>
  <c r="H12" i="3"/>
  <c r="B43" i="3" l="1"/>
  <c r="D43" i="3"/>
  <c r="C38" i="9"/>
  <c r="C43" i="3"/>
  <c r="C38" i="3"/>
  <c r="E38" i="3"/>
  <c r="E43" i="3"/>
  <c r="H28" i="3"/>
  <c r="C14" i="3"/>
  <c r="E14" i="3"/>
  <c r="E28" i="3"/>
  <c r="D9" i="3"/>
  <c r="D14" i="3"/>
  <c r="D28" i="3"/>
  <c r="D23" i="3"/>
  <c r="E9" i="3"/>
  <c r="E23" i="3"/>
  <c r="C28" i="3"/>
  <c r="J28" i="3"/>
  <c r="H23" i="3"/>
  <c r="I28" i="3"/>
  <c r="H14" i="3"/>
  <c r="G9" i="3"/>
  <c r="J14" i="3"/>
  <c r="I14" i="3"/>
  <c r="J9" i="3"/>
  <c r="I9" i="3"/>
</calcChain>
</file>

<file path=xl/sharedStrings.xml><?xml version="1.0" encoding="utf-8"?>
<sst xmlns="http://schemas.openxmlformats.org/spreadsheetml/2006/main" count="527" uniqueCount="220">
  <si>
    <t>Instructions total</t>
  </si>
  <si>
    <t>Instructions arith</t>
  </si>
  <si>
    <t>HN novec</t>
  </si>
  <si>
    <t>runtime</t>
  </si>
  <si>
    <t>cpi</t>
  </si>
  <si>
    <t>HN SSE</t>
  </si>
  <si>
    <t>FN novec</t>
  </si>
  <si>
    <t>FN SSE</t>
  </si>
  <si>
    <t>FN AVX</t>
  </si>
  <si>
    <t>HN AVX512</t>
  </si>
  <si>
    <t>FN AVX512</t>
  </si>
  <si>
    <t>Instruction vs novec [%]</t>
  </si>
  <si>
    <t>Instructions arith vs novec [%]</t>
  </si>
  <si>
    <t>Instructions vs HN [%]</t>
  </si>
  <si>
    <t>Percentage Arithmetic [%]</t>
  </si>
  <si>
    <t>Vectorization ratio [%]</t>
  </si>
  <si>
    <t>HN AVX</t>
  </si>
  <si>
    <t>DP</t>
  </si>
  <si>
    <t>FN-SSE</t>
  </si>
  <si>
    <t>FN-NONE</t>
  </si>
  <si>
    <t>FN-AVC</t>
  </si>
  <si>
    <t>FN-AVX512</t>
  </si>
  <si>
    <t>HN-NONE</t>
  </si>
  <si>
    <t>HN-SSE</t>
  </si>
  <si>
    <t>HN-AVX</t>
  </si>
  <si>
    <t>HN-AVX512</t>
  </si>
  <si>
    <t>Time</t>
  </si>
  <si>
    <t>Perf</t>
  </si>
  <si>
    <t>1.6 GHz</t>
  </si>
  <si>
    <t>2 GHz</t>
  </si>
  <si>
    <t>3 GHz</t>
  </si>
  <si>
    <t>3.8 GHz</t>
  </si>
  <si>
    <t>Metrics</t>
  </si>
  <si>
    <t>Set Freq</t>
  </si>
  <si>
    <t>Actual Freq</t>
  </si>
  <si>
    <t>Performance [GFlops/s]</t>
  </si>
  <si>
    <t>Power</t>
  </si>
  <si>
    <t>SP</t>
  </si>
  <si>
    <t>Region</t>
  </si>
  <si>
    <t>Time [s] (FN)</t>
  </si>
  <si>
    <t>Time [s] [HN]</t>
  </si>
  <si>
    <t>% Overall (FN)</t>
  </si>
  <si>
    <t>#Calls</t>
  </si>
  <si>
    <t>time/call [s] [FN]</t>
  </si>
  <si>
    <t>Force (SP)</t>
  </si>
  <si>
    <t>Reneighbour (SP)</t>
  </si>
  <si>
    <t>Force (DP)</t>
  </si>
  <si>
    <t>Reneighbour (DP)</t>
  </si>
  <si>
    <t>Force</t>
  </si>
  <si>
    <t>Reneighbour</t>
  </si>
  <si>
    <t>Scalar</t>
  </si>
  <si>
    <t>SIMD</t>
  </si>
  <si>
    <t>SIMD iterations per atom</t>
  </si>
  <si>
    <t>SIMD iterations count</t>
  </si>
  <si>
    <t>Cycles per SIMD</t>
  </si>
  <si>
    <t>Data volume per SIMD iteration</t>
  </si>
  <si>
    <t>DP [MFLOP/s]</t>
  </si>
  <si>
    <t>9.9181 </t>
  </si>
  <si>
    <t>SP [MFLOP/s]</t>
  </si>
  <si>
    <t>HN-SP</t>
  </si>
  <si>
    <t>HN-DP</t>
  </si>
  <si>
    <t>FN-SP</t>
  </si>
  <si>
    <t>FN-DP</t>
  </si>
  <si>
    <t>L2 [MBytes/s]</t>
  </si>
  <si>
    <t>L2 [GB]</t>
  </si>
  <si>
    <t>L3 [MBytes/s]</t>
  </si>
  <si>
    <t>L3 [GB]</t>
  </si>
  <si>
    <t>MEM [MBytes/s]</t>
  </si>
  <si>
    <t>MEM [GB]</t>
  </si>
  <si>
    <t>PERF [MFLOP/S]</t>
  </si>
  <si>
    <t>Scalar Time [s]</t>
  </si>
  <si>
    <t>SSE Time  [s]</t>
  </si>
  <si>
    <t>AVX Time [s]</t>
  </si>
  <si>
    <t>AVX-512 Time  [s]</t>
  </si>
  <si>
    <t>Freq (DP)</t>
  </si>
  <si>
    <t>Performance [MFlops/s]</t>
  </si>
  <si>
    <t>CP</t>
  </si>
  <si>
    <t>VL</t>
  </si>
  <si>
    <t>Scalar DP</t>
  </si>
  <si>
    <t>SSE DP</t>
  </si>
  <si>
    <t>AVX DP</t>
  </si>
  <si>
    <t>AVX512 DP</t>
  </si>
  <si>
    <t>HN-AVX DP</t>
  </si>
  <si>
    <t>AVX 512 SP</t>
  </si>
  <si>
    <t>Useful Data volume read [bytes]</t>
  </si>
  <si>
    <t>Performance in atom updates [10e6]</t>
  </si>
  <si>
    <t>DRAM</t>
  </si>
  <si>
    <t>ENERGY STAT</t>
  </si>
  <si>
    <t>*Useful read data volume [GB]</t>
  </si>
  <si>
    <t>AVX 512 VL</t>
  </si>
  <si>
    <t>AVX 512 CP</t>
  </si>
  <si>
    <t>runtime [s]</t>
  </si>
  <si>
    <t>cpi [cy/inst]</t>
  </si>
  <si>
    <t>Cluster pair</t>
  </si>
  <si>
    <t>Energy to Solution [Joule] Freq 1.6 GHz</t>
  </si>
  <si>
    <t>Energy to Solution [Joule] Freq 3.0 GHz</t>
  </si>
  <si>
    <t>Performance [GFlops/s] Freq 1.6 GHz</t>
  </si>
  <si>
    <t>Power Freq 1.6 GHz</t>
  </si>
  <si>
    <t>Power Freq 3.0 GHz</t>
  </si>
  <si>
    <t>Power Freq 3.8 GHz</t>
  </si>
  <si>
    <t>Power Freq 3.0 GHz Scalar</t>
  </si>
  <si>
    <t>Power Freq 3.0 GHz SSE</t>
  </si>
  <si>
    <t>Power Freq 3.0 GHz AVX</t>
  </si>
  <si>
    <t>Power Freq 3.0 GHz AVX 512</t>
  </si>
  <si>
    <t>ENERGY STAT Freq 1.6 GHz</t>
  </si>
  <si>
    <t>Energy to Solution [Joule] Freq 1.6 GHz AVX 512</t>
  </si>
  <si>
    <t>Energy to Solution [Joule] Freq 3.8 GHz AVX 512</t>
  </si>
  <si>
    <t>Energy to Solution [Joule] Freq 3.0 GHz AVX</t>
  </si>
  <si>
    <t>Performance [GFlops/s] Freq 3.0 GHz</t>
  </si>
  <si>
    <t>Energy to Solution [Joule] Freq 3.8 GHz</t>
  </si>
  <si>
    <t>Performance [GFlops/s] Freq 3.8 GHz</t>
  </si>
  <si>
    <t>Energy to Solution [Joule] Scalar</t>
  </si>
  <si>
    <t>Performance [GFlops/s] Scalar</t>
  </si>
  <si>
    <t>Energy to Solution [Joule] SSE</t>
  </si>
  <si>
    <t>Performance [GFlops/s] SSE</t>
  </si>
  <si>
    <t>Energy to Solution [Joule] AVX</t>
  </si>
  <si>
    <t>Performance [GFlops/s] AVX</t>
  </si>
  <si>
    <t>Performance [MFlops/s] SSE</t>
  </si>
  <si>
    <t>Energy to Solution [Joule] AVX 512</t>
  </si>
  <si>
    <t>VL HN</t>
  </si>
  <si>
    <t>Performance [MFlops/s] Scalar</t>
  </si>
  <si>
    <t>Expected</t>
  </si>
  <si>
    <t>HN AVX VL</t>
  </si>
  <si>
    <t>HN AVX512 VL</t>
  </si>
  <si>
    <t>HN AVX CP</t>
  </si>
  <si>
    <t>HN AVX512 CP</t>
  </si>
  <si>
    <t>FN AVX VL</t>
  </si>
  <si>
    <t>FN AVX512 VL</t>
  </si>
  <si>
    <t>FN AVX CP</t>
  </si>
  <si>
    <t>FN AVX512 CP</t>
  </si>
  <si>
    <t>HN AVX VL SP</t>
  </si>
  <si>
    <t>HN AVX VL DP</t>
  </si>
  <si>
    <t>HN AVX 512 VL DP</t>
  </si>
  <si>
    <t>HN AVX 512 VL SP</t>
  </si>
  <si>
    <t>HN AVX CP DP</t>
  </si>
  <si>
    <t>HN AVX CP SP</t>
  </si>
  <si>
    <t>HN AVX 512 CP DP</t>
  </si>
  <si>
    <t>HN AVX 512 CP SP</t>
  </si>
  <si>
    <t xml:space="preserve">Verletlist [MFlops/s] </t>
  </si>
  <si>
    <t xml:space="preserve">Clusterpair [MFlops/s] </t>
  </si>
  <si>
    <t>Energy to Solution [Joule] AVX 512 SP</t>
  </si>
  <si>
    <t>Performance [MFlops/s] AVX 512 SP</t>
  </si>
  <si>
    <t>Performance [GFlops/s] AVX 512 SP</t>
  </si>
  <si>
    <t xml:space="preserve">Performance [MFlops/s] AVX </t>
  </si>
  <si>
    <t>Energy to Solution [Joule] AVX 512 HN</t>
  </si>
  <si>
    <t>Energy to Solution [Joule] AVX HN</t>
  </si>
  <si>
    <t>Energy to Solution [Joule] SSE HN</t>
  </si>
  <si>
    <t>Energy to Solution [Joule] Scalar HN</t>
  </si>
  <si>
    <t>AVX 512 HN</t>
  </si>
  <si>
    <t xml:space="preserve">VL AVX HN </t>
  </si>
  <si>
    <t xml:space="preserve">VL AVX 512 HN </t>
  </si>
  <si>
    <t>VL SSE HN</t>
  </si>
  <si>
    <t>VL Scalar HN</t>
  </si>
  <si>
    <t>Energy to Solution [Joule] AVX 512 SP FN</t>
  </si>
  <si>
    <t>Performance [MFlops/s] AVX 512 SP FN</t>
  </si>
  <si>
    <t>Performance [GFlops/s] AVX 512 SP FN</t>
  </si>
  <si>
    <t>FN AVX512 DP</t>
  </si>
  <si>
    <t>HN AVX512 DP</t>
  </si>
  <si>
    <t>HN AVX512 SP</t>
  </si>
  <si>
    <t>FN AVX 512 SP</t>
  </si>
  <si>
    <t>-</t>
  </si>
  <si>
    <t>Diff</t>
  </si>
  <si>
    <t>Total Instr CP SP AVX 512</t>
  </si>
  <si>
    <t>Arith Instr  CP SP AVX 512</t>
  </si>
  <si>
    <t>L3 DW VL</t>
  </si>
  <si>
    <t>L3 DW CP DP</t>
  </si>
  <si>
    <t>L3 DW CP SP</t>
  </si>
  <si>
    <t>L3 BW VL</t>
  </si>
  <si>
    <t>L3 BW CP DP</t>
  </si>
  <si>
    <t>L3 BW CP SP</t>
  </si>
  <si>
    <t>L2 DW VL</t>
  </si>
  <si>
    <t>L2 DW CP DP</t>
  </si>
  <si>
    <t>L2 DW CP SP</t>
  </si>
  <si>
    <t>L2 BW VL</t>
  </si>
  <si>
    <t>L2 BW CP DP</t>
  </si>
  <si>
    <t>L2 BW CP SP</t>
  </si>
  <si>
    <t>MEM DW VL</t>
  </si>
  <si>
    <t>MEM DW CP DP</t>
  </si>
  <si>
    <t>MEM DW CP SP</t>
  </si>
  <si>
    <t>MEM BW VL</t>
  </si>
  <si>
    <t>MEM BW CP DP</t>
  </si>
  <si>
    <t>MEM BW CP SP</t>
  </si>
  <si>
    <t>No. of cores</t>
  </si>
  <si>
    <t>Memory Bandwidth Freq 3.8 GHz</t>
  </si>
  <si>
    <t>Performance Freq 3.8 GHz</t>
  </si>
  <si>
    <t>Clusterpair Freq 3.8 GHz</t>
  </si>
  <si>
    <t>Performance 3.8</t>
  </si>
  <si>
    <t>Clusterpair Freq 3.0 GHz</t>
  </si>
  <si>
    <t>Performance 3</t>
  </si>
  <si>
    <t>Clusterpair Freq 1.6 GHz</t>
  </si>
  <si>
    <t>Performance 1.6</t>
  </si>
  <si>
    <t>Performance Freq 3.0 GHz AVX 512</t>
  </si>
  <si>
    <t>Performance Freq 3.0 GHz AVX</t>
  </si>
  <si>
    <t>Performance Freq 3.0 GHz SSE</t>
  </si>
  <si>
    <t>Performance Freq 3.0 GHz Scalar</t>
  </si>
  <si>
    <t>Performance 3.8 GHz</t>
  </si>
  <si>
    <t>Memory Bandwidth Freq 3.0 GHz</t>
  </si>
  <si>
    <t>Performance Freq 3.0 GHz</t>
  </si>
  <si>
    <t>Performance Freq 1.6 GHz</t>
  </si>
  <si>
    <t>Memory Bandwidth Freq 1.6 GHz</t>
  </si>
  <si>
    <t>Cores</t>
  </si>
  <si>
    <t>Instructions arithimetic</t>
  </si>
  <si>
    <t>Time (s)</t>
  </si>
  <si>
    <t>Useful data volume (GB)</t>
  </si>
  <si>
    <t xml:space="preserve">Arith % </t>
  </si>
  <si>
    <t>CP DP FN AVX 512 Freq 3.8 GHz</t>
  </si>
  <si>
    <t>CP SP FN AVX 512 Freq 3.8 GHz</t>
  </si>
  <si>
    <t>VL DP AVX 512 Freq 3.8 GHz</t>
  </si>
  <si>
    <t>Arith %</t>
  </si>
  <si>
    <t xml:space="preserve"> Min Arith. Instr.</t>
  </si>
  <si>
    <t>Max Arith. Instr.</t>
  </si>
  <si>
    <t>Min L2 BW</t>
  </si>
  <si>
    <t>Max L2 BW</t>
  </si>
  <si>
    <t>Min L3 BW</t>
  </si>
  <si>
    <t>Max L3 BW</t>
  </si>
  <si>
    <t>Diff % = (Diff*100)/Min</t>
  </si>
  <si>
    <t>VL DP FN AVX 512 Freq 3.8 GHz</t>
  </si>
  <si>
    <t>Performance</t>
  </si>
  <si>
    <t>half</t>
  </si>
  <si>
    <t>million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</si>
</sst>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5700"/>
      <name val="Calibri"/>
      <family val="2"/>
      <scheme val="minor"/>
    </font>
    <font>
      <b/>
      <sz val="16"/>
      <color theme="1"/>
      <name val="Courier New"/>
      <family val="1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rgb="FF333333"/>
      <name val="Helvetica Neue"/>
      <family val="2"/>
    </font>
    <font>
      <sz val="18"/>
      <color rgb="FF333333"/>
      <name val="Helvetica Neue"/>
      <family val="2"/>
    </font>
    <font>
      <sz val="18"/>
      <color rgb="FF000000"/>
      <name val="Menlo"/>
      <family val="2"/>
    </font>
    <font>
      <sz val="18"/>
      <color rgb="FF000000"/>
      <name val="Calibri"/>
      <family val="2"/>
      <scheme val="minor"/>
    </font>
    <font>
      <b/>
      <sz val="18"/>
      <color rgb="FF333333"/>
      <name val="Calibri"/>
      <family val="2"/>
      <scheme val="minor"/>
    </font>
    <font>
      <sz val="18"/>
      <color rgb="FF333333"/>
      <name val="Calibri"/>
      <family val="2"/>
      <scheme val="minor"/>
    </font>
    <font>
      <b/>
      <sz val="14"/>
      <color theme="1"/>
      <name val="Courier New"/>
      <family val="1"/>
    </font>
    <font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0000"/>
      <name val="Menlo"/>
      <family val="2"/>
    </font>
    <font>
      <sz val="20"/>
      <color rgb="FF000000"/>
      <name val="Arial"/>
      <family val="2"/>
    </font>
    <font>
      <sz val="20"/>
      <color theme="1"/>
      <name val="Arial"/>
      <family val="2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0">
    <xf numFmtId="0" fontId="0" fillId="0" borderId="0" xfId="0"/>
    <xf numFmtId="0" fontId="4" fillId="2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4" borderId="1" xfId="3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3" borderId="1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3" fillId="0" borderId="0" xfId="0" applyNumberFormat="1" applyFont="1"/>
    <xf numFmtId="1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3" borderId="1" xfId="2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11" fillId="0" borderId="1" xfId="0" applyFont="1" applyBorder="1"/>
    <xf numFmtId="2" fontId="3" fillId="0" borderId="1" xfId="0" applyNumberFormat="1" applyFont="1" applyBorder="1"/>
    <xf numFmtId="2" fontId="12" fillId="0" borderId="1" xfId="0" applyNumberFormat="1" applyFont="1" applyBorder="1"/>
    <xf numFmtId="2" fontId="12" fillId="0" borderId="1" xfId="0" applyNumberFormat="1" applyFont="1" applyBorder="1" applyAlignment="1">
      <alignment horizontal="center"/>
    </xf>
    <xf numFmtId="2" fontId="9" fillId="0" borderId="1" xfId="0" applyNumberFormat="1" applyFont="1" applyBorder="1"/>
    <xf numFmtId="2" fontId="10" fillId="0" borderId="1" xfId="0" applyNumberFormat="1" applyFont="1" applyBorder="1"/>
    <xf numFmtId="2" fontId="13" fillId="0" borderId="1" xfId="0" applyNumberFormat="1" applyFont="1" applyBorder="1"/>
    <xf numFmtId="2" fontId="14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2" fontId="3" fillId="0" borderId="1" xfId="0" applyNumberFormat="1" applyFont="1" applyBorder="1" applyAlignment="1">
      <alignment horizontal="right"/>
    </xf>
    <xf numFmtId="0" fontId="10" fillId="0" borderId="1" xfId="0" applyFont="1" applyBorder="1"/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5" fillId="4" borderId="1" xfId="3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0" fontId="16" fillId="0" borderId="1" xfId="0" applyFont="1" applyBorder="1"/>
    <xf numFmtId="2" fontId="17" fillId="3" borderId="1" xfId="2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8" fillId="0" borderId="1" xfId="0" applyNumberFormat="1" applyFont="1" applyBorder="1"/>
    <xf numFmtId="2" fontId="19" fillId="0" borderId="1" xfId="0" applyNumberFormat="1" applyFont="1" applyBorder="1"/>
    <xf numFmtId="2" fontId="19" fillId="0" borderId="0" xfId="0" applyNumberFormat="1" applyFont="1"/>
    <xf numFmtId="1" fontId="18" fillId="0" borderId="1" xfId="0" applyNumberFormat="1" applyFont="1" applyBorder="1"/>
    <xf numFmtId="2" fontId="18" fillId="5" borderId="0" xfId="0" applyNumberFormat="1" applyFont="1" applyFill="1"/>
    <xf numFmtId="2" fontId="18" fillId="0" borderId="0" xfId="0" applyNumberFormat="1" applyFont="1"/>
    <xf numFmtId="2" fontId="18" fillId="5" borderId="1" xfId="0" applyNumberFormat="1" applyFont="1" applyFill="1" applyBorder="1"/>
    <xf numFmtId="2" fontId="19" fillId="5" borderId="0" xfId="0" applyNumberFormat="1" applyFont="1" applyFill="1"/>
    <xf numFmtId="2" fontId="8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0" fillId="0" borderId="0" xfId="0" applyNumberFormat="1"/>
    <xf numFmtId="2" fontId="18" fillId="6" borderId="1" xfId="0" applyNumberFormat="1" applyFont="1" applyFill="1" applyBorder="1"/>
    <xf numFmtId="2" fontId="18" fillId="6" borderId="0" xfId="0" applyNumberFormat="1" applyFont="1" applyFill="1"/>
    <xf numFmtId="2" fontId="19" fillId="6" borderId="1" xfId="0" applyNumberFormat="1" applyFont="1" applyFill="1" applyBorder="1"/>
    <xf numFmtId="2" fontId="11" fillId="0" borderId="1" xfId="0" applyNumberFormat="1" applyFont="1" applyBorder="1"/>
    <xf numFmtId="3" fontId="20" fillId="0" borderId="0" xfId="0" applyNumberFormat="1" applyFont="1"/>
    <xf numFmtId="3" fontId="0" fillId="0" borderId="0" xfId="0" applyNumberFormat="1"/>
    <xf numFmtId="2" fontId="21" fillId="0" borderId="0" xfId="0" applyNumberFormat="1" applyFont="1"/>
    <xf numFmtId="2" fontId="20" fillId="0" borderId="0" xfId="0" applyNumberFormat="1" applyFont="1"/>
    <xf numFmtId="2" fontId="20" fillId="0" borderId="1" xfId="0" applyNumberFormat="1" applyFont="1" applyBorder="1"/>
    <xf numFmtId="0" fontId="20" fillId="0" borderId="1" xfId="0" applyFont="1" applyBorder="1"/>
    <xf numFmtId="0" fontId="20" fillId="5" borderId="1" xfId="0" applyFont="1" applyFill="1" applyBorder="1"/>
    <xf numFmtId="0" fontId="21" fillId="0" borderId="1" xfId="0" applyFont="1" applyBorder="1"/>
    <xf numFmtId="2" fontId="21" fillId="0" borderId="1" xfId="0" applyNumberFormat="1" applyFont="1" applyBorder="1"/>
    <xf numFmtId="1" fontId="21" fillId="0" borderId="1" xfId="0" applyNumberFormat="1" applyFont="1" applyBorder="1"/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1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2" fontId="22" fillId="5" borderId="0" xfId="0" applyNumberFormat="1" applyFont="1" applyFill="1"/>
    <xf numFmtId="2" fontId="22" fillId="0" borderId="0" xfId="0" applyNumberFormat="1" applyFont="1"/>
    <xf numFmtId="2" fontId="23" fillId="0" borderId="0" xfId="0" applyNumberFormat="1" applyFont="1"/>
    <xf numFmtId="2" fontId="22" fillId="0" borderId="1" xfId="0" applyNumberFormat="1" applyFont="1" applyBorder="1"/>
    <xf numFmtId="2" fontId="24" fillId="0" borderId="1" xfId="0" applyNumberFormat="1" applyFont="1" applyBorder="1"/>
    <xf numFmtId="2" fontId="22" fillId="0" borderId="1" xfId="0" applyNumberFormat="1" applyFont="1" applyBorder="1" applyAlignment="1">
      <alignment horizontal="center"/>
    </xf>
    <xf numFmtId="2" fontId="22" fillId="7" borderId="1" xfId="0" applyNumberFormat="1" applyFont="1" applyFill="1" applyBorder="1" applyAlignment="1">
      <alignment horizontal="center"/>
    </xf>
    <xf numFmtId="2" fontId="22" fillId="8" borderId="1" xfId="0" applyNumberFormat="1" applyFont="1" applyFill="1" applyBorder="1" applyAlignment="1">
      <alignment horizontal="center"/>
    </xf>
    <xf numFmtId="164" fontId="20" fillId="9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0" xfId="0" applyFont="1"/>
    <xf numFmtId="0" fontId="22" fillId="9" borderId="1" xfId="0" applyFont="1" applyFill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5" borderId="0" xfId="0" applyFont="1" applyFill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20" fillId="5" borderId="1" xfId="0" applyFont="1" applyFill="1" applyBorder="1" applyAlignment="1">
      <alignment horizontal="center" wrapText="1"/>
    </xf>
    <xf numFmtId="0" fontId="2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2" fontId="20" fillId="5" borderId="1" xfId="0" applyNumberFormat="1" applyFont="1" applyFill="1" applyBorder="1" applyAlignment="1">
      <alignment vertical="center"/>
    </xf>
    <xf numFmtId="2" fontId="21" fillId="0" borderId="1" xfId="0" applyNumberFormat="1" applyFont="1" applyBorder="1" applyAlignment="1">
      <alignment vertical="center"/>
    </xf>
    <xf numFmtId="4" fontId="20" fillId="5" borderId="1" xfId="0" applyNumberFormat="1" applyFont="1" applyFill="1" applyBorder="1"/>
    <xf numFmtId="4" fontId="21" fillId="5" borderId="1" xfId="0" applyNumberFormat="1" applyFont="1" applyFill="1" applyBorder="1"/>
    <xf numFmtId="2" fontId="21" fillId="5" borderId="1" xfId="0" applyNumberFormat="1" applyFont="1" applyFill="1" applyBorder="1"/>
    <xf numFmtId="0" fontId="20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 wrapText="1"/>
    </xf>
    <xf numFmtId="3" fontId="20" fillId="10" borderId="1" xfId="0" applyNumberFormat="1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wrapText="1"/>
    </xf>
    <xf numFmtId="0" fontId="20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5" borderId="1" xfId="0" applyFill="1" applyBorder="1"/>
    <xf numFmtId="0" fontId="25" fillId="5" borderId="1" xfId="0" applyFont="1" applyFill="1" applyBorder="1"/>
    <xf numFmtId="1" fontId="21" fillId="12" borderId="1" xfId="0" applyNumberFormat="1" applyFont="1" applyFill="1" applyBorder="1"/>
    <xf numFmtId="2" fontId="20" fillId="0" borderId="1" xfId="0" applyNumberFormat="1" applyFont="1" applyBorder="1" applyAlignment="1">
      <alignment horizontal="center" wrapText="1"/>
    </xf>
    <xf numFmtId="2" fontId="21" fillId="0" borderId="1" xfId="0" applyNumberFormat="1" applyFont="1" applyBorder="1" applyAlignment="1">
      <alignment horizontal="center" wrapText="1"/>
    </xf>
    <xf numFmtId="2" fontId="21" fillId="0" borderId="1" xfId="0" applyNumberFormat="1" applyFont="1" applyBorder="1" applyAlignment="1">
      <alignment horizontal="right"/>
    </xf>
    <xf numFmtId="3" fontId="21" fillId="12" borderId="1" xfId="0" applyNumberFormat="1" applyFont="1" applyFill="1" applyBorder="1"/>
    <xf numFmtId="3" fontId="20" fillId="10" borderId="1" xfId="0" applyNumberFormat="1" applyFont="1" applyFill="1" applyBorder="1" applyAlignment="1">
      <alignment horizontal="center" wrapText="1"/>
    </xf>
    <xf numFmtId="3" fontId="20" fillId="10" borderId="1" xfId="0" applyNumberFormat="1" applyFont="1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7" fillId="0" borderId="1" xfId="0" applyFont="1" applyBorder="1"/>
    <xf numFmtId="1" fontId="26" fillId="0" borderId="1" xfId="0" applyNumberFormat="1" applyFont="1" applyBorder="1"/>
    <xf numFmtId="2" fontId="26" fillId="0" borderId="1" xfId="0" applyNumberFormat="1" applyFont="1" applyBorder="1" applyAlignment="1">
      <alignment vertical="center"/>
    </xf>
    <xf numFmtId="2" fontId="27" fillId="0" borderId="1" xfId="0" applyNumberFormat="1" applyFont="1" applyBorder="1"/>
    <xf numFmtId="2" fontId="26" fillId="0" borderId="1" xfId="0" applyNumberFormat="1" applyFont="1" applyBorder="1"/>
    <xf numFmtId="2" fontId="26" fillId="5" borderId="1" xfId="0" applyNumberFormat="1" applyFont="1" applyFill="1" applyBorder="1"/>
    <xf numFmtId="1" fontId="27" fillId="0" borderId="1" xfId="0" applyNumberFormat="1" applyFont="1" applyBorder="1"/>
    <xf numFmtId="0" fontId="27" fillId="11" borderId="1" xfId="0" applyFont="1" applyFill="1" applyBorder="1" applyAlignment="1">
      <alignment horizontal="center"/>
    </xf>
    <xf numFmtId="2" fontId="27" fillId="0" borderId="1" xfId="0" applyNumberFormat="1" applyFont="1" applyBorder="1" applyAlignment="1">
      <alignment vertical="center"/>
    </xf>
    <xf numFmtId="3" fontId="27" fillId="12" borderId="1" xfId="0" applyNumberFormat="1" applyFont="1" applyFill="1" applyBorder="1"/>
    <xf numFmtId="1" fontId="27" fillId="12" borderId="1" xfId="0" applyNumberFormat="1" applyFont="1" applyFill="1" applyBorder="1"/>
    <xf numFmtId="2" fontId="27" fillId="5" borderId="1" xfId="0" applyNumberFormat="1" applyFont="1" applyFill="1" applyBorder="1"/>
    <xf numFmtId="2" fontId="27" fillId="0" borderId="0" xfId="0" applyNumberFormat="1" applyFont="1"/>
    <xf numFmtId="2" fontId="27" fillId="5" borderId="0" xfId="0" applyNumberFormat="1" applyFont="1" applyFill="1"/>
    <xf numFmtId="0" fontId="28" fillId="0" borderId="0" xfId="0" applyFont="1"/>
    <xf numFmtId="0" fontId="28" fillId="10" borderId="1" xfId="0" applyFont="1" applyFill="1" applyBorder="1" applyAlignment="1">
      <alignment horizontal="center" wrapText="1"/>
    </xf>
    <xf numFmtId="3" fontId="28" fillId="10" borderId="1" xfId="0" applyNumberFormat="1" applyFont="1" applyFill="1" applyBorder="1" applyAlignment="1">
      <alignment horizontal="center" wrapText="1"/>
    </xf>
    <xf numFmtId="0" fontId="28" fillId="10" borderId="1" xfId="0" applyFont="1" applyFill="1" applyBorder="1" applyAlignment="1">
      <alignment vertical="center" wrapText="1"/>
    </xf>
    <xf numFmtId="3" fontId="28" fillId="10" borderId="1" xfId="0" applyNumberFormat="1" applyFont="1" applyFill="1" applyBorder="1" applyAlignment="1">
      <alignment horizontal="center"/>
    </xf>
    <xf numFmtId="0" fontId="29" fillId="10" borderId="5" xfId="0" applyFont="1" applyFill="1" applyBorder="1" applyAlignment="1">
      <alignment horizontal="center"/>
    </xf>
    <xf numFmtId="0" fontId="29" fillId="10" borderId="6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</cellXfs>
  <cellStyles count="4">
    <cellStyle name="40% - Accent2" xfId="2" builtinId="35"/>
    <cellStyle name="40% - Accent3" xfId="3" builtinId="3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HN vs FN Arith. count Verletlist on Intel Sapphire Rapids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DP MD Bench ) Freq 3.0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Measured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('Instruction Count  (2)'!$B$1:$E$1,'Instruction Count  (2)'!$G$1:$J$1)</c:f>
              <c:strCache>
                <c:ptCount val="8"/>
                <c:pt idx="0">
                  <c:v>HN novec</c:v>
                </c:pt>
                <c:pt idx="1">
                  <c:v>HN SSE</c:v>
                </c:pt>
                <c:pt idx="2">
                  <c:v>HN AVX</c:v>
                </c:pt>
                <c:pt idx="3">
                  <c:v>HN AVX512</c:v>
                </c:pt>
                <c:pt idx="4">
                  <c:v>FN novec</c:v>
                </c:pt>
                <c:pt idx="5">
                  <c:v>FN SSE</c:v>
                </c:pt>
                <c:pt idx="6">
                  <c:v>FN AVX</c:v>
                </c:pt>
                <c:pt idx="7">
                  <c:v>FN AVX512</c:v>
                </c:pt>
              </c:strCache>
            </c:strRef>
          </c:cat>
          <c:val>
            <c:numRef>
              <c:f>('Instruction Count  (2)'!$B$4:$E$4,'Instruction Count  (2)'!$G$4:$J$4)</c:f>
              <c:numCache>
                <c:formatCode>General</c:formatCode>
                <c:ptCount val="8"/>
                <c:pt idx="0">
                  <c:v>34761980000</c:v>
                </c:pt>
                <c:pt idx="1">
                  <c:v>12877139800</c:v>
                </c:pt>
                <c:pt idx="2">
                  <c:v>8172832350</c:v>
                </c:pt>
                <c:pt idx="3">
                  <c:v>5639886830</c:v>
                </c:pt>
                <c:pt idx="4">
                  <c:v>37738310000</c:v>
                </c:pt>
                <c:pt idx="5">
                  <c:v>21724264500</c:v>
                </c:pt>
                <c:pt idx="6">
                  <c:v>13953280000</c:v>
                </c:pt>
                <c:pt idx="7">
                  <c:v>8416387830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4D2-9C5E-FDD66212FA92}"/>
            </c:ext>
          </c:extLst>
        </c:ser>
        <c:ser>
          <c:idx val="1"/>
          <c:order val="1"/>
          <c:tx>
            <c:v>Expected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('Instruction Count  (2)'!$B$1:$E$1,'Instruction Count  (2)'!$G$1:$J$1)</c:f>
              <c:strCache>
                <c:ptCount val="8"/>
                <c:pt idx="0">
                  <c:v>HN novec</c:v>
                </c:pt>
                <c:pt idx="1">
                  <c:v>HN SSE</c:v>
                </c:pt>
                <c:pt idx="2">
                  <c:v>HN AVX</c:v>
                </c:pt>
                <c:pt idx="3">
                  <c:v>HN AVX512</c:v>
                </c:pt>
                <c:pt idx="4">
                  <c:v>FN novec</c:v>
                </c:pt>
                <c:pt idx="5">
                  <c:v>FN SSE</c:v>
                </c:pt>
                <c:pt idx="6">
                  <c:v>FN AVX</c:v>
                </c:pt>
                <c:pt idx="7">
                  <c:v>FN AVX512</c:v>
                </c:pt>
              </c:strCache>
            </c:strRef>
          </c:cat>
          <c:val>
            <c:numRef>
              <c:f>('Instruction Count  (2)'!$B$5:$E$5,'Instruction Count  (2)'!$G$5:$J$5)</c:f>
              <c:numCache>
                <c:formatCode>General</c:formatCode>
                <c:ptCount val="8"/>
                <c:pt idx="0">
                  <c:v>34761980000</c:v>
                </c:pt>
                <c:pt idx="1">
                  <c:v>17380990000</c:v>
                </c:pt>
                <c:pt idx="2">
                  <c:v>8690495000</c:v>
                </c:pt>
                <c:pt idx="3">
                  <c:v>4345247500</c:v>
                </c:pt>
                <c:pt idx="4">
                  <c:v>37738310000</c:v>
                </c:pt>
                <c:pt idx="5">
                  <c:v>18869155000</c:v>
                </c:pt>
                <c:pt idx="6">
                  <c:v>9434577500</c:v>
                </c:pt>
                <c:pt idx="7">
                  <c:v>4717288750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8-44D2-9C5E-FDD66212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86095"/>
        <c:axId val="348035775"/>
      </c:barChart>
      <c:catAx>
        <c:axId val="3471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35775"/>
        <c:crosses val="autoZero"/>
        <c:auto val="1"/>
        <c:lblAlgn val="ctr"/>
        <c:lblOffset val="100"/>
        <c:noMultiLvlLbl val="0"/>
      </c:catAx>
      <c:valAx>
        <c:axId val="3480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hierarchy bandwidth comparing single precision and double precision for clusterpair ( </a:t>
            </a: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MDBench-CP-ICC-X86-AVX512-DP)</a:t>
            </a:r>
          </a:p>
          <a:p>
            <a:pPr>
              <a:defRPr/>
            </a:pP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Intel Sapphire Rapids at Turbo Frequency 3.8 GHz</a:t>
            </a:r>
          </a:p>
        </c:rich>
      </c:tx>
      <c:layout>
        <c:manualLayout>
          <c:xMode val="edge"/>
          <c:yMode val="edge"/>
          <c:x val="0.13486829847241541"/>
          <c:y val="2.4324324324324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08911081236803E-2"/>
          <c:y val="6.3939723051859895E-2"/>
          <c:w val="0.91424799948786895"/>
          <c:h val="0.75664607656801519"/>
        </c:manualLayout>
      </c:layout>
      <c:lineChart>
        <c:grouping val="standard"/>
        <c:varyColors val="0"/>
        <c:ser>
          <c:idx val="0"/>
          <c:order val="0"/>
          <c:tx>
            <c:v>MEM Bandwidth SP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Scalability!$AH$5:$AH$31</c:f>
              <c:numCache>
                <c:formatCode>0.00</c:formatCode>
                <c:ptCount val="27"/>
                <c:pt idx="0">
                  <c:v>159.31559999999999</c:v>
                </c:pt>
                <c:pt idx="1">
                  <c:v>146.07759999999999</c:v>
                </c:pt>
                <c:pt idx="2">
                  <c:v>157.11075</c:v>
                </c:pt>
                <c:pt idx="3">
                  <c:v>152.73634999999999</c:v>
                </c:pt>
                <c:pt idx="4">
                  <c:v>148.07570000000001</c:v>
                </c:pt>
                <c:pt idx="5">
                  <c:v>146.59915000000001</c:v>
                </c:pt>
                <c:pt idx="6">
                  <c:v>146.6251</c:v>
                </c:pt>
                <c:pt idx="7">
                  <c:v>139.68125000000001</c:v>
                </c:pt>
                <c:pt idx="8">
                  <c:v>143.86855</c:v>
                </c:pt>
                <c:pt idx="9">
                  <c:v>141.86195000000001</c:v>
                </c:pt>
                <c:pt idx="10">
                  <c:v>141.04165</c:v>
                </c:pt>
                <c:pt idx="11">
                  <c:v>134.98345</c:v>
                </c:pt>
                <c:pt idx="12">
                  <c:v>142.43334999999999</c:v>
                </c:pt>
                <c:pt idx="13">
                  <c:v>145.42089999999999</c:v>
                </c:pt>
                <c:pt idx="14">
                  <c:v>330.47629999999998</c:v>
                </c:pt>
                <c:pt idx="15">
                  <c:v>379.76265000000001</c:v>
                </c:pt>
                <c:pt idx="16">
                  <c:v>407.35565000000003</c:v>
                </c:pt>
                <c:pt idx="17">
                  <c:v>423.77</c:v>
                </c:pt>
                <c:pt idx="18">
                  <c:v>437.77030000000002</c:v>
                </c:pt>
                <c:pt idx="19">
                  <c:v>459.65890000000002</c:v>
                </c:pt>
                <c:pt idx="20">
                  <c:v>488.31670000000003</c:v>
                </c:pt>
                <c:pt idx="21">
                  <c:v>504.5471</c:v>
                </c:pt>
                <c:pt idx="22">
                  <c:v>511.339</c:v>
                </c:pt>
                <c:pt idx="23">
                  <c:v>528.07899999999995</c:v>
                </c:pt>
                <c:pt idx="24">
                  <c:v>551.12070000000006</c:v>
                </c:pt>
                <c:pt idx="25">
                  <c:v>558.51765</c:v>
                </c:pt>
                <c:pt idx="26">
                  <c:v>578.22455000000002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F-8347-BFFC-1FC4BDEE601A}"/>
            </c:ext>
          </c:extLst>
        </c:ser>
        <c:ser>
          <c:idx val="1"/>
          <c:order val="1"/>
          <c:tx>
            <c:v>MEM Bandwidth DP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Scalability!$AI$5:$AI$31</c:f>
              <c:numCache>
                <c:formatCode>0.00</c:formatCode>
                <c:ptCount val="27"/>
                <c:pt idx="0">
                  <c:v>251.01</c:v>
                </c:pt>
                <c:pt idx="1">
                  <c:v>292.15519999999998</c:v>
                </c:pt>
                <c:pt idx="2">
                  <c:v>314.22149999999999</c:v>
                </c:pt>
                <c:pt idx="3">
                  <c:v>305.47269999999997</c:v>
                </c:pt>
                <c:pt idx="4">
                  <c:v>296.15140000000002</c:v>
                </c:pt>
                <c:pt idx="5">
                  <c:v>293.19830000000002</c:v>
                </c:pt>
                <c:pt idx="6">
                  <c:v>293.25020000000001</c:v>
                </c:pt>
                <c:pt idx="7">
                  <c:v>279.36250000000001</c:v>
                </c:pt>
                <c:pt idx="8">
                  <c:v>287.7371</c:v>
                </c:pt>
                <c:pt idx="9">
                  <c:v>283.72390000000001</c:v>
                </c:pt>
                <c:pt idx="10">
                  <c:v>282.08330000000001</c:v>
                </c:pt>
                <c:pt idx="11">
                  <c:v>269.96690000000001</c:v>
                </c:pt>
                <c:pt idx="12">
                  <c:v>284.86669999999998</c:v>
                </c:pt>
                <c:pt idx="13">
                  <c:v>290.84179999999998</c:v>
                </c:pt>
                <c:pt idx="14">
                  <c:v>660.95259999999996</c:v>
                </c:pt>
                <c:pt idx="15">
                  <c:v>759.52530000000002</c:v>
                </c:pt>
                <c:pt idx="16">
                  <c:v>814.71130000000005</c:v>
                </c:pt>
                <c:pt idx="17">
                  <c:v>847.54</c:v>
                </c:pt>
                <c:pt idx="18">
                  <c:v>875.54060000000004</c:v>
                </c:pt>
                <c:pt idx="19">
                  <c:v>919.31780000000003</c:v>
                </c:pt>
                <c:pt idx="20">
                  <c:v>976.63340000000005</c:v>
                </c:pt>
                <c:pt idx="21">
                  <c:v>1009.0942</c:v>
                </c:pt>
                <c:pt idx="22">
                  <c:v>1022.678</c:v>
                </c:pt>
                <c:pt idx="23">
                  <c:v>1056.1579999999999</c:v>
                </c:pt>
                <c:pt idx="24">
                  <c:v>1102.2414000000001</c:v>
                </c:pt>
                <c:pt idx="25">
                  <c:v>1117.0353</c:v>
                </c:pt>
                <c:pt idx="26">
                  <c:v>1156.4491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F-8347-BFFC-1FC4BDEE601A}"/>
            </c:ext>
          </c:extLst>
        </c:ser>
        <c:ser>
          <c:idx val="4"/>
          <c:order val="2"/>
          <c:tx>
            <c:v>L3 Bandwidth SP</c:v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Scalability!$AT$5:$AT$31</c:f>
              <c:numCache>
                <c:formatCode>0.00</c:formatCode>
                <c:ptCount val="27"/>
                <c:pt idx="0">
                  <c:v>1291.9174</c:v>
                </c:pt>
                <c:pt idx="1">
                  <c:v>1743.7334000000001</c:v>
                </c:pt>
                <c:pt idx="2">
                  <c:v>2040.924</c:v>
                </c:pt>
                <c:pt idx="3">
                  <c:v>1822.1692</c:v>
                </c:pt>
                <c:pt idx="4">
                  <c:v>1882.3771999999999</c:v>
                </c:pt>
                <c:pt idx="5">
                  <c:v>1888.7726</c:v>
                </c:pt>
                <c:pt idx="6">
                  <c:v>2025.4186</c:v>
                </c:pt>
                <c:pt idx="7">
                  <c:v>1811.0215000000001</c:v>
                </c:pt>
                <c:pt idx="8">
                  <c:v>1912.3492000000001</c:v>
                </c:pt>
                <c:pt idx="9">
                  <c:v>1811.0631000000001</c:v>
                </c:pt>
                <c:pt idx="10">
                  <c:v>1793.9452000000001</c:v>
                </c:pt>
                <c:pt idx="11">
                  <c:v>1622.7261000000001</c:v>
                </c:pt>
                <c:pt idx="12">
                  <c:v>1605.2469000000001</c:v>
                </c:pt>
                <c:pt idx="13">
                  <c:v>1629.5037</c:v>
                </c:pt>
                <c:pt idx="14">
                  <c:v>1516.6422</c:v>
                </c:pt>
                <c:pt idx="15">
                  <c:v>1608.6842999999999</c:v>
                </c:pt>
                <c:pt idx="16">
                  <c:v>1577.1603</c:v>
                </c:pt>
                <c:pt idx="17">
                  <c:v>1547.4248</c:v>
                </c:pt>
                <c:pt idx="18">
                  <c:v>1552.4748999999999</c:v>
                </c:pt>
                <c:pt idx="19">
                  <c:v>1557.9535000000001</c:v>
                </c:pt>
                <c:pt idx="20">
                  <c:v>1550.8568</c:v>
                </c:pt>
                <c:pt idx="21">
                  <c:v>1613.5853</c:v>
                </c:pt>
                <c:pt idx="22">
                  <c:v>1561.81035</c:v>
                </c:pt>
                <c:pt idx="23">
                  <c:v>1583.6768500000001</c:v>
                </c:pt>
                <c:pt idx="24">
                  <c:v>1556.0232000000001</c:v>
                </c:pt>
                <c:pt idx="25">
                  <c:v>1504.7043000000001</c:v>
                </c:pt>
                <c:pt idx="26">
                  <c:v>1497.2655999999999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F-8347-BFFC-1FC4BDEE601A}"/>
            </c:ext>
          </c:extLst>
        </c:ser>
        <c:ser>
          <c:idx val="5"/>
          <c:order val="3"/>
          <c:tx>
            <c:v>L3 Bandwidth DP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Scalability!$AU$5:$AU$31</c:f>
              <c:numCache>
                <c:formatCode>0.00</c:formatCode>
                <c:ptCount val="27"/>
                <c:pt idx="0">
                  <c:v>4150.8486999999996</c:v>
                </c:pt>
                <c:pt idx="1">
                  <c:v>4777.2986000000001</c:v>
                </c:pt>
                <c:pt idx="2">
                  <c:v>4717.3735999999999</c:v>
                </c:pt>
                <c:pt idx="3">
                  <c:v>4536.8999000000003</c:v>
                </c:pt>
                <c:pt idx="4">
                  <c:v>4465.2195000000002</c:v>
                </c:pt>
                <c:pt idx="5">
                  <c:v>4419.9726000000001</c:v>
                </c:pt>
                <c:pt idx="6">
                  <c:v>4434.5882000000001</c:v>
                </c:pt>
                <c:pt idx="7">
                  <c:v>4135.4740000000002</c:v>
                </c:pt>
                <c:pt idx="8">
                  <c:v>3949.8496</c:v>
                </c:pt>
                <c:pt idx="9">
                  <c:v>4005.7026999999998</c:v>
                </c:pt>
                <c:pt idx="10">
                  <c:v>3805.2822000000001</c:v>
                </c:pt>
                <c:pt idx="11">
                  <c:v>3627.2354</c:v>
                </c:pt>
                <c:pt idx="12">
                  <c:v>3697.8719999999998</c:v>
                </c:pt>
                <c:pt idx="13">
                  <c:v>3695.3724000000002</c:v>
                </c:pt>
                <c:pt idx="14">
                  <c:v>3502.1475</c:v>
                </c:pt>
                <c:pt idx="15">
                  <c:v>3370.1369</c:v>
                </c:pt>
                <c:pt idx="16">
                  <c:v>3444.3715000000002</c:v>
                </c:pt>
                <c:pt idx="17">
                  <c:v>3430.2703999999999</c:v>
                </c:pt>
                <c:pt idx="18">
                  <c:v>3198.5695999999998</c:v>
                </c:pt>
                <c:pt idx="19">
                  <c:v>3370.1244000000002</c:v>
                </c:pt>
                <c:pt idx="20">
                  <c:v>3180.8638000000001</c:v>
                </c:pt>
                <c:pt idx="21">
                  <c:v>3227.1705999999999</c:v>
                </c:pt>
                <c:pt idx="22">
                  <c:v>3123.6206999999999</c:v>
                </c:pt>
                <c:pt idx="23">
                  <c:v>3167.3537000000001</c:v>
                </c:pt>
                <c:pt idx="24">
                  <c:v>3112.0464000000002</c:v>
                </c:pt>
                <c:pt idx="25">
                  <c:v>3009.4086000000002</c:v>
                </c:pt>
                <c:pt idx="26">
                  <c:v>2994.5311999999999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F-8347-BFFC-1FC4BDEE601A}"/>
            </c:ext>
          </c:extLst>
        </c:ser>
        <c:ser>
          <c:idx val="2"/>
          <c:order val="4"/>
          <c:tx>
            <c:v>L2 Bandwidth SP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Scalability!$AN$5:$AN$31</c:f>
              <c:numCache>
                <c:formatCode>0.00</c:formatCode>
                <c:ptCount val="27"/>
                <c:pt idx="0">
                  <c:v>3305.1330625000001</c:v>
                </c:pt>
                <c:pt idx="1">
                  <c:v>2528.8242</c:v>
                </c:pt>
                <c:pt idx="2">
                  <c:v>3103.4405999999999</c:v>
                </c:pt>
                <c:pt idx="3">
                  <c:v>3415.1732000000002</c:v>
                </c:pt>
                <c:pt idx="4">
                  <c:v>3415.8072999999999</c:v>
                </c:pt>
                <c:pt idx="5">
                  <c:v>3502.5174999999999</c:v>
                </c:pt>
                <c:pt idx="6">
                  <c:v>3404.1792</c:v>
                </c:pt>
                <c:pt idx="7">
                  <c:v>3267.6194999999998</c:v>
                </c:pt>
                <c:pt idx="8">
                  <c:v>3384.7370000000001</c:v>
                </c:pt>
                <c:pt idx="9">
                  <c:v>3356.7148000000002</c:v>
                </c:pt>
                <c:pt idx="10">
                  <c:v>3459.3984</c:v>
                </c:pt>
                <c:pt idx="11">
                  <c:v>2921.1235000000001</c:v>
                </c:pt>
                <c:pt idx="12">
                  <c:v>3105.4720000000002</c:v>
                </c:pt>
                <c:pt idx="13">
                  <c:v>3278.4973</c:v>
                </c:pt>
                <c:pt idx="14">
                  <c:v>3164.2689</c:v>
                </c:pt>
                <c:pt idx="15">
                  <c:v>3148.3948</c:v>
                </c:pt>
                <c:pt idx="16">
                  <c:v>2408.6210000000001</c:v>
                </c:pt>
                <c:pt idx="17">
                  <c:v>3269.3020000000001</c:v>
                </c:pt>
                <c:pt idx="18">
                  <c:v>3189.1817000000001</c:v>
                </c:pt>
                <c:pt idx="19">
                  <c:v>3230.7977999999998</c:v>
                </c:pt>
                <c:pt idx="20">
                  <c:v>3205.9056</c:v>
                </c:pt>
                <c:pt idx="21">
                  <c:v>2799.943666666667</c:v>
                </c:pt>
                <c:pt idx="22">
                  <c:v>3064.9609999999998</c:v>
                </c:pt>
                <c:pt idx="23">
                  <c:v>3001.4953333333333</c:v>
                </c:pt>
                <c:pt idx="24">
                  <c:v>2985.2667777777779</c:v>
                </c:pt>
                <c:pt idx="25">
                  <c:v>2978.1111666666666</c:v>
                </c:pt>
                <c:pt idx="26">
                  <c:v>2958.0431666666668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F-8347-BFFC-1FC4BDEE601A}"/>
            </c:ext>
          </c:extLst>
        </c:ser>
        <c:ser>
          <c:idx val="3"/>
          <c:order val="5"/>
          <c:tx>
            <c:v>L2 Bandwidth DP</c:v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Scalability!$AO$5:$AO$31</c:f>
              <c:numCache>
                <c:formatCode>0.00</c:formatCode>
                <c:ptCount val="27"/>
                <c:pt idx="0">
                  <c:v>5288.2129000000004</c:v>
                </c:pt>
                <c:pt idx="1">
                  <c:v>6381.7218000000003</c:v>
                </c:pt>
                <c:pt idx="2">
                  <c:v>7384.3050000000003</c:v>
                </c:pt>
                <c:pt idx="3">
                  <c:v>6941.0748999999996</c:v>
                </c:pt>
                <c:pt idx="4">
                  <c:v>6487.4421000000002</c:v>
                </c:pt>
                <c:pt idx="5">
                  <c:v>6320.3307999999997</c:v>
                </c:pt>
                <c:pt idx="6">
                  <c:v>6941.585</c:v>
                </c:pt>
                <c:pt idx="7">
                  <c:v>6046.0046000000002</c:v>
                </c:pt>
                <c:pt idx="8">
                  <c:v>6873.3489</c:v>
                </c:pt>
                <c:pt idx="9">
                  <c:v>5577.3908000000001</c:v>
                </c:pt>
                <c:pt idx="10">
                  <c:v>6853.8221999999996</c:v>
                </c:pt>
                <c:pt idx="11">
                  <c:v>6348.8179</c:v>
                </c:pt>
                <c:pt idx="12">
                  <c:v>6206.5272999999997</c:v>
                </c:pt>
                <c:pt idx="13">
                  <c:v>5166.2542000000003</c:v>
                </c:pt>
                <c:pt idx="14">
                  <c:v>6210.0875999999998</c:v>
                </c:pt>
                <c:pt idx="15">
                  <c:v>6147.4225999999999</c:v>
                </c:pt>
                <c:pt idx="16">
                  <c:v>6006.2118</c:v>
                </c:pt>
                <c:pt idx="17">
                  <c:v>4741.5923000000003</c:v>
                </c:pt>
                <c:pt idx="18">
                  <c:v>4614.3064000000004</c:v>
                </c:pt>
                <c:pt idx="19">
                  <c:v>5960.0829999999996</c:v>
                </c:pt>
                <c:pt idx="20">
                  <c:v>5764.1877000000004</c:v>
                </c:pt>
                <c:pt idx="21">
                  <c:v>5039.8986000000004</c:v>
                </c:pt>
                <c:pt idx="22">
                  <c:v>5516.9297999999999</c:v>
                </c:pt>
                <c:pt idx="23">
                  <c:v>5402.6916000000001</c:v>
                </c:pt>
                <c:pt idx="24">
                  <c:v>5373.4802</c:v>
                </c:pt>
                <c:pt idx="25">
                  <c:v>5360.6000999999997</c:v>
                </c:pt>
                <c:pt idx="26">
                  <c:v>5324.4777000000004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F-8347-BFFC-1FC4BDEE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437600"/>
        <c:axId val="1279701423"/>
      </c:lineChart>
      <c:catAx>
        <c:axId val="10224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01423"/>
        <c:crosses val="autoZero"/>
        <c:auto val="1"/>
        <c:lblAlgn val="ctr"/>
        <c:lblOffset val="100"/>
        <c:noMultiLvlLbl val="0"/>
      </c:catAx>
      <c:valAx>
        <c:axId val="12797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Bandwidth [Mbytes/s]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620745542949764E-2"/>
          <c:y val="0.9349110449031709"/>
          <c:w val="0.90000000000000013"/>
          <c:h val="4.0764630772504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hierarchy data volume comparing single precision and double precision for clusterpair ( </a:t>
            </a:r>
            <a:r>
              <a:rPr lang="en-IN"/>
              <a:t>MDBench-CP-ICC-X86-AVX512-DP )</a:t>
            </a:r>
          </a:p>
          <a:p>
            <a:pPr>
              <a:defRPr/>
            </a:pPr>
            <a:r>
              <a:rPr lang="en-GB"/>
              <a:t>on Intel Sapphire Rapids at Turbo Frequency 3.8 GHz</a:t>
            </a:r>
          </a:p>
        </c:rich>
      </c:tx>
      <c:layout>
        <c:manualLayout>
          <c:xMode val="edge"/>
          <c:yMode val="edge"/>
          <c:x val="0.12760927470699826"/>
          <c:y val="2.9069767441860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088240130077"/>
          <c:y val="6.3069794847072688E-2"/>
          <c:w val="0.87313809671702869"/>
          <c:h val="0.75394536257095757"/>
        </c:manualLayout>
      </c:layout>
      <c:lineChart>
        <c:grouping val="standard"/>
        <c:varyColors val="0"/>
        <c:ser>
          <c:idx val="0"/>
          <c:order val="0"/>
          <c:tx>
            <c:v>MEM Data volume SP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Scalability!$AK$5:$AK$31</c:f>
              <c:numCache>
                <c:formatCode>0.00</c:formatCode>
                <c:ptCount val="27"/>
                <c:pt idx="0">
                  <c:v>0.79072222222222222</c:v>
                </c:pt>
                <c:pt idx="1">
                  <c:v>0.5752222222222223</c:v>
                </c:pt>
                <c:pt idx="2">
                  <c:v>0.5230555555555555</c:v>
                </c:pt>
                <c:pt idx="3">
                  <c:v>0.52077777777777778</c:v>
                </c:pt>
                <c:pt idx="4">
                  <c:v>0.63127777777777783</c:v>
                </c:pt>
                <c:pt idx="5">
                  <c:v>0.55249999999999999</c:v>
                </c:pt>
                <c:pt idx="6">
                  <c:v>0.54999999999999993</c:v>
                </c:pt>
                <c:pt idx="7">
                  <c:v>0.58105555555555555</c:v>
                </c:pt>
                <c:pt idx="8">
                  <c:v>0.55438888888888893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0.59444444444444444</c:v>
                </c:pt>
                <c:pt idx="12">
                  <c:v>0.6</c:v>
                </c:pt>
                <c:pt idx="13">
                  <c:v>0.64444444444444438</c:v>
                </c:pt>
                <c:pt idx="14">
                  <c:v>1.5627777777777778</c:v>
                </c:pt>
                <c:pt idx="15">
                  <c:v>1.7555555555555555</c:v>
                </c:pt>
                <c:pt idx="16">
                  <c:v>1.9277777777777778</c:v>
                </c:pt>
                <c:pt idx="17">
                  <c:v>2.4305555555555554</c:v>
                </c:pt>
                <c:pt idx="18">
                  <c:v>2.1094444444444447</c:v>
                </c:pt>
                <c:pt idx="19">
                  <c:v>2.2777777777777777</c:v>
                </c:pt>
                <c:pt idx="20">
                  <c:v>2.3386111111111112</c:v>
                </c:pt>
                <c:pt idx="21">
                  <c:v>2.4611111111111108</c:v>
                </c:pt>
                <c:pt idx="22">
                  <c:v>2.6166666666666667</c:v>
                </c:pt>
                <c:pt idx="23">
                  <c:v>2.6666666666666665</c:v>
                </c:pt>
                <c:pt idx="24">
                  <c:v>3</c:v>
                </c:pt>
                <c:pt idx="25">
                  <c:v>2.9833333333333334</c:v>
                </c:pt>
                <c:pt idx="26">
                  <c:v>3.2016111111111112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F-CB4D-AB47-5D5A0365096B}"/>
            </c:ext>
          </c:extLst>
        </c:ser>
        <c:ser>
          <c:idx val="1"/>
          <c:order val="1"/>
          <c:tx>
            <c:v>MEM Data volume DP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Scalability!$AL$5:$AL$31</c:f>
              <c:numCache>
                <c:formatCode>0.00</c:formatCode>
                <c:ptCount val="27"/>
                <c:pt idx="0">
                  <c:v>1.4233</c:v>
                </c:pt>
                <c:pt idx="1">
                  <c:v>1.0354000000000001</c:v>
                </c:pt>
                <c:pt idx="2">
                  <c:v>0.9415</c:v>
                </c:pt>
                <c:pt idx="3">
                  <c:v>0.93740000000000001</c:v>
                </c:pt>
                <c:pt idx="4">
                  <c:v>1.1363000000000001</c:v>
                </c:pt>
                <c:pt idx="5">
                  <c:v>0.99450000000000005</c:v>
                </c:pt>
                <c:pt idx="6">
                  <c:v>0.99</c:v>
                </c:pt>
                <c:pt idx="7">
                  <c:v>1.0459000000000001</c:v>
                </c:pt>
                <c:pt idx="8">
                  <c:v>0.99790000000000001</c:v>
                </c:pt>
                <c:pt idx="9">
                  <c:v>1.05</c:v>
                </c:pt>
                <c:pt idx="10">
                  <c:v>1.05</c:v>
                </c:pt>
                <c:pt idx="11">
                  <c:v>1.07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2.8130000000000002</c:v>
                </c:pt>
                <c:pt idx="15">
                  <c:v>3.16</c:v>
                </c:pt>
                <c:pt idx="16">
                  <c:v>3.47</c:v>
                </c:pt>
                <c:pt idx="17">
                  <c:v>4.375</c:v>
                </c:pt>
                <c:pt idx="18">
                  <c:v>3.7970000000000002</c:v>
                </c:pt>
                <c:pt idx="19">
                  <c:v>4.0999999999999996</c:v>
                </c:pt>
                <c:pt idx="20">
                  <c:v>4.2095000000000002</c:v>
                </c:pt>
                <c:pt idx="21">
                  <c:v>4.43</c:v>
                </c:pt>
                <c:pt idx="22">
                  <c:v>4.71</c:v>
                </c:pt>
                <c:pt idx="23">
                  <c:v>4.8</c:v>
                </c:pt>
                <c:pt idx="24">
                  <c:v>5.4</c:v>
                </c:pt>
                <c:pt idx="25">
                  <c:v>5.37</c:v>
                </c:pt>
                <c:pt idx="26">
                  <c:v>5.7629000000000001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F-CB4D-AB47-5D5A0365096B}"/>
            </c:ext>
          </c:extLst>
        </c:ser>
        <c:ser>
          <c:idx val="4"/>
          <c:order val="2"/>
          <c:tx>
            <c:v>L3 Data volume SP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Scalability!$AW$5:$AW$31</c:f>
              <c:numCache>
                <c:formatCode>0.00</c:formatCode>
                <c:ptCount val="27"/>
                <c:pt idx="0">
                  <c:v>18.523700000000002</c:v>
                </c:pt>
                <c:pt idx="1">
                  <c:v>11.2958</c:v>
                </c:pt>
                <c:pt idx="2">
                  <c:v>10.311500000000001</c:v>
                </c:pt>
                <c:pt idx="3">
                  <c:v>8.8949999999999996</c:v>
                </c:pt>
                <c:pt idx="4">
                  <c:v>9.19</c:v>
                </c:pt>
                <c:pt idx="5">
                  <c:v>8.9925999999999995</c:v>
                </c:pt>
                <c:pt idx="6">
                  <c:v>10.143599999999999</c:v>
                </c:pt>
                <c:pt idx="7">
                  <c:v>9.4367999999999999</c:v>
                </c:pt>
                <c:pt idx="8">
                  <c:v>9.7457999999999991</c:v>
                </c:pt>
                <c:pt idx="9">
                  <c:v>8.7476000000000003</c:v>
                </c:pt>
                <c:pt idx="10">
                  <c:v>10.0527</c:v>
                </c:pt>
                <c:pt idx="11">
                  <c:v>9.3888999999999996</c:v>
                </c:pt>
                <c:pt idx="12">
                  <c:v>8.9405000000000001</c:v>
                </c:pt>
                <c:pt idx="13">
                  <c:v>9.0725999999999996</c:v>
                </c:pt>
                <c:pt idx="14">
                  <c:v>9.2941000000000003</c:v>
                </c:pt>
                <c:pt idx="15">
                  <c:v>9.0170999999999992</c:v>
                </c:pt>
                <c:pt idx="16">
                  <c:v>8.9588000000000001</c:v>
                </c:pt>
                <c:pt idx="17">
                  <c:v>8.9905000000000008</c:v>
                </c:pt>
                <c:pt idx="18">
                  <c:v>9.0147999999999993</c:v>
                </c:pt>
                <c:pt idx="19">
                  <c:v>9.1350999999999996</c:v>
                </c:pt>
                <c:pt idx="20">
                  <c:v>8.9649000000000001</c:v>
                </c:pt>
                <c:pt idx="21">
                  <c:v>8.9699999999999989</c:v>
                </c:pt>
                <c:pt idx="22">
                  <c:v>8.9430624999999999</c:v>
                </c:pt>
                <c:pt idx="23">
                  <c:v>9.0226874999999982</c:v>
                </c:pt>
                <c:pt idx="24">
                  <c:v>9.0443125000000002</c:v>
                </c:pt>
                <c:pt idx="25">
                  <c:v>8.9678124999999991</c:v>
                </c:pt>
                <c:pt idx="26">
                  <c:v>9.0465625000000003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F-CB4D-AB47-5D5A0365096B}"/>
            </c:ext>
          </c:extLst>
        </c:ser>
        <c:ser>
          <c:idx val="5"/>
          <c:order val="3"/>
          <c:tx>
            <c:v>L3 Data volume DP</c:v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Scalability!$AX$5:$AX$31</c:f>
              <c:numCache>
                <c:formatCode>0.00</c:formatCode>
                <c:ptCount val="27"/>
                <c:pt idx="0">
                  <c:v>23.4557</c:v>
                </c:pt>
                <c:pt idx="1">
                  <c:v>16.758700000000001</c:v>
                </c:pt>
                <c:pt idx="2">
                  <c:v>15.1465</c:v>
                </c:pt>
                <c:pt idx="3">
                  <c:v>14.7021</c:v>
                </c:pt>
                <c:pt idx="4">
                  <c:v>14.488799999999999</c:v>
                </c:pt>
                <c:pt idx="5">
                  <c:v>14.4125</c:v>
                </c:pt>
                <c:pt idx="6">
                  <c:v>14.2994</c:v>
                </c:pt>
                <c:pt idx="7">
                  <c:v>14.169700000000001</c:v>
                </c:pt>
                <c:pt idx="8">
                  <c:v>14.0975</c:v>
                </c:pt>
                <c:pt idx="9">
                  <c:v>14.263999999999999</c:v>
                </c:pt>
                <c:pt idx="10">
                  <c:v>14.1266</c:v>
                </c:pt>
                <c:pt idx="11">
                  <c:v>14.173400000000001</c:v>
                </c:pt>
                <c:pt idx="12">
                  <c:v>14.1998</c:v>
                </c:pt>
                <c:pt idx="13">
                  <c:v>14.2315</c:v>
                </c:pt>
                <c:pt idx="14">
                  <c:v>14.2843</c:v>
                </c:pt>
                <c:pt idx="15">
                  <c:v>14.2967</c:v>
                </c:pt>
                <c:pt idx="16">
                  <c:v>14.383800000000001</c:v>
                </c:pt>
                <c:pt idx="17">
                  <c:v>14.3969</c:v>
                </c:pt>
                <c:pt idx="18">
                  <c:v>14.237399999999999</c:v>
                </c:pt>
                <c:pt idx="19">
                  <c:v>14.389900000000001</c:v>
                </c:pt>
                <c:pt idx="20">
                  <c:v>14.296799999999999</c:v>
                </c:pt>
                <c:pt idx="21">
                  <c:v>14.352</c:v>
                </c:pt>
                <c:pt idx="22">
                  <c:v>14.3089</c:v>
                </c:pt>
                <c:pt idx="23">
                  <c:v>14.436299999999999</c:v>
                </c:pt>
                <c:pt idx="24">
                  <c:v>14.4709</c:v>
                </c:pt>
                <c:pt idx="25">
                  <c:v>14.3485</c:v>
                </c:pt>
                <c:pt idx="26">
                  <c:v>14.474500000000001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F-CB4D-AB47-5D5A0365096B}"/>
            </c:ext>
          </c:extLst>
        </c:ser>
        <c:ser>
          <c:idx val="2"/>
          <c:order val="4"/>
          <c:tx>
            <c:v>L2 Data volume SP</c:v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Scalability!$AQ$5:$AQ$31</c:f>
              <c:numCache>
                <c:formatCode>0.00</c:formatCode>
                <c:ptCount val="27"/>
                <c:pt idx="0">
                  <c:v>25.846800000000002</c:v>
                </c:pt>
                <c:pt idx="1">
                  <c:v>18.593</c:v>
                </c:pt>
                <c:pt idx="2">
                  <c:v>17.284800000000001</c:v>
                </c:pt>
                <c:pt idx="3">
                  <c:v>16.6478</c:v>
                </c:pt>
                <c:pt idx="4">
                  <c:v>16.6568</c:v>
                </c:pt>
                <c:pt idx="5">
                  <c:v>16.4068</c:v>
                </c:pt>
                <c:pt idx="6">
                  <c:v>17.341999999999999</c:v>
                </c:pt>
                <c:pt idx="7">
                  <c:v>17.127500000000001</c:v>
                </c:pt>
                <c:pt idx="8">
                  <c:v>17.0547</c:v>
                </c:pt>
                <c:pt idx="9">
                  <c:v>17.085599999999999</c:v>
                </c:pt>
                <c:pt idx="10">
                  <c:v>17.051400000000001</c:v>
                </c:pt>
                <c:pt idx="11">
                  <c:v>18.131</c:v>
                </c:pt>
                <c:pt idx="12">
                  <c:v>18.278500000000001</c:v>
                </c:pt>
                <c:pt idx="13">
                  <c:v>18.003599999999999</c:v>
                </c:pt>
                <c:pt idx="14">
                  <c:v>18.236799999999999</c:v>
                </c:pt>
                <c:pt idx="15">
                  <c:v>18.3323</c:v>
                </c:pt>
                <c:pt idx="16">
                  <c:v>18.463699999999999</c:v>
                </c:pt>
                <c:pt idx="17">
                  <c:v>18.281600000000001</c:v>
                </c:pt>
                <c:pt idx="18">
                  <c:v>18.430299999999999</c:v>
                </c:pt>
                <c:pt idx="19">
                  <c:v>18.5425</c:v>
                </c:pt>
                <c:pt idx="20">
                  <c:v>18.578299999999999</c:v>
                </c:pt>
                <c:pt idx="21">
                  <c:v>17.427307692307693</c:v>
                </c:pt>
                <c:pt idx="22">
                  <c:v>19.516384615384617</c:v>
                </c:pt>
                <c:pt idx="23">
                  <c:v>18.960461538461537</c:v>
                </c:pt>
                <c:pt idx="24">
                  <c:v>19.524923076923077</c:v>
                </c:pt>
                <c:pt idx="25">
                  <c:v>19.577538461538463</c:v>
                </c:pt>
                <c:pt idx="26">
                  <c:v>19.637846153846152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F-CB4D-AB47-5D5A0365096B}"/>
            </c:ext>
          </c:extLst>
        </c:ser>
        <c:ser>
          <c:idx val="3"/>
          <c:order val="5"/>
          <c:tx>
            <c:v>L2 Data volume DP</c:v>
          </c:tx>
          <c:spPr>
            <a:ln w="476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Scalability!$AG$5:$AG$31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Scalability!$AR$5:$AR$31</c:f>
              <c:numCache>
                <c:formatCode>0.00</c:formatCode>
                <c:ptCount val="27"/>
                <c:pt idx="0">
                  <c:v>34.203200000000002</c:v>
                </c:pt>
                <c:pt idx="1">
                  <c:v>22.464700000000001</c:v>
                </c:pt>
                <c:pt idx="2">
                  <c:v>23.716100000000001</c:v>
                </c:pt>
                <c:pt idx="3">
                  <c:v>22.542000000000002</c:v>
                </c:pt>
                <c:pt idx="4">
                  <c:v>20.787800000000001</c:v>
                </c:pt>
                <c:pt idx="5">
                  <c:v>20.146000000000001</c:v>
                </c:pt>
                <c:pt idx="6">
                  <c:v>22.510999999999999</c:v>
                </c:pt>
                <c:pt idx="7">
                  <c:v>20.630299999999998</c:v>
                </c:pt>
                <c:pt idx="8">
                  <c:v>23.828499999999998</c:v>
                </c:pt>
                <c:pt idx="9">
                  <c:v>20.8248</c:v>
                </c:pt>
                <c:pt idx="10">
                  <c:v>24.8462</c:v>
                </c:pt>
                <c:pt idx="11">
                  <c:v>23.978300000000001</c:v>
                </c:pt>
                <c:pt idx="12">
                  <c:v>23.8521</c:v>
                </c:pt>
                <c:pt idx="13">
                  <c:v>20.442399999999999</c:v>
                </c:pt>
                <c:pt idx="14">
                  <c:v>25.149000000000001</c:v>
                </c:pt>
                <c:pt idx="15">
                  <c:v>25.219200000000001</c:v>
                </c:pt>
                <c:pt idx="16">
                  <c:v>25.2392</c:v>
                </c:pt>
                <c:pt idx="17">
                  <c:v>20.363700000000001</c:v>
                </c:pt>
                <c:pt idx="18">
                  <c:v>20.514900000000001</c:v>
                </c:pt>
                <c:pt idx="19">
                  <c:v>25.309000000000001</c:v>
                </c:pt>
                <c:pt idx="20">
                  <c:v>25.293099999999999</c:v>
                </c:pt>
                <c:pt idx="21">
                  <c:v>22.6555</c:v>
                </c:pt>
                <c:pt idx="22">
                  <c:v>25.371300000000002</c:v>
                </c:pt>
                <c:pt idx="23">
                  <c:v>24.648599999999998</c:v>
                </c:pt>
                <c:pt idx="24">
                  <c:v>25.382400000000001</c:v>
                </c:pt>
                <c:pt idx="25">
                  <c:v>25.450800000000001</c:v>
                </c:pt>
                <c:pt idx="26">
                  <c:v>25.529199999999999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F-CB4D-AB47-5D5A0365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064255"/>
        <c:axId val="1271065983"/>
      </c:lineChart>
      <c:catAx>
        <c:axId val="12710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65983"/>
        <c:crosses val="autoZero"/>
        <c:auto val="1"/>
        <c:lblAlgn val="ctr"/>
        <c:lblOffset val="100"/>
        <c:noMultiLvlLbl val="0"/>
      </c:catAx>
      <c:valAx>
        <c:axId val="12710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volume [GB]</a:t>
                </a:r>
              </a:p>
            </c:rich>
          </c:tx>
          <c:layout>
            <c:manualLayout>
              <c:xMode val="edge"/>
              <c:yMode val="edge"/>
              <c:x val="3.7944963910761166E-2"/>
              <c:y val="0.34486804156747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838083257409961E-2"/>
          <c:y val="0.90647849433973704"/>
          <c:w val="0.98016191538316766"/>
          <c:h val="9.3521505660262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no. of cores [MDBench-ICC-AVX512-DP] at Freq 3.8 GHz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5418371885152"/>
          <c:y val="9.7710730795376829E-2"/>
          <c:w val="0.84155627388517995"/>
          <c:h val="0.64615546738775409"/>
        </c:manualLayout>
      </c:layout>
      <c:scatterChart>
        <c:scatterStyle val="lineMarker"/>
        <c:varyColors val="0"/>
        <c:ser>
          <c:idx val="0"/>
          <c:order val="0"/>
          <c:tx>
            <c:v>Full neighbour verletlist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MPI!$A$5:$A$31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xVal>
          <c:yVal>
            <c:numRef>
              <c:f>MPI!$B$5:$B$31</c:f>
              <c:numCache>
                <c:formatCode>General</c:formatCode>
                <c:ptCount val="27"/>
                <c:pt idx="0">
                  <c:v>3.97</c:v>
                </c:pt>
                <c:pt idx="1">
                  <c:v>9.66</c:v>
                </c:pt>
                <c:pt idx="2">
                  <c:v>19.14</c:v>
                </c:pt>
                <c:pt idx="3">
                  <c:v>28.42</c:v>
                </c:pt>
                <c:pt idx="4">
                  <c:v>37.75</c:v>
                </c:pt>
                <c:pt idx="5">
                  <c:v>47.2</c:v>
                </c:pt>
                <c:pt idx="6">
                  <c:v>56.44</c:v>
                </c:pt>
                <c:pt idx="7">
                  <c:v>64.010000000000005</c:v>
                </c:pt>
                <c:pt idx="8">
                  <c:v>74.430000000000007</c:v>
                </c:pt>
                <c:pt idx="9">
                  <c:v>79.5</c:v>
                </c:pt>
                <c:pt idx="10">
                  <c:v>89.3</c:v>
                </c:pt>
                <c:pt idx="11">
                  <c:v>97.65</c:v>
                </c:pt>
                <c:pt idx="12">
                  <c:v>104.9</c:v>
                </c:pt>
                <c:pt idx="13">
                  <c:v>114.69</c:v>
                </c:pt>
                <c:pt idx="14">
                  <c:v>119.98</c:v>
                </c:pt>
                <c:pt idx="15">
                  <c:v>127.63</c:v>
                </c:pt>
                <c:pt idx="16">
                  <c:v>134.21</c:v>
                </c:pt>
                <c:pt idx="17">
                  <c:v>140.87</c:v>
                </c:pt>
                <c:pt idx="18">
                  <c:v>149.01</c:v>
                </c:pt>
                <c:pt idx="19">
                  <c:v>154.82</c:v>
                </c:pt>
                <c:pt idx="20">
                  <c:v>164.62</c:v>
                </c:pt>
                <c:pt idx="21">
                  <c:v>167.51</c:v>
                </c:pt>
                <c:pt idx="22">
                  <c:v>179.84</c:v>
                </c:pt>
                <c:pt idx="23">
                  <c:v>168.6</c:v>
                </c:pt>
                <c:pt idx="24">
                  <c:v>186.54</c:v>
                </c:pt>
                <c:pt idx="25">
                  <c:v>186.66</c:v>
                </c:pt>
                <c:pt idx="26">
                  <c:v>221.85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0-6D48-B81A-172C50070698}"/>
            </c:ext>
          </c:extLst>
        </c:ser>
        <c:ser>
          <c:idx val="1"/>
          <c:order val="1"/>
          <c:tx>
            <c:v>Half neighbour verletlist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MPI!$A$5:$A$31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xVal>
          <c:yVal>
            <c:numRef>
              <c:f>MPI!$C$5:$C$31</c:f>
              <c:numCache>
                <c:formatCode>General</c:formatCode>
                <c:ptCount val="27"/>
                <c:pt idx="0">
                  <c:v>3.9</c:v>
                </c:pt>
                <c:pt idx="1">
                  <c:v>9.69</c:v>
                </c:pt>
                <c:pt idx="2">
                  <c:v>19.03</c:v>
                </c:pt>
                <c:pt idx="3">
                  <c:v>28.07</c:v>
                </c:pt>
                <c:pt idx="4">
                  <c:v>36.49</c:v>
                </c:pt>
                <c:pt idx="5">
                  <c:v>45.73</c:v>
                </c:pt>
                <c:pt idx="6">
                  <c:v>53.9</c:v>
                </c:pt>
                <c:pt idx="7">
                  <c:v>60.32</c:v>
                </c:pt>
                <c:pt idx="8">
                  <c:v>70.37</c:v>
                </c:pt>
                <c:pt idx="9">
                  <c:v>77.47</c:v>
                </c:pt>
                <c:pt idx="10">
                  <c:v>85.69</c:v>
                </c:pt>
                <c:pt idx="11">
                  <c:v>90.85</c:v>
                </c:pt>
                <c:pt idx="12">
                  <c:v>100.34</c:v>
                </c:pt>
                <c:pt idx="13">
                  <c:v>105.78</c:v>
                </c:pt>
                <c:pt idx="14">
                  <c:v>114.34</c:v>
                </c:pt>
                <c:pt idx="15">
                  <c:v>122.96</c:v>
                </c:pt>
                <c:pt idx="16">
                  <c:v>128.34</c:v>
                </c:pt>
                <c:pt idx="17">
                  <c:v>127.18</c:v>
                </c:pt>
                <c:pt idx="18">
                  <c:v>142.29</c:v>
                </c:pt>
                <c:pt idx="19">
                  <c:v>130.65</c:v>
                </c:pt>
                <c:pt idx="20">
                  <c:v>156.52000000000001</c:v>
                </c:pt>
                <c:pt idx="21">
                  <c:v>158.82</c:v>
                </c:pt>
                <c:pt idx="22">
                  <c:v>163.04</c:v>
                </c:pt>
                <c:pt idx="23">
                  <c:v>147.06</c:v>
                </c:pt>
                <c:pt idx="24">
                  <c:v>173.39</c:v>
                </c:pt>
                <c:pt idx="25">
                  <c:v>174.65</c:v>
                </c:pt>
                <c:pt idx="26">
                  <c:v>210.8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0-6D48-B81A-172C50070698}"/>
            </c:ext>
          </c:extLst>
        </c:ser>
        <c:ser>
          <c:idx val="2"/>
          <c:order val="2"/>
          <c:tx>
            <c:v>Full neighbour clusterpair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MPI!$A$5:$A$31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xVal>
          <c:yVal>
            <c:numRef>
              <c:f>MPI!$D$5:$D$31</c:f>
              <c:numCache>
                <c:formatCode>General</c:formatCode>
                <c:ptCount val="27"/>
                <c:pt idx="0">
                  <c:v>3.79</c:v>
                </c:pt>
                <c:pt idx="1">
                  <c:v>8.39</c:v>
                </c:pt>
                <c:pt idx="2">
                  <c:v>16.64</c:v>
                </c:pt>
                <c:pt idx="3">
                  <c:v>24.63</c:v>
                </c:pt>
                <c:pt idx="4">
                  <c:v>32.36</c:v>
                </c:pt>
                <c:pt idx="5">
                  <c:v>39.75</c:v>
                </c:pt>
                <c:pt idx="6">
                  <c:v>47.93</c:v>
                </c:pt>
                <c:pt idx="7">
                  <c:v>53.36</c:v>
                </c:pt>
                <c:pt idx="8">
                  <c:v>62.88</c:v>
                </c:pt>
                <c:pt idx="9">
                  <c:v>68.709999999999994</c:v>
                </c:pt>
                <c:pt idx="10">
                  <c:v>75.739999999999995</c:v>
                </c:pt>
                <c:pt idx="11">
                  <c:v>78.73</c:v>
                </c:pt>
                <c:pt idx="12">
                  <c:v>89.28</c:v>
                </c:pt>
                <c:pt idx="13">
                  <c:v>97.15</c:v>
                </c:pt>
                <c:pt idx="14">
                  <c:v>100.04</c:v>
                </c:pt>
                <c:pt idx="15">
                  <c:v>107.07</c:v>
                </c:pt>
                <c:pt idx="16">
                  <c:v>111.29</c:v>
                </c:pt>
                <c:pt idx="17">
                  <c:v>110.1</c:v>
                </c:pt>
                <c:pt idx="18">
                  <c:v>124.73</c:v>
                </c:pt>
                <c:pt idx="19">
                  <c:v>115.47</c:v>
                </c:pt>
                <c:pt idx="20">
                  <c:v>133.75</c:v>
                </c:pt>
                <c:pt idx="21">
                  <c:v>136.91999999999999</c:v>
                </c:pt>
                <c:pt idx="22">
                  <c:v>143.28</c:v>
                </c:pt>
                <c:pt idx="23">
                  <c:v>129.18</c:v>
                </c:pt>
                <c:pt idx="24">
                  <c:v>147.16999999999999</c:v>
                </c:pt>
                <c:pt idx="25">
                  <c:v>147.16999999999999</c:v>
                </c:pt>
                <c:pt idx="26">
                  <c:v>196.02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0-6D48-B81A-172C50070698}"/>
            </c:ext>
          </c:extLst>
        </c:ser>
        <c:ser>
          <c:idx val="3"/>
          <c:order val="3"/>
          <c:tx>
            <c:v>Half neighbour clusterpair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MPI!$A$5:$A$31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xVal>
          <c:yVal>
            <c:numRef>
              <c:f>MPI!$E$5:$E$31</c:f>
              <c:numCache>
                <c:formatCode>General</c:formatCode>
                <c:ptCount val="27"/>
                <c:pt idx="0">
                  <c:v>5.52</c:v>
                </c:pt>
                <c:pt idx="1">
                  <c:v>11.96</c:v>
                </c:pt>
                <c:pt idx="2">
                  <c:v>23.32</c:v>
                </c:pt>
                <c:pt idx="3">
                  <c:v>33.54</c:v>
                </c:pt>
                <c:pt idx="4">
                  <c:v>43.62</c:v>
                </c:pt>
                <c:pt idx="5">
                  <c:v>52.52</c:v>
                </c:pt>
                <c:pt idx="6">
                  <c:v>63.7</c:v>
                </c:pt>
                <c:pt idx="7">
                  <c:v>68.19</c:v>
                </c:pt>
                <c:pt idx="8">
                  <c:v>82.12</c:v>
                </c:pt>
                <c:pt idx="9">
                  <c:v>89.42</c:v>
                </c:pt>
                <c:pt idx="10">
                  <c:v>95.96</c:v>
                </c:pt>
                <c:pt idx="11">
                  <c:v>93.31</c:v>
                </c:pt>
                <c:pt idx="12">
                  <c:v>114.96</c:v>
                </c:pt>
                <c:pt idx="13">
                  <c:v>112.78</c:v>
                </c:pt>
                <c:pt idx="14">
                  <c:v>123.82</c:v>
                </c:pt>
                <c:pt idx="15">
                  <c:v>134.94</c:v>
                </c:pt>
                <c:pt idx="16">
                  <c:v>139.37</c:v>
                </c:pt>
                <c:pt idx="17">
                  <c:v>123.79</c:v>
                </c:pt>
                <c:pt idx="18">
                  <c:v>154.29</c:v>
                </c:pt>
                <c:pt idx="19">
                  <c:v>130.86000000000001</c:v>
                </c:pt>
                <c:pt idx="20">
                  <c:v>164.24</c:v>
                </c:pt>
                <c:pt idx="21">
                  <c:v>162.08000000000001</c:v>
                </c:pt>
                <c:pt idx="22">
                  <c:v>165.04</c:v>
                </c:pt>
                <c:pt idx="23">
                  <c:v>137.09</c:v>
                </c:pt>
                <c:pt idx="24">
                  <c:v>174.06</c:v>
                </c:pt>
                <c:pt idx="25">
                  <c:v>174.29</c:v>
                </c:pt>
                <c:pt idx="26">
                  <c:v>216.33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80-6D48-B81A-172C5007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00335"/>
        <c:axId val="1352403775"/>
      </c:scatterChart>
      <c:valAx>
        <c:axId val="1352300335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03775"/>
        <c:crosses val="autoZero"/>
        <c:crossBetween val="midCat"/>
      </c:valAx>
      <c:valAx>
        <c:axId val="13524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[Atom updates] 10^6</a:t>
                </a:r>
              </a:p>
            </c:rich>
          </c:tx>
          <c:layout>
            <c:manualLayout>
              <c:xMode val="edge"/>
              <c:yMode val="edge"/>
              <c:x val="2.9130363629561323E-2"/>
              <c:y val="0.1040100214745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0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3890986033575"/>
          <c:y val="0.88718599864693992"/>
          <c:w val="0.73097071042186335"/>
          <c:h val="9.059184871868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Z-plot</a:t>
            </a: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[MDBench-ICC-AVX512-DP] at Freq 3.8 GHz</a:t>
            </a:r>
            <a:r>
              <a:rPr lang="en-GB" sz="2400"/>
              <a:t> </a:t>
            </a:r>
          </a:p>
        </c:rich>
      </c:tx>
      <c:layout>
        <c:manualLayout>
          <c:xMode val="edge"/>
          <c:yMode val="edge"/>
          <c:x val="0.29141915907277355"/>
          <c:y val="1.7241381651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0882689997474"/>
          <c:y val="8.9642890226956928E-2"/>
          <c:w val="0.83521650650091905"/>
          <c:h val="0.73295299116929014"/>
        </c:manualLayout>
      </c:layout>
      <c:scatterChart>
        <c:scatterStyle val="lineMarker"/>
        <c:varyColors val="0"/>
        <c:ser>
          <c:idx val="0"/>
          <c:order val="0"/>
          <c:tx>
            <c:v>Full neighbour clusterpair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MPI!$D$38:$AD$38</c:f>
              <c:numCache>
                <c:formatCode>General</c:formatCode>
                <c:ptCount val="27"/>
                <c:pt idx="0">
                  <c:v>3.79</c:v>
                </c:pt>
                <c:pt idx="1">
                  <c:v>8.39</c:v>
                </c:pt>
                <c:pt idx="2">
                  <c:v>16.64</c:v>
                </c:pt>
                <c:pt idx="3">
                  <c:v>24.63</c:v>
                </c:pt>
                <c:pt idx="4">
                  <c:v>32.36</c:v>
                </c:pt>
                <c:pt idx="5">
                  <c:v>39.75</c:v>
                </c:pt>
                <c:pt idx="6">
                  <c:v>47.93</c:v>
                </c:pt>
                <c:pt idx="7">
                  <c:v>53.36</c:v>
                </c:pt>
                <c:pt idx="8">
                  <c:v>62.88</c:v>
                </c:pt>
                <c:pt idx="9">
                  <c:v>68.709999999999994</c:v>
                </c:pt>
                <c:pt idx="10">
                  <c:v>75.739999999999995</c:v>
                </c:pt>
                <c:pt idx="11">
                  <c:v>78.73</c:v>
                </c:pt>
                <c:pt idx="12">
                  <c:v>89.28</c:v>
                </c:pt>
                <c:pt idx="13">
                  <c:v>97.15</c:v>
                </c:pt>
                <c:pt idx="14">
                  <c:v>100.04</c:v>
                </c:pt>
                <c:pt idx="15">
                  <c:v>107.07</c:v>
                </c:pt>
                <c:pt idx="16">
                  <c:v>111.29</c:v>
                </c:pt>
                <c:pt idx="17">
                  <c:v>110.1</c:v>
                </c:pt>
                <c:pt idx="18">
                  <c:v>124.73</c:v>
                </c:pt>
                <c:pt idx="19">
                  <c:v>115.47</c:v>
                </c:pt>
                <c:pt idx="20">
                  <c:v>133.75</c:v>
                </c:pt>
                <c:pt idx="21">
                  <c:v>136.91999999999999</c:v>
                </c:pt>
                <c:pt idx="22">
                  <c:v>143.28</c:v>
                </c:pt>
                <c:pt idx="23">
                  <c:v>129.18</c:v>
                </c:pt>
                <c:pt idx="24">
                  <c:v>147.16999999999999</c:v>
                </c:pt>
                <c:pt idx="25">
                  <c:v>147.16999999999999</c:v>
                </c:pt>
                <c:pt idx="26">
                  <c:v>196.02</c:v>
                </c:pt>
              </c:numCache>
            </c:numRef>
          </c:xVal>
          <c:yVal>
            <c:numRef>
              <c:f>MPI!$D$37:$AD$37</c:f>
              <c:numCache>
                <c:formatCode>General</c:formatCode>
                <c:ptCount val="27"/>
                <c:pt idx="0">
                  <c:v>1753.1434999999999</c:v>
                </c:pt>
                <c:pt idx="1">
                  <c:v>997.90290000000005</c:v>
                </c:pt>
                <c:pt idx="2">
                  <c:v>949.6318</c:v>
                </c:pt>
                <c:pt idx="3">
                  <c:v>990.04280000000006</c:v>
                </c:pt>
                <c:pt idx="4">
                  <c:v>984.37300000000005</c:v>
                </c:pt>
                <c:pt idx="5">
                  <c:v>1105.6170999999999</c:v>
                </c:pt>
                <c:pt idx="6">
                  <c:v>1080.3751</c:v>
                </c:pt>
                <c:pt idx="7">
                  <c:v>1167.2204999999999</c:v>
                </c:pt>
                <c:pt idx="8">
                  <c:v>1265.1217999999999</c:v>
                </c:pt>
                <c:pt idx="9">
                  <c:v>1262.8047999999999</c:v>
                </c:pt>
                <c:pt idx="10">
                  <c:v>1310.9032</c:v>
                </c:pt>
                <c:pt idx="11">
                  <c:v>1401.9449999999999</c:v>
                </c:pt>
                <c:pt idx="12">
                  <c:v>1404.7951</c:v>
                </c:pt>
                <c:pt idx="13">
                  <c:v>1414.3045999999999</c:v>
                </c:pt>
                <c:pt idx="14">
                  <c:v>1519.0897</c:v>
                </c:pt>
                <c:pt idx="15">
                  <c:v>1649.0913</c:v>
                </c:pt>
                <c:pt idx="16">
                  <c:v>1714.4081000000001</c:v>
                </c:pt>
                <c:pt idx="17">
                  <c:v>1784.5581999999999</c:v>
                </c:pt>
                <c:pt idx="18">
                  <c:v>1907.5550000000001</c:v>
                </c:pt>
                <c:pt idx="19">
                  <c:v>2016.7983999999999</c:v>
                </c:pt>
                <c:pt idx="20">
                  <c:v>1916.3357000000001</c:v>
                </c:pt>
                <c:pt idx="21">
                  <c:v>2067.991</c:v>
                </c:pt>
                <c:pt idx="22">
                  <c:v>2013.3119999999999</c:v>
                </c:pt>
                <c:pt idx="23">
                  <c:v>2077.8751999999999</c:v>
                </c:pt>
                <c:pt idx="24">
                  <c:v>2077.2624000000001</c:v>
                </c:pt>
                <c:pt idx="25">
                  <c:v>2141.8256000000001</c:v>
                </c:pt>
                <c:pt idx="26">
                  <c:v>2227.89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5-7645-9B18-0E270753884F}"/>
            </c:ext>
          </c:extLst>
        </c:ser>
        <c:ser>
          <c:idx val="1"/>
          <c:order val="1"/>
          <c:tx>
            <c:v>Full neighbour verletlist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MPI!$D$40:$AD$40</c:f>
              <c:numCache>
                <c:formatCode>General</c:formatCode>
                <c:ptCount val="27"/>
                <c:pt idx="0">
                  <c:v>3.97</c:v>
                </c:pt>
                <c:pt idx="1">
                  <c:v>9.66</c:v>
                </c:pt>
                <c:pt idx="2">
                  <c:v>19.14</c:v>
                </c:pt>
                <c:pt idx="3">
                  <c:v>28.42</c:v>
                </c:pt>
                <c:pt idx="4">
                  <c:v>37.75</c:v>
                </c:pt>
                <c:pt idx="5">
                  <c:v>47.2</c:v>
                </c:pt>
                <c:pt idx="6">
                  <c:v>56.44</c:v>
                </c:pt>
                <c:pt idx="7">
                  <c:v>64.010000000000005</c:v>
                </c:pt>
                <c:pt idx="8">
                  <c:v>74.430000000000007</c:v>
                </c:pt>
                <c:pt idx="9">
                  <c:v>79.5</c:v>
                </c:pt>
                <c:pt idx="10">
                  <c:v>89.3</c:v>
                </c:pt>
                <c:pt idx="11">
                  <c:v>97.65</c:v>
                </c:pt>
                <c:pt idx="12">
                  <c:v>104.9</c:v>
                </c:pt>
                <c:pt idx="13">
                  <c:v>114.69</c:v>
                </c:pt>
                <c:pt idx="14">
                  <c:v>119.98</c:v>
                </c:pt>
                <c:pt idx="15">
                  <c:v>127.63</c:v>
                </c:pt>
                <c:pt idx="16">
                  <c:v>134.21</c:v>
                </c:pt>
                <c:pt idx="17">
                  <c:v>140.87</c:v>
                </c:pt>
                <c:pt idx="18">
                  <c:v>149.01</c:v>
                </c:pt>
                <c:pt idx="19">
                  <c:v>154.82</c:v>
                </c:pt>
                <c:pt idx="20">
                  <c:v>164.62</c:v>
                </c:pt>
                <c:pt idx="21">
                  <c:v>167.51</c:v>
                </c:pt>
                <c:pt idx="22">
                  <c:v>179.84</c:v>
                </c:pt>
                <c:pt idx="23">
                  <c:v>168.6</c:v>
                </c:pt>
                <c:pt idx="24">
                  <c:v>186.54</c:v>
                </c:pt>
                <c:pt idx="25">
                  <c:v>186.66</c:v>
                </c:pt>
                <c:pt idx="26">
                  <c:v>221.85</c:v>
                </c:pt>
              </c:numCache>
            </c:numRef>
          </c:xVal>
          <c:yVal>
            <c:numRef>
              <c:f>MPI!$D$39:$AD$39</c:f>
              <c:numCache>
                <c:formatCode>General</c:formatCode>
                <c:ptCount val="27"/>
                <c:pt idx="0">
                  <c:v>2850.7579000000001</c:v>
                </c:pt>
                <c:pt idx="1">
                  <c:v>1941.7475999999999</c:v>
                </c:pt>
                <c:pt idx="2">
                  <c:v>2000</c:v>
                </c:pt>
                <c:pt idx="3">
                  <c:v>2121.3197999999998</c:v>
                </c:pt>
                <c:pt idx="4">
                  <c:v>1924.8136999999999</c:v>
                </c:pt>
                <c:pt idx="5">
                  <c:v>1973.0933</c:v>
                </c:pt>
                <c:pt idx="6">
                  <c:v>2052.3732999999997</c:v>
                </c:pt>
                <c:pt idx="7">
                  <c:v>2034.6596999999999</c:v>
                </c:pt>
                <c:pt idx="8">
                  <c:v>2130.3724999999999</c:v>
                </c:pt>
                <c:pt idx="9">
                  <c:v>2199.8216000000002</c:v>
                </c:pt>
                <c:pt idx="10">
                  <c:v>2164.2336</c:v>
                </c:pt>
                <c:pt idx="11">
                  <c:v>2308.3310000000001</c:v>
                </c:pt>
                <c:pt idx="12">
                  <c:v>2277.5295000000001</c:v>
                </c:pt>
                <c:pt idx="13">
                  <c:v>2357.7658000000001</c:v>
                </c:pt>
                <c:pt idx="14">
                  <c:v>2405.4036999999998</c:v>
                </c:pt>
                <c:pt idx="15">
                  <c:v>2433.6313</c:v>
                </c:pt>
                <c:pt idx="16">
                  <c:v>2500.8980000000001</c:v>
                </c:pt>
                <c:pt idx="17">
                  <c:v>2650.2030999999997</c:v>
                </c:pt>
                <c:pt idx="18">
                  <c:v>2671.3362999999999</c:v>
                </c:pt>
                <c:pt idx="19">
                  <c:v>2818.0932000000003</c:v>
                </c:pt>
                <c:pt idx="20">
                  <c:v>2746.5897</c:v>
                </c:pt>
                <c:pt idx="21">
                  <c:v>2782.3869</c:v>
                </c:pt>
                <c:pt idx="22">
                  <c:v>2971.7406000000001</c:v>
                </c:pt>
                <c:pt idx="23">
                  <c:v>2896.7666999999997</c:v>
                </c:pt>
                <c:pt idx="24">
                  <c:v>2973.3337000000001</c:v>
                </c:pt>
                <c:pt idx="25">
                  <c:v>2933.0844000000002</c:v>
                </c:pt>
                <c:pt idx="26">
                  <c:v>2946.5578999999998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5-7645-9B18-0E270753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22960"/>
        <c:axId val="1106315760"/>
      </c:scatterChart>
      <c:valAx>
        <c:axId val="1440622960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Performance</a:t>
                </a:r>
                <a:r>
                  <a:rPr lang="en-GB" sz="2400" baseline="0"/>
                  <a:t> [Atom updates] 10^6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35611747490106554"/>
              <c:y val="0.90686585757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760"/>
        <c:crosses val="autoZero"/>
        <c:crossBetween val="midCat"/>
      </c:valAx>
      <c:valAx>
        <c:axId val="11063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to Solution [Joule]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94447414182814E-2"/>
              <c:y val="0.22571412241571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45601795112026"/>
          <c:y val="9.878456404894978E-2"/>
          <c:w val="0.52549109494453017"/>
          <c:h val="6.2422082870225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HN vs FN Instr. count Verletlist on Intel Sapphire Rapids (ICC DP MD Bench ) Freq 3.0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7094977213998"/>
          <c:y val="0.12053334472822995"/>
          <c:w val="0.833034605265221"/>
          <c:h val="0.66502941543120919"/>
        </c:manualLayout>
      </c:layout>
      <c:barChart>
        <c:barDir val="col"/>
        <c:grouping val="clustered"/>
        <c:varyColors val="0"/>
        <c:ser>
          <c:idx val="0"/>
          <c:order val="0"/>
          <c:tx>
            <c:v>Measured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('Instruction Count '!$B$1:$E$1,'Instruction Count '!$G$1:$J$1)</c:f>
              <c:strCache>
                <c:ptCount val="8"/>
                <c:pt idx="0">
                  <c:v>HN novec</c:v>
                </c:pt>
                <c:pt idx="1">
                  <c:v>HN SSE</c:v>
                </c:pt>
                <c:pt idx="2">
                  <c:v>HN AVX</c:v>
                </c:pt>
                <c:pt idx="3">
                  <c:v>HN AVX512</c:v>
                </c:pt>
                <c:pt idx="4">
                  <c:v>FN novec</c:v>
                </c:pt>
                <c:pt idx="5">
                  <c:v>FN SSE</c:v>
                </c:pt>
                <c:pt idx="6">
                  <c:v>FN AVX</c:v>
                </c:pt>
                <c:pt idx="7">
                  <c:v>FN AVX512</c:v>
                </c:pt>
              </c:strCache>
            </c:strRef>
          </c:cat>
          <c:val>
            <c:numRef>
              <c:f>('Instruction Count '!$B$2:$E$2,'Instruction Count '!$G$2:$J$2)</c:f>
              <c:numCache>
                <c:formatCode>General</c:formatCode>
                <c:ptCount val="8"/>
                <c:pt idx="0">
                  <c:v>71566280000</c:v>
                </c:pt>
                <c:pt idx="1">
                  <c:v>71051440000</c:v>
                </c:pt>
                <c:pt idx="2">
                  <c:v>67893720000</c:v>
                </c:pt>
                <c:pt idx="3">
                  <c:v>13737380000</c:v>
                </c:pt>
                <c:pt idx="4">
                  <c:v>86037500000</c:v>
                </c:pt>
                <c:pt idx="5">
                  <c:v>51775360000</c:v>
                </c:pt>
                <c:pt idx="6">
                  <c:v>49708750000</c:v>
                </c:pt>
                <c:pt idx="7">
                  <c:v>16824260000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A-7745-92F8-A255C0BF44DB}"/>
            </c:ext>
          </c:extLst>
        </c:ser>
        <c:ser>
          <c:idx val="1"/>
          <c:order val="1"/>
          <c:tx>
            <c:v>Expected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('Instruction Count '!$B$3:$E$3,'Instruction Count '!$G$3:$J$3)</c:f>
              <c:numCache>
                <c:formatCode>General</c:formatCode>
                <c:ptCount val="8"/>
                <c:pt idx="0">
                  <c:v>71566280000</c:v>
                </c:pt>
                <c:pt idx="1">
                  <c:v>35783140000</c:v>
                </c:pt>
                <c:pt idx="2">
                  <c:v>17891570000</c:v>
                </c:pt>
                <c:pt idx="3">
                  <c:v>8945785000</c:v>
                </c:pt>
                <c:pt idx="4">
                  <c:v>86037500000</c:v>
                </c:pt>
                <c:pt idx="5">
                  <c:v>43018750000</c:v>
                </c:pt>
                <c:pt idx="6">
                  <c:v>21509375000</c:v>
                </c:pt>
                <c:pt idx="7">
                  <c:v>10754687500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A-7745-92F8-A255C0BF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5439"/>
        <c:axId val="1773927743"/>
      </c:barChart>
      <c:catAx>
        <c:axId val="18302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27743"/>
        <c:crosses val="autoZero"/>
        <c:auto val="1"/>
        <c:lblAlgn val="ctr"/>
        <c:lblOffset val="100"/>
        <c:noMultiLvlLbl val="0"/>
      </c:catAx>
      <c:valAx>
        <c:axId val="1773927743"/>
        <c:scaling>
          <c:orientation val="minMax"/>
          <c:max val="9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Instruction Counts (Total)</a:t>
                </a:r>
              </a:p>
            </c:rich>
          </c:tx>
          <c:layout>
            <c:manualLayout>
              <c:xMode val="edge"/>
              <c:yMode val="edge"/>
              <c:x val="1.7265140392668622E-2"/>
              <c:y val="0.32599882541438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96295562134277"/>
          <c:y val="0.91361585378558363"/>
          <c:w val="0.51863709501040389"/>
          <c:h val="3.7104616550530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HN vs FN Arith. count Verletlist on Intel Sapphire Rapids</a:t>
            </a:r>
          </a:p>
          <a:p>
            <a:pPr>
              <a:defRPr/>
            </a:pPr>
            <a:r>
              <a:rPr lang="en-GB"/>
              <a:t> (ICC DP MD Bench ) Freq 3.0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Measured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('Instruction Count '!$B$1:$E$1,'Instruction Count '!$G$1:$J$1)</c:f>
              <c:strCache>
                <c:ptCount val="8"/>
                <c:pt idx="0">
                  <c:v>HN novec</c:v>
                </c:pt>
                <c:pt idx="1">
                  <c:v>HN SSE</c:v>
                </c:pt>
                <c:pt idx="2">
                  <c:v>HN AVX</c:v>
                </c:pt>
                <c:pt idx="3">
                  <c:v>HN AVX512</c:v>
                </c:pt>
                <c:pt idx="4">
                  <c:v>FN novec</c:v>
                </c:pt>
                <c:pt idx="5">
                  <c:v>FN SSE</c:v>
                </c:pt>
                <c:pt idx="6">
                  <c:v>FN AVX</c:v>
                </c:pt>
                <c:pt idx="7">
                  <c:v>FN AVX512</c:v>
                </c:pt>
              </c:strCache>
            </c:strRef>
          </c:cat>
          <c:val>
            <c:numRef>
              <c:f>('Instruction Count '!$B$4:$E$4,'Instruction Count '!$G$4:$J$4)</c:f>
              <c:numCache>
                <c:formatCode>General</c:formatCode>
                <c:ptCount val="8"/>
                <c:pt idx="0">
                  <c:v>34761980000</c:v>
                </c:pt>
                <c:pt idx="1">
                  <c:v>12877139800</c:v>
                </c:pt>
                <c:pt idx="2">
                  <c:v>8172832350</c:v>
                </c:pt>
                <c:pt idx="3">
                  <c:v>5639886830</c:v>
                </c:pt>
                <c:pt idx="4">
                  <c:v>37738310000</c:v>
                </c:pt>
                <c:pt idx="5">
                  <c:v>21724264500</c:v>
                </c:pt>
                <c:pt idx="6">
                  <c:v>13953280000</c:v>
                </c:pt>
                <c:pt idx="7">
                  <c:v>8416387830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A-4249-BB4B-61DD12FB8DCC}"/>
            </c:ext>
          </c:extLst>
        </c:ser>
        <c:ser>
          <c:idx val="1"/>
          <c:order val="1"/>
          <c:tx>
            <c:v>Expected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('Instruction Count '!$B$1:$E$1,'Instruction Count '!$G$1:$J$1)</c:f>
              <c:strCache>
                <c:ptCount val="8"/>
                <c:pt idx="0">
                  <c:v>HN novec</c:v>
                </c:pt>
                <c:pt idx="1">
                  <c:v>HN SSE</c:v>
                </c:pt>
                <c:pt idx="2">
                  <c:v>HN AVX</c:v>
                </c:pt>
                <c:pt idx="3">
                  <c:v>HN AVX512</c:v>
                </c:pt>
                <c:pt idx="4">
                  <c:v>FN novec</c:v>
                </c:pt>
                <c:pt idx="5">
                  <c:v>FN SSE</c:v>
                </c:pt>
                <c:pt idx="6">
                  <c:v>FN AVX</c:v>
                </c:pt>
                <c:pt idx="7">
                  <c:v>FN AVX512</c:v>
                </c:pt>
              </c:strCache>
            </c:strRef>
          </c:cat>
          <c:val>
            <c:numRef>
              <c:f>('Instruction Count '!$B$5:$E$5,'Instruction Count '!$G$5:$J$5)</c:f>
              <c:numCache>
                <c:formatCode>General</c:formatCode>
                <c:ptCount val="8"/>
                <c:pt idx="0">
                  <c:v>34761980000</c:v>
                </c:pt>
                <c:pt idx="1">
                  <c:v>17380990000</c:v>
                </c:pt>
                <c:pt idx="2">
                  <c:v>8690495000</c:v>
                </c:pt>
                <c:pt idx="3">
                  <c:v>4345247500</c:v>
                </c:pt>
                <c:pt idx="4">
                  <c:v>37738310000</c:v>
                </c:pt>
                <c:pt idx="5">
                  <c:v>18869155000</c:v>
                </c:pt>
                <c:pt idx="6">
                  <c:v>9434577500</c:v>
                </c:pt>
                <c:pt idx="7">
                  <c:v>4717288750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A-4249-BB4B-61DD12FB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86095"/>
        <c:axId val="348035775"/>
      </c:barChart>
      <c:catAx>
        <c:axId val="3471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35775"/>
        <c:crosses val="autoZero"/>
        <c:auto val="1"/>
        <c:lblAlgn val="ctr"/>
        <c:lblOffset val="100"/>
        <c:noMultiLvlLbl val="0"/>
      </c:catAx>
      <c:valAx>
        <c:axId val="3480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 vs DP Arith. count Verletlist on Intel Sapphire Rapids</a:t>
            </a:r>
          </a:p>
          <a:p>
            <a:pPr>
              <a:defRPr/>
            </a:pPr>
            <a:r>
              <a:rPr lang="en-GB"/>
              <a:t> (ICC DP MD Bench ) Freq 3.0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Double 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'Instruction Count '!$G$1:$J$1</c:f>
              <c:strCache>
                <c:ptCount val="4"/>
                <c:pt idx="0">
                  <c:v>FN novec</c:v>
                </c:pt>
                <c:pt idx="1">
                  <c:v>FN SSE</c:v>
                </c:pt>
                <c:pt idx="2">
                  <c:v>FN AVX</c:v>
                </c:pt>
                <c:pt idx="3">
                  <c:v>FN AVX512</c:v>
                </c:pt>
              </c:strCache>
            </c:strRef>
          </c:cat>
          <c:val>
            <c:numRef>
              <c:f>'Instruction Count '!$G$4:$J$4</c:f>
              <c:numCache>
                <c:formatCode>General</c:formatCode>
                <c:ptCount val="4"/>
                <c:pt idx="0">
                  <c:v>37738310000</c:v>
                </c:pt>
                <c:pt idx="1">
                  <c:v>21724264500</c:v>
                </c:pt>
                <c:pt idx="2">
                  <c:v>13953280000</c:v>
                </c:pt>
                <c:pt idx="3">
                  <c:v>8416387830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6-CD4F-A44D-F3292F3CBBED}"/>
            </c:ext>
          </c:extLst>
        </c:ser>
        <c:ser>
          <c:idx val="1"/>
          <c:order val="1"/>
          <c:tx>
            <c:v>Single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'Instruction Count '!$G$1:$J$1</c:f>
              <c:strCache>
                <c:ptCount val="4"/>
                <c:pt idx="0">
                  <c:v>FN novec</c:v>
                </c:pt>
                <c:pt idx="1">
                  <c:v>FN SSE</c:v>
                </c:pt>
                <c:pt idx="2">
                  <c:v>FN AVX</c:v>
                </c:pt>
                <c:pt idx="3">
                  <c:v>FN AVX512</c:v>
                </c:pt>
              </c:strCache>
            </c:strRef>
          </c:cat>
          <c:val>
            <c:numRef>
              <c:f>'Instruction Count '!$G$19:$J$19</c:f>
              <c:numCache>
                <c:formatCode>0</c:formatCode>
                <c:ptCount val="4"/>
                <c:pt idx="0">
                  <c:v>37738310000</c:v>
                </c:pt>
                <c:pt idx="1">
                  <c:v>13881946300</c:v>
                </c:pt>
                <c:pt idx="2">
                  <c:v>7969306800</c:v>
                </c:pt>
                <c:pt idx="3">
                  <c:v>4148089420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6-CD4F-A44D-F3292F3C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473215"/>
        <c:axId val="1305467023"/>
      </c:barChart>
      <c:catAx>
        <c:axId val="13054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7023"/>
        <c:crosses val="autoZero"/>
        <c:auto val="1"/>
        <c:lblAlgn val="ctr"/>
        <c:lblOffset val="100"/>
        <c:noMultiLvlLbl val="0"/>
      </c:catAx>
      <c:valAx>
        <c:axId val="13054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Clusterpair vs Verletlist full neighbour list comparision on Intel Sapphire Rapids</a:t>
            </a:r>
          </a:p>
          <a:p>
            <a:pPr>
              <a:defRPr/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DP MD Bench ) Freq 3.0 GHz</a:t>
            </a:r>
          </a:p>
        </c:rich>
      </c:tx>
      <c:layout>
        <c:manualLayout>
          <c:xMode val="edge"/>
          <c:yMode val="edge"/>
          <c:x val="0.22993286944946945"/>
          <c:y val="2.9510856597470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Vectorization ratio [%]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Graphs!$B$4:$I$4</c15:sqref>
                  </c15:fullRef>
                </c:ext>
              </c:extLst>
              <c:f>Graphs!$F$4:$I$4</c:f>
              <c:strCache>
                <c:ptCount val="4"/>
                <c:pt idx="0">
                  <c:v>FN AVX VL</c:v>
                </c:pt>
                <c:pt idx="1">
                  <c:v>FN AVX CP</c:v>
                </c:pt>
                <c:pt idx="2">
                  <c:v>FN AVX512 VL</c:v>
                </c:pt>
                <c:pt idx="3">
                  <c:v>FN AVX512 CP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Graphs!$B$5:$I$5</c15:sqref>
                  </c15:fullRef>
                </c:ext>
              </c:extLst>
              <c:f>Graphs!$F$5:$I$5</c:f>
              <c:numCache>
                <c:formatCode>0.00</c:formatCode>
                <c:ptCount val="4"/>
                <c:pt idx="0">
                  <c:v>87.629300000000001</c:v>
                </c:pt>
                <c:pt idx="1">
                  <c:v>100</c:v>
                </c:pt>
                <c:pt idx="2">
                  <c:v>99.060900000000004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C-514E-99C4-90C4EC8D2B9C}"/>
            </c:ext>
          </c:extLst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Percentage Arithmetic [%]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Graphs!$B$4:$I$4</c15:sqref>
                  </c15:fullRef>
                </c:ext>
              </c:extLst>
              <c:f>Graphs!$F$4:$I$4</c:f>
              <c:strCache>
                <c:ptCount val="4"/>
                <c:pt idx="0">
                  <c:v>FN AVX VL</c:v>
                </c:pt>
                <c:pt idx="1">
                  <c:v>FN AVX CP</c:v>
                </c:pt>
                <c:pt idx="2">
                  <c:v>FN AVX512 VL</c:v>
                </c:pt>
                <c:pt idx="3">
                  <c:v>FN AVX512 CP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Graphs!$B$6:$I$6</c15:sqref>
                  </c15:fullRef>
                </c:ext>
              </c:extLst>
              <c:f>Graphs!$F$6:$I$6</c:f>
              <c:numCache>
                <c:formatCode>0.00</c:formatCode>
                <c:ptCount val="4"/>
                <c:pt idx="0">
                  <c:v>28.070068146956018</c:v>
                </c:pt>
                <c:pt idx="1">
                  <c:v>83.794569852734185</c:v>
                </c:pt>
                <c:pt idx="2">
                  <c:v>50.025307680694432</c:v>
                </c:pt>
                <c:pt idx="3">
                  <c:v>80.953385485496327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C-514E-99C4-90C4EC8D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030863"/>
        <c:axId val="1775392415"/>
      </c:barChart>
      <c:catAx>
        <c:axId val="11190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92415"/>
        <c:crosses val="autoZero"/>
        <c:auto val="1"/>
        <c:lblAlgn val="ctr"/>
        <c:lblOffset val="100"/>
        <c:noMultiLvlLbl val="0"/>
      </c:catAx>
      <c:valAx>
        <c:axId val="17753924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Clusterpair vs Verletlist </a:t>
            </a:r>
          </a:p>
          <a:p>
            <a:pPr>
              <a:defRPr/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(SP-DP comparision) on Intel Sapphire Rapids</a:t>
            </a:r>
          </a:p>
          <a:p>
            <a:pPr>
              <a:defRPr/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MD Bench ) Freq 3.0 GHz</a:t>
            </a:r>
          </a:p>
        </c:rich>
      </c:tx>
      <c:layout>
        <c:manualLayout>
          <c:xMode val="edge"/>
          <c:yMode val="edge"/>
          <c:x val="0.28211981339323172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Graphs!$A$8</c:f>
              <c:strCache>
                <c:ptCount val="1"/>
                <c:pt idx="0">
                  <c:v>Vectorization ratio [%]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Graphs!$B$7:$I$7</c15:sqref>
                  </c15:fullRef>
                </c:ext>
              </c:extLst>
              <c:f>(Graphs!$B$7:$C$7,Graphs!$F$7:$G$7)</c:f>
              <c:strCache>
                <c:ptCount val="4"/>
                <c:pt idx="0">
                  <c:v>HN AVX VL DP</c:v>
                </c:pt>
                <c:pt idx="1">
                  <c:v>HN AVX VL SP</c:v>
                </c:pt>
                <c:pt idx="2">
                  <c:v>HN AVX CP DP</c:v>
                </c:pt>
                <c:pt idx="3">
                  <c:v>HN AVX CP SP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Graphs!$B$8:$I$8</c15:sqref>
                  </c15:fullRef>
                </c:ext>
              </c:extLst>
              <c:f>(Graphs!$B$8:$C$8,Graphs!$F$8:$G$8)</c:f>
              <c:numCache>
                <c:formatCode>0.00</c:formatCode>
                <c:ptCount val="4"/>
                <c:pt idx="0">
                  <c:v>76.143900000000002</c:v>
                </c:pt>
                <c:pt idx="1">
                  <c:v>55.2363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C-4D41-A2CB-99457F700584}"/>
            </c:ext>
          </c:extLst>
        </c:ser>
        <c:ser>
          <c:idx val="1"/>
          <c:order val="1"/>
          <c:tx>
            <c:strRef>
              <c:f>Graphs!$A$9</c:f>
              <c:strCache>
                <c:ptCount val="1"/>
                <c:pt idx="0">
                  <c:v>Percentage Arithmetic [%]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Graphs!$B$7:$I$7</c15:sqref>
                  </c15:fullRef>
                </c:ext>
              </c:extLst>
              <c:f>(Graphs!$B$7:$C$7,Graphs!$F$7:$G$7)</c:f>
              <c:strCache>
                <c:ptCount val="4"/>
                <c:pt idx="0">
                  <c:v>HN AVX VL DP</c:v>
                </c:pt>
                <c:pt idx="1">
                  <c:v>HN AVX VL SP</c:v>
                </c:pt>
                <c:pt idx="2">
                  <c:v>HN AVX CP DP</c:v>
                </c:pt>
                <c:pt idx="3">
                  <c:v>HN AVX CP SP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Graphs!$B$9:$I$9</c15:sqref>
                  </c15:fullRef>
                </c:ext>
              </c:extLst>
              <c:f>(Graphs!$B$9:$C$9,Graphs!$F$9:$G$9)</c:f>
              <c:numCache>
                <c:formatCode>0.00</c:formatCode>
                <c:ptCount val="4"/>
                <c:pt idx="0">
                  <c:v>12.037685296961191</c:v>
                </c:pt>
                <c:pt idx="1">
                  <c:v>9.7151321901958809</c:v>
                </c:pt>
                <c:pt idx="2">
                  <c:v>52.278460235194423</c:v>
                </c:pt>
                <c:pt idx="3">
                  <c:v>50.012082949800309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C-4D41-A2CB-99457F70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974815"/>
        <c:axId val="1154322335"/>
      </c:barChart>
      <c:catAx>
        <c:axId val="115397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22335"/>
        <c:crosses val="autoZero"/>
        <c:auto val="1"/>
        <c:lblAlgn val="ctr"/>
        <c:lblOffset val="100"/>
        <c:noMultiLvlLbl val="0"/>
      </c:catAx>
      <c:valAx>
        <c:axId val="11543223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aseline="0"/>
              <a:t>Performance (HN vs FN) </a:t>
            </a: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Intel Sapphire Rapids</a:t>
            </a:r>
          </a:p>
          <a:p>
            <a:pPr>
              <a:defRPr/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DP MD Bench ) Freq 3.0 GHz</a:t>
            </a:r>
          </a:p>
          <a:p>
            <a:pPr>
              <a:defRPr/>
            </a:pPr>
            <a:endParaRPr lang="en-GB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Graphs!$A$21</c:f>
              <c:strCache>
                <c:ptCount val="1"/>
                <c:pt idx="0">
                  <c:v>Verletlist [MFlops/s]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Graphs!$B$20:$E$20</c:f>
              <c:strCache>
                <c:ptCount val="4"/>
                <c:pt idx="0">
                  <c:v>HN AVX512 SP</c:v>
                </c:pt>
                <c:pt idx="1">
                  <c:v>HN AVX512 DP</c:v>
                </c:pt>
                <c:pt idx="2">
                  <c:v>FN AVX 512 SP</c:v>
                </c:pt>
                <c:pt idx="3">
                  <c:v>FN AVX512 DP</c:v>
                </c:pt>
              </c:strCache>
            </c:strRef>
          </c:cat>
          <c:val>
            <c:numRef>
              <c:f>Graphs!$B$21:$E$21</c:f>
              <c:numCache>
                <c:formatCode>0.0</c:formatCode>
                <c:ptCount val="4"/>
                <c:pt idx="0" formatCode="0.00">
                  <c:v>11958.088900000001</c:v>
                </c:pt>
                <c:pt idx="1">
                  <c:v>11228.8442</c:v>
                </c:pt>
                <c:pt idx="2" formatCode="0.00">
                  <c:v>17756.524600000001</c:v>
                </c:pt>
                <c:pt idx="3">
                  <c:v>15485.669599999999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2341-B7D3-9E0141987F98}"/>
            </c:ext>
          </c:extLst>
        </c:ser>
        <c:ser>
          <c:idx val="1"/>
          <c:order val="1"/>
          <c:tx>
            <c:strRef>
              <c:f>Graphs!$A$22</c:f>
              <c:strCache>
                <c:ptCount val="1"/>
                <c:pt idx="0">
                  <c:v>Clusterpair [MFlops/s]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Graphs!$B$20:$E$20</c:f>
              <c:strCache>
                <c:ptCount val="4"/>
                <c:pt idx="0">
                  <c:v>HN AVX512 SP</c:v>
                </c:pt>
                <c:pt idx="1">
                  <c:v>HN AVX512 DP</c:v>
                </c:pt>
                <c:pt idx="2">
                  <c:v>FN AVX 512 SP</c:v>
                </c:pt>
                <c:pt idx="3">
                  <c:v>FN AVX512 DP</c:v>
                </c:pt>
              </c:strCache>
            </c:strRef>
          </c:cat>
          <c:val>
            <c:numRef>
              <c:f>Graphs!$B$22:$E$22</c:f>
              <c:numCache>
                <c:formatCode>General</c:formatCode>
                <c:ptCount val="4"/>
                <c:pt idx="0">
                  <c:v>60029.864399999999</c:v>
                </c:pt>
                <c:pt idx="1">
                  <c:v>40616.948900000003</c:v>
                </c:pt>
                <c:pt idx="2">
                  <c:v>73456.793699999995</c:v>
                </c:pt>
                <c:pt idx="3">
                  <c:v>48226.099399999999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4-2341-B7D3-9E014198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310319"/>
        <c:axId val="1330531423"/>
      </c:barChart>
      <c:catAx>
        <c:axId val="13303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31423"/>
        <c:crosses val="autoZero"/>
        <c:auto val="1"/>
        <c:lblAlgn val="ctr"/>
        <c:lblOffset val="100"/>
        <c:noMultiLvlLbl val="0"/>
      </c:catAx>
      <c:valAx>
        <c:axId val="13305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  <a:r>
                  <a:rPr lang="en-GB" baseline="0"/>
                  <a:t> (MFlops/s)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2222222222222223E-2"/>
              <c:y val="0.1896405657626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 vs DP Arith. count Verletlist on Intel Sapphire Rapids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DP MD Bench ) Freq 3.0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Double 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'Instruction Count  (2)'!$G$1:$J$1</c:f>
              <c:strCache>
                <c:ptCount val="4"/>
                <c:pt idx="0">
                  <c:v>FN novec</c:v>
                </c:pt>
                <c:pt idx="1">
                  <c:v>FN SSE</c:v>
                </c:pt>
                <c:pt idx="2">
                  <c:v>FN AVX</c:v>
                </c:pt>
                <c:pt idx="3">
                  <c:v>FN AVX512</c:v>
                </c:pt>
              </c:strCache>
            </c:strRef>
          </c:cat>
          <c:val>
            <c:numRef>
              <c:f>'Instruction Count  (2)'!$G$4:$J$4</c:f>
              <c:numCache>
                <c:formatCode>General</c:formatCode>
                <c:ptCount val="4"/>
                <c:pt idx="0">
                  <c:v>37738310000</c:v>
                </c:pt>
                <c:pt idx="1">
                  <c:v>21724264500</c:v>
                </c:pt>
                <c:pt idx="2">
                  <c:v>13953280000</c:v>
                </c:pt>
                <c:pt idx="3">
                  <c:v>8416387830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6-476D-8EF5-BA808D89B97A}"/>
            </c:ext>
          </c:extLst>
        </c:ser>
        <c:ser>
          <c:idx val="1"/>
          <c:order val="1"/>
          <c:tx>
            <c:v>Single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'Instruction Count  (2)'!$G$1:$J$1</c:f>
              <c:strCache>
                <c:ptCount val="4"/>
                <c:pt idx="0">
                  <c:v>FN novec</c:v>
                </c:pt>
                <c:pt idx="1">
                  <c:v>FN SSE</c:v>
                </c:pt>
                <c:pt idx="2">
                  <c:v>FN AVX</c:v>
                </c:pt>
                <c:pt idx="3">
                  <c:v>FN AVX512</c:v>
                </c:pt>
              </c:strCache>
            </c:strRef>
          </c:cat>
          <c:val>
            <c:numRef>
              <c:f>'Instruction Count  (2)'!$G$19:$J$19</c:f>
              <c:numCache>
                <c:formatCode>0</c:formatCode>
                <c:ptCount val="4"/>
                <c:pt idx="0">
                  <c:v>37738310000</c:v>
                </c:pt>
                <c:pt idx="1">
                  <c:v>13881946300</c:v>
                </c:pt>
                <c:pt idx="2">
                  <c:v>7969306800</c:v>
                </c:pt>
                <c:pt idx="3">
                  <c:v>4148089420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6-476D-8EF5-BA808D89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473215"/>
        <c:axId val="1305467023"/>
      </c:barChart>
      <c:catAx>
        <c:axId val="13054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7023"/>
        <c:crosses val="autoZero"/>
        <c:auto val="1"/>
        <c:lblAlgn val="ctr"/>
        <c:lblOffset val="100"/>
        <c:noMultiLvlLbl val="0"/>
      </c:catAx>
      <c:valAx>
        <c:axId val="13054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384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No. of Cores (</a:t>
            </a:r>
            <a:r>
              <a:rPr lang="en-IN"/>
              <a:t>MDBench VL ICC DP</a:t>
            </a:r>
          </a:p>
          <a:p>
            <a:pPr algn="ctr" rtl="0">
              <a:defRPr/>
            </a:pPr>
            <a:r>
              <a:rPr lang="en-GB"/>
              <a:t> Intel Sapphire Rapids) for different SIMD modes</a:t>
            </a:r>
          </a:p>
        </c:rich>
      </c:tx>
      <c:layout>
        <c:manualLayout>
          <c:xMode val="edge"/>
          <c:yMode val="edge"/>
          <c:x val="0.3324527929332739"/>
          <c:y val="1.309133488984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384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54554838276576E-2"/>
          <c:y val="0.12860933443993022"/>
          <c:w val="0.88437047065529617"/>
          <c:h val="0.70747695973817515"/>
        </c:manualLayout>
      </c:layout>
      <c:lineChart>
        <c:grouping val="standard"/>
        <c:varyColors val="0"/>
        <c:ser>
          <c:idx val="1"/>
          <c:order val="0"/>
          <c:tx>
            <c:v>Scalar VL Freq 3.0 GHz</c:v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Energy!$B$25:$AB$25</c:f>
              <c:numCache>
                <c:formatCode>0.00</c:formatCode>
                <c:ptCount val="27"/>
                <c:pt idx="0">
                  <c:v>363.04169999999999</c:v>
                </c:pt>
                <c:pt idx="1">
                  <c:v>363.63939999999997</c:v>
                </c:pt>
                <c:pt idx="2">
                  <c:v>369.28019999999998</c:v>
                </c:pt>
                <c:pt idx="3">
                  <c:v>366.86700000000002</c:v>
                </c:pt>
                <c:pt idx="4">
                  <c:v>374.34379999999999</c:v>
                </c:pt>
                <c:pt idx="5">
                  <c:v>376.29630000000003</c:v>
                </c:pt>
                <c:pt idx="6">
                  <c:v>379.80780000000004</c:v>
                </c:pt>
                <c:pt idx="7">
                  <c:v>388.98699999999997</c:v>
                </c:pt>
                <c:pt idx="8">
                  <c:v>391.39910000000003</c:v>
                </c:pt>
                <c:pt idx="9">
                  <c:v>398.12530000000004</c:v>
                </c:pt>
                <c:pt idx="10">
                  <c:v>402.59739999999999</c:v>
                </c:pt>
                <c:pt idx="11">
                  <c:v>406.17410000000001</c:v>
                </c:pt>
                <c:pt idx="12">
                  <c:v>421.68380000000002</c:v>
                </c:pt>
                <c:pt idx="13">
                  <c:v>426.90649999999999</c:v>
                </c:pt>
                <c:pt idx="14">
                  <c:v>427.27499999999998</c:v>
                </c:pt>
                <c:pt idx="15">
                  <c:v>434.80290000000002</c:v>
                </c:pt>
                <c:pt idx="16">
                  <c:v>437.00640000000004</c:v>
                </c:pt>
                <c:pt idx="17">
                  <c:v>445.93639999999999</c:v>
                </c:pt>
                <c:pt idx="18">
                  <c:v>451.79590000000002</c:v>
                </c:pt>
                <c:pt idx="19">
                  <c:v>454.82339999999999</c:v>
                </c:pt>
                <c:pt idx="20">
                  <c:v>464.66379999999998</c:v>
                </c:pt>
                <c:pt idx="21">
                  <c:v>482.76100000000002</c:v>
                </c:pt>
                <c:pt idx="22">
                  <c:v>488.77629999999999</c:v>
                </c:pt>
                <c:pt idx="23">
                  <c:v>493.274</c:v>
                </c:pt>
                <c:pt idx="24">
                  <c:v>500.83120000000002</c:v>
                </c:pt>
                <c:pt idx="25">
                  <c:v>504.7783</c:v>
                </c:pt>
                <c:pt idx="26">
                  <c:v>508.44800000000004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4-DA4D-9FC6-0961974DDEA9}"/>
            </c:ext>
          </c:extLst>
        </c:ser>
        <c:ser>
          <c:idx val="3"/>
          <c:order val="1"/>
          <c:tx>
            <c:v>SSE VL Freq 3.0 GHz</c:v>
          </c:tx>
          <c:spPr>
            <a:ln w="476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Energy!$B$37:$AB$37</c:f>
              <c:numCache>
                <c:formatCode>0.00</c:formatCode>
                <c:ptCount val="27"/>
                <c:pt idx="0">
                  <c:v>348.80529999999999</c:v>
                </c:pt>
                <c:pt idx="1">
                  <c:v>342.03280000000001</c:v>
                </c:pt>
                <c:pt idx="2">
                  <c:v>347.51560000000001</c:v>
                </c:pt>
                <c:pt idx="3">
                  <c:v>344.94069999999999</c:v>
                </c:pt>
                <c:pt idx="4">
                  <c:v>347.79840000000002</c:v>
                </c:pt>
                <c:pt idx="5">
                  <c:v>353.41720000000004</c:v>
                </c:pt>
                <c:pt idx="6">
                  <c:v>361.32400000000001</c:v>
                </c:pt>
                <c:pt idx="7">
                  <c:v>366.3365</c:v>
                </c:pt>
                <c:pt idx="8">
                  <c:v>372.49539999999996</c:v>
                </c:pt>
                <c:pt idx="9">
                  <c:v>373.76859999999999</c:v>
                </c:pt>
                <c:pt idx="10">
                  <c:v>381.75390000000004</c:v>
                </c:pt>
                <c:pt idx="11">
                  <c:v>381.85309999999998</c:v>
                </c:pt>
                <c:pt idx="12">
                  <c:v>388.13279999999997</c:v>
                </c:pt>
                <c:pt idx="13">
                  <c:v>397.77929999999998</c:v>
                </c:pt>
                <c:pt idx="14">
                  <c:v>398.86219999999997</c:v>
                </c:pt>
                <c:pt idx="15">
                  <c:v>408.97570000000002</c:v>
                </c:pt>
                <c:pt idx="16">
                  <c:v>415.97669999999999</c:v>
                </c:pt>
                <c:pt idx="17">
                  <c:v>412.05160000000001</c:v>
                </c:pt>
                <c:pt idx="18">
                  <c:v>417.66910000000001</c:v>
                </c:pt>
                <c:pt idx="19">
                  <c:v>419.86720000000003</c:v>
                </c:pt>
                <c:pt idx="20">
                  <c:v>425.54149999999998</c:v>
                </c:pt>
                <c:pt idx="21">
                  <c:v>432.4074</c:v>
                </c:pt>
                <c:pt idx="22">
                  <c:v>430.46180000000004</c:v>
                </c:pt>
                <c:pt idx="23">
                  <c:v>462.85050000000001</c:v>
                </c:pt>
                <c:pt idx="24">
                  <c:v>442.4735</c:v>
                </c:pt>
                <c:pt idx="25">
                  <c:v>443.93389999999999</c:v>
                </c:pt>
                <c:pt idx="26">
                  <c:v>445.6438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DA4D-9FC6-0961974DDEA9}"/>
            </c:ext>
          </c:extLst>
        </c:ser>
        <c:ser>
          <c:idx val="2"/>
          <c:order val="2"/>
          <c:tx>
            <c:v>AVX VL Freq 3.0 GHz</c:v>
          </c:tx>
          <c:spPr>
            <a:ln w="4445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Energy!$B$31:$AB$31</c:f>
              <c:numCache>
                <c:formatCode>0.00</c:formatCode>
                <c:ptCount val="27"/>
                <c:pt idx="0">
                  <c:v>359.61649999999997</c:v>
                </c:pt>
                <c:pt idx="1">
                  <c:v>349.64920000000001</c:v>
                </c:pt>
                <c:pt idx="2">
                  <c:v>351.28189999999995</c:v>
                </c:pt>
                <c:pt idx="3">
                  <c:v>353.48349999999999</c:v>
                </c:pt>
                <c:pt idx="4">
                  <c:v>354.57440000000003</c:v>
                </c:pt>
                <c:pt idx="5">
                  <c:v>361.9597</c:v>
                </c:pt>
                <c:pt idx="6">
                  <c:v>365.33229999999998</c:v>
                </c:pt>
                <c:pt idx="7">
                  <c:v>370.01569999999998</c:v>
                </c:pt>
                <c:pt idx="8">
                  <c:v>372.46290000000005</c:v>
                </c:pt>
                <c:pt idx="9">
                  <c:v>384.01690000000002</c:v>
                </c:pt>
                <c:pt idx="10">
                  <c:v>391.32190000000003</c:v>
                </c:pt>
                <c:pt idx="11">
                  <c:v>388.49810000000002</c:v>
                </c:pt>
                <c:pt idx="12">
                  <c:v>392.78100000000001</c:v>
                </c:pt>
                <c:pt idx="13">
                  <c:v>397.80489999999998</c:v>
                </c:pt>
                <c:pt idx="14">
                  <c:v>402.67399999999998</c:v>
                </c:pt>
                <c:pt idx="15">
                  <c:v>402.89659999999998</c:v>
                </c:pt>
                <c:pt idx="16">
                  <c:v>411.41279999999995</c:v>
                </c:pt>
                <c:pt idx="17">
                  <c:v>421.81720000000001</c:v>
                </c:pt>
                <c:pt idx="18">
                  <c:v>416.37760000000003</c:v>
                </c:pt>
                <c:pt idx="19">
                  <c:v>421.43079999999998</c:v>
                </c:pt>
                <c:pt idx="20">
                  <c:v>425.08980000000003</c:v>
                </c:pt>
                <c:pt idx="21">
                  <c:v>432.52319999999997</c:v>
                </c:pt>
                <c:pt idx="22">
                  <c:v>444.97669999999999</c:v>
                </c:pt>
                <c:pt idx="23">
                  <c:v>442.6936</c:v>
                </c:pt>
                <c:pt idx="24">
                  <c:v>445.3845</c:v>
                </c:pt>
                <c:pt idx="25">
                  <c:v>447.08909999999997</c:v>
                </c:pt>
                <c:pt idx="26">
                  <c:v>458.55920000000003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DA4D-9FC6-0961974DDEA9}"/>
            </c:ext>
          </c:extLst>
        </c:ser>
        <c:ser>
          <c:idx val="0"/>
          <c:order val="3"/>
          <c:tx>
            <c:v>AVX512 VL Freq 3.0 GHz</c:v>
          </c:tx>
          <c:spPr>
            <a:ln w="476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Energy!$B$13:$AB$13</c:f>
              <c:numCache>
                <c:formatCode>0.00</c:formatCode>
                <c:ptCount val="27"/>
                <c:pt idx="0">
                  <c:v>357.07439999999997</c:v>
                </c:pt>
                <c:pt idx="1">
                  <c:v>355</c:v>
                </c:pt>
                <c:pt idx="2">
                  <c:v>351.50069999999999</c:v>
                </c:pt>
                <c:pt idx="3">
                  <c:v>361.96659999999997</c:v>
                </c:pt>
                <c:pt idx="4">
                  <c:v>359.90480000000002</c:v>
                </c:pt>
                <c:pt idx="5">
                  <c:v>367.59319999999997</c:v>
                </c:pt>
                <c:pt idx="6">
                  <c:v>374.71229999999997</c:v>
                </c:pt>
                <c:pt idx="7">
                  <c:v>380.97379999999998</c:v>
                </c:pt>
                <c:pt idx="8">
                  <c:v>386.64820000000003</c:v>
                </c:pt>
                <c:pt idx="9">
                  <c:v>385.69159999999999</c:v>
                </c:pt>
                <c:pt idx="10">
                  <c:v>394.56419999999997</c:v>
                </c:pt>
                <c:pt idx="11">
                  <c:v>398.41759999999999</c:v>
                </c:pt>
                <c:pt idx="12">
                  <c:v>400.55780000000004</c:v>
                </c:pt>
                <c:pt idx="13">
                  <c:v>406.08109999999999</c:v>
                </c:pt>
                <c:pt idx="14">
                  <c:v>411.53820000000002</c:v>
                </c:pt>
                <c:pt idx="15">
                  <c:v>416.01729999999998</c:v>
                </c:pt>
                <c:pt idx="16">
                  <c:v>422.69730000000004</c:v>
                </c:pt>
                <c:pt idx="17">
                  <c:v>426.54900000000004</c:v>
                </c:pt>
                <c:pt idx="18">
                  <c:v>429.39189999999996</c:v>
                </c:pt>
                <c:pt idx="19">
                  <c:v>432.77069999999998</c:v>
                </c:pt>
                <c:pt idx="20">
                  <c:v>441.43340000000001</c:v>
                </c:pt>
                <c:pt idx="21">
                  <c:v>440.11930000000001</c:v>
                </c:pt>
                <c:pt idx="22">
                  <c:v>444.23349999999999</c:v>
                </c:pt>
                <c:pt idx="23">
                  <c:v>453.26679999999999</c:v>
                </c:pt>
                <c:pt idx="24">
                  <c:v>449.29939999999999</c:v>
                </c:pt>
                <c:pt idx="25">
                  <c:v>454.21350000000001</c:v>
                </c:pt>
                <c:pt idx="26">
                  <c:v>456.42069999999995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4-DA4D-9FC6-0961974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93951"/>
        <c:axId val="1481526943"/>
      </c:lineChart>
      <c:catAx>
        <c:axId val="148149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7037655065712181"/>
              <c:y val="0.89935008528414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26943"/>
        <c:crosses val="autoZero"/>
        <c:auto val="1"/>
        <c:lblAlgn val="ctr"/>
        <c:lblOffset val="100"/>
        <c:noMultiLvlLbl val="0"/>
      </c:catAx>
      <c:valAx>
        <c:axId val="148152694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[WATT]</a:t>
                </a:r>
              </a:p>
            </c:rich>
          </c:tx>
          <c:layout>
            <c:manualLayout>
              <c:xMode val="edge"/>
              <c:yMode val="edge"/>
              <c:x val="3.055268383023071E-3"/>
              <c:y val="0.37305932407848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93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98366247247902E-2"/>
          <c:y val="0.94357661629829648"/>
          <c:w val="0.82607627086020508"/>
          <c:h val="4.6228870865353149E-2"/>
        </c:manualLayout>
      </c:layout>
      <c:overlay val="0"/>
      <c:spPr>
        <a:noFill/>
        <a:ln w="53975" cap="sq">
          <a:solidFill>
            <a:schemeClr val="tx2">
              <a:lumMod val="75000"/>
            </a:schemeClr>
          </a:solidFill>
          <a:round/>
        </a:ln>
        <a:effectLst>
          <a:outerShdw dist="50800" sx="1000" sy="1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3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Z-plot (</a:t>
            </a:r>
            <a:r>
              <a:rPr lang="en-IN"/>
              <a:t>MDBench VL ICC DP Full neighbour</a:t>
            </a:r>
          </a:p>
          <a:p>
            <a:pPr>
              <a:defRPr/>
            </a:pPr>
            <a:r>
              <a:rPr lang="en-GB"/>
              <a:t> Intel Sapphire Rapids) for different SIMD modes</a:t>
            </a:r>
          </a:p>
        </c:rich>
      </c:tx>
      <c:layout>
        <c:manualLayout>
          <c:xMode val="edge"/>
          <c:yMode val="edge"/>
          <c:x val="0.24863768741236117"/>
          <c:y val="1.2458971512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09911650209355E-2"/>
          <c:y val="0.11085917316035283"/>
          <c:w val="0.87684556927270763"/>
          <c:h val="0.7011479592888552"/>
        </c:manualLayout>
      </c:layout>
      <c:scatterChart>
        <c:scatterStyle val="lineMarker"/>
        <c:varyColors val="0"/>
        <c:ser>
          <c:idx val="1"/>
          <c:order val="0"/>
          <c:tx>
            <c:v>SSE VL Freq 3.0 GHz</c:v>
          </c:tx>
          <c:spPr>
            <a:ln w="539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Energy!$B$30:$AB$30</c:f>
              <c:numCache>
                <c:formatCode>0.00</c:formatCode>
                <c:ptCount val="27"/>
                <c:pt idx="0">
                  <c:v>3.9431527000000002</c:v>
                </c:pt>
                <c:pt idx="1">
                  <c:v>15.3316547</c:v>
                </c:pt>
                <c:pt idx="2">
                  <c:v>30.248586500000002</c:v>
                </c:pt>
                <c:pt idx="3">
                  <c:v>44.936380499999999</c:v>
                </c:pt>
                <c:pt idx="4">
                  <c:v>59.864771900000001</c:v>
                </c:pt>
                <c:pt idx="5">
                  <c:v>74.703520999999995</c:v>
                </c:pt>
                <c:pt idx="6">
                  <c:v>88.375808199999994</c:v>
                </c:pt>
                <c:pt idx="7">
                  <c:v>102.16869579999999</c:v>
                </c:pt>
                <c:pt idx="8">
                  <c:v>117.1640841</c:v>
                </c:pt>
                <c:pt idx="9">
                  <c:v>132.0315884</c:v>
                </c:pt>
                <c:pt idx="10">
                  <c:v>145.12396129999999</c:v>
                </c:pt>
                <c:pt idx="11">
                  <c:v>159.81119849999999</c:v>
                </c:pt>
                <c:pt idx="12">
                  <c:v>173.05974540000003</c:v>
                </c:pt>
                <c:pt idx="13">
                  <c:v>184.19524559999999</c:v>
                </c:pt>
                <c:pt idx="14">
                  <c:v>190.10473469999999</c:v>
                </c:pt>
                <c:pt idx="15">
                  <c:v>198.00681549999999</c:v>
                </c:pt>
                <c:pt idx="16">
                  <c:v>208.48912289999998</c:v>
                </c:pt>
                <c:pt idx="17">
                  <c:v>219.46327830000001</c:v>
                </c:pt>
                <c:pt idx="18">
                  <c:v>225.27993140000001</c:v>
                </c:pt>
                <c:pt idx="19">
                  <c:v>233.78032670000002</c:v>
                </c:pt>
                <c:pt idx="20">
                  <c:v>248.1072202</c:v>
                </c:pt>
                <c:pt idx="21">
                  <c:v>259.83822170000002</c:v>
                </c:pt>
                <c:pt idx="22">
                  <c:v>271.05219579999999</c:v>
                </c:pt>
                <c:pt idx="23">
                  <c:v>283.74588640000002</c:v>
                </c:pt>
                <c:pt idx="24">
                  <c:v>292.68341149999998</c:v>
                </c:pt>
                <c:pt idx="25">
                  <c:v>305.99328550000001</c:v>
                </c:pt>
                <c:pt idx="26">
                  <c:v>303.52810720000002</c:v>
                </c:pt>
              </c:numCache>
            </c:numRef>
          </c:xVal>
          <c:yVal>
            <c:numRef>
              <c:f>Energy!$B$28:$AB$28</c:f>
              <c:numCache>
                <c:formatCode>0.00</c:formatCode>
                <c:ptCount val="27"/>
                <c:pt idx="0">
                  <c:v>5845.9892</c:v>
                </c:pt>
                <c:pt idx="1">
                  <c:v>2871.6532999999999</c:v>
                </c:pt>
                <c:pt idx="2">
                  <c:v>2444.1651000000002</c:v>
                </c:pt>
                <c:pt idx="3">
                  <c:v>2298.2536</c:v>
                </c:pt>
                <c:pt idx="4">
                  <c:v>2235.2795999999998</c:v>
                </c:pt>
                <c:pt idx="5">
                  <c:v>2298.8817000000004</c:v>
                </c:pt>
                <c:pt idx="6">
                  <c:v>2231.8917999999999</c:v>
                </c:pt>
                <c:pt idx="7">
                  <c:v>2283.4831999999997</c:v>
                </c:pt>
                <c:pt idx="8">
                  <c:v>2301.5234</c:v>
                </c:pt>
                <c:pt idx="9">
                  <c:v>2427.44</c:v>
                </c:pt>
                <c:pt idx="10">
                  <c:v>2394.3856999999998</c:v>
                </c:pt>
                <c:pt idx="11">
                  <c:v>2383.0023000000001</c:v>
                </c:pt>
                <c:pt idx="12">
                  <c:v>2413.9902999999999</c:v>
                </c:pt>
                <c:pt idx="13">
                  <c:v>2542.3096</c:v>
                </c:pt>
                <c:pt idx="14">
                  <c:v>2505.6880000000001</c:v>
                </c:pt>
                <c:pt idx="15">
                  <c:v>2605.6957000000002</c:v>
                </c:pt>
                <c:pt idx="16">
                  <c:v>2641.5367000000001</c:v>
                </c:pt>
                <c:pt idx="17">
                  <c:v>2736.0053000000003</c:v>
                </c:pt>
                <c:pt idx="18">
                  <c:v>2779.3919999999998</c:v>
                </c:pt>
                <c:pt idx="19">
                  <c:v>2837.6351</c:v>
                </c:pt>
                <c:pt idx="20">
                  <c:v>2801.7876999999999</c:v>
                </c:pt>
                <c:pt idx="21">
                  <c:v>2884.0626999999999</c:v>
                </c:pt>
                <c:pt idx="22">
                  <c:v>3032.7040999999999</c:v>
                </c:pt>
                <c:pt idx="23">
                  <c:v>2952.2386999999999</c:v>
                </c:pt>
                <c:pt idx="24">
                  <c:v>3091.5976999999998</c:v>
                </c:pt>
                <c:pt idx="25">
                  <c:v>3020.6480000000001</c:v>
                </c:pt>
                <c:pt idx="26">
                  <c:v>3119.5015000000003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FD-EB4A-8936-0F20976B1983}"/>
            </c:ext>
          </c:extLst>
        </c:ser>
        <c:ser>
          <c:idx val="2"/>
          <c:order val="1"/>
          <c:tx>
            <c:v>AVX VL Freq 3.0 GHz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Energy!$B$36:$AB$36</c:f>
              <c:numCache>
                <c:formatCode>0.00</c:formatCode>
                <c:ptCount val="27"/>
                <c:pt idx="0">
                  <c:v>7.1447013999999998</c:v>
                </c:pt>
                <c:pt idx="1">
                  <c:v>6.7516715000000005</c:v>
                </c:pt>
                <c:pt idx="2">
                  <c:v>52.793788900000003</c:v>
                </c:pt>
                <c:pt idx="3">
                  <c:v>78.443458700000008</c:v>
                </c:pt>
                <c:pt idx="4">
                  <c:v>103.5825529</c:v>
                </c:pt>
                <c:pt idx="5">
                  <c:v>130.19565249999999</c:v>
                </c:pt>
                <c:pt idx="6">
                  <c:v>146.96924559999999</c:v>
                </c:pt>
                <c:pt idx="7">
                  <c:v>168.04838020000003</c:v>
                </c:pt>
                <c:pt idx="8">
                  <c:v>200.69275589999998</c:v>
                </c:pt>
                <c:pt idx="9">
                  <c:v>227.7366347</c:v>
                </c:pt>
                <c:pt idx="10">
                  <c:v>248.76874859999998</c:v>
                </c:pt>
                <c:pt idx="11">
                  <c:v>274.0741099</c:v>
                </c:pt>
                <c:pt idx="12">
                  <c:v>295.87424320000002</c:v>
                </c:pt>
                <c:pt idx="13">
                  <c:v>311.49058719999999</c:v>
                </c:pt>
                <c:pt idx="14">
                  <c:v>315.65808429999998</c:v>
                </c:pt>
                <c:pt idx="15">
                  <c:v>329.44200949999998</c:v>
                </c:pt>
                <c:pt idx="16">
                  <c:v>329.72962100000001</c:v>
                </c:pt>
                <c:pt idx="17">
                  <c:v>342.56933909999998</c:v>
                </c:pt>
                <c:pt idx="18">
                  <c:v>354.77147480000002</c:v>
                </c:pt>
                <c:pt idx="19">
                  <c:v>372.37867690000002</c:v>
                </c:pt>
                <c:pt idx="20">
                  <c:v>380.67977669999999</c:v>
                </c:pt>
                <c:pt idx="21">
                  <c:v>408.51788309999995</c:v>
                </c:pt>
                <c:pt idx="22">
                  <c:v>429.74488630000002</c:v>
                </c:pt>
                <c:pt idx="23">
                  <c:v>442.36071709999999</c:v>
                </c:pt>
                <c:pt idx="24">
                  <c:v>461.63749440000004</c:v>
                </c:pt>
                <c:pt idx="25">
                  <c:v>472.05966039999998</c:v>
                </c:pt>
                <c:pt idx="26">
                  <c:v>471.3327309</c:v>
                </c:pt>
              </c:numCache>
            </c:numRef>
          </c:xVal>
          <c:yVal>
            <c:numRef>
              <c:f>Energy!$B$34:$AB$34</c:f>
              <c:numCache>
                <c:formatCode>0.00</c:formatCode>
                <c:ptCount val="27"/>
                <c:pt idx="0">
                  <c:v>4202.3449000000001</c:v>
                </c:pt>
                <c:pt idx="1">
                  <c:v>2415.5012000000002</c:v>
                </c:pt>
                <c:pt idx="2">
                  <c:v>2187.8152</c:v>
                </c:pt>
                <c:pt idx="3">
                  <c:v>2122.0509000000002</c:v>
                </c:pt>
                <c:pt idx="4">
                  <c:v>2091.7907</c:v>
                </c:pt>
                <c:pt idx="5">
                  <c:v>2170.3199999999997</c:v>
                </c:pt>
                <c:pt idx="6">
                  <c:v>2150.8840999999998</c:v>
                </c:pt>
                <c:pt idx="7">
                  <c:v>2213.8898000000004</c:v>
                </c:pt>
                <c:pt idx="8">
                  <c:v>2224.3107</c:v>
                </c:pt>
                <c:pt idx="9">
                  <c:v>2316.7267999999999</c:v>
                </c:pt>
                <c:pt idx="10">
                  <c:v>2387.6383000000001</c:v>
                </c:pt>
                <c:pt idx="11">
                  <c:v>2362.3141000000001</c:v>
                </c:pt>
                <c:pt idx="12">
                  <c:v>2402.7620999999999</c:v>
                </c:pt>
                <c:pt idx="13">
                  <c:v>2508.9126999999999</c:v>
                </c:pt>
                <c:pt idx="14">
                  <c:v>2483.2289999999998</c:v>
                </c:pt>
                <c:pt idx="15">
                  <c:v>2618.2925999999998</c:v>
                </c:pt>
                <c:pt idx="16">
                  <c:v>2683.2685000000001</c:v>
                </c:pt>
                <c:pt idx="17">
                  <c:v>2617.1075000000001</c:v>
                </c:pt>
                <c:pt idx="18">
                  <c:v>2727.6773000000003</c:v>
                </c:pt>
                <c:pt idx="19">
                  <c:v>2766.1389999999997</c:v>
                </c:pt>
                <c:pt idx="20">
                  <c:v>2826.9865</c:v>
                </c:pt>
                <c:pt idx="21">
                  <c:v>2848.6646999999998</c:v>
                </c:pt>
                <c:pt idx="22">
                  <c:v>2855.8181000000004</c:v>
                </c:pt>
                <c:pt idx="23">
                  <c:v>3081.6848</c:v>
                </c:pt>
                <c:pt idx="24">
                  <c:v>2965.6230999999998</c:v>
                </c:pt>
                <c:pt idx="25">
                  <c:v>3015.5916999999999</c:v>
                </c:pt>
                <c:pt idx="26">
                  <c:v>3043.2830999999996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FD-EB4A-8936-0F20976B1983}"/>
            </c:ext>
          </c:extLst>
        </c:ser>
        <c:ser>
          <c:idx val="3"/>
          <c:order val="2"/>
          <c:tx>
            <c:v>AVX 512 VL Freq 3.0 GHz</c:v>
          </c:tx>
          <c:spPr>
            <a:ln w="698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Energy!$B$12:$AB$12</c:f>
              <c:numCache>
                <c:formatCode>0.00</c:formatCode>
                <c:ptCount val="27"/>
                <c:pt idx="0">
                  <c:v>15.632301400000001</c:v>
                </c:pt>
                <c:pt idx="1">
                  <c:v>24.271618099999998</c:v>
                </c:pt>
                <c:pt idx="2">
                  <c:v>110.4297852</c:v>
                </c:pt>
                <c:pt idx="3">
                  <c:v>163.5693746</c:v>
                </c:pt>
                <c:pt idx="4">
                  <c:v>216.99764039999999</c:v>
                </c:pt>
                <c:pt idx="5">
                  <c:v>271.6361976</c:v>
                </c:pt>
                <c:pt idx="6">
                  <c:v>318.4498375</c:v>
                </c:pt>
                <c:pt idx="7">
                  <c:v>361.15247049999999</c:v>
                </c:pt>
                <c:pt idx="8">
                  <c:v>415.95831219999997</c:v>
                </c:pt>
                <c:pt idx="9">
                  <c:v>468.70694140000001</c:v>
                </c:pt>
                <c:pt idx="10">
                  <c:v>505.64086450000002</c:v>
                </c:pt>
                <c:pt idx="11">
                  <c:v>564.6473185000001</c:v>
                </c:pt>
                <c:pt idx="12">
                  <c:v>606.9909083</c:v>
                </c:pt>
                <c:pt idx="13">
                  <c:v>639.44797740000001</c:v>
                </c:pt>
                <c:pt idx="14">
                  <c:v>627.20716089999996</c:v>
                </c:pt>
                <c:pt idx="15">
                  <c:v>658.97286369999995</c:v>
                </c:pt>
                <c:pt idx="16">
                  <c:v>689.98559169999999</c:v>
                </c:pt>
                <c:pt idx="17">
                  <c:v>696.97864549999997</c:v>
                </c:pt>
                <c:pt idx="18">
                  <c:v>715.55738370000006</c:v>
                </c:pt>
                <c:pt idx="19">
                  <c:v>743.70653460000005</c:v>
                </c:pt>
                <c:pt idx="20">
                  <c:v>751.50774999999999</c:v>
                </c:pt>
                <c:pt idx="21">
                  <c:v>775.39866359999996</c:v>
                </c:pt>
                <c:pt idx="22">
                  <c:v>825.37430630000006</c:v>
                </c:pt>
                <c:pt idx="23">
                  <c:v>817.10676060000003</c:v>
                </c:pt>
                <c:pt idx="24">
                  <c:v>873.63142669999991</c:v>
                </c:pt>
                <c:pt idx="25">
                  <c:v>874.7759605</c:v>
                </c:pt>
                <c:pt idx="26">
                  <c:v>808.02758349999999</c:v>
                </c:pt>
              </c:numCache>
            </c:numRef>
          </c:xVal>
          <c:yVal>
            <c:numRef>
              <c:f>Energy!$B$10:$AB$10</c:f>
              <c:numCache>
                <c:formatCode>0.00</c:formatCode>
                <c:ptCount val="27"/>
                <c:pt idx="0">
                  <c:v>3488.5436</c:v>
                </c:pt>
                <c:pt idx="1">
                  <c:v>2486.2196999999996</c:v>
                </c:pt>
                <c:pt idx="2">
                  <c:v>2201.7826</c:v>
                </c:pt>
                <c:pt idx="3">
                  <c:v>2195.2375000000002</c:v>
                </c:pt>
                <c:pt idx="4">
                  <c:v>2178.4205999999999</c:v>
                </c:pt>
                <c:pt idx="5">
                  <c:v>2207.904</c:v>
                </c:pt>
                <c:pt idx="6">
                  <c:v>2240.3600999999999</c:v>
                </c:pt>
                <c:pt idx="7">
                  <c:v>2290.9571999999998</c:v>
                </c:pt>
                <c:pt idx="8">
                  <c:v>2413.1028000000001</c:v>
                </c:pt>
                <c:pt idx="9">
                  <c:v>2399.7892999999999</c:v>
                </c:pt>
                <c:pt idx="10">
                  <c:v>2416.0992000000001</c:v>
                </c:pt>
                <c:pt idx="11">
                  <c:v>2512.4457000000002</c:v>
                </c:pt>
                <c:pt idx="12">
                  <c:v>2547.4764</c:v>
                </c:pt>
                <c:pt idx="13">
                  <c:v>2521.1293999999998</c:v>
                </c:pt>
                <c:pt idx="14">
                  <c:v>2583.5772000000002</c:v>
                </c:pt>
                <c:pt idx="15">
                  <c:v>2699.3335999999999</c:v>
                </c:pt>
                <c:pt idx="16">
                  <c:v>2773.8647999999998</c:v>
                </c:pt>
                <c:pt idx="17">
                  <c:v>2770.1571000000004</c:v>
                </c:pt>
                <c:pt idx="18">
                  <c:v>2790.0796</c:v>
                </c:pt>
                <c:pt idx="19">
                  <c:v>2899.7381</c:v>
                </c:pt>
                <c:pt idx="20">
                  <c:v>2955.6169999999997</c:v>
                </c:pt>
                <c:pt idx="21">
                  <c:v>2920.3108999999999</c:v>
                </c:pt>
                <c:pt idx="22">
                  <c:v>3000.0820999999996</c:v>
                </c:pt>
                <c:pt idx="23">
                  <c:v>3136.1214</c:v>
                </c:pt>
                <c:pt idx="24">
                  <c:v>3054.6219000000001</c:v>
                </c:pt>
                <c:pt idx="25">
                  <c:v>3110.9593</c:v>
                </c:pt>
                <c:pt idx="26">
                  <c:v>3158.2851999999998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FD-EB4A-8936-0F20976B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4527"/>
        <c:axId val="1839131151"/>
      </c:scatterChart>
      <c:valAx>
        <c:axId val="184361452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/>
                  <a:t>Performance [GFlops/s]</a:t>
                </a:r>
              </a:p>
            </c:rich>
          </c:tx>
          <c:layout>
            <c:manualLayout>
              <c:xMode val="edge"/>
              <c:yMode val="edge"/>
              <c:x val="0.44438740549710243"/>
              <c:y val="0.8813721113759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31151"/>
        <c:crossesAt val="0"/>
        <c:crossBetween val="midCat"/>
        <c:majorUnit val="50"/>
        <c:minorUnit val="10"/>
      </c:valAx>
      <c:valAx>
        <c:axId val="183913115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/>
                  <a:t>Energy to Solution [Joule]</a:t>
                </a:r>
              </a:p>
            </c:rich>
          </c:tx>
          <c:layout>
            <c:manualLayout>
              <c:xMode val="edge"/>
              <c:yMode val="edge"/>
              <c:x val="1.4379015310830514E-2"/>
              <c:y val="0.27184423826550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452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8426848841399"/>
          <c:y val="0.92199576150159912"/>
          <c:w val="0.57487727558200652"/>
          <c:h val="7.6604042617396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200"/>
              <a:t>Z-plot    MDBench-VL-ICC-X86-AVX512-DP</a:t>
            </a:r>
          </a:p>
          <a:p>
            <a:pPr>
              <a:defRPr/>
            </a:pPr>
            <a:r>
              <a:rPr lang="en-GB" sz="3200"/>
              <a:t>on Intel Sapphire Rapids</a:t>
            </a:r>
          </a:p>
        </c:rich>
      </c:tx>
      <c:layout>
        <c:manualLayout>
          <c:xMode val="edge"/>
          <c:yMode val="edge"/>
          <c:x val="0.36901613465236544"/>
          <c:y val="1.536859863843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3953926497474"/>
          <c:y val="0.10512908556681311"/>
          <c:w val="0.82301550382765432"/>
          <c:h val="0.74949442923577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Energy!$B$4:$AB$4</c:f>
              <c:numCache>
                <c:formatCode>0.00</c:formatCode>
                <c:ptCount val="27"/>
                <c:pt idx="0">
                  <c:v>3836.6338000000001</c:v>
                </c:pt>
                <c:pt idx="1">
                  <c:v>2523.0074</c:v>
                </c:pt>
                <c:pt idx="2">
                  <c:v>2337.5452999999998</c:v>
                </c:pt>
                <c:pt idx="3">
                  <c:v>2349.6257000000001</c:v>
                </c:pt>
                <c:pt idx="4">
                  <c:v>2305.3838000000001</c:v>
                </c:pt>
                <c:pt idx="5">
                  <c:v>2304.7177000000001</c:v>
                </c:pt>
                <c:pt idx="6">
                  <c:v>2329.0473999999999</c:v>
                </c:pt>
                <c:pt idx="7">
                  <c:v>2331</c:v>
                </c:pt>
                <c:pt idx="8">
                  <c:v>2335.8746000000001</c:v>
                </c:pt>
                <c:pt idx="9">
                  <c:v>2388.3813999999998</c:v>
                </c:pt>
                <c:pt idx="10">
                  <c:v>2388.9070000000002</c:v>
                </c:pt>
                <c:pt idx="11">
                  <c:v>2477.2739999999999</c:v>
                </c:pt>
                <c:pt idx="12">
                  <c:v>2465.1553000000004</c:v>
                </c:pt>
                <c:pt idx="13">
                  <c:v>2471.4979999999996</c:v>
                </c:pt>
                <c:pt idx="14">
                  <c:v>2545.5661999999998</c:v>
                </c:pt>
                <c:pt idx="15">
                  <c:v>2563.2577000000001</c:v>
                </c:pt>
                <c:pt idx="16">
                  <c:v>2652.7714000000001</c:v>
                </c:pt>
                <c:pt idx="17">
                  <c:v>2635.1537000000003</c:v>
                </c:pt>
                <c:pt idx="18">
                  <c:v>2724.2817</c:v>
                </c:pt>
                <c:pt idx="19">
                  <c:v>2722.1028999999999</c:v>
                </c:pt>
                <c:pt idx="20">
                  <c:v>2789.0960999999998</c:v>
                </c:pt>
                <c:pt idx="21">
                  <c:v>2821.9625999999998</c:v>
                </c:pt>
                <c:pt idx="22">
                  <c:v>2822.7443000000003</c:v>
                </c:pt>
                <c:pt idx="23">
                  <c:v>2934.2353000000003</c:v>
                </c:pt>
                <c:pt idx="24">
                  <c:v>2961.9804999999997</c:v>
                </c:pt>
                <c:pt idx="25">
                  <c:v>2972.5378000000001</c:v>
                </c:pt>
                <c:pt idx="26">
                  <c:v>3013.6380999999997</c:v>
                </c:pt>
              </c:numCache>
            </c:numRef>
          </c:xVal>
          <c:yVal>
            <c:numRef>
              <c:f>Energy!$B$5:$AB$5</c:f>
              <c:numCache>
                <c:formatCode>0.00</c:formatCode>
                <c:ptCount val="27"/>
                <c:pt idx="0">
                  <c:v>7888.8558000000003</c:v>
                </c:pt>
                <c:pt idx="1">
                  <c:v>7336.7870999999996</c:v>
                </c:pt>
                <c:pt idx="2">
                  <c:v>55667.451800000003</c:v>
                </c:pt>
                <c:pt idx="3">
                  <c:v>81565.345499999996</c:v>
                </c:pt>
                <c:pt idx="4">
                  <c:v>107137.0321</c:v>
                </c:pt>
                <c:pt idx="5">
                  <c:v>134914.53289999999</c:v>
                </c:pt>
                <c:pt idx="6">
                  <c:v>155764.88769999999</c:v>
                </c:pt>
                <c:pt idx="7">
                  <c:v>174780.01149999999</c:v>
                </c:pt>
                <c:pt idx="8">
                  <c:v>199074.68520000001</c:v>
                </c:pt>
                <c:pt idx="9">
                  <c:v>228463.47339999999</c:v>
                </c:pt>
                <c:pt idx="10">
                  <c:v>247618.44159999999</c:v>
                </c:pt>
                <c:pt idx="11">
                  <c:v>276658.78230000002</c:v>
                </c:pt>
                <c:pt idx="12">
                  <c:v>301121.68449999997</c:v>
                </c:pt>
                <c:pt idx="13">
                  <c:v>313234.2316</c:v>
                </c:pt>
                <c:pt idx="14">
                  <c:v>300451.076</c:v>
                </c:pt>
                <c:pt idx="15">
                  <c:v>309720.25890000002</c:v>
                </c:pt>
                <c:pt idx="16">
                  <c:v>332036.00699999998</c:v>
                </c:pt>
                <c:pt idx="17">
                  <c:v>322361.72330000001</c:v>
                </c:pt>
                <c:pt idx="18">
                  <c:v>335476.1226</c:v>
                </c:pt>
                <c:pt idx="19">
                  <c:v>349948.07659999997</c:v>
                </c:pt>
                <c:pt idx="20">
                  <c:v>366346.1531</c:v>
                </c:pt>
                <c:pt idx="21">
                  <c:v>378025.77710000001</c:v>
                </c:pt>
                <c:pt idx="22">
                  <c:v>395170.68339999998</c:v>
                </c:pt>
                <c:pt idx="23">
                  <c:v>414976.78590000002</c:v>
                </c:pt>
                <c:pt idx="24">
                  <c:v>391693.71730000002</c:v>
                </c:pt>
                <c:pt idx="25">
                  <c:v>407188</c:v>
                </c:pt>
                <c:pt idx="26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1-7C4A-88B2-74ECCAA257B0}"/>
            </c:ext>
          </c:extLst>
        </c:ser>
        <c:ser>
          <c:idx val="1"/>
          <c:order val="1"/>
          <c:tx>
            <c:v>Freq 1.6 GHz VL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Energy!$B$6:$AB$6</c:f>
              <c:numCache>
                <c:formatCode>0.00</c:formatCode>
                <c:ptCount val="27"/>
                <c:pt idx="0">
                  <c:v>7.8888558</c:v>
                </c:pt>
                <c:pt idx="1">
                  <c:v>19.336787099999999</c:v>
                </c:pt>
                <c:pt idx="2">
                  <c:v>55.667451800000002</c:v>
                </c:pt>
                <c:pt idx="3">
                  <c:v>81.565345499999992</c:v>
                </c:pt>
                <c:pt idx="4">
                  <c:v>107.1370321</c:v>
                </c:pt>
                <c:pt idx="5">
                  <c:v>134.91453289999998</c:v>
                </c:pt>
                <c:pt idx="6">
                  <c:v>155.7648877</c:v>
                </c:pt>
                <c:pt idx="7">
                  <c:v>174.7800115</c:v>
                </c:pt>
                <c:pt idx="8">
                  <c:v>199.0746852</c:v>
                </c:pt>
                <c:pt idx="9">
                  <c:v>228.4634734</c:v>
                </c:pt>
                <c:pt idx="10">
                  <c:v>247.61844159999998</c:v>
                </c:pt>
                <c:pt idx="11">
                  <c:v>276.65878230000004</c:v>
                </c:pt>
                <c:pt idx="12">
                  <c:v>301.12168449999996</c:v>
                </c:pt>
                <c:pt idx="13">
                  <c:v>313.23423159999999</c:v>
                </c:pt>
                <c:pt idx="14">
                  <c:v>300.451076</c:v>
                </c:pt>
                <c:pt idx="15">
                  <c:v>309.72025890000003</c:v>
                </c:pt>
                <c:pt idx="16">
                  <c:v>332.03600699999998</c:v>
                </c:pt>
                <c:pt idx="17">
                  <c:v>322.36172329999999</c:v>
                </c:pt>
                <c:pt idx="18">
                  <c:v>335.4761226</c:v>
                </c:pt>
                <c:pt idx="19">
                  <c:v>349.94807659999998</c:v>
                </c:pt>
                <c:pt idx="20">
                  <c:v>366.34615309999998</c:v>
                </c:pt>
                <c:pt idx="21">
                  <c:v>378.02577710000003</c:v>
                </c:pt>
                <c:pt idx="22">
                  <c:v>395.17068339999997</c:v>
                </c:pt>
                <c:pt idx="23">
                  <c:v>414.97678590000004</c:v>
                </c:pt>
                <c:pt idx="24">
                  <c:v>391.6937173</c:v>
                </c:pt>
                <c:pt idx="25">
                  <c:v>407.18799999999999</c:v>
                </c:pt>
                <c:pt idx="26">
                  <c:v>420</c:v>
                </c:pt>
              </c:numCache>
            </c:numRef>
          </c:xVal>
          <c:yVal>
            <c:numRef>
              <c:f>Energy!$B$4:$AB$4</c:f>
              <c:numCache>
                <c:formatCode>0.00</c:formatCode>
                <c:ptCount val="27"/>
                <c:pt idx="0">
                  <c:v>3836.6338000000001</c:v>
                </c:pt>
                <c:pt idx="1">
                  <c:v>2523.0074</c:v>
                </c:pt>
                <c:pt idx="2">
                  <c:v>2337.5452999999998</c:v>
                </c:pt>
                <c:pt idx="3">
                  <c:v>2349.6257000000001</c:v>
                </c:pt>
                <c:pt idx="4">
                  <c:v>2305.3838000000001</c:v>
                </c:pt>
                <c:pt idx="5">
                  <c:v>2304.7177000000001</c:v>
                </c:pt>
                <c:pt idx="6">
                  <c:v>2329.0473999999999</c:v>
                </c:pt>
                <c:pt idx="7">
                  <c:v>2331</c:v>
                </c:pt>
                <c:pt idx="8">
                  <c:v>2335.8746000000001</c:v>
                </c:pt>
                <c:pt idx="9">
                  <c:v>2388.3813999999998</c:v>
                </c:pt>
                <c:pt idx="10">
                  <c:v>2388.9070000000002</c:v>
                </c:pt>
                <c:pt idx="11">
                  <c:v>2477.2739999999999</c:v>
                </c:pt>
                <c:pt idx="12">
                  <c:v>2465.1553000000004</c:v>
                </c:pt>
                <c:pt idx="13">
                  <c:v>2471.4979999999996</c:v>
                </c:pt>
                <c:pt idx="14">
                  <c:v>2545.5661999999998</c:v>
                </c:pt>
                <c:pt idx="15">
                  <c:v>2563.2577000000001</c:v>
                </c:pt>
                <c:pt idx="16">
                  <c:v>2652.7714000000001</c:v>
                </c:pt>
                <c:pt idx="17">
                  <c:v>2635.1537000000003</c:v>
                </c:pt>
                <c:pt idx="18">
                  <c:v>2724.2817</c:v>
                </c:pt>
                <c:pt idx="19">
                  <c:v>2722.1028999999999</c:v>
                </c:pt>
                <c:pt idx="20">
                  <c:v>2789.0960999999998</c:v>
                </c:pt>
                <c:pt idx="21">
                  <c:v>2821.9625999999998</c:v>
                </c:pt>
                <c:pt idx="22">
                  <c:v>2822.7443000000003</c:v>
                </c:pt>
                <c:pt idx="23">
                  <c:v>2934.2353000000003</c:v>
                </c:pt>
                <c:pt idx="24">
                  <c:v>2961.9804999999997</c:v>
                </c:pt>
                <c:pt idx="25">
                  <c:v>2972.5378000000001</c:v>
                </c:pt>
                <c:pt idx="26">
                  <c:v>3013.6380999999997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1-7C4A-88B2-74ECCAA257B0}"/>
            </c:ext>
          </c:extLst>
        </c:ser>
        <c:ser>
          <c:idx val="2"/>
          <c:order val="2"/>
          <c:tx>
            <c:v>Freq 3.0 GHz VL</c:v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Energy!$B$12:$AB$12</c:f>
              <c:numCache>
                <c:formatCode>0.00</c:formatCode>
                <c:ptCount val="27"/>
                <c:pt idx="0">
                  <c:v>15.632301400000001</c:v>
                </c:pt>
                <c:pt idx="1">
                  <c:v>24.271618099999998</c:v>
                </c:pt>
                <c:pt idx="2">
                  <c:v>110.4297852</c:v>
                </c:pt>
                <c:pt idx="3">
                  <c:v>163.5693746</c:v>
                </c:pt>
                <c:pt idx="4">
                  <c:v>216.99764039999999</c:v>
                </c:pt>
                <c:pt idx="5">
                  <c:v>271.6361976</c:v>
                </c:pt>
                <c:pt idx="6">
                  <c:v>318.4498375</c:v>
                </c:pt>
                <c:pt idx="7">
                  <c:v>361.15247049999999</c:v>
                </c:pt>
                <c:pt idx="8">
                  <c:v>415.95831219999997</c:v>
                </c:pt>
                <c:pt idx="9">
                  <c:v>468.70694140000001</c:v>
                </c:pt>
                <c:pt idx="10">
                  <c:v>505.64086450000002</c:v>
                </c:pt>
                <c:pt idx="11">
                  <c:v>564.6473185000001</c:v>
                </c:pt>
                <c:pt idx="12">
                  <c:v>606.9909083</c:v>
                </c:pt>
                <c:pt idx="13">
                  <c:v>639.44797740000001</c:v>
                </c:pt>
                <c:pt idx="14">
                  <c:v>627.20716089999996</c:v>
                </c:pt>
                <c:pt idx="15">
                  <c:v>658.97286369999995</c:v>
                </c:pt>
                <c:pt idx="16">
                  <c:v>689.98559169999999</c:v>
                </c:pt>
                <c:pt idx="17">
                  <c:v>696.97864549999997</c:v>
                </c:pt>
                <c:pt idx="18">
                  <c:v>715.55738370000006</c:v>
                </c:pt>
                <c:pt idx="19">
                  <c:v>743.70653460000005</c:v>
                </c:pt>
                <c:pt idx="20">
                  <c:v>751.50774999999999</c:v>
                </c:pt>
                <c:pt idx="21">
                  <c:v>775.39866359999996</c:v>
                </c:pt>
                <c:pt idx="22">
                  <c:v>825.37430630000006</c:v>
                </c:pt>
                <c:pt idx="23">
                  <c:v>817.10676060000003</c:v>
                </c:pt>
                <c:pt idx="24">
                  <c:v>873.63142669999991</c:v>
                </c:pt>
                <c:pt idx="25">
                  <c:v>874.7759605</c:v>
                </c:pt>
                <c:pt idx="26">
                  <c:v>808.02758349999999</c:v>
                </c:pt>
              </c:numCache>
            </c:numRef>
          </c:xVal>
          <c:yVal>
            <c:numRef>
              <c:f>Energy!$B$10:$AB$10</c:f>
              <c:numCache>
                <c:formatCode>0.00</c:formatCode>
                <c:ptCount val="27"/>
                <c:pt idx="0">
                  <c:v>3488.5436</c:v>
                </c:pt>
                <c:pt idx="1">
                  <c:v>2486.2196999999996</c:v>
                </c:pt>
                <c:pt idx="2">
                  <c:v>2201.7826</c:v>
                </c:pt>
                <c:pt idx="3">
                  <c:v>2195.2375000000002</c:v>
                </c:pt>
                <c:pt idx="4">
                  <c:v>2178.4205999999999</c:v>
                </c:pt>
                <c:pt idx="5">
                  <c:v>2207.904</c:v>
                </c:pt>
                <c:pt idx="6">
                  <c:v>2240.3600999999999</c:v>
                </c:pt>
                <c:pt idx="7">
                  <c:v>2290.9571999999998</c:v>
                </c:pt>
                <c:pt idx="8">
                  <c:v>2413.1028000000001</c:v>
                </c:pt>
                <c:pt idx="9">
                  <c:v>2399.7892999999999</c:v>
                </c:pt>
                <c:pt idx="10">
                  <c:v>2416.0992000000001</c:v>
                </c:pt>
                <c:pt idx="11">
                  <c:v>2512.4457000000002</c:v>
                </c:pt>
                <c:pt idx="12">
                  <c:v>2547.4764</c:v>
                </c:pt>
                <c:pt idx="13">
                  <c:v>2521.1293999999998</c:v>
                </c:pt>
                <c:pt idx="14">
                  <c:v>2583.5772000000002</c:v>
                </c:pt>
                <c:pt idx="15">
                  <c:v>2699.3335999999999</c:v>
                </c:pt>
                <c:pt idx="16">
                  <c:v>2773.8647999999998</c:v>
                </c:pt>
                <c:pt idx="17">
                  <c:v>2770.1571000000004</c:v>
                </c:pt>
                <c:pt idx="18">
                  <c:v>2790.0796</c:v>
                </c:pt>
                <c:pt idx="19">
                  <c:v>2899.7381</c:v>
                </c:pt>
                <c:pt idx="20">
                  <c:v>2955.6169999999997</c:v>
                </c:pt>
                <c:pt idx="21">
                  <c:v>2920.3108999999999</c:v>
                </c:pt>
                <c:pt idx="22">
                  <c:v>3000.0820999999996</c:v>
                </c:pt>
                <c:pt idx="23">
                  <c:v>3136.1214</c:v>
                </c:pt>
                <c:pt idx="24">
                  <c:v>3054.6219000000001</c:v>
                </c:pt>
                <c:pt idx="25">
                  <c:v>3110.9593</c:v>
                </c:pt>
                <c:pt idx="26">
                  <c:v>3158.2851999999998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21-7C4A-88B2-74ECCAA257B0}"/>
            </c:ext>
          </c:extLst>
        </c:ser>
        <c:ser>
          <c:idx val="3"/>
          <c:order val="3"/>
          <c:tx>
            <c:v>Freq 3.8 GHz VL</c:v>
          </c:tx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Energy!$B$18:$AB$18</c:f>
              <c:numCache>
                <c:formatCode>0.00</c:formatCode>
                <c:ptCount val="27"/>
                <c:pt idx="0">
                  <c:v>19.089164799999999</c:v>
                </c:pt>
                <c:pt idx="1">
                  <c:v>71.030606800000001</c:v>
                </c:pt>
                <c:pt idx="2">
                  <c:v>136.2264333</c:v>
                </c:pt>
                <c:pt idx="3">
                  <c:v>200.84086689999998</c:v>
                </c:pt>
                <c:pt idx="4">
                  <c:v>267.49485249999998</c:v>
                </c:pt>
                <c:pt idx="5">
                  <c:v>336.2038</c:v>
                </c:pt>
                <c:pt idx="6">
                  <c:v>391.92862709999997</c:v>
                </c:pt>
                <c:pt idx="7">
                  <c:v>424.21448369999996</c:v>
                </c:pt>
                <c:pt idx="8">
                  <c:v>461.58783729999999</c:v>
                </c:pt>
                <c:pt idx="9">
                  <c:v>491.49219840000001</c:v>
                </c:pt>
                <c:pt idx="10">
                  <c:v>531.89085979999993</c:v>
                </c:pt>
                <c:pt idx="11">
                  <c:v>562.18797319999999</c:v>
                </c:pt>
                <c:pt idx="12">
                  <c:v>593.08713280000006</c:v>
                </c:pt>
                <c:pt idx="13">
                  <c:v>631.37383250000005</c:v>
                </c:pt>
                <c:pt idx="14">
                  <c:v>639.66507360000003</c:v>
                </c:pt>
                <c:pt idx="15">
                  <c:v>655.30812219999996</c:v>
                </c:pt>
                <c:pt idx="16">
                  <c:v>677.44190020000008</c:v>
                </c:pt>
                <c:pt idx="17">
                  <c:v>686.48808380000003</c:v>
                </c:pt>
                <c:pt idx="18">
                  <c:v>702.8640997</c:v>
                </c:pt>
                <c:pt idx="19">
                  <c:v>717.92345279999995</c:v>
                </c:pt>
                <c:pt idx="20">
                  <c:v>745.93306440000003</c:v>
                </c:pt>
                <c:pt idx="21">
                  <c:v>794.5506719</c:v>
                </c:pt>
                <c:pt idx="22">
                  <c:v>815.57366619999993</c:v>
                </c:pt>
                <c:pt idx="23">
                  <c:v>848.45621800000004</c:v>
                </c:pt>
                <c:pt idx="24">
                  <c:v>860.73043680000001</c:v>
                </c:pt>
                <c:pt idx="25">
                  <c:v>874.3584535</c:v>
                </c:pt>
                <c:pt idx="26">
                  <c:v>867.8313584</c:v>
                </c:pt>
              </c:numCache>
            </c:numRef>
          </c:xVal>
          <c:yVal>
            <c:numRef>
              <c:f>Energy!$B$16:$AB$16</c:f>
              <c:numCache>
                <c:formatCode>0.00</c:formatCode>
                <c:ptCount val="27"/>
                <c:pt idx="0">
                  <c:v>2850.7579000000001</c:v>
                </c:pt>
                <c:pt idx="1">
                  <c:v>1941.7475999999999</c:v>
                </c:pt>
                <c:pt idx="2">
                  <c:v>2000</c:v>
                </c:pt>
                <c:pt idx="3">
                  <c:v>2121.3197999999998</c:v>
                </c:pt>
                <c:pt idx="4">
                  <c:v>1924.8136999999999</c:v>
                </c:pt>
                <c:pt idx="5">
                  <c:v>1973.0933</c:v>
                </c:pt>
                <c:pt idx="6">
                  <c:v>2052.3732999999997</c:v>
                </c:pt>
                <c:pt idx="7">
                  <c:v>2034.6596999999999</c:v>
                </c:pt>
                <c:pt idx="8">
                  <c:v>2130.3724999999999</c:v>
                </c:pt>
                <c:pt idx="9">
                  <c:v>2199.8216000000002</c:v>
                </c:pt>
                <c:pt idx="10">
                  <c:v>2164.2336</c:v>
                </c:pt>
                <c:pt idx="11">
                  <c:v>2308.3310000000001</c:v>
                </c:pt>
                <c:pt idx="12">
                  <c:v>2277.5295000000001</c:v>
                </c:pt>
                <c:pt idx="13">
                  <c:v>2357.7658000000001</c:v>
                </c:pt>
                <c:pt idx="14">
                  <c:v>2405.4036999999998</c:v>
                </c:pt>
                <c:pt idx="15">
                  <c:v>2433.6313</c:v>
                </c:pt>
                <c:pt idx="16">
                  <c:v>2500.8980000000001</c:v>
                </c:pt>
                <c:pt idx="17">
                  <c:v>2650.2030999999997</c:v>
                </c:pt>
                <c:pt idx="18">
                  <c:v>2671.3362999999999</c:v>
                </c:pt>
                <c:pt idx="19">
                  <c:v>2818.0932000000003</c:v>
                </c:pt>
                <c:pt idx="20">
                  <c:v>2746.5897</c:v>
                </c:pt>
                <c:pt idx="21">
                  <c:v>2782.3869</c:v>
                </c:pt>
                <c:pt idx="22">
                  <c:v>2971.7406000000001</c:v>
                </c:pt>
                <c:pt idx="23">
                  <c:v>2896.7666999999997</c:v>
                </c:pt>
                <c:pt idx="24">
                  <c:v>2973.3337000000001</c:v>
                </c:pt>
                <c:pt idx="25">
                  <c:v>2933.0844000000002</c:v>
                </c:pt>
                <c:pt idx="26">
                  <c:v>2946.5578999999998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721-7C4A-88B2-74ECCAA2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1360"/>
        <c:axId val="1722988239"/>
      </c:scatterChart>
      <c:valAx>
        <c:axId val="7912136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[Gflops/s]</a:t>
                </a:r>
              </a:p>
            </c:rich>
          </c:tx>
          <c:layout>
            <c:manualLayout>
              <c:xMode val="edge"/>
              <c:yMode val="edge"/>
              <c:x val="0.40817654772974216"/>
              <c:y val="0.9374135692715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88239"/>
        <c:crosses val="autoZero"/>
        <c:crossBetween val="midCat"/>
      </c:valAx>
      <c:valAx>
        <c:axId val="172298823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to Solution [Joule]</a:t>
                </a:r>
              </a:p>
            </c:rich>
          </c:tx>
          <c:layout>
            <c:manualLayout>
              <c:xMode val="edge"/>
              <c:yMode val="edge"/>
              <c:x val="2.6489200620624702E-2"/>
              <c:y val="0.3186945084943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3779015331600262"/>
          <c:y val="0.59190091295155201"/>
          <c:w val="0.13614949763588399"/>
          <c:h val="0.1275476944633037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6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Z-plot  </a:t>
            </a:r>
            <a:r>
              <a:rPr lang="en-IN">
                <a:effectLst/>
              </a:rPr>
              <a:t>MDBench-VL-ICC-X86-AVX512-DP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/>
              <a:t>Intel Sapphire Rapids</a:t>
            </a:r>
          </a:p>
        </c:rich>
      </c:tx>
      <c:layout>
        <c:manualLayout>
          <c:xMode val="edge"/>
          <c:yMode val="edge"/>
          <c:x val="0.30058177517908602"/>
          <c:y val="5.9199065976385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6623885012475"/>
          <c:y val="4.4573364627498488E-2"/>
          <c:w val="0.83069827727890755"/>
          <c:h val="0.83730182252499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Energy!$B$4:$AB$4</c:f>
              <c:numCache>
                <c:formatCode>0.00</c:formatCode>
                <c:ptCount val="27"/>
                <c:pt idx="0">
                  <c:v>3836.6338000000001</c:v>
                </c:pt>
                <c:pt idx="1">
                  <c:v>2523.0074</c:v>
                </c:pt>
                <c:pt idx="2">
                  <c:v>2337.5452999999998</c:v>
                </c:pt>
                <c:pt idx="3">
                  <c:v>2349.6257000000001</c:v>
                </c:pt>
                <c:pt idx="4">
                  <c:v>2305.3838000000001</c:v>
                </c:pt>
                <c:pt idx="5">
                  <c:v>2304.7177000000001</c:v>
                </c:pt>
                <c:pt idx="6">
                  <c:v>2329.0473999999999</c:v>
                </c:pt>
                <c:pt idx="7">
                  <c:v>2331</c:v>
                </c:pt>
                <c:pt idx="8">
                  <c:v>2335.8746000000001</c:v>
                </c:pt>
                <c:pt idx="9">
                  <c:v>2388.3813999999998</c:v>
                </c:pt>
                <c:pt idx="10">
                  <c:v>2388.9070000000002</c:v>
                </c:pt>
                <c:pt idx="11">
                  <c:v>2477.2739999999999</c:v>
                </c:pt>
                <c:pt idx="12">
                  <c:v>2465.1553000000004</c:v>
                </c:pt>
                <c:pt idx="13">
                  <c:v>2471.4979999999996</c:v>
                </c:pt>
                <c:pt idx="14">
                  <c:v>2545.5661999999998</c:v>
                </c:pt>
                <c:pt idx="15">
                  <c:v>2563.2577000000001</c:v>
                </c:pt>
                <c:pt idx="16">
                  <c:v>2652.7714000000001</c:v>
                </c:pt>
                <c:pt idx="17">
                  <c:v>2635.1537000000003</c:v>
                </c:pt>
                <c:pt idx="18">
                  <c:v>2724.2817</c:v>
                </c:pt>
                <c:pt idx="19">
                  <c:v>2722.1028999999999</c:v>
                </c:pt>
                <c:pt idx="20">
                  <c:v>2789.0960999999998</c:v>
                </c:pt>
                <c:pt idx="21">
                  <c:v>2821.9625999999998</c:v>
                </c:pt>
                <c:pt idx="22">
                  <c:v>2822.7443000000003</c:v>
                </c:pt>
                <c:pt idx="23">
                  <c:v>2934.2353000000003</c:v>
                </c:pt>
                <c:pt idx="24">
                  <c:v>2961.9804999999997</c:v>
                </c:pt>
                <c:pt idx="25">
                  <c:v>2972.5378000000001</c:v>
                </c:pt>
                <c:pt idx="26">
                  <c:v>3013.6380999999997</c:v>
                </c:pt>
              </c:numCache>
            </c:numRef>
          </c:xVal>
          <c:yVal>
            <c:numRef>
              <c:f>Energy!$B$5:$AB$5</c:f>
              <c:numCache>
                <c:formatCode>0.00</c:formatCode>
                <c:ptCount val="27"/>
                <c:pt idx="0">
                  <c:v>7888.8558000000003</c:v>
                </c:pt>
                <c:pt idx="1">
                  <c:v>7336.7870999999996</c:v>
                </c:pt>
                <c:pt idx="2">
                  <c:v>55667.451800000003</c:v>
                </c:pt>
                <c:pt idx="3">
                  <c:v>81565.345499999996</c:v>
                </c:pt>
                <c:pt idx="4">
                  <c:v>107137.0321</c:v>
                </c:pt>
                <c:pt idx="5">
                  <c:v>134914.53289999999</c:v>
                </c:pt>
                <c:pt idx="6">
                  <c:v>155764.88769999999</c:v>
                </c:pt>
                <c:pt idx="7">
                  <c:v>174780.01149999999</c:v>
                </c:pt>
                <c:pt idx="8">
                  <c:v>199074.68520000001</c:v>
                </c:pt>
                <c:pt idx="9">
                  <c:v>228463.47339999999</c:v>
                </c:pt>
                <c:pt idx="10">
                  <c:v>247618.44159999999</c:v>
                </c:pt>
                <c:pt idx="11">
                  <c:v>276658.78230000002</c:v>
                </c:pt>
                <c:pt idx="12">
                  <c:v>301121.68449999997</c:v>
                </c:pt>
                <c:pt idx="13">
                  <c:v>313234.2316</c:v>
                </c:pt>
                <c:pt idx="14">
                  <c:v>300451.076</c:v>
                </c:pt>
                <c:pt idx="15">
                  <c:v>309720.25890000002</c:v>
                </c:pt>
                <c:pt idx="16">
                  <c:v>332036.00699999998</c:v>
                </c:pt>
                <c:pt idx="17">
                  <c:v>322361.72330000001</c:v>
                </c:pt>
                <c:pt idx="18">
                  <c:v>335476.1226</c:v>
                </c:pt>
                <c:pt idx="19">
                  <c:v>349948.07659999997</c:v>
                </c:pt>
                <c:pt idx="20">
                  <c:v>366346.1531</c:v>
                </c:pt>
                <c:pt idx="21">
                  <c:v>378025.77710000001</c:v>
                </c:pt>
                <c:pt idx="22">
                  <c:v>395170.68339999998</c:v>
                </c:pt>
                <c:pt idx="23">
                  <c:v>414976.78590000002</c:v>
                </c:pt>
                <c:pt idx="24">
                  <c:v>391693.71730000002</c:v>
                </c:pt>
                <c:pt idx="25">
                  <c:v>407188</c:v>
                </c:pt>
                <c:pt idx="26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8-E74D-BE8C-69D7594B0F6B}"/>
            </c:ext>
          </c:extLst>
        </c:ser>
        <c:ser>
          <c:idx val="1"/>
          <c:order val="1"/>
          <c:tx>
            <c:v>Freq 1.6 GHz 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Energy!$B$6:$AB$6</c:f>
              <c:numCache>
                <c:formatCode>0.00</c:formatCode>
                <c:ptCount val="27"/>
                <c:pt idx="0">
                  <c:v>7.8888558</c:v>
                </c:pt>
                <c:pt idx="1">
                  <c:v>19.336787099999999</c:v>
                </c:pt>
                <c:pt idx="2">
                  <c:v>55.667451800000002</c:v>
                </c:pt>
                <c:pt idx="3">
                  <c:v>81.565345499999992</c:v>
                </c:pt>
                <c:pt idx="4">
                  <c:v>107.1370321</c:v>
                </c:pt>
                <c:pt idx="5">
                  <c:v>134.91453289999998</c:v>
                </c:pt>
                <c:pt idx="6">
                  <c:v>155.7648877</c:v>
                </c:pt>
                <c:pt idx="7">
                  <c:v>174.7800115</c:v>
                </c:pt>
                <c:pt idx="8">
                  <c:v>199.0746852</c:v>
                </c:pt>
                <c:pt idx="9">
                  <c:v>228.4634734</c:v>
                </c:pt>
                <c:pt idx="10">
                  <c:v>247.61844159999998</c:v>
                </c:pt>
                <c:pt idx="11">
                  <c:v>276.65878230000004</c:v>
                </c:pt>
                <c:pt idx="12">
                  <c:v>301.12168449999996</c:v>
                </c:pt>
                <c:pt idx="13">
                  <c:v>313.23423159999999</c:v>
                </c:pt>
                <c:pt idx="14">
                  <c:v>300.451076</c:v>
                </c:pt>
                <c:pt idx="15">
                  <c:v>309.72025890000003</c:v>
                </c:pt>
                <c:pt idx="16">
                  <c:v>332.03600699999998</c:v>
                </c:pt>
                <c:pt idx="17">
                  <c:v>322.36172329999999</c:v>
                </c:pt>
                <c:pt idx="18">
                  <c:v>335.4761226</c:v>
                </c:pt>
                <c:pt idx="19">
                  <c:v>349.94807659999998</c:v>
                </c:pt>
                <c:pt idx="20">
                  <c:v>366.34615309999998</c:v>
                </c:pt>
                <c:pt idx="21">
                  <c:v>378.02577710000003</c:v>
                </c:pt>
                <c:pt idx="22">
                  <c:v>395.17068339999997</c:v>
                </c:pt>
                <c:pt idx="23">
                  <c:v>414.97678590000004</c:v>
                </c:pt>
                <c:pt idx="24">
                  <c:v>391.6937173</c:v>
                </c:pt>
                <c:pt idx="25">
                  <c:v>407.18799999999999</c:v>
                </c:pt>
                <c:pt idx="26">
                  <c:v>420</c:v>
                </c:pt>
              </c:numCache>
            </c:numRef>
          </c:xVal>
          <c:yVal>
            <c:numRef>
              <c:f>Energy!$B$4:$AB$4</c:f>
              <c:numCache>
                <c:formatCode>0.00</c:formatCode>
                <c:ptCount val="27"/>
                <c:pt idx="0">
                  <c:v>3836.6338000000001</c:v>
                </c:pt>
                <c:pt idx="1">
                  <c:v>2523.0074</c:v>
                </c:pt>
                <c:pt idx="2">
                  <c:v>2337.5452999999998</c:v>
                </c:pt>
                <c:pt idx="3">
                  <c:v>2349.6257000000001</c:v>
                </c:pt>
                <c:pt idx="4">
                  <c:v>2305.3838000000001</c:v>
                </c:pt>
                <c:pt idx="5">
                  <c:v>2304.7177000000001</c:v>
                </c:pt>
                <c:pt idx="6">
                  <c:v>2329.0473999999999</c:v>
                </c:pt>
                <c:pt idx="7">
                  <c:v>2331</c:v>
                </c:pt>
                <c:pt idx="8">
                  <c:v>2335.8746000000001</c:v>
                </c:pt>
                <c:pt idx="9">
                  <c:v>2388.3813999999998</c:v>
                </c:pt>
                <c:pt idx="10">
                  <c:v>2388.9070000000002</c:v>
                </c:pt>
                <c:pt idx="11">
                  <c:v>2477.2739999999999</c:v>
                </c:pt>
                <c:pt idx="12">
                  <c:v>2465.1553000000004</c:v>
                </c:pt>
                <c:pt idx="13">
                  <c:v>2471.4979999999996</c:v>
                </c:pt>
                <c:pt idx="14">
                  <c:v>2545.5661999999998</c:v>
                </c:pt>
                <c:pt idx="15">
                  <c:v>2563.2577000000001</c:v>
                </c:pt>
                <c:pt idx="16">
                  <c:v>2652.7714000000001</c:v>
                </c:pt>
                <c:pt idx="17">
                  <c:v>2635.1537000000003</c:v>
                </c:pt>
                <c:pt idx="18">
                  <c:v>2724.2817</c:v>
                </c:pt>
                <c:pt idx="19">
                  <c:v>2722.1028999999999</c:v>
                </c:pt>
                <c:pt idx="20">
                  <c:v>2789.0960999999998</c:v>
                </c:pt>
                <c:pt idx="21">
                  <c:v>2821.9625999999998</c:v>
                </c:pt>
                <c:pt idx="22">
                  <c:v>2822.7443000000003</c:v>
                </c:pt>
                <c:pt idx="23">
                  <c:v>2934.2353000000003</c:v>
                </c:pt>
                <c:pt idx="24">
                  <c:v>2961.9804999999997</c:v>
                </c:pt>
                <c:pt idx="25">
                  <c:v>2972.5378000000001</c:v>
                </c:pt>
                <c:pt idx="26">
                  <c:v>3013.6380999999997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8-E74D-BE8C-69D7594B0F6B}"/>
            </c:ext>
          </c:extLst>
        </c:ser>
        <c:ser>
          <c:idx val="2"/>
          <c:order val="2"/>
          <c:tx>
            <c:v>Freq 3.0 GHz 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Energy!$B$12:$AB$12</c:f>
              <c:numCache>
                <c:formatCode>0.00</c:formatCode>
                <c:ptCount val="27"/>
                <c:pt idx="0">
                  <c:v>15.632301400000001</c:v>
                </c:pt>
                <c:pt idx="1">
                  <c:v>24.271618099999998</c:v>
                </c:pt>
                <c:pt idx="2">
                  <c:v>110.4297852</c:v>
                </c:pt>
                <c:pt idx="3">
                  <c:v>163.5693746</c:v>
                </c:pt>
                <c:pt idx="4">
                  <c:v>216.99764039999999</c:v>
                </c:pt>
                <c:pt idx="5">
                  <c:v>271.6361976</c:v>
                </c:pt>
                <c:pt idx="6">
                  <c:v>318.4498375</c:v>
                </c:pt>
                <c:pt idx="7">
                  <c:v>361.15247049999999</c:v>
                </c:pt>
                <c:pt idx="8">
                  <c:v>415.95831219999997</c:v>
                </c:pt>
                <c:pt idx="9">
                  <c:v>468.70694140000001</c:v>
                </c:pt>
                <c:pt idx="10">
                  <c:v>505.64086450000002</c:v>
                </c:pt>
                <c:pt idx="11">
                  <c:v>564.6473185000001</c:v>
                </c:pt>
                <c:pt idx="12">
                  <c:v>606.9909083</c:v>
                </c:pt>
                <c:pt idx="13">
                  <c:v>639.44797740000001</c:v>
                </c:pt>
                <c:pt idx="14">
                  <c:v>627.20716089999996</c:v>
                </c:pt>
                <c:pt idx="15">
                  <c:v>658.97286369999995</c:v>
                </c:pt>
                <c:pt idx="16">
                  <c:v>689.98559169999999</c:v>
                </c:pt>
                <c:pt idx="17">
                  <c:v>696.97864549999997</c:v>
                </c:pt>
                <c:pt idx="18">
                  <c:v>715.55738370000006</c:v>
                </c:pt>
                <c:pt idx="19">
                  <c:v>743.70653460000005</c:v>
                </c:pt>
                <c:pt idx="20">
                  <c:v>751.50774999999999</c:v>
                </c:pt>
                <c:pt idx="21">
                  <c:v>775.39866359999996</c:v>
                </c:pt>
                <c:pt idx="22">
                  <c:v>825.37430630000006</c:v>
                </c:pt>
                <c:pt idx="23">
                  <c:v>817.10676060000003</c:v>
                </c:pt>
                <c:pt idx="24">
                  <c:v>873.63142669999991</c:v>
                </c:pt>
                <c:pt idx="25">
                  <c:v>874.7759605</c:v>
                </c:pt>
                <c:pt idx="26">
                  <c:v>808.02758349999999</c:v>
                </c:pt>
              </c:numCache>
            </c:numRef>
          </c:xVal>
          <c:yVal>
            <c:numRef>
              <c:f>Energy!$B$10:$AB$10</c:f>
              <c:numCache>
                <c:formatCode>0.00</c:formatCode>
                <c:ptCount val="27"/>
                <c:pt idx="0">
                  <c:v>3488.5436</c:v>
                </c:pt>
                <c:pt idx="1">
                  <c:v>2486.2196999999996</c:v>
                </c:pt>
                <c:pt idx="2">
                  <c:v>2201.7826</c:v>
                </c:pt>
                <c:pt idx="3">
                  <c:v>2195.2375000000002</c:v>
                </c:pt>
                <c:pt idx="4">
                  <c:v>2178.4205999999999</c:v>
                </c:pt>
                <c:pt idx="5">
                  <c:v>2207.904</c:v>
                </c:pt>
                <c:pt idx="6">
                  <c:v>2240.3600999999999</c:v>
                </c:pt>
                <c:pt idx="7">
                  <c:v>2290.9571999999998</c:v>
                </c:pt>
                <c:pt idx="8">
                  <c:v>2413.1028000000001</c:v>
                </c:pt>
                <c:pt idx="9">
                  <c:v>2399.7892999999999</c:v>
                </c:pt>
                <c:pt idx="10">
                  <c:v>2416.0992000000001</c:v>
                </c:pt>
                <c:pt idx="11">
                  <c:v>2512.4457000000002</c:v>
                </c:pt>
                <c:pt idx="12">
                  <c:v>2547.4764</c:v>
                </c:pt>
                <c:pt idx="13">
                  <c:v>2521.1293999999998</c:v>
                </c:pt>
                <c:pt idx="14">
                  <c:v>2583.5772000000002</c:v>
                </c:pt>
                <c:pt idx="15">
                  <c:v>2699.3335999999999</c:v>
                </c:pt>
                <c:pt idx="16">
                  <c:v>2773.8647999999998</c:v>
                </c:pt>
                <c:pt idx="17">
                  <c:v>2770.1571000000004</c:v>
                </c:pt>
                <c:pt idx="18">
                  <c:v>2790.0796</c:v>
                </c:pt>
                <c:pt idx="19">
                  <c:v>2899.7381</c:v>
                </c:pt>
                <c:pt idx="20">
                  <c:v>2955.6169999999997</c:v>
                </c:pt>
                <c:pt idx="21">
                  <c:v>2920.3108999999999</c:v>
                </c:pt>
                <c:pt idx="22">
                  <c:v>3000.0820999999996</c:v>
                </c:pt>
                <c:pt idx="23">
                  <c:v>3136.1214</c:v>
                </c:pt>
                <c:pt idx="24">
                  <c:v>3054.6219000000001</c:v>
                </c:pt>
                <c:pt idx="25">
                  <c:v>3110.9593</c:v>
                </c:pt>
                <c:pt idx="26">
                  <c:v>3158.2851999999998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8-E74D-BE8C-69D7594B0F6B}"/>
            </c:ext>
          </c:extLst>
        </c:ser>
        <c:ser>
          <c:idx val="3"/>
          <c:order val="3"/>
          <c:tx>
            <c:v>Freq 3.8 GHz 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Energy!$B$18:$AB$18</c:f>
              <c:numCache>
                <c:formatCode>0.00</c:formatCode>
                <c:ptCount val="27"/>
                <c:pt idx="0">
                  <c:v>19.089164799999999</c:v>
                </c:pt>
                <c:pt idx="1">
                  <c:v>71.030606800000001</c:v>
                </c:pt>
                <c:pt idx="2">
                  <c:v>136.2264333</c:v>
                </c:pt>
                <c:pt idx="3">
                  <c:v>200.84086689999998</c:v>
                </c:pt>
                <c:pt idx="4">
                  <c:v>267.49485249999998</c:v>
                </c:pt>
                <c:pt idx="5">
                  <c:v>336.2038</c:v>
                </c:pt>
                <c:pt idx="6">
                  <c:v>391.92862709999997</c:v>
                </c:pt>
                <c:pt idx="7">
                  <c:v>424.21448369999996</c:v>
                </c:pt>
                <c:pt idx="8">
                  <c:v>461.58783729999999</c:v>
                </c:pt>
                <c:pt idx="9">
                  <c:v>491.49219840000001</c:v>
                </c:pt>
                <c:pt idx="10">
                  <c:v>531.89085979999993</c:v>
                </c:pt>
                <c:pt idx="11">
                  <c:v>562.18797319999999</c:v>
                </c:pt>
                <c:pt idx="12">
                  <c:v>593.08713280000006</c:v>
                </c:pt>
                <c:pt idx="13">
                  <c:v>631.37383250000005</c:v>
                </c:pt>
                <c:pt idx="14">
                  <c:v>639.66507360000003</c:v>
                </c:pt>
                <c:pt idx="15">
                  <c:v>655.30812219999996</c:v>
                </c:pt>
                <c:pt idx="16">
                  <c:v>677.44190020000008</c:v>
                </c:pt>
                <c:pt idx="17">
                  <c:v>686.48808380000003</c:v>
                </c:pt>
                <c:pt idx="18">
                  <c:v>702.8640997</c:v>
                </c:pt>
                <c:pt idx="19">
                  <c:v>717.92345279999995</c:v>
                </c:pt>
                <c:pt idx="20">
                  <c:v>745.93306440000003</c:v>
                </c:pt>
                <c:pt idx="21">
                  <c:v>794.5506719</c:v>
                </c:pt>
                <c:pt idx="22">
                  <c:v>815.57366619999993</c:v>
                </c:pt>
                <c:pt idx="23">
                  <c:v>848.45621800000004</c:v>
                </c:pt>
                <c:pt idx="24">
                  <c:v>860.73043680000001</c:v>
                </c:pt>
                <c:pt idx="25">
                  <c:v>874.3584535</c:v>
                </c:pt>
                <c:pt idx="26">
                  <c:v>867.8313584</c:v>
                </c:pt>
              </c:numCache>
            </c:numRef>
          </c:xVal>
          <c:yVal>
            <c:numRef>
              <c:f>Energy!$B$16:$AB$16</c:f>
              <c:numCache>
                <c:formatCode>0.00</c:formatCode>
                <c:ptCount val="27"/>
                <c:pt idx="0">
                  <c:v>2850.7579000000001</c:v>
                </c:pt>
                <c:pt idx="1">
                  <c:v>1941.7475999999999</c:v>
                </c:pt>
                <c:pt idx="2">
                  <c:v>2000</c:v>
                </c:pt>
                <c:pt idx="3">
                  <c:v>2121.3197999999998</c:v>
                </c:pt>
                <c:pt idx="4">
                  <c:v>1924.8136999999999</c:v>
                </c:pt>
                <c:pt idx="5">
                  <c:v>1973.0933</c:v>
                </c:pt>
                <c:pt idx="6">
                  <c:v>2052.3732999999997</c:v>
                </c:pt>
                <c:pt idx="7">
                  <c:v>2034.6596999999999</c:v>
                </c:pt>
                <c:pt idx="8">
                  <c:v>2130.3724999999999</c:v>
                </c:pt>
                <c:pt idx="9">
                  <c:v>2199.8216000000002</c:v>
                </c:pt>
                <c:pt idx="10">
                  <c:v>2164.2336</c:v>
                </c:pt>
                <c:pt idx="11">
                  <c:v>2308.3310000000001</c:v>
                </c:pt>
                <c:pt idx="12">
                  <c:v>2277.5295000000001</c:v>
                </c:pt>
                <c:pt idx="13">
                  <c:v>2357.7658000000001</c:v>
                </c:pt>
                <c:pt idx="14">
                  <c:v>2405.4036999999998</c:v>
                </c:pt>
                <c:pt idx="15">
                  <c:v>2433.6313</c:v>
                </c:pt>
                <c:pt idx="16">
                  <c:v>2500.8980000000001</c:v>
                </c:pt>
                <c:pt idx="17">
                  <c:v>2650.2030999999997</c:v>
                </c:pt>
                <c:pt idx="18">
                  <c:v>2671.3362999999999</c:v>
                </c:pt>
                <c:pt idx="19">
                  <c:v>2818.0932000000003</c:v>
                </c:pt>
                <c:pt idx="20">
                  <c:v>2746.5897</c:v>
                </c:pt>
                <c:pt idx="21">
                  <c:v>2782.3869</c:v>
                </c:pt>
                <c:pt idx="22">
                  <c:v>2971.7406000000001</c:v>
                </c:pt>
                <c:pt idx="23">
                  <c:v>2896.7666999999997</c:v>
                </c:pt>
                <c:pt idx="24">
                  <c:v>2973.3337000000001</c:v>
                </c:pt>
                <c:pt idx="25">
                  <c:v>2933.0844000000002</c:v>
                </c:pt>
                <c:pt idx="26">
                  <c:v>2946.5578999999998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8-E74D-BE8C-69D7594B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1360"/>
        <c:axId val="1722988239"/>
      </c:scatterChart>
      <c:valAx>
        <c:axId val="7912136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[GFlops/s]</a:t>
                </a:r>
              </a:p>
            </c:rich>
          </c:tx>
          <c:layout>
            <c:manualLayout>
              <c:xMode val="edge"/>
              <c:yMode val="edge"/>
              <c:x val="0.43735294117647061"/>
              <c:y val="0.94403631779173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88239"/>
        <c:crosses val="autoZero"/>
        <c:crossBetween val="midCat"/>
      </c:valAx>
      <c:valAx>
        <c:axId val="172298823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to Solution [Joule]</a:t>
                </a:r>
              </a:p>
            </c:rich>
          </c:tx>
          <c:layout>
            <c:manualLayout>
              <c:xMode val="edge"/>
              <c:yMode val="edge"/>
              <c:x val="8.3623291790279695E-3"/>
              <c:y val="0.2914593212590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9396823499543"/>
          <c:y val="0.48019485977174192"/>
          <c:w val="0.1576543274923092"/>
          <c:h val="0.17704103489053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No. of cores by SIMD mode half neighbour list </a:t>
            </a:r>
            <a:r>
              <a:rPr lang="en-IN"/>
              <a:t>MDBench-VL-ICC-X86-DP -half 1</a:t>
            </a:r>
          </a:p>
          <a:p>
            <a:pPr>
              <a:defRPr/>
            </a:pPr>
            <a:r>
              <a:rPr lang="en-IN"/>
              <a:t> </a:t>
            </a:r>
            <a:r>
              <a:rPr lang="en-GB"/>
              <a:t>Intel Sapphire Rapids at Freq 3.0 GHz</a:t>
            </a:r>
          </a:p>
        </c:rich>
      </c:tx>
      <c:layout>
        <c:manualLayout>
          <c:xMode val="edge"/>
          <c:yMode val="edge"/>
          <c:x val="0.1661675912670007"/>
          <c:y val="1.8045112781954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13533110266076E-2"/>
          <c:y val="0.1309961993412283"/>
          <c:w val="0.89038645930467264"/>
          <c:h val="0.72358002711982972"/>
        </c:manualLayout>
      </c:layout>
      <c:lineChart>
        <c:grouping val="standard"/>
        <c:varyColors val="0"/>
        <c:ser>
          <c:idx val="0"/>
          <c:order val="0"/>
          <c:tx>
            <c:strRef>
              <c:f>Energy!$A$64</c:f>
              <c:strCache>
                <c:ptCount val="1"/>
                <c:pt idx="0">
                  <c:v>VL AVX 512 HN 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Energy!$B$64:$AB$64</c:f>
              <c:numCache>
                <c:formatCode>0.00</c:formatCode>
                <c:ptCount val="27"/>
                <c:pt idx="0">
                  <c:v>7.5252954000000001</c:v>
                </c:pt>
                <c:pt idx="1">
                  <c:v>11.168533999999999</c:v>
                </c:pt>
                <c:pt idx="2">
                  <c:v>74.309143200000008</c:v>
                </c:pt>
                <c:pt idx="3">
                  <c:v>105.22928909999999</c:v>
                </c:pt>
                <c:pt idx="4">
                  <c:v>131.2497731</c:v>
                </c:pt>
                <c:pt idx="5">
                  <c:v>160.63969399999999</c:v>
                </c:pt>
                <c:pt idx="6">
                  <c:v>171.1076869</c:v>
                </c:pt>
                <c:pt idx="7">
                  <c:v>189.45206680000001</c:v>
                </c:pt>
                <c:pt idx="8">
                  <c:v>212.74482599999999</c:v>
                </c:pt>
                <c:pt idx="9">
                  <c:v>260.1663059</c:v>
                </c:pt>
                <c:pt idx="10">
                  <c:v>269.87978190000001</c:v>
                </c:pt>
                <c:pt idx="11">
                  <c:v>292.9528492</c:v>
                </c:pt>
                <c:pt idx="12">
                  <c:v>303.51245039999998</c:v>
                </c:pt>
                <c:pt idx="13">
                  <c:v>292.5071299</c:v>
                </c:pt>
                <c:pt idx="14">
                  <c:v>288.89627689999998</c:v>
                </c:pt>
                <c:pt idx="15">
                  <c:v>336.12216690000002</c:v>
                </c:pt>
                <c:pt idx="16">
                  <c:v>322.26694359999999</c:v>
                </c:pt>
                <c:pt idx="17">
                  <c:v>310.46724139999998</c:v>
                </c:pt>
                <c:pt idx="18">
                  <c:v>352.33080190000004</c:v>
                </c:pt>
                <c:pt idx="19">
                  <c:v>379.53710330000001</c:v>
                </c:pt>
                <c:pt idx="20">
                  <c:v>392.37383439999996</c:v>
                </c:pt>
                <c:pt idx="21">
                  <c:v>386.95216090000002</c:v>
                </c:pt>
                <c:pt idx="22">
                  <c:v>403.8134091</c:v>
                </c:pt>
                <c:pt idx="23">
                  <c:v>392.40163170000005</c:v>
                </c:pt>
                <c:pt idx="24">
                  <c:v>385.48433899999998</c:v>
                </c:pt>
                <c:pt idx="25">
                  <c:v>392.56483079999998</c:v>
                </c:pt>
                <c:pt idx="26">
                  <c:v>389.27876860000003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B042-A869-2D9316F0554B}"/>
            </c:ext>
          </c:extLst>
        </c:ser>
        <c:ser>
          <c:idx val="1"/>
          <c:order val="1"/>
          <c:tx>
            <c:strRef>
              <c:f>Energy!$A$67</c:f>
              <c:strCache>
                <c:ptCount val="1"/>
                <c:pt idx="0">
                  <c:v>VL AVX HN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Energy!$B$67:$AB$67</c:f>
              <c:numCache>
                <c:formatCode>0.00</c:formatCode>
                <c:ptCount val="27"/>
                <c:pt idx="0">
                  <c:v>1.6997624</c:v>
                </c:pt>
                <c:pt idx="1">
                  <c:v>9.6359794000000001</c:v>
                </c:pt>
                <c:pt idx="2">
                  <c:v>18.476866999999999</c:v>
                </c:pt>
                <c:pt idx="3">
                  <c:v>26.081554199999999</c:v>
                </c:pt>
                <c:pt idx="4">
                  <c:v>33.770187700000001</c:v>
                </c:pt>
                <c:pt idx="5">
                  <c:v>41.045442999999999</c:v>
                </c:pt>
                <c:pt idx="6">
                  <c:v>47.93047</c:v>
                </c:pt>
                <c:pt idx="7">
                  <c:v>55.909834000000004</c:v>
                </c:pt>
                <c:pt idx="8">
                  <c:v>64.614721200000005</c:v>
                </c:pt>
                <c:pt idx="9">
                  <c:v>72.534155999999996</c:v>
                </c:pt>
                <c:pt idx="10">
                  <c:v>80.292005900000007</c:v>
                </c:pt>
                <c:pt idx="11">
                  <c:v>84.35488740000001</c:v>
                </c:pt>
                <c:pt idx="12">
                  <c:v>91.1724289</c:v>
                </c:pt>
                <c:pt idx="13">
                  <c:v>96.223691500000001</c:v>
                </c:pt>
                <c:pt idx="14">
                  <c:v>97.185074299999997</c:v>
                </c:pt>
                <c:pt idx="15">
                  <c:v>93.80403969999999</c:v>
                </c:pt>
                <c:pt idx="16">
                  <c:v>110.42755079999999</c:v>
                </c:pt>
                <c:pt idx="17">
                  <c:v>110.34816379999999</c:v>
                </c:pt>
                <c:pt idx="18">
                  <c:v>111.33743009999999</c:v>
                </c:pt>
                <c:pt idx="19">
                  <c:v>118.65694329999999</c:v>
                </c:pt>
                <c:pt idx="20">
                  <c:v>128.40834269999999</c:v>
                </c:pt>
                <c:pt idx="21">
                  <c:v>118.710441</c:v>
                </c:pt>
                <c:pt idx="22">
                  <c:v>131.175847</c:v>
                </c:pt>
                <c:pt idx="23">
                  <c:v>136.0911303</c:v>
                </c:pt>
                <c:pt idx="24">
                  <c:v>138.76622190000001</c:v>
                </c:pt>
                <c:pt idx="25">
                  <c:v>143.1497837</c:v>
                </c:pt>
                <c:pt idx="26">
                  <c:v>145.22581289999999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B042-A869-2D9316F0554B}"/>
            </c:ext>
          </c:extLst>
        </c:ser>
        <c:ser>
          <c:idx val="2"/>
          <c:order val="2"/>
          <c:tx>
            <c:strRef>
              <c:f>Energy!$A$70</c:f>
              <c:strCache>
                <c:ptCount val="1"/>
                <c:pt idx="0">
                  <c:v>VL SSE HN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Energy!$B$70:$AB$70</c:f>
              <c:numCache>
                <c:formatCode>General</c:formatCode>
                <c:ptCount val="27"/>
                <c:pt idx="0">
                  <c:v>1.5425967</c:v>
                </c:pt>
                <c:pt idx="1">
                  <c:v>8.6489180000000001</c:v>
                </c:pt>
                <c:pt idx="2">
                  <c:v>16.556396100000001</c:v>
                </c:pt>
                <c:pt idx="3">
                  <c:v>23.2550287</c:v>
                </c:pt>
                <c:pt idx="4">
                  <c:v>29.748888099999999</c:v>
                </c:pt>
                <c:pt idx="5">
                  <c:v>35.846205000000005</c:v>
                </c:pt>
                <c:pt idx="6">
                  <c:v>42.209300799999994</c:v>
                </c:pt>
                <c:pt idx="7">
                  <c:v>49.153035600000003</c:v>
                </c:pt>
                <c:pt idx="8">
                  <c:v>56.939677099999997</c:v>
                </c:pt>
                <c:pt idx="9">
                  <c:v>63.732252500000001</c:v>
                </c:pt>
                <c:pt idx="10">
                  <c:v>70.408611899999997</c:v>
                </c:pt>
                <c:pt idx="11">
                  <c:v>74.588984500000009</c:v>
                </c:pt>
                <c:pt idx="12">
                  <c:v>80.489384799999996</c:v>
                </c:pt>
                <c:pt idx="13">
                  <c:v>85.275032800000005</c:v>
                </c:pt>
                <c:pt idx="14">
                  <c:v>87.102351999999996</c:v>
                </c:pt>
                <c:pt idx="15">
                  <c:v>83.686871400000001</c:v>
                </c:pt>
                <c:pt idx="16">
                  <c:v>98.291578200000004</c:v>
                </c:pt>
                <c:pt idx="17">
                  <c:v>98.7737829</c:v>
                </c:pt>
                <c:pt idx="18">
                  <c:v>102.42096240000001</c:v>
                </c:pt>
                <c:pt idx="19">
                  <c:v>107.68932649999999</c:v>
                </c:pt>
                <c:pt idx="20">
                  <c:v>114.90721360000001</c:v>
                </c:pt>
                <c:pt idx="21">
                  <c:v>111.9698186</c:v>
                </c:pt>
                <c:pt idx="22">
                  <c:v>119.1877769</c:v>
                </c:pt>
                <c:pt idx="23">
                  <c:v>123.5443992</c:v>
                </c:pt>
                <c:pt idx="24">
                  <c:v>125.137477</c:v>
                </c:pt>
                <c:pt idx="25">
                  <c:v>127.6518662</c:v>
                </c:pt>
                <c:pt idx="26">
                  <c:v>131.38108449999999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B042-A869-2D9316F0554B}"/>
            </c:ext>
          </c:extLst>
        </c:ser>
        <c:ser>
          <c:idx val="3"/>
          <c:order val="3"/>
          <c:tx>
            <c:strRef>
              <c:f>Energy!$A$73</c:f>
              <c:strCache>
                <c:ptCount val="1"/>
                <c:pt idx="0">
                  <c:v>VL Scalar HN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Energy!$B$73:$AB$73</c:f>
              <c:numCache>
                <c:formatCode>General</c:formatCode>
                <c:ptCount val="27"/>
                <c:pt idx="0">
                  <c:v>1.6524871999999999</c:v>
                </c:pt>
                <c:pt idx="1">
                  <c:v>9.2502256000000003</c:v>
                </c:pt>
                <c:pt idx="2">
                  <c:v>17.656573899999998</c:v>
                </c:pt>
                <c:pt idx="3">
                  <c:v>24.779086</c:v>
                </c:pt>
                <c:pt idx="4">
                  <c:v>31.746881399999999</c:v>
                </c:pt>
                <c:pt idx="5">
                  <c:v>38.235423900000001</c:v>
                </c:pt>
                <c:pt idx="6">
                  <c:v>45.028551099999994</c:v>
                </c:pt>
                <c:pt idx="7">
                  <c:v>52.371403899999997</c:v>
                </c:pt>
                <c:pt idx="8">
                  <c:v>60.567787799999998</c:v>
                </c:pt>
                <c:pt idx="9">
                  <c:v>67.89802619999999</c:v>
                </c:pt>
                <c:pt idx="10">
                  <c:v>74.965164699999988</c:v>
                </c:pt>
                <c:pt idx="11">
                  <c:v>79.259535999999997</c:v>
                </c:pt>
                <c:pt idx="12">
                  <c:v>85.648374399999994</c:v>
                </c:pt>
                <c:pt idx="13">
                  <c:v>90.572107099999997</c:v>
                </c:pt>
                <c:pt idx="14">
                  <c:v>93.211950200000004</c:v>
                </c:pt>
                <c:pt idx="15">
                  <c:v>88.1423755</c:v>
                </c:pt>
                <c:pt idx="16">
                  <c:v>104.39493330000001</c:v>
                </c:pt>
                <c:pt idx="17">
                  <c:v>103.992186</c:v>
                </c:pt>
                <c:pt idx="18">
                  <c:v>107.9511222</c:v>
                </c:pt>
                <c:pt idx="19">
                  <c:v>113.4348609</c:v>
                </c:pt>
                <c:pt idx="20">
                  <c:v>121.33848140000001</c:v>
                </c:pt>
                <c:pt idx="21">
                  <c:v>116.72141980000001</c:v>
                </c:pt>
                <c:pt idx="22">
                  <c:v>126.9237782</c:v>
                </c:pt>
                <c:pt idx="23">
                  <c:v>127.1735546</c:v>
                </c:pt>
                <c:pt idx="24">
                  <c:v>133.87264679999998</c:v>
                </c:pt>
                <c:pt idx="25">
                  <c:v>137.13266300000001</c:v>
                </c:pt>
                <c:pt idx="26">
                  <c:v>139.45143109999998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7-B042-A869-2D9316F0554B}"/>
            </c:ext>
          </c:extLst>
        </c:ser>
        <c:ser>
          <c:idx val="4"/>
          <c:order val="4"/>
          <c:tx>
            <c:v>VL AVX 512 FN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Energy!$B$40:$AB$40</c:f>
              <c:numCache>
                <c:formatCode>0.00</c:formatCode>
                <c:ptCount val="27"/>
                <c:pt idx="0">
                  <c:v>15.632301400000001</c:v>
                </c:pt>
                <c:pt idx="1">
                  <c:v>14.2716181</c:v>
                </c:pt>
                <c:pt idx="2">
                  <c:v>110.4297852</c:v>
                </c:pt>
                <c:pt idx="3">
                  <c:v>163.5693746</c:v>
                </c:pt>
                <c:pt idx="4">
                  <c:v>216.99764039999999</c:v>
                </c:pt>
                <c:pt idx="5">
                  <c:v>271.6361976</c:v>
                </c:pt>
                <c:pt idx="6">
                  <c:v>318.4498375</c:v>
                </c:pt>
                <c:pt idx="7">
                  <c:v>361.15247049999999</c:v>
                </c:pt>
                <c:pt idx="8">
                  <c:v>415.95831219999997</c:v>
                </c:pt>
                <c:pt idx="9">
                  <c:v>468.70694140000001</c:v>
                </c:pt>
                <c:pt idx="10">
                  <c:v>505.64086450000002</c:v>
                </c:pt>
                <c:pt idx="11">
                  <c:v>564.6473185000001</c:v>
                </c:pt>
                <c:pt idx="12">
                  <c:v>606.9909083</c:v>
                </c:pt>
                <c:pt idx="13">
                  <c:v>639.44797740000001</c:v>
                </c:pt>
                <c:pt idx="14">
                  <c:v>627.20716089999996</c:v>
                </c:pt>
                <c:pt idx="15">
                  <c:v>658.97286369999995</c:v>
                </c:pt>
                <c:pt idx="16">
                  <c:v>689.98559169999999</c:v>
                </c:pt>
                <c:pt idx="17">
                  <c:v>696.97864549999997</c:v>
                </c:pt>
                <c:pt idx="18">
                  <c:v>715.55738370000006</c:v>
                </c:pt>
                <c:pt idx="19">
                  <c:v>743.70653460000005</c:v>
                </c:pt>
                <c:pt idx="20">
                  <c:v>751.50774999999999</c:v>
                </c:pt>
                <c:pt idx="21">
                  <c:v>775.39866359999996</c:v>
                </c:pt>
                <c:pt idx="22">
                  <c:v>825.37430630000006</c:v>
                </c:pt>
                <c:pt idx="23">
                  <c:v>817.10676060000003</c:v>
                </c:pt>
                <c:pt idx="24">
                  <c:v>873.63142669999991</c:v>
                </c:pt>
                <c:pt idx="25">
                  <c:v>874.7759605</c:v>
                </c:pt>
                <c:pt idx="26">
                  <c:v>808.02758349999999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7-B042-A869-2D9316F0554B}"/>
            </c:ext>
          </c:extLst>
        </c:ser>
        <c:ser>
          <c:idx val="5"/>
          <c:order val="5"/>
          <c:tx>
            <c:v>VL AVX FN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Energy!$B$36:$AB$36</c:f>
              <c:numCache>
                <c:formatCode>0.00</c:formatCode>
                <c:ptCount val="27"/>
                <c:pt idx="0">
                  <c:v>7.1447013999999998</c:v>
                </c:pt>
                <c:pt idx="1">
                  <c:v>6.7516715000000005</c:v>
                </c:pt>
                <c:pt idx="2">
                  <c:v>52.793788900000003</c:v>
                </c:pt>
                <c:pt idx="3">
                  <c:v>78.443458700000008</c:v>
                </c:pt>
                <c:pt idx="4">
                  <c:v>103.5825529</c:v>
                </c:pt>
                <c:pt idx="5">
                  <c:v>130.19565249999999</c:v>
                </c:pt>
                <c:pt idx="6">
                  <c:v>146.96924559999999</c:v>
                </c:pt>
                <c:pt idx="7">
                  <c:v>168.04838020000003</c:v>
                </c:pt>
                <c:pt idx="8">
                  <c:v>200.69275589999998</c:v>
                </c:pt>
                <c:pt idx="9">
                  <c:v>227.7366347</c:v>
                </c:pt>
                <c:pt idx="10">
                  <c:v>248.76874859999998</c:v>
                </c:pt>
                <c:pt idx="11">
                  <c:v>274.0741099</c:v>
                </c:pt>
                <c:pt idx="12">
                  <c:v>295.87424320000002</c:v>
                </c:pt>
                <c:pt idx="13">
                  <c:v>311.49058719999999</c:v>
                </c:pt>
                <c:pt idx="14">
                  <c:v>315.65808429999998</c:v>
                </c:pt>
                <c:pt idx="15">
                  <c:v>329.44200949999998</c:v>
                </c:pt>
                <c:pt idx="16">
                  <c:v>329.72962100000001</c:v>
                </c:pt>
                <c:pt idx="17">
                  <c:v>342.56933909999998</c:v>
                </c:pt>
                <c:pt idx="18">
                  <c:v>354.77147480000002</c:v>
                </c:pt>
                <c:pt idx="19">
                  <c:v>372.37867690000002</c:v>
                </c:pt>
                <c:pt idx="20">
                  <c:v>380.67977669999999</c:v>
                </c:pt>
                <c:pt idx="21">
                  <c:v>408.51788309999995</c:v>
                </c:pt>
                <c:pt idx="22">
                  <c:v>429.74488630000002</c:v>
                </c:pt>
                <c:pt idx="23">
                  <c:v>442.36071709999999</c:v>
                </c:pt>
                <c:pt idx="24">
                  <c:v>461.63749440000004</c:v>
                </c:pt>
                <c:pt idx="25">
                  <c:v>472.05966039999998</c:v>
                </c:pt>
                <c:pt idx="26">
                  <c:v>471.3327309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7-B042-A869-2D9316F0554B}"/>
            </c:ext>
          </c:extLst>
        </c:ser>
        <c:ser>
          <c:idx val="6"/>
          <c:order val="6"/>
          <c:tx>
            <c:v>VL SSE FN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Energy!$B$30:$AB$30</c:f>
              <c:numCache>
                <c:formatCode>0.00</c:formatCode>
                <c:ptCount val="27"/>
                <c:pt idx="0">
                  <c:v>3.9431527000000002</c:v>
                </c:pt>
                <c:pt idx="1">
                  <c:v>15.3316547</c:v>
                </c:pt>
                <c:pt idx="2">
                  <c:v>30.248586500000002</c:v>
                </c:pt>
                <c:pt idx="3">
                  <c:v>44.936380499999999</c:v>
                </c:pt>
                <c:pt idx="4">
                  <c:v>59.864771900000001</c:v>
                </c:pt>
                <c:pt idx="5">
                  <c:v>74.703520999999995</c:v>
                </c:pt>
                <c:pt idx="6">
                  <c:v>88.375808199999994</c:v>
                </c:pt>
                <c:pt idx="7">
                  <c:v>102.16869579999999</c:v>
                </c:pt>
                <c:pt idx="8">
                  <c:v>117.1640841</c:v>
                </c:pt>
                <c:pt idx="9">
                  <c:v>132.0315884</c:v>
                </c:pt>
                <c:pt idx="10">
                  <c:v>145.12396129999999</c:v>
                </c:pt>
                <c:pt idx="11">
                  <c:v>159.81119849999999</c:v>
                </c:pt>
                <c:pt idx="12">
                  <c:v>173.05974540000003</c:v>
                </c:pt>
                <c:pt idx="13">
                  <c:v>184.19524559999999</c:v>
                </c:pt>
                <c:pt idx="14">
                  <c:v>190.10473469999999</c:v>
                </c:pt>
                <c:pt idx="15">
                  <c:v>198.00681549999999</c:v>
                </c:pt>
                <c:pt idx="16">
                  <c:v>208.48912289999998</c:v>
                </c:pt>
                <c:pt idx="17">
                  <c:v>219.46327830000001</c:v>
                </c:pt>
                <c:pt idx="18">
                  <c:v>225.27993140000001</c:v>
                </c:pt>
                <c:pt idx="19">
                  <c:v>233.78032670000002</c:v>
                </c:pt>
                <c:pt idx="20">
                  <c:v>248.1072202</c:v>
                </c:pt>
                <c:pt idx="21">
                  <c:v>259.83822170000002</c:v>
                </c:pt>
                <c:pt idx="22">
                  <c:v>271.05219579999999</c:v>
                </c:pt>
                <c:pt idx="23">
                  <c:v>283.74588640000002</c:v>
                </c:pt>
                <c:pt idx="24">
                  <c:v>292.68341149999998</c:v>
                </c:pt>
                <c:pt idx="25">
                  <c:v>305.99328550000001</c:v>
                </c:pt>
                <c:pt idx="26">
                  <c:v>303.52810720000002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7-B042-A869-2D9316F0554B}"/>
            </c:ext>
          </c:extLst>
        </c:ser>
        <c:ser>
          <c:idx val="7"/>
          <c:order val="7"/>
          <c:tx>
            <c:v>VL Scalar FN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Energy!$B$24:$AB$24</c:f>
              <c:numCache>
                <c:formatCode>0.00</c:formatCode>
                <c:ptCount val="27"/>
                <c:pt idx="0">
                  <c:v>2.5422813</c:v>
                </c:pt>
                <c:pt idx="1">
                  <c:v>4.2235719999999999</c:v>
                </c:pt>
                <c:pt idx="2">
                  <c:v>5.7568410999999999</c:v>
                </c:pt>
                <c:pt idx="3">
                  <c:v>8.3182800000000015</c:v>
                </c:pt>
                <c:pt idx="4">
                  <c:v>10.293175999999999</c:v>
                </c:pt>
                <c:pt idx="5">
                  <c:v>9.4648745000000005</c:v>
                </c:pt>
                <c:pt idx="6">
                  <c:v>10.258957899999999</c:v>
                </c:pt>
                <c:pt idx="7">
                  <c:v>13.0070578</c:v>
                </c:pt>
                <c:pt idx="8">
                  <c:v>11.4791074</c:v>
                </c:pt>
                <c:pt idx="9">
                  <c:v>13.1798635</c:v>
                </c:pt>
                <c:pt idx="10">
                  <c:v>15.9711739</c:v>
                </c:pt>
                <c:pt idx="11">
                  <c:v>15.6905135</c:v>
                </c:pt>
                <c:pt idx="12">
                  <c:v>17.400476099999999</c:v>
                </c:pt>
                <c:pt idx="13">
                  <c:v>17.198100100000001</c:v>
                </c:pt>
                <c:pt idx="14">
                  <c:v>13.9628096</c:v>
                </c:pt>
                <c:pt idx="15">
                  <c:v>13.047426700000001</c:v>
                </c:pt>
                <c:pt idx="16">
                  <c:v>14.6439372</c:v>
                </c:pt>
                <c:pt idx="17">
                  <c:v>14.017355200000001</c:v>
                </c:pt>
                <c:pt idx="18">
                  <c:v>12.7304779</c:v>
                </c:pt>
                <c:pt idx="19">
                  <c:v>11.4321445</c:v>
                </c:pt>
                <c:pt idx="20">
                  <c:v>12.094992099999999</c:v>
                </c:pt>
                <c:pt idx="21">
                  <c:v>10.482183000000001</c:v>
                </c:pt>
                <c:pt idx="22">
                  <c:v>10.786937500000001</c:v>
                </c:pt>
                <c:pt idx="23">
                  <c:v>12.696808300000001</c:v>
                </c:pt>
                <c:pt idx="24">
                  <c:v>10.3781517</c:v>
                </c:pt>
                <c:pt idx="25">
                  <c:v>10.223682199999999</c:v>
                </c:pt>
                <c:pt idx="26">
                  <c:v>10.1351677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C7-B042-A869-2D9316F0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91775"/>
        <c:axId val="259593503"/>
      </c:lineChart>
      <c:catAx>
        <c:axId val="25959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3503"/>
        <c:crosses val="autoZero"/>
        <c:auto val="1"/>
        <c:lblAlgn val="ctr"/>
        <c:lblOffset val="100"/>
        <c:noMultiLvlLbl val="0"/>
      </c:catAx>
      <c:valAx>
        <c:axId val="2595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[GFlops/s]</a:t>
                </a:r>
              </a:p>
            </c:rich>
          </c:tx>
          <c:layout>
            <c:manualLayout>
              <c:xMode val="edge"/>
              <c:yMode val="edge"/>
              <c:x val="2.2782122405153905E-2"/>
              <c:y val="0.32474674876166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No. of cores by SP -DP configuration for HN-FN </a:t>
            </a:r>
            <a:r>
              <a:rPr lang="en-IN"/>
              <a:t>MDBench-VL-ICC-X86</a:t>
            </a:r>
          </a:p>
          <a:p>
            <a:pPr>
              <a:defRPr/>
            </a:pPr>
            <a:r>
              <a:rPr lang="en-IN"/>
              <a:t> </a:t>
            </a:r>
            <a:r>
              <a:rPr lang="en-GB"/>
              <a:t>Intel Sapphire Rapids at Freq 3.0 GHz</a:t>
            </a:r>
          </a:p>
        </c:rich>
      </c:tx>
      <c:layout>
        <c:manualLayout>
          <c:xMode val="edge"/>
          <c:yMode val="edge"/>
          <c:x val="0.24782738749835043"/>
          <c:y val="2.4102307901167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348939324133"/>
          <c:y val="0.13914162587784634"/>
          <c:w val="0.86838817842918004"/>
          <c:h val="0.69578899765907631"/>
        </c:manualLayout>
      </c:layout>
      <c:lineChart>
        <c:grouping val="standard"/>
        <c:varyColors val="0"/>
        <c:ser>
          <c:idx val="0"/>
          <c:order val="0"/>
          <c:tx>
            <c:v>VL AVX 512 DP FN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Energy!$B$40:$AB$40</c:f>
              <c:numCache>
                <c:formatCode>0.00</c:formatCode>
                <c:ptCount val="27"/>
                <c:pt idx="0">
                  <c:v>15.632301400000001</c:v>
                </c:pt>
                <c:pt idx="1">
                  <c:v>14.2716181</c:v>
                </c:pt>
                <c:pt idx="2">
                  <c:v>110.4297852</c:v>
                </c:pt>
                <c:pt idx="3">
                  <c:v>163.5693746</c:v>
                </c:pt>
                <c:pt idx="4">
                  <c:v>216.99764039999999</c:v>
                </c:pt>
                <c:pt idx="5">
                  <c:v>271.6361976</c:v>
                </c:pt>
                <c:pt idx="6">
                  <c:v>318.4498375</c:v>
                </c:pt>
                <c:pt idx="7">
                  <c:v>361.15247049999999</c:v>
                </c:pt>
                <c:pt idx="8">
                  <c:v>415.95831219999997</c:v>
                </c:pt>
                <c:pt idx="9">
                  <c:v>468.70694140000001</c:v>
                </c:pt>
                <c:pt idx="10">
                  <c:v>505.64086450000002</c:v>
                </c:pt>
                <c:pt idx="11">
                  <c:v>564.6473185000001</c:v>
                </c:pt>
                <c:pt idx="12">
                  <c:v>606.9909083</c:v>
                </c:pt>
                <c:pt idx="13">
                  <c:v>639.44797740000001</c:v>
                </c:pt>
                <c:pt idx="14">
                  <c:v>627.20716089999996</c:v>
                </c:pt>
                <c:pt idx="15">
                  <c:v>658.97286369999995</c:v>
                </c:pt>
                <c:pt idx="16">
                  <c:v>689.98559169999999</c:v>
                </c:pt>
                <c:pt idx="17">
                  <c:v>696.97864549999997</c:v>
                </c:pt>
                <c:pt idx="18">
                  <c:v>715.55738370000006</c:v>
                </c:pt>
                <c:pt idx="19">
                  <c:v>743.70653460000005</c:v>
                </c:pt>
                <c:pt idx="20">
                  <c:v>751.50774999999999</c:v>
                </c:pt>
                <c:pt idx="21">
                  <c:v>775.39866359999996</c:v>
                </c:pt>
                <c:pt idx="22">
                  <c:v>825.37430630000006</c:v>
                </c:pt>
                <c:pt idx="23">
                  <c:v>817.10676060000003</c:v>
                </c:pt>
                <c:pt idx="24">
                  <c:v>873.63142669999991</c:v>
                </c:pt>
                <c:pt idx="25">
                  <c:v>874.7759605</c:v>
                </c:pt>
                <c:pt idx="26">
                  <c:v>808.02758349999999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7-4247-84FA-6567DD0C6626}"/>
            </c:ext>
          </c:extLst>
        </c:ser>
        <c:ser>
          <c:idx val="1"/>
          <c:order val="1"/>
          <c:tx>
            <c:v>VL AVX 512 DP HN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Energy!$B$64:$AB$64</c:f>
              <c:numCache>
                <c:formatCode>0.00</c:formatCode>
                <c:ptCount val="27"/>
                <c:pt idx="0">
                  <c:v>7.5252954000000001</c:v>
                </c:pt>
                <c:pt idx="1">
                  <c:v>11.168533999999999</c:v>
                </c:pt>
                <c:pt idx="2">
                  <c:v>74.309143200000008</c:v>
                </c:pt>
                <c:pt idx="3">
                  <c:v>105.22928909999999</c:v>
                </c:pt>
                <c:pt idx="4">
                  <c:v>131.2497731</c:v>
                </c:pt>
                <c:pt idx="5">
                  <c:v>160.63969399999999</c:v>
                </c:pt>
                <c:pt idx="6">
                  <c:v>171.1076869</c:v>
                </c:pt>
                <c:pt idx="7">
                  <c:v>189.45206680000001</c:v>
                </c:pt>
                <c:pt idx="8">
                  <c:v>212.74482599999999</c:v>
                </c:pt>
                <c:pt idx="9">
                  <c:v>260.1663059</c:v>
                </c:pt>
                <c:pt idx="10">
                  <c:v>269.87978190000001</c:v>
                </c:pt>
                <c:pt idx="11">
                  <c:v>292.9528492</c:v>
                </c:pt>
                <c:pt idx="12">
                  <c:v>303.51245039999998</c:v>
                </c:pt>
                <c:pt idx="13">
                  <c:v>292.5071299</c:v>
                </c:pt>
                <c:pt idx="14">
                  <c:v>288.89627689999998</c:v>
                </c:pt>
                <c:pt idx="15">
                  <c:v>336.12216690000002</c:v>
                </c:pt>
                <c:pt idx="16">
                  <c:v>322.26694359999999</c:v>
                </c:pt>
                <c:pt idx="17">
                  <c:v>310.46724139999998</c:v>
                </c:pt>
                <c:pt idx="18">
                  <c:v>352.33080190000004</c:v>
                </c:pt>
                <c:pt idx="19">
                  <c:v>379.53710330000001</c:v>
                </c:pt>
                <c:pt idx="20">
                  <c:v>392.37383439999996</c:v>
                </c:pt>
                <c:pt idx="21">
                  <c:v>386.95216090000002</c:v>
                </c:pt>
                <c:pt idx="22">
                  <c:v>403.8134091</c:v>
                </c:pt>
                <c:pt idx="23">
                  <c:v>392.40163170000005</c:v>
                </c:pt>
                <c:pt idx="24">
                  <c:v>385.48433899999998</c:v>
                </c:pt>
                <c:pt idx="25">
                  <c:v>392.56483079999998</c:v>
                </c:pt>
                <c:pt idx="26">
                  <c:v>389.27876860000003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7-4247-84FA-6567DD0C6626}"/>
            </c:ext>
          </c:extLst>
        </c:ser>
        <c:ser>
          <c:idx val="3"/>
          <c:order val="2"/>
          <c:tx>
            <c:v>VL AVX 512 SP FN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Energy!$B$80:$AB$80</c:f>
              <c:numCache>
                <c:formatCode>General</c:formatCode>
                <c:ptCount val="27"/>
                <c:pt idx="0">
                  <c:v>11.996767500000001</c:v>
                </c:pt>
                <c:pt idx="1">
                  <c:v>11.2458864</c:v>
                </c:pt>
                <c:pt idx="2">
                  <c:v>88.478318999999999</c:v>
                </c:pt>
                <c:pt idx="3">
                  <c:v>131.25173939999999</c:v>
                </c:pt>
                <c:pt idx="4">
                  <c:v>175.1165268</c:v>
                </c:pt>
                <c:pt idx="5">
                  <c:v>218.55894769999998</c:v>
                </c:pt>
                <c:pt idx="6">
                  <c:v>257.60533279999999</c:v>
                </c:pt>
                <c:pt idx="7">
                  <c:v>296.2319847</c:v>
                </c:pt>
                <c:pt idx="8">
                  <c:v>338.54275530000001</c:v>
                </c:pt>
                <c:pt idx="9">
                  <c:v>377.53958189999997</c:v>
                </c:pt>
                <c:pt idx="10">
                  <c:v>413.1518628</c:v>
                </c:pt>
                <c:pt idx="11">
                  <c:v>451.50483630000002</c:v>
                </c:pt>
                <c:pt idx="12">
                  <c:v>487.2704943</c:v>
                </c:pt>
                <c:pt idx="13">
                  <c:v>488.24003619999996</c:v>
                </c:pt>
                <c:pt idx="14">
                  <c:v>486.40181439999998</c:v>
                </c:pt>
                <c:pt idx="15">
                  <c:v>485.67278240000002</c:v>
                </c:pt>
                <c:pt idx="16">
                  <c:v>502.57109170000001</c:v>
                </c:pt>
                <c:pt idx="17">
                  <c:v>509.5926819</c:v>
                </c:pt>
                <c:pt idx="18">
                  <c:v>540.18114520000006</c:v>
                </c:pt>
                <c:pt idx="19">
                  <c:v>517.94125599999995</c:v>
                </c:pt>
                <c:pt idx="20">
                  <c:v>550.45943310000007</c:v>
                </c:pt>
                <c:pt idx="21">
                  <c:v>567.6872237</c:v>
                </c:pt>
                <c:pt idx="22">
                  <c:v>581.21963040000003</c:v>
                </c:pt>
                <c:pt idx="23">
                  <c:v>587.08365089999995</c:v>
                </c:pt>
                <c:pt idx="24">
                  <c:v>599.44620510000004</c:v>
                </c:pt>
                <c:pt idx="25">
                  <c:v>608.7876483</c:v>
                </c:pt>
                <c:pt idx="26">
                  <c:v>557.83469030000003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7-4247-84FA-6567DD0C6626}"/>
            </c:ext>
          </c:extLst>
        </c:ser>
        <c:ser>
          <c:idx val="2"/>
          <c:order val="3"/>
          <c:tx>
            <c:v>VL AVX 512 SP HN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Energy!$B$1:$AB$1</c:f>
              <c:numCache>
                <c:formatCode>0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</c:numCache>
            </c:numRef>
          </c:cat>
          <c:val>
            <c:numRef>
              <c:f>Energy!$B$77:$AB$77</c:f>
              <c:numCache>
                <c:formatCode>General</c:formatCode>
                <c:ptCount val="27"/>
                <c:pt idx="0">
                  <c:v>7.9917948999999995</c:v>
                </c:pt>
                <c:pt idx="1">
                  <c:v>11.877800199999999</c:v>
                </c:pt>
                <c:pt idx="2">
                  <c:v>84.625475800000004</c:v>
                </c:pt>
                <c:pt idx="3">
                  <c:v>117.53167669999999</c:v>
                </c:pt>
                <c:pt idx="4">
                  <c:v>146.15319630000002</c:v>
                </c:pt>
                <c:pt idx="5">
                  <c:v>173.71096919999999</c:v>
                </c:pt>
                <c:pt idx="6">
                  <c:v>178.0815221</c:v>
                </c:pt>
                <c:pt idx="7">
                  <c:v>200.80570680000002</c:v>
                </c:pt>
                <c:pt idx="8">
                  <c:v>246.99568530000002</c:v>
                </c:pt>
                <c:pt idx="9">
                  <c:v>286.7657069</c:v>
                </c:pt>
                <c:pt idx="10">
                  <c:v>298.14046689999998</c:v>
                </c:pt>
                <c:pt idx="11">
                  <c:v>306.43462680000005</c:v>
                </c:pt>
                <c:pt idx="12">
                  <c:v>331.77780469999999</c:v>
                </c:pt>
                <c:pt idx="13">
                  <c:v>304.87531719999998</c:v>
                </c:pt>
                <c:pt idx="14">
                  <c:v>334.03783760000005</c:v>
                </c:pt>
                <c:pt idx="15">
                  <c:v>365.61060909999998</c:v>
                </c:pt>
                <c:pt idx="16">
                  <c:v>332.32325530000003</c:v>
                </c:pt>
                <c:pt idx="17">
                  <c:v>334.54739059999997</c:v>
                </c:pt>
                <c:pt idx="18">
                  <c:v>356.51145159999999</c:v>
                </c:pt>
                <c:pt idx="19">
                  <c:v>372.47304029999998</c:v>
                </c:pt>
                <c:pt idx="20">
                  <c:v>389.58266810000003</c:v>
                </c:pt>
                <c:pt idx="21">
                  <c:v>400.95634039999999</c:v>
                </c:pt>
                <c:pt idx="22">
                  <c:v>398.11653989999996</c:v>
                </c:pt>
                <c:pt idx="23">
                  <c:v>388.48604470000004</c:v>
                </c:pt>
                <c:pt idx="24">
                  <c:v>418.94410700000003</c:v>
                </c:pt>
                <c:pt idx="25">
                  <c:v>417.79344129999998</c:v>
                </c:pt>
                <c:pt idx="26">
                  <c:v>411.60425699999996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7-4247-84FA-6567DD0C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620944"/>
        <c:axId val="994841312"/>
      </c:lineChart>
      <c:catAx>
        <c:axId val="9946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1312"/>
        <c:crosses val="autoZero"/>
        <c:auto val="1"/>
        <c:lblAlgn val="ctr"/>
        <c:lblOffset val="100"/>
        <c:noMultiLvlLbl val="0"/>
      </c:catAx>
      <c:valAx>
        <c:axId val="9948413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 [ GFlops/s]</a:t>
                </a:r>
              </a:p>
            </c:rich>
          </c:tx>
          <c:layout>
            <c:manualLayout>
              <c:xMode val="edge"/>
              <c:yMode val="edge"/>
              <c:x val="3.0278039267437943E-2"/>
              <c:y val="0.30838895827676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94961802958992"/>
          <c:y val="0.92484250158385373"/>
          <c:w val="0.75205038882877451"/>
          <c:h val="7.3354208189909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Instruction</a:t>
            </a:r>
            <a:r>
              <a:rPr lang="en-GB" baseline="0"/>
              <a:t> count vs SIMD mode comparing half and full neighbour verletlist </a:t>
            </a: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(ICC DP VL MD Bench ) at Freq 3.0 GHz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0745356433951599"/>
          <c:y val="1.087308939323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22518319603107E-2"/>
          <c:y val="0.10074168495331524"/>
          <c:w val="0.86839037822584308"/>
          <c:h val="0.7993215475469412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'Instruction Count  (2)'!$G$1</c:f>
              <c:strCache>
                <c:ptCount val="1"/>
                <c:pt idx="0">
                  <c:v>FN novec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1-4174-B632-87EFE08AB9FD}"/>
              </c:ext>
            </c:extLst>
          </c:dPt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(2)'!$G$2:$G$4</c:f>
              <c:numCache>
                <c:formatCode>General</c:formatCode>
                <c:ptCount val="2"/>
                <c:pt idx="0">
                  <c:v>86037500000</c:v>
                </c:pt>
                <c:pt idx="1">
                  <c:v>37738310000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1-4174-B632-87EFE08AB9FD}"/>
            </c:ext>
          </c:extLst>
        </c:ser>
        <c:ser>
          <c:idx val="0"/>
          <c:order val="1"/>
          <c:tx>
            <c:strRef>
              <c:f>'Instruction Count  (2)'!$B$1</c:f>
              <c:strCache>
                <c:ptCount val="1"/>
                <c:pt idx="0">
                  <c:v>HN novec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(2)'!$B$2:$B$4</c:f>
              <c:numCache>
                <c:formatCode>General</c:formatCode>
                <c:ptCount val="2"/>
                <c:pt idx="0">
                  <c:v>71566280000</c:v>
                </c:pt>
                <c:pt idx="1">
                  <c:v>34761980000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1-4174-B632-87EFE08AB9FD}"/>
            </c:ext>
          </c:extLst>
        </c:ser>
        <c:ser>
          <c:idx val="5"/>
          <c:order val="2"/>
          <c:tx>
            <c:strRef>
              <c:f>'Instruction Count  (2)'!$H$1</c:f>
              <c:strCache>
                <c:ptCount val="1"/>
                <c:pt idx="0">
                  <c:v>FN SSE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(2)'!$H$2:$H$4</c:f>
              <c:numCache>
                <c:formatCode>General</c:formatCode>
                <c:ptCount val="2"/>
                <c:pt idx="0">
                  <c:v>51775360000</c:v>
                </c:pt>
                <c:pt idx="1">
                  <c:v>21724264500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1-4174-B632-87EFE08AB9FD}"/>
            </c:ext>
          </c:extLst>
        </c:ser>
        <c:ser>
          <c:idx val="1"/>
          <c:order val="3"/>
          <c:tx>
            <c:strRef>
              <c:f>'Instruction Count  (2)'!$C$1</c:f>
              <c:strCache>
                <c:ptCount val="1"/>
                <c:pt idx="0">
                  <c:v>HN SSE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(2)'!$C$2:$C$4</c:f>
              <c:numCache>
                <c:formatCode>General</c:formatCode>
                <c:ptCount val="2"/>
                <c:pt idx="0">
                  <c:v>71051440000</c:v>
                </c:pt>
                <c:pt idx="1">
                  <c:v>12877139800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1-4174-B632-87EFE08AB9FD}"/>
            </c:ext>
          </c:extLst>
        </c:ser>
        <c:ser>
          <c:idx val="6"/>
          <c:order val="4"/>
          <c:tx>
            <c:strRef>
              <c:f>'Instruction Count  (2)'!$I$1</c:f>
              <c:strCache>
                <c:ptCount val="1"/>
                <c:pt idx="0">
                  <c:v>FN AVX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(2)'!$I$2:$I$4</c:f>
              <c:numCache>
                <c:formatCode>General</c:formatCode>
                <c:ptCount val="2"/>
                <c:pt idx="0">
                  <c:v>49708750000</c:v>
                </c:pt>
                <c:pt idx="1">
                  <c:v>13953280000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A1-4174-B632-87EFE08AB9FD}"/>
            </c:ext>
          </c:extLst>
        </c:ser>
        <c:ser>
          <c:idx val="2"/>
          <c:order val="5"/>
          <c:tx>
            <c:strRef>
              <c:f>'Instruction Count  (2)'!$D$1</c:f>
              <c:strCache>
                <c:ptCount val="1"/>
                <c:pt idx="0">
                  <c:v>HN AVX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(2)'!$D$2:$D$4</c:f>
              <c:numCache>
                <c:formatCode>General</c:formatCode>
                <c:ptCount val="2"/>
                <c:pt idx="0">
                  <c:v>67893720000</c:v>
                </c:pt>
                <c:pt idx="1">
                  <c:v>8172832350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A1-4174-B632-87EFE08AB9FD}"/>
            </c:ext>
          </c:extLst>
        </c:ser>
        <c:ser>
          <c:idx val="7"/>
          <c:order val="6"/>
          <c:tx>
            <c:strRef>
              <c:f>'Instruction Count  (2)'!$J$1</c:f>
              <c:strCache>
                <c:ptCount val="1"/>
                <c:pt idx="0">
                  <c:v>FN AVX512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(2)'!$J$2:$J$4</c:f>
              <c:numCache>
                <c:formatCode>General</c:formatCode>
                <c:ptCount val="2"/>
                <c:pt idx="0">
                  <c:v>16824260000</c:v>
                </c:pt>
                <c:pt idx="1">
                  <c:v>8416387830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A1-4174-B632-87EFE08AB9FD}"/>
            </c:ext>
          </c:extLst>
        </c:ser>
        <c:ser>
          <c:idx val="3"/>
          <c:order val="7"/>
          <c:tx>
            <c:strRef>
              <c:f>'Instruction Count  (2)'!$E$1</c:f>
              <c:strCache>
                <c:ptCount val="1"/>
                <c:pt idx="0">
                  <c:v>HN AVX512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'Instruction Count  (2)'!$A$2:$A$4</c:f>
              <c:strCache>
                <c:ptCount val="2"/>
                <c:pt idx="0">
                  <c:v>Instructions total</c:v>
                </c:pt>
                <c:pt idx="1">
                  <c:v>Instructions arithimetic</c:v>
                </c:pt>
              </c:strCache>
            </c:strRef>
          </c:cat>
          <c:val>
            <c:numRef>
              <c:f>'Instruction Count  (2)'!$E$2:$E$4</c:f>
              <c:numCache>
                <c:formatCode>General</c:formatCode>
                <c:ptCount val="2"/>
                <c:pt idx="0">
                  <c:v>13737380000</c:v>
                </c:pt>
                <c:pt idx="1">
                  <c:v>5639886830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A1-4174-B632-87EFE08A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427024"/>
        <c:axId val="718429296"/>
      </c:barChart>
      <c:catAx>
        <c:axId val="7184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9296"/>
        <c:crosses val="autoZero"/>
        <c:auto val="1"/>
        <c:lblAlgn val="ctr"/>
        <c:lblOffset val="100"/>
        <c:noMultiLvlLbl val="0"/>
      </c:catAx>
      <c:valAx>
        <c:axId val="7184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06103348099852"/>
          <c:y val="0.94475038765934305"/>
          <c:w val="0.77665846456692911"/>
          <c:h val="5.1120987280436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no. of cores </a:t>
            </a: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IN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MDBench-CP-ICC-X86-AVX512-DP</a:t>
            </a:r>
          </a:p>
          <a:p>
            <a:pPr>
              <a:defRPr/>
            </a:pP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Intel Sapphire Rapids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5909925816235"/>
          <c:y val="9.8452774427765274E-2"/>
          <c:w val="0.85928308012131394"/>
          <c:h val="0.69543613807867399"/>
        </c:manualLayout>
      </c:layout>
      <c:lineChart>
        <c:grouping val="stacked"/>
        <c:varyColors val="0"/>
        <c:ser>
          <c:idx val="0"/>
          <c:order val="0"/>
          <c:tx>
            <c:strRef>
              <c:f>Scalability!$U$4</c:f>
              <c:strCache>
                <c:ptCount val="1"/>
                <c:pt idx="0">
                  <c:v>Clusterpair Freq 1.6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Scalability!$U$5:$U$31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041-433B-84B8-E170B05D4DAA}"/>
            </c:ext>
          </c:extLst>
        </c:ser>
        <c:ser>
          <c:idx val="1"/>
          <c:order val="1"/>
          <c:tx>
            <c:strRef>
              <c:f>Scalability!$V$4</c:f>
              <c:strCache>
                <c:ptCount val="1"/>
                <c:pt idx="0">
                  <c:v>Performance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Scalability!$V$5:$V$31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041-433B-84B8-E170B05D4DAA}"/>
            </c:ext>
          </c:extLst>
        </c:ser>
        <c:ser>
          <c:idx val="2"/>
          <c:order val="2"/>
          <c:tx>
            <c:strRef>
              <c:f>Scalability!$W$4</c:f>
              <c:strCache>
                <c:ptCount val="1"/>
                <c:pt idx="0">
                  <c:v>Clusterpair Freq 3.0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Scalability!$W$5:$W$31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041-433B-84B8-E170B05D4DAA}"/>
            </c:ext>
          </c:extLst>
        </c:ser>
        <c:ser>
          <c:idx val="3"/>
          <c:order val="3"/>
          <c:tx>
            <c:strRef>
              <c:f>Scalability!$X$4</c:f>
              <c:strCache>
                <c:ptCount val="1"/>
                <c:pt idx="0">
                  <c:v>Performance 3.8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Scalability!$X$5:$X$31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041-433B-84B8-E170B05D4DAA}"/>
            </c:ext>
          </c:extLst>
        </c:ser>
        <c:ser>
          <c:idx val="4"/>
          <c:order val="4"/>
          <c:tx>
            <c:strRef>
              <c:f>Scalability!$Y$4</c:f>
              <c:strCache>
                <c:ptCount val="1"/>
                <c:pt idx="0">
                  <c:v>Clusterpair Freq 3.8 GHz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Scalability!$Y$5:$Y$31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041-433B-84B8-E170B05D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88575"/>
        <c:axId val="1695524911"/>
      </c:lineChart>
      <c:catAx>
        <c:axId val="17237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24911"/>
        <c:crosses val="autoZero"/>
        <c:auto val="1"/>
        <c:lblAlgn val="ctr"/>
        <c:lblOffset val="100"/>
        <c:noMultiLvlLbl val="0"/>
      </c:catAx>
      <c:valAx>
        <c:axId val="16955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  <a:r>
                  <a:rPr lang="en-GB" baseline="0"/>
                  <a:t> [GFlops/s]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2575073685409579E-2"/>
              <c:y val="0.3309074434337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memory bandwidth vs no. of cores</a:t>
            </a:r>
            <a:r>
              <a:rPr lang="en-IN"/>
              <a:t> MDBench-ICC-X86-AVX512-DP on Intel Sapphire Rapids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30249991585498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0318028428264"/>
          <c:y val="0.12128402611916018"/>
          <c:w val="0.84775389439956383"/>
          <c:h val="0.7202677265324583"/>
        </c:manualLayout>
      </c:layout>
      <c:barChart>
        <c:barDir val="col"/>
        <c:grouping val="clustered"/>
        <c:varyColors val="0"/>
        <c:ser>
          <c:idx val="0"/>
          <c:order val="0"/>
          <c:tx>
            <c:v>Verletlist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Scalability!$Z$5:$Z$31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F28-4726-89E8-6B8E8A0FB422}"/>
            </c:ext>
          </c:extLst>
        </c:ser>
        <c:ser>
          <c:idx val="1"/>
          <c:order val="1"/>
          <c:tx>
            <c:v>Cluster pair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Scalability!$J$5:$J$31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F28-4726-89E8-6B8E8A0F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99808"/>
        <c:axId val="641539536"/>
      </c:barChart>
      <c:catAx>
        <c:axId val="6406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9536"/>
        <c:crosses val="autoZero"/>
        <c:auto val="1"/>
        <c:lblAlgn val="ctr"/>
        <c:lblOffset val="100"/>
        <c:noMultiLvlLbl val="0"/>
      </c:catAx>
      <c:valAx>
        <c:axId val="6415395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Bandwidth [MBytes/s]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vs No. of cores by SIMD mode </a:t>
            </a:r>
            <a:r>
              <a:rPr lang="en-IN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MDBench-VL-ICC-X86-DP</a:t>
            </a:r>
          </a:p>
          <a:p>
            <a:pPr>
              <a:defRPr/>
            </a:pPr>
            <a:r>
              <a:rPr lang="en-IN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Intel Sapphire Rapids at Freq 3.0 GHz</a:t>
            </a:r>
          </a:p>
        </c:rich>
      </c:tx>
      <c:layout>
        <c:manualLayout>
          <c:xMode val="edge"/>
          <c:yMode val="edge"/>
          <c:x val="0.13000849089258049"/>
          <c:y val="1.931695009445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0023798174204"/>
          <c:y val="5.0793781314693601E-2"/>
          <c:w val="0.80115959279127946"/>
          <c:h val="0.82946107959524484"/>
        </c:manualLayout>
      </c:layout>
      <c:lineChart>
        <c:grouping val="stacked"/>
        <c:varyColors val="0"/>
        <c:ser>
          <c:idx val="0"/>
          <c:order val="0"/>
          <c:tx>
            <c:v>Verlet List Scalar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Scalability!$L$5:$L$31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5E-4FE1-BF3B-6515591DA7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Scalability!$M$5:$M$31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75E-4FE1-BF3B-6515591DA70A}"/>
            </c:ext>
          </c:extLst>
        </c:ser>
        <c:ser>
          <c:idx val="2"/>
          <c:order val="2"/>
          <c:tx>
            <c:v>Verlet List SSE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Scalability!$N$5:$N$31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75E-4FE1-BF3B-6515591DA7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Scalability!$O$5:$O$31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75E-4FE1-BF3B-6515591DA70A}"/>
            </c:ext>
          </c:extLst>
        </c:ser>
        <c:ser>
          <c:idx val="4"/>
          <c:order val="4"/>
          <c:tx>
            <c:v>Verlet List AVX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Scalability!$P$5:$P$31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75E-4FE1-BF3B-6515591DA7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Scalability!$Q$5:$Q$31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75E-4FE1-BF3B-6515591DA70A}"/>
            </c:ext>
          </c:extLst>
        </c:ser>
        <c:ser>
          <c:idx val="6"/>
          <c:order val="6"/>
          <c:tx>
            <c:v>Verlet List AVX 512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Scalability!$R$5:$R$31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75E-4FE1-BF3B-6515591D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89631"/>
        <c:axId val="1773191359"/>
      </c:lineChart>
      <c:catAx>
        <c:axId val="17731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aseline="0"/>
                  <a:t>No. of cores</a:t>
                </a:r>
              </a:p>
            </c:rich>
          </c:tx>
          <c:layout>
            <c:manualLayout>
              <c:xMode val="edge"/>
              <c:yMode val="edge"/>
              <c:x val="0.45570028665013079"/>
              <c:y val="0.94687005649717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91359"/>
        <c:crosses val="autoZero"/>
        <c:auto val="1"/>
        <c:lblAlgn val="ctr"/>
        <c:lblOffset val="100"/>
        <c:noMultiLvlLbl val="0"/>
      </c:catAx>
      <c:valAx>
        <c:axId val="17731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aseline="0"/>
                  <a:t>Performance [GFlops/s]</a:t>
                </a:r>
              </a:p>
            </c:rich>
          </c:tx>
          <c:layout>
            <c:manualLayout>
              <c:xMode val="edge"/>
              <c:yMode val="edge"/>
              <c:x val="2.721606171986558E-2"/>
              <c:y val="0.3357688509275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43861388100746"/>
          <c:y val="9.9559322033898306E-2"/>
          <c:w val="0.70419838275594315"/>
          <c:h val="3.5838272665656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hierarchy bandwidth comparing verletlist and clusterpair for </a:t>
            </a:r>
            <a:r>
              <a:rPr lang="en-IN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MDBench-ICC-X86-AVX512-DP</a:t>
            </a:r>
          </a:p>
          <a:p>
            <a:pPr>
              <a:defRPr/>
            </a:pPr>
            <a:r>
              <a:rPr lang="en-GB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Intel Sapphire Rapids at Turbo Frequency 3.8 GHz</a:t>
            </a:r>
          </a:p>
        </c:rich>
      </c:tx>
      <c:layout>
        <c:manualLayout>
          <c:xMode val="edge"/>
          <c:yMode val="edge"/>
          <c:x val="0.22026067267986904"/>
          <c:y val="2.48960001019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26014486085736E-2"/>
          <c:y val="7.4272086741559371E-2"/>
          <c:w val="0.92967461079051261"/>
          <c:h val="0.77090309764162346"/>
        </c:manualLayout>
      </c:layout>
      <c:lineChart>
        <c:grouping val="standard"/>
        <c:varyColors val="0"/>
        <c:ser>
          <c:idx val="0"/>
          <c:order val="0"/>
          <c:tx>
            <c:v>L2 Bandwidth 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Scalability!$AO$5:$AO$31</c:f>
              <c:numCache>
                <c:formatCode>0.00</c:formatCode>
                <c:ptCount val="27"/>
                <c:pt idx="0">
                  <c:v>5288.2129000000004</c:v>
                </c:pt>
                <c:pt idx="1">
                  <c:v>6381.7218000000003</c:v>
                </c:pt>
                <c:pt idx="2">
                  <c:v>7384.3050000000003</c:v>
                </c:pt>
                <c:pt idx="3">
                  <c:v>6941.0748999999996</c:v>
                </c:pt>
                <c:pt idx="4">
                  <c:v>6487.4421000000002</c:v>
                </c:pt>
                <c:pt idx="5">
                  <c:v>6320.3307999999997</c:v>
                </c:pt>
                <c:pt idx="6">
                  <c:v>6941.585</c:v>
                </c:pt>
                <c:pt idx="7">
                  <c:v>6046.0046000000002</c:v>
                </c:pt>
                <c:pt idx="8">
                  <c:v>6873.3489</c:v>
                </c:pt>
                <c:pt idx="9">
                  <c:v>5577.3908000000001</c:v>
                </c:pt>
                <c:pt idx="10">
                  <c:v>6853.8221999999996</c:v>
                </c:pt>
                <c:pt idx="11">
                  <c:v>6348.8179</c:v>
                </c:pt>
                <c:pt idx="12">
                  <c:v>6206.5272999999997</c:v>
                </c:pt>
                <c:pt idx="13">
                  <c:v>5166.2542000000003</c:v>
                </c:pt>
                <c:pt idx="14">
                  <c:v>6210.0875999999998</c:v>
                </c:pt>
                <c:pt idx="15">
                  <c:v>6147.4225999999999</c:v>
                </c:pt>
                <c:pt idx="16">
                  <c:v>6006.2118</c:v>
                </c:pt>
                <c:pt idx="17">
                  <c:v>4741.5923000000003</c:v>
                </c:pt>
                <c:pt idx="18">
                  <c:v>4614.3064000000004</c:v>
                </c:pt>
                <c:pt idx="19">
                  <c:v>5960.0829999999996</c:v>
                </c:pt>
                <c:pt idx="20">
                  <c:v>5764.1877000000004</c:v>
                </c:pt>
                <c:pt idx="21">
                  <c:v>5039.8986000000004</c:v>
                </c:pt>
                <c:pt idx="22">
                  <c:v>5516.9297999999999</c:v>
                </c:pt>
                <c:pt idx="23">
                  <c:v>5402.6916000000001</c:v>
                </c:pt>
                <c:pt idx="24">
                  <c:v>5373.4802</c:v>
                </c:pt>
                <c:pt idx="25">
                  <c:v>5360.6000999999997</c:v>
                </c:pt>
                <c:pt idx="26">
                  <c:v>5324.4777000000004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CB-4114-8310-00DDEAAADF5F}"/>
            </c:ext>
          </c:extLst>
        </c:ser>
        <c:ser>
          <c:idx val="1"/>
          <c:order val="1"/>
          <c:tx>
            <c:v>L2 Bandwidth 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Scalability!$AP$5:$AP$31</c:f>
              <c:numCache>
                <c:formatCode>0.00</c:formatCode>
                <c:ptCount val="27"/>
                <c:pt idx="0">
                  <c:v>7027.1967999999997</c:v>
                </c:pt>
                <c:pt idx="1">
                  <c:v>7524.5123999999996</c:v>
                </c:pt>
                <c:pt idx="2">
                  <c:v>5146.3096999999998</c:v>
                </c:pt>
                <c:pt idx="3">
                  <c:v>6558.1089000000002</c:v>
                </c:pt>
                <c:pt idx="4">
                  <c:v>6924.7308999999996</c:v>
                </c:pt>
                <c:pt idx="5">
                  <c:v>6739.7497999999996</c:v>
                </c:pt>
                <c:pt idx="6">
                  <c:v>5986.4341000000004</c:v>
                </c:pt>
                <c:pt idx="7">
                  <c:v>7015.6899000000003</c:v>
                </c:pt>
                <c:pt idx="8">
                  <c:v>6448.4243999999999</c:v>
                </c:pt>
                <c:pt idx="9">
                  <c:v>6359.1641</c:v>
                </c:pt>
                <c:pt idx="10">
                  <c:v>4597.5389999999998</c:v>
                </c:pt>
                <c:pt idx="11">
                  <c:v>5870.0590000000002</c:v>
                </c:pt>
                <c:pt idx="12">
                  <c:v>6121.9126999999999</c:v>
                </c:pt>
                <c:pt idx="13">
                  <c:v>6316.9016000000001</c:v>
                </c:pt>
                <c:pt idx="14">
                  <c:v>4617.9189999999999</c:v>
                </c:pt>
                <c:pt idx="15">
                  <c:v>4488.5989</c:v>
                </c:pt>
                <c:pt idx="16">
                  <c:v>6129.0460999999996</c:v>
                </c:pt>
                <c:pt idx="17">
                  <c:v>6224.6071000000002</c:v>
                </c:pt>
                <c:pt idx="18">
                  <c:v>6168.9251000000004</c:v>
                </c:pt>
                <c:pt idx="19">
                  <c:v>6217.5564000000004</c:v>
                </c:pt>
                <c:pt idx="20">
                  <c:v>6041.2494999999999</c:v>
                </c:pt>
                <c:pt idx="21">
                  <c:v>6156.6687000000002</c:v>
                </c:pt>
                <c:pt idx="22">
                  <c:v>6000.5663999999997</c:v>
                </c:pt>
                <c:pt idx="23">
                  <c:v>5955.8045000000002</c:v>
                </c:pt>
                <c:pt idx="24">
                  <c:v>6034.5334999999995</c:v>
                </c:pt>
                <c:pt idx="25">
                  <c:v>5910.6570000000002</c:v>
                </c:pt>
                <c:pt idx="26">
                  <c:v>5812.7190000000001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CB-4114-8310-00DDEAAADF5F}"/>
            </c:ext>
          </c:extLst>
        </c:ser>
        <c:ser>
          <c:idx val="2"/>
          <c:order val="2"/>
          <c:tx>
            <c:v>L3 Bandwidth CP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Scalability!$AU$5:$AU$31</c:f>
              <c:numCache>
                <c:formatCode>0.00</c:formatCode>
                <c:ptCount val="27"/>
                <c:pt idx="0">
                  <c:v>4150.8486999999996</c:v>
                </c:pt>
                <c:pt idx="1">
                  <c:v>4777.2986000000001</c:v>
                </c:pt>
                <c:pt idx="2">
                  <c:v>4717.3735999999999</c:v>
                </c:pt>
                <c:pt idx="3">
                  <c:v>4536.8999000000003</c:v>
                </c:pt>
                <c:pt idx="4">
                  <c:v>4465.2195000000002</c:v>
                </c:pt>
                <c:pt idx="5">
                  <c:v>4419.9726000000001</c:v>
                </c:pt>
                <c:pt idx="6">
                  <c:v>4434.5882000000001</c:v>
                </c:pt>
                <c:pt idx="7">
                  <c:v>4135.4740000000002</c:v>
                </c:pt>
                <c:pt idx="8">
                  <c:v>3949.8496</c:v>
                </c:pt>
                <c:pt idx="9">
                  <c:v>4005.7026999999998</c:v>
                </c:pt>
                <c:pt idx="10">
                  <c:v>3805.2822000000001</c:v>
                </c:pt>
                <c:pt idx="11">
                  <c:v>3627.2354</c:v>
                </c:pt>
                <c:pt idx="12">
                  <c:v>3697.8719999999998</c:v>
                </c:pt>
                <c:pt idx="13">
                  <c:v>3695.3724000000002</c:v>
                </c:pt>
                <c:pt idx="14">
                  <c:v>3502.1475</c:v>
                </c:pt>
                <c:pt idx="15">
                  <c:v>3370.1369</c:v>
                </c:pt>
                <c:pt idx="16">
                  <c:v>3444.3715000000002</c:v>
                </c:pt>
                <c:pt idx="17">
                  <c:v>3430.2703999999999</c:v>
                </c:pt>
                <c:pt idx="18">
                  <c:v>3198.5695999999998</c:v>
                </c:pt>
                <c:pt idx="19">
                  <c:v>3370.1244000000002</c:v>
                </c:pt>
                <c:pt idx="20">
                  <c:v>3180.8638000000001</c:v>
                </c:pt>
                <c:pt idx="21">
                  <c:v>3227.1705999999999</c:v>
                </c:pt>
                <c:pt idx="22">
                  <c:v>3123.6206999999999</c:v>
                </c:pt>
                <c:pt idx="23">
                  <c:v>3167.3537000000001</c:v>
                </c:pt>
                <c:pt idx="24">
                  <c:v>3112.0464000000002</c:v>
                </c:pt>
                <c:pt idx="25">
                  <c:v>3009.4086000000002</c:v>
                </c:pt>
                <c:pt idx="26">
                  <c:v>2994.5311999999999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FCB-4114-8310-00DDEAAADF5F}"/>
            </c:ext>
          </c:extLst>
        </c:ser>
        <c:ser>
          <c:idx val="5"/>
          <c:order val="3"/>
          <c:tx>
            <c:v>L3 Bandwidth VL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Scalability!$AV$5:$AV$31</c:f>
              <c:numCache>
                <c:formatCode>0.00</c:formatCode>
                <c:ptCount val="27"/>
                <c:pt idx="0">
                  <c:v>5055.9753000000001</c:v>
                </c:pt>
                <c:pt idx="1">
                  <c:v>3379.2669000000001</c:v>
                </c:pt>
                <c:pt idx="2">
                  <c:v>2857.6738</c:v>
                </c:pt>
                <c:pt idx="3">
                  <c:v>2708.1958</c:v>
                </c:pt>
                <c:pt idx="4">
                  <c:v>2448.6741000000002</c:v>
                </c:pt>
                <c:pt idx="5">
                  <c:v>2359.9807999999998</c:v>
                </c:pt>
                <c:pt idx="6">
                  <c:v>2215.8886000000002</c:v>
                </c:pt>
                <c:pt idx="7">
                  <c:v>2216.3539999999998</c:v>
                </c:pt>
                <c:pt idx="8">
                  <c:v>2140.8503000000001</c:v>
                </c:pt>
                <c:pt idx="9">
                  <c:v>2070.1840999999999</c:v>
                </c:pt>
                <c:pt idx="10">
                  <c:v>2083.2844</c:v>
                </c:pt>
                <c:pt idx="11">
                  <c:v>2029.8382999999999</c:v>
                </c:pt>
                <c:pt idx="12">
                  <c:v>2000.0315000000001</c:v>
                </c:pt>
                <c:pt idx="13">
                  <c:v>2059.9207000000001</c:v>
                </c:pt>
                <c:pt idx="14">
                  <c:v>2064.7501999999999</c:v>
                </c:pt>
                <c:pt idx="15">
                  <c:v>2031.4110000000001</c:v>
                </c:pt>
                <c:pt idx="16">
                  <c:v>2016.826</c:v>
                </c:pt>
                <c:pt idx="17">
                  <c:v>1999.6755000000001</c:v>
                </c:pt>
                <c:pt idx="18">
                  <c:v>2015.6902</c:v>
                </c:pt>
                <c:pt idx="19">
                  <c:v>1998.7188000000001</c:v>
                </c:pt>
                <c:pt idx="20">
                  <c:v>1979.3822</c:v>
                </c:pt>
                <c:pt idx="21">
                  <c:v>1956.7248999999999</c:v>
                </c:pt>
                <c:pt idx="22">
                  <c:v>1961.2618</c:v>
                </c:pt>
                <c:pt idx="23">
                  <c:v>1946.2804000000001</c:v>
                </c:pt>
                <c:pt idx="24">
                  <c:v>1923.9041999999999</c:v>
                </c:pt>
                <c:pt idx="25">
                  <c:v>1922.5506</c:v>
                </c:pt>
                <c:pt idx="26">
                  <c:v>1905.1561999999999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FCB-4114-8310-00DDEAAADF5F}"/>
            </c:ext>
          </c:extLst>
        </c:ser>
        <c:ser>
          <c:idx val="3"/>
          <c:order val="4"/>
          <c:tx>
            <c:v>MEM Bandwidth CP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Scalability!$Z$5:$Z$31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FCB-4114-8310-00DDEAAADF5F}"/>
            </c:ext>
          </c:extLst>
        </c:ser>
        <c:ser>
          <c:idx val="4"/>
          <c:order val="5"/>
          <c:tx>
            <c:v>MEM Bandwidth VL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Scalability!$J$5:$J$31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FCB-4114-8310-00DDEAAA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35744"/>
        <c:axId val="407238016"/>
      </c:lineChart>
      <c:catAx>
        <c:axId val="4072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cores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8016"/>
        <c:crosses val="autoZero"/>
        <c:auto val="1"/>
        <c:lblAlgn val="ctr"/>
        <c:lblOffset val="100"/>
        <c:noMultiLvlLbl val="0"/>
      </c:catAx>
      <c:valAx>
        <c:axId val="4072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Bandwidth [Mbytes/s]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84656404593833"/>
          <c:y val="0.94675454164155681"/>
          <c:w val="0.65644319710453569"/>
          <c:h val="1.9137828989264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hierarchy data volume comparing verletlist and clusterpair for </a:t>
            </a:r>
            <a:r>
              <a:rPr lang="en-IN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MDBench-ICC-X86-AVX512-DP</a:t>
            </a:r>
          </a:p>
          <a:p>
            <a:pPr>
              <a:defRPr/>
            </a:pP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 Intel Sapphire Rapids at Turbo Frequency 3.8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05499664185651E-2"/>
          <c:y val="8.9509703884038908E-2"/>
          <c:w val="0.95029847340973006"/>
          <c:h val="0.80072142253057399"/>
        </c:manualLayout>
      </c:layout>
      <c:lineChart>
        <c:grouping val="standard"/>
        <c:varyColors val="0"/>
        <c:ser>
          <c:idx val="2"/>
          <c:order val="0"/>
          <c:tx>
            <c:v>L2 Data volume 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Scalability!$AS$5:$AS$31</c:f>
              <c:numCache>
                <c:formatCode>0.00</c:formatCode>
                <c:ptCount val="27"/>
                <c:pt idx="0">
                  <c:v>57.070599999999999</c:v>
                </c:pt>
                <c:pt idx="1">
                  <c:v>41.734900000000003</c:v>
                </c:pt>
                <c:pt idx="2">
                  <c:v>27.389299999999999</c:v>
                </c:pt>
                <c:pt idx="3">
                  <c:v>33.788499999999999</c:v>
                </c:pt>
                <c:pt idx="4">
                  <c:v>35.153799999999997</c:v>
                </c:pt>
                <c:pt idx="5">
                  <c:v>34.198599999999999</c:v>
                </c:pt>
                <c:pt idx="6">
                  <c:v>30.825900000000001</c:v>
                </c:pt>
                <c:pt idx="7">
                  <c:v>36.149000000000001</c:v>
                </c:pt>
                <c:pt idx="8">
                  <c:v>34.727200000000003</c:v>
                </c:pt>
                <c:pt idx="9">
                  <c:v>35.1051</c:v>
                </c:pt>
                <c:pt idx="10">
                  <c:v>26.136199999999999</c:v>
                </c:pt>
                <c:pt idx="11">
                  <c:v>33.581600000000002</c:v>
                </c:pt>
                <c:pt idx="12">
                  <c:v>34.935299999999998</c:v>
                </c:pt>
                <c:pt idx="13">
                  <c:v>36.162100000000002</c:v>
                </c:pt>
                <c:pt idx="14">
                  <c:v>37.018999999999998</c:v>
                </c:pt>
                <c:pt idx="15">
                  <c:v>35.501300000000001</c:v>
                </c:pt>
                <c:pt idx="16">
                  <c:v>36.050400000000003</c:v>
                </c:pt>
                <c:pt idx="17">
                  <c:v>36.832799999999999</c:v>
                </c:pt>
                <c:pt idx="18">
                  <c:v>36.759</c:v>
                </c:pt>
                <c:pt idx="19">
                  <c:v>37.310099999999998</c:v>
                </c:pt>
                <c:pt idx="20">
                  <c:v>36.572200000000002</c:v>
                </c:pt>
                <c:pt idx="21">
                  <c:v>37.473300000000002</c:v>
                </c:pt>
                <c:pt idx="22">
                  <c:v>36.818199999999997</c:v>
                </c:pt>
                <c:pt idx="23">
                  <c:v>36.868699999999997</c:v>
                </c:pt>
                <c:pt idx="24">
                  <c:v>37.581299999999999</c:v>
                </c:pt>
                <c:pt idx="25">
                  <c:v>36.9161</c:v>
                </c:pt>
                <c:pt idx="26">
                  <c:v>36.801200000000001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76-477E-8773-A0645DBBDF18}"/>
            </c:ext>
          </c:extLst>
        </c:ser>
        <c:ser>
          <c:idx val="3"/>
          <c:order val="1"/>
          <c:tx>
            <c:v>L2 Data volume 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Scalability!$AR$5:$AR$31</c:f>
              <c:numCache>
                <c:formatCode>0.00</c:formatCode>
                <c:ptCount val="27"/>
                <c:pt idx="0">
                  <c:v>34.203200000000002</c:v>
                </c:pt>
                <c:pt idx="1">
                  <c:v>22.464700000000001</c:v>
                </c:pt>
                <c:pt idx="2">
                  <c:v>23.716100000000001</c:v>
                </c:pt>
                <c:pt idx="3">
                  <c:v>22.542000000000002</c:v>
                </c:pt>
                <c:pt idx="4">
                  <c:v>20.787800000000001</c:v>
                </c:pt>
                <c:pt idx="5">
                  <c:v>20.146000000000001</c:v>
                </c:pt>
                <c:pt idx="6">
                  <c:v>22.510999999999999</c:v>
                </c:pt>
                <c:pt idx="7">
                  <c:v>20.630299999999998</c:v>
                </c:pt>
                <c:pt idx="8">
                  <c:v>23.828499999999998</c:v>
                </c:pt>
                <c:pt idx="9">
                  <c:v>20.8248</c:v>
                </c:pt>
                <c:pt idx="10">
                  <c:v>24.8462</c:v>
                </c:pt>
                <c:pt idx="11">
                  <c:v>23.978300000000001</c:v>
                </c:pt>
                <c:pt idx="12">
                  <c:v>23.8521</c:v>
                </c:pt>
                <c:pt idx="13">
                  <c:v>20.442399999999999</c:v>
                </c:pt>
                <c:pt idx="14">
                  <c:v>25.149000000000001</c:v>
                </c:pt>
                <c:pt idx="15">
                  <c:v>25.219200000000001</c:v>
                </c:pt>
                <c:pt idx="16">
                  <c:v>25.2392</c:v>
                </c:pt>
                <c:pt idx="17">
                  <c:v>20.363700000000001</c:v>
                </c:pt>
                <c:pt idx="18">
                  <c:v>20.514900000000001</c:v>
                </c:pt>
                <c:pt idx="19">
                  <c:v>25.309000000000001</c:v>
                </c:pt>
                <c:pt idx="20">
                  <c:v>25.293099999999999</c:v>
                </c:pt>
                <c:pt idx="21">
                  <c:v>22.6555</c:v>
                </c:pt>
                <c:pt idx="22">
                  <c:v>25.371300000000002</c:v>
                </c:pt>
                <c:pt idx="23">
                  <c:v>24.648599999999998</c:v>
                </c:pt>
                <c:pt idx="24">
                  <c:v>25.382400000000001</c:v>
                </c:pt>
                <c:pt idx="25">
                  <c:v>25.450800000000001</c:v>
                </c:pt>
                <c:pt idx="26">
                  <c:v>25.529199999999999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76-477E-8773-A0645DBBDF18}"/>
            </c:ext>
          </c:extLst>
        </c:ser>
        <c:ser>
          <c:idx val="0"/>
          <c:order val="2"/>
          <c:tx>
            <c:v>L3 Data volume VL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Scalability!$AY$5:$AY$31</c:f>
              <c:numCache>
                <c:formatCode>0.00</c:formatCode>
                <c:ptCount val="27"/>
                <c:pt idx="0">
                  <c:v>41.283200000000001</c:v>
                </c:pt>
                <c:pt idx="1">
                  <c:v>18.886299999999999</c:v>
                </c:pt>
                <c:pt idx="2">
                  <c:v>15.039</c:v>
                </c:pt>
                <c:pt idx="3">
                  <c:v>13.788500000000001</c:v>
                </c:pt>
                <c:pt idx="4">
                  <c:v>12.469200000000001</c:v>
                </c:pt>
                <c:pt idx="5">
                  <c:v>12.3146</c:v>
                </c:pt>
                <c:pt idx="6">
                  <c:v>12.1487</c:v>
                </c:pt>
                <c:pt idx="7">
                  <c:v>12.133599999999999</c:v>
                </c:pt>
                <c:pt idx="8">
                  <c:v>12.0017</c:v>
                </c:pt>
                <c:pt idx="9">
                  <c:v>11.963699999999999</c:v>
                </c:pt>
                <c:pt idx="10">
                  <c:v>11.936299999999999</c:v>
                </c:pt>
                <c:pt idx="11">
                  <c:v>11.8828</c:v>
                </c:pt>
                <c:pt idx="12">
                  <c:v>12.033799999999999</c:v>
                </c:pt>
                <c:pt idx="13">
                  <c:v>12.013999999999999</c:v>
                </c:pt>
                <c:pt idx="14">
                  <c:v>12.158200000000001</c:v>
                </c:pt>
                <c:pt idx="15">
                  <c:v>12.018700000000001</c:v>
                </c:pt>
                <c:pt idx="16">
                  <c:v>12.018800000000001</c:v>
                </c:pt>
                <c:pt idx="17">
                  <c:v>12.0168</c:v>
                </c:pt>
                <c:pt idx="18">
                  <c:v>12.0291</c:v>
                </c:pt>
                <c:pt idx="19">
                  <c:v>12.019500000000001</c:v>
                </c:pt>
                <c:pt idx="20">
                  <c:v>12.0038</c:v>
                </c:pt>
                <c:pt idx="21">
                  <c:v>11.973100000000001</c:v>
                </c:pt>
                <c:pt idx="22">
                  <c:v>12.0168</c:v>
                </c:pt>
                <c:pt idx="23">
                  <c:v>12.035</c:v>
                </c:pt>
                <c:pt idx="24">
                  <c:v>11.990600000000001</c:v>
                </c:pt>
                <c:pt idx="25">
                  <c:v>12.041399999999999</c:v>
                </c:pt>
                <c:pt idx="26">
                  <c:v>12.0665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276-477E-8773-A0645DBBDF18}"/>
            </c:ext>
          </c:extLst>
        </c:ser>
        <c:ser>
          <c:idx val="1"/>
          <c:order val="3"/>
          <c:tx>
            <c:v>L3 Data volume CP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Scalability!$AX$5:$AX$31</c:f>
              <c:numCache>
                <c:formatCode>0.00</c:formatCode>
                <c:ptCount val="27"/>
                <c:pt idx="0">
                  <c:v>23.4557</c:v>
                </c:pt>
                <c:pt idx="1">
                  <c:v>16.758700000000001</c:v>
                </c:pt>
                <c:pt idx="2">
                  <c:v>15.1465</c:v>
                </c:pt>
                <c:pt idx="3">
                  <c:v>14.7021</c:v>
                </c:pt>
                <c:pt idx="4">
                  <c:v>14.488799999999999</c:v>
                </c:pt>
                <c:pt idx="5">
                  <c:v>14.4125</c:v>
                </c:pt>
                <c:pt idx="6">
                  <c:v>14.2994</c:v>
                </c:pt>
                <c:pt idx="7">
                  <c:v>14.169700000000001</c:v>
                </c:pt>
                <c:pt idx="8">
                  <c:v>14.0975</c:v>
                </c:pt>
                <c:pt idx="9">
                  <c:v>14.263999999999999</c:v>
                </c:pt>
                <c:pt idx="10">
                  <c:v>14.1266</c:v>
                </c:pt>
                <c:pt idx="11">
                  <c:v>14.173400000000001</c:v>
                </c:pt>
                <c:pt idx="12">
                  <c:v>14.1998</c:v>
                </c:pt>
                <c:pt idx="13">
                  <c:v>14.2315</c:v>
                </c:pt>
                <c:pt idx="14">
                  <c:v>14.2843</c:v>
                </c:pt>
                <c:pt idx="15">
                  <c:v>14.2967</c:v>
                </c:pt>
                <c:pt idx="16">
                  <c:v>14.383800000000001</c:v>
                </c:pt>
                <c:pt idx="17">
                  <c:v>14.3969</c:v>
                </c:pt>
                <c:pt idx="18">
                  <c:v>14.237399999999999</c:v>
                </c:pt>
                <c:pt idx="19">
                  <c:v>14.389900000000001</c:v>
                </c:pt>
                <c:pt idx="20">
                  <c:v>14.296799999999999</c:v>
                </c:pt>
                <c:pt idx="21">
                  <c:v>14.352</c:v>
                </c:pt>
                <c:pt idx="22">
                  <c:v>14.3089</c:v>
                </c:pt>
                <c:pt idx="23">
                  <c:v>14.436299999999999</c:v>
                </c:pt>
                <c:pt idx="24">
                  <c:v>14.4709</c:v>
                </c:pt>
                <c:pt idx="25">
                  <c:v>14.3485</c:v>
                </c:pt>
                <c:pt idx="26">
                  <c:v>14.474500000000001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276-477E-8773-A0645DBBDF18}"/>
            </c:ext>
          </c:extLst>
        </c:ser>
        <c:ser>
          <c:idx val="5"/>
          <c:order val="4"/>
          <c:tx>
            <c:v>MEM data volume VL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Scalability!$AM$5:$AM$32</c:f>
              <c:numCache>
                <c:formatCode>0.00</c:formatCode>
                <c:ptCount val="28"/>
                <c:pt idx="0">
                  <c:v>1.9696</c:v>
                </c:pt>
                <c:pt idx="1">
                  <c:v>1.5071000000000001</c:v>
                </c:pt>
                <c:pt idx="2">
                  <c:v>1.4136</c:v>
                </c:pt>
                <c:pt idx="3">
                  <c:v>1.3648</c:v>
                </c:pt>
                <c:pt idx="4">
                  <c:v>1.3655999999999999</c:v>
                </c:pt>
                <c:pt idx="5">
                  <c:v>1.2987</c:v>
                </c:pt>
                <c:pt idx="6">
                  <c:v>1.3465</c:v>
                </c:pt>
                <c:pt idx="7">
                  <c:v>1.4093</c:v>
                </c:pt>
                <c:pt idx="8">
                  <c:v>1.4300999999999999</c:v>
                </c:pt>
                <c:pt idx="9">
                  <c:v>1.486</c:v>
                </c:pt>
                <c:pt idx="10">
                  <c:v>1.4521999999999999</c:v>
                </c:pt>
                <c:pt idx="11">
                  <c:v>1.4725999999999999</c:v>
                </c:pt>
                <c:pt idx="12">
                  <c:v>1.5442</c:v>
                </c:pt>
                <c:pt idx="13">
                  <c:v>1.5911</c:v>
                </c:pt>
                <c:pt idx="14">
                  <c:v>2.968</c:v>
                </c:pt>
                <c:pt idx="15">
                  <c:v>3.3942999999999999</c:v>
                </c:pt>
                <c:pt idx="16">
                  <c:v>3.8027000000000002</c:v>
                </c:pt>
                <c:pt idx="17">
                  <c:v>4.0039999999999996</c:v>
                </c:pt>
                <c:pt idx="18">
                  <c:v>4.2615999999999996</c:v>
                </c:pt>
                <c:pt idx="19">
                  <c:v>4.7123999999999997</c:v>
                </c:pt>
                <c:pt idx="20">
                  <c:v>4.7835000000000001</c:v>
                </c:pt>
                <c:pt idx="21">
                  <c:v>4.9585999999999997</c:v>
                </c:pt>
                <c:pt idx="22">
                  <c:v>5.2887000000000004</c:v>
                </c:pt>
                <c:pt idx="23">
                  <c:v>5.3253000000000004</c:v>
                </c:pt>
                <c:pt idx="24">
                  <c:v>5.5796000000000001</c:v>
                </c:pt>
                <c:pt idx="25">
                  <c:v>5.5777999999999999</c:v>
                </c:pt>
                <c:pt idx="26">
                  <c:v>5.7236000000000002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276-477E-8773-A0645DBBDF18}"/>
            </c:ext>
          </c:extLst>
        </c:ser>
        <c:ser>
          <c:idx val="4"/>
          <c:order val="5"/>
          <c:tx>
            <c:v>MEM data volume CP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Scalability!$AL$5:$AL$34</c:f>
              <c:numCache>
                <c:formatCode>0.00</c:formatCode>
                <c:ptCount val="30"/>
                <c:pt idx="0">
                  <c:v>1.4233</c:v>
                </c:pt>
                <c:pt idx="1">
                  <c:v>1.0354000000000001</c:v>
                </c:pt>
                <c:pt idx="2">
                  <c:v>0.9415</c:v>
                </c:pt>
                <c:pt idx="3">
                  <c:v>0.93740000000000001</c:v>
                </c:pt>
                <c:pt idx="4">
                  <c:v>1.1363000000000001</c:v>
                </c:pt>
                <c:pt idx="5">
                  <c:v>0.99450000000000005</c:v>
                </c:pt>
                <c:pt idx="6">
                  <c:v>0.99</c:v>
                </c:pt>
                <c:pt idx="7">
                  <c:v>1.0459000000000001</c:v>
                </c:pt>
                <c:pt idx="8">
                  <c:v>0.99790000000000001</c:v>
                </c:pt>
                <c:pt idx="9">
                  <c:v>1.05</c:v>
                </c:pt>
                <c:pt idx="10">
                  <c:v>1.05</c:v>
                </c:pt>
                <c:pt idx="11">
                  <c:v>1.07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2.8130000000000002</c:v>
                </c:pt>
                <c:pt idx="15">
                  <c:v>3.16</c:v>
                </c:pt>
                <c:pt idx="16">
                  <c:v>3.47</c:v>
                </c:pt>
                <c:pt idx="17">
                  <c:v>4.375</c:v>
                </c:pt>
                <c:pt idx="18">
                  <c:v>3.7970000000000002</c:v>
                </c:pt>
                <c:pt idx="19">
                  <c:v>4.0999999999999996</c:v>
                </c:pt>
                <c:pt idx="20">
                  <c:v>4.2095000000000002</c:v>
                </c:pt>
                <c:pt idx="21">
                  <c:v>4.43</c:v>
                </c:pt>
                <c:pt idx="22">
                  <c:v>4.71</c:v>
                </c:pt>
                <c:pt idx="23">
                  <c:v>4.8</c:v>
                </c:pt>
                <c:pt idx="24">
                  <c:v>5.4</c:v>
                </c:pt>
                <c:pt idx="25">
                  <c:v>5.37</c:v>
                </c:pt>
                <c:pt idx="26">
                  <c:v>5.7629000000000001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276-477E-8773-A0645DBB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41728"/>
        <c:axId val="407644000"/>
      </c:lineChart>
      <c:catAx>
        <c:axId val="4076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4000"/>
        <c:crosses val="autoZero"/>
        <c:auto val="1"/>
        <c:lblAlgn val="ctr"/>
        <c:lblOffset val="100"/>
        <c:noMultiLvlLbl val="0"/>
      </c:catAx>
      <c:valAx>
        <c:axId val="4076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volume [Gbytes]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Scalability!$R$4</c:f>
              <c:strCache>
                <c:ptCount val="1"/>
                <c:pt idx="0">
                  <c:v>Performance Freq 3.0 GHz AVX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Scalability!$R$5:$R$31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969-4745-B3E0-6B0E60654042}"/>
            </c:ext>
          </c:extLst>
        </c:ser>
        <c:ser>
          <c:idx val="1"/>
          <c:order val="1"/>
          <c:tx>
            <c:strRef>
              <c:f>Scalability!$W$4</c:f>
              <c:strCache>
                <c:ptCount val="1"/>
                <c:pt idx="0">
                  <c:v>Clusterpair Freq 3.0 GHz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Scalability!$W$5:$W$31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Scalability!$A$5:$A$31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969-4745-B3E0-6B0E6065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43375"/>
        <c:axId val="1121346863"/>
      </c:lineChart>
      <c:catAx>
        <c:axId val="11219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46863"/>
        <c:crosses val="autoZero"/>
        <c:auto val="1"/>
        <c:lblAlgn val="ctr"/>
        <c:lblOffset val="100"/>
        <c:noMultiLvlLbl val="0"/>
      </c:catAx>
      <c:valAx>
        <c:axId val="1121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2895603</xdr:colOff>
      <xdr:row>1</xdr:row>
      <xdr:rowOff>145142</xdr:rowOff>
    </xdr:from>
    <xdr:to>
      <xdr:col>15</xdr:col>
      <xdr:colOff>714830</xdr:colOff>
      <xdr:row>18</xdr:row>
      <xdr:rowOff>264884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34723-1E7C-4E98-BD16-13470224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2106386</xdr:colOff>
      <xdr:row>45</xdr:row>
      <xdr:rowOff>161473</xdr:rowOff>
    </xdr:from>
    <xdr:to>
      <xdr:col>11</xdr:col>
      <xdr:colOff>3022599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107A5-06A6-49D9-AF2E-542FDB2E8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3657600</xdr:colOff>
      <xdr:row>37</xdr:row>
      <xdr:rowOff>0</xdr:rowOff>
    </xdr:from>
    <xdr:to>
      <xdr:col>15</xdr:col>
      <xdr:colOff>228600</xdr:colOff>
      <xdr:row>84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A2DA9-B95B-42F9-A0E7-F4D7A57CC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0.9945</cdr:y>
    </cdr:from>
    <cdr:to>
      <cdr:x>0.8941</cdr:x>
      <cdr:y>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5A9C82C9-4779-34AE-4E5E-975E60FAEE20}"/>
            </a:ext>
          </a:extLst>
        </cdr:cNvPr>
        <cdr:cNvCxnSpPr/>
      </cdr:nvCxnSpPr>
      <cdr:spPr>
        <a:xfrm xmlns:a="http://schemas.openxmlformats.org/drawingml/2006/main">
          <a:off x="0" y="2925985"/>
          <a:ext cx="8516302" cy="1618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0.39705</cdr:x>
      <cdr:y>0.12966</cdr:y>
    </cdr:from>
    <cdr:to>
      <cdr:x>0.63456</cdr:x>
      <cdr:y>0.18315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7CC048-DB06-7CEC-84E3-53591C78415A}"/>
            </a:ext>
          </a:extLst>
        </cdr:cNvPr>
        <cdr:cNvSpPr txBox="1"/>
      </cdr:nvSpPr>
      <cdr:spPr>
        <a:xfrm xmlns:a="http://schemas.openxmlformats.org/drawingml/2006/main">
          <a:off x="8560770" y="1702523"/>
          <a:ext cx="5120939" cy="702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000"/>
            <a:t>Power Cap =700 W over two sockets</a:t>
          </a:r>
        </a:p>
      </cdr:txBody>
    </cdr:sp>
  </cdr:relSizeAnchor>
  <cdr:relSizeAnchor xmlns:cdr="http://schemas.openxmlformats.org/drawingml/2006/chartDrawing">
    <cdr:from>
      <cdr:x>0.41642</cdr:x>
      <cdr:y>0.27451</cdr:y>
    </cdr:from>
    <cdr:to>
      <cdr:x>0.50293</cdr:x>
      <cdr:y>0.31653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CDD7A3-DB0F-B57C-B541-F62E94AE860B}"/>
            </a:ext>
          </a:extLst>
        </cdr:cNvPr>
        <cdr:cNvSpPr txBox="1"/>
      </cdr:nvSpPr>
      <cdr:spPr>
        <a:xfrm xmlns:a="http://schemas.openxmlformats.org/drawingml/2006/main">
          <a:off x="12022666" y="4148666"/>
          <a:ext cx="249766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0.43842</cdr:x>
      <cdr:y>0.29972</cdr:y>
    </cdr:from>
    <cdr:to>
      <cdr:x>0.57272</cdr:x>
      <cdr:y>0.3222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EA1B9A7-4912-3E16-3793-53EA57B717FC}"/>
            </a:ext>
          </a:extLst>
        </cdr:cNvPr>
        <cdr:cNvSpPr txBox="1"/>
      </cdr:nvSpPr>
      <cdr:spPr>
        <a:xfrm xmlns:a="http://schemas.openxmlformats.org/drawingml/2006/main">
          <a:off x="9452682" y="3935621"/>
          <a:ext cx="2895528" cy="295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000" baseline="0"/>
            <a:t>Power =508.45 W</a:t>
          </a:r>
        </a:p>
      </cdr:txBody>
    </cdr:sp>
  </cdr:relSizeAnchor>
  <cdr:relSizeAnchor xmlns:cdr="http://schemas.openxmlformats.org/drawingml/2006/chartDrawing">
    <cdr:from>
      <cdr:x>0.07014</cdr:x>
      <cdr:y>0.12852</cdr:y>
    </cdr:from>
    <cdr:to>
      <cdr:x>0.94955</cdr:x>
      <cdr:y>0.12978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EACD18F-4E62-3AC1-1A05-304DE9580E62}"/>
            </a:ext>
          </a:extLst>
        </cdr:cNvPr>
        <cdr:cNvCxnSpPr/>
      </cdr:nvCxnSpPr>
      <cdr:spPr>
        <a:xfrm xmlns:a="http://schemas.openxmlformats.org/drawingml/2006/main" flipH="1">
          <a:off x="1512345" y="1687657"/>
          <a:ext cx="18960690" cy="16441"/>
        </a:xfrm>
        <a:prstGeom xmlns:a="http://schemas.openxmlformats.org/drawingml/2006/main" prst="straightConnector1">
          <a:avLst/>
        </a:prstGeom>
        <a:ln xmlns:a="http://schemas.openxmlformats.org/drawingml/2006/main" w="34925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0.07174</cdr:x>
      <cdr:y>0.32075</cdr:y>
    </cdr:from>
    <cdr:to>
      <cdr:x>0.94116</cdr:x>
      <cdr:y>0.32583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2E4D76D-06BD-822A-B439-491995DE06C0}"/>
            </a:ext>
          </a:extLst>
        </cdr:cNvPr>
        <cdr:cNvCxnSpPr/>
      </cdr:nvCxnSpPr>
      <cdr:spPr>
        <a:xfrm xmlns:a="http://schemas.openxmlformats.org/drawingml/2006/main" flipH="1">
          <a:off x="1546860" y="4211782"/>
          <a:ext cx="18745200" cy="66675"/>
        </a:xfrm>
        <a:prstGeom xmlns:a="http://schemas.openxmlformats.org/drawingml/2006/main" prst="line">
          <a:avLst/>
        </a:prstGeom>
        <a:ln xmlns:a="http://schemas.openxmlformats.org/drawingml/2006/main" w="317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0.66558</cdr:x>
      <cdr:y>0.015</cdr:y>
    </cdr:from>
    <cdr:to>
      <cdr:x>0.97206</cdr:x>
      <cdr:y>0.09382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35A77F-0F64-BCF4-2386-1F14EEA073C0}"/>
            </a:ext>
          </a:extLst>
        </cdr:cNvPr>
        <cdr:cNvSpPr txBox="1"/>
      </cdr:nvSpPr>
      <cdr:spPr>
        <a:xfrm xmlns:a="http://schemas.openxmlformats.org/drawingml/2006/main">
          <a:off x="16969078" y="218242"/>
          <a:ext cx="7813784" cy="1146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3200" baseline="0"/>
            <a:t>*Scalar line represented by freeform becaue performance values are too small </a:t>
          </a:r>
        </a:p>
      </cdr:txBody>
    </cdr:sp>
  </cdr:relSizeAnchor>
  <cdr:relSizeAnchor xmlns:cdr="http://schemas.openxmlformats.org/drawingml/2006/chartDrawing">
    <cdr:from>
      <cdr:x>0.10645</cdr:x>
      <cdr:y>0.11678</cdr:y>
    </cdr:from>
    <cdr:to>
      <cdr:x>0.30386</cdr:x>
      <cdr:y>0.15491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D8A563-9027-8D38-EEB2-21E8B8061345}"/>
            </a:ext>
          </a:extLst>
        </cdr:cNvPr>
        <cdr:cNvSpPr txBox="1"/>
      </cdr:nvSpPr>
      <cdr:spPr>
        <a:xfrm xmlns:a="http://schemas.openxmlformats.org/drawingml/2006/main">
          <a:off x="2714037" y="1699459"/>
          <a:ext cx="5032963" cy="55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3200"/>
            <a:t>Scalar energy line starts here</a:t>
          </a:r>
        </a:p>
      </cdr:txBody>
    </cdr:sp>
  </cdr:relSizeAnchor>
  <cdr:relSizeAnchor xmlns:cdr="http://schemas.openxmlformats.org/drawingml/2006/chartDrawing">
    <cdr:from>
      <cdr:x>0.10943</cdr:x>
      <cdr:y>0.17037</cdr:y>
    </cdr:from>
    <cdr:to>
      <cdr:x>0.11881</cdr:x>
      <cdr:y>0.19184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401C77CE-2D89-4A83-17CC-DE247668326F}"/>
            </a:ext>
          </a:extLst>
        </cdr:cNvPr>
        <cdr:cNvSpPr/>
      </cdr:nvSpPr>
      <cdr:spPr>
        <a:xfrm xmlns:a="http://schemas.openxmlformats.org/drawingml/2006/main">
          <a:off x="2789978" y="2479199"/>
          <a:ext cx="239145" cy="31243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0.11569</cdr:x>
      <cdr:y>0.17674</cdr:y>
    </cdr:from>
    <cdr:to>
      <cdr:x>0.12775</cdr:x>
      <cdr:y>0.38785</cdr:y>
    </cdr:to>
    <cdr:sp macro="" textlink="">
      <cdr:nvSpPr>
        <cdr:cNvPr id="9" name="Freeform 8">
          <a:extLst xmlns:a="http://schemas.openxmlformats.org/drawingml/2006/main">
            <a:ext uri="{FF2B5EF4-FFF2-40B4-BE49-F238E27FC236}">
              <a16:creationId xmlns:a16="http://schemas.microsoft.com/office/drawing/2014/main" id="{22B678DC-1C89-9AD6-7152-2AD4EFB435BF}"/>
            </a:ext>
          </a:extLst>
        </cdr:cNvPr>
        <cdr:cNvSpPr/>
      </cdr:nvSpPr>
      <cdr:spPr>
        <a:xfrm xmlns:a="http://schemas.openxmlformats.org/drawingml/2006/main">
          <a:off x="2949561" y="2571988"/>
          <a:ext cx="307473" cy="3072091"/>
        </a:xfrm>
        <a:custGeom xmlns:a="http://schemas.openxmlformats.org/drawingml/2006/main">
          <a:avLst/>
          <a:gdLst>
            <a:gd name="connsiteX0" fmla="*/ 0 w 571500"/>
            <a:gd name="connsiteY0" fmla="*/ 0 h 1695815"/>
            <a:gd name="connsiteX1" fmla="*/ 222250 w 571500"/>
            <a:gd name="connsiteY1" fmla="*/ 1397000 h 1695815"/>
            <a:gd name="connsiteX2" fmla="*/ 444500 w 571500"/>
            <a:gd name="connsiteY2" fmla="*/ 1682750 h 1695815"/>
            <a:gd name="connsiteX3" fmla="*/ 571500 w 571500"/>
            <a:gd name="connsiteY3" fmla="*/ 1651000 h 16958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1500" h="1695815">
              <a:moveTo>
                <a:pt x="0" y="0"/>
              </a:moveTo>
              <a:cubicBezTo>
                <a:pt x="74083" y="558271"/>
                <a:pt x="148167" y="1116542"/>
                <a:pt x="222250" y="1397000"/>
              </a:cubicBezTo>
              <a:cubicBezTo>
                <a:pt x="296333" y="1677458"/>
                <a:pt x="386292" y="1640417"/>
                <a:pt x="444500" y="1682750"/>
              </a:cubicBezTo>
              <a:cubicBezTo>
                <a:pt x="502708" y="1725083"/>
                <a:pt x="571500" y="1651000"/>
                <a:pt x="571500" y="1651000"/>
              </a:cubicBezTo>
            </a:path>
          </a:pathLst>
        </a:custGeom>
        <a:solidFill xmlns:a="http://schemas.openxmlformats.org/drawingml/2006/main">
          <a:schemeClr val="accent2">
            <a:lumMod val="20000"/>
            <a:lumOff val="80000"/>
          </a:schemeClr>
        </a:solidFill>
        <a:ln xmlns:a="http://schemas.openxmlformats.org/drawingml/2006/main" w="53975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 b="1">
            <a:solidFill>
              <a:schemeClr val="accent6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0.14603</cdr:x>
      <cdr:y>0.13256</cdr:y>
    </cdr:from>
    <cdr:to>
      <cdr:x>0.24779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9AC72B-31E8-7034-9B01-2BC9C910AB8B}"/>
            </a:ext>
          </a:extLst>
        </cdr:cNvPr>
        <cdr:cNvSpPr txBox="1"/>
      </cdr:nvSpPr>
      <cdr:spPr>
        <a:xfrm xmlns:a="http://schemas.openxmlformats.org/drawingml/2006/main">
          <a:off x="3557535" y="1690932"/>
          <a:ext cx="2479197" cy="671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3600"/>
            <a:t>1</a:t>
          </a:r>
          <a:r>
            <a:rPr lang="en-GB" sz="3600" baseline="0"/>
            <a:t> core</a:t>
          </a:r>
          <a:endParaRPr lang="en-GB" sz="3600"/>
        </a:p>
      </cdr:txBody>
    </cdr:sp>
  </cdr:relSizeAnchor>
  <cdr:relSizeAnchor xmlns:cdr="http://schemas.openxmlformats.org/drawingml/2006/chartDrawing">
    <cdr:from>
      <cdr:x>0.47398</cdr:x>
      <cdr:y>0.26693</cdr:y>
    </cdr:from>
    <cdr:to>
      <cdr:x>0.58793</cdr:x>
      <cdr:y>0.30715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C805658-F246-4A00-ED9E-4BDB3623A378}"/>
            </a:ext>
          </a:extLst>
        </cdr:cNvPr>
        <cdr:cNvSpPr txBox="1"/>
      </cdr:nvSpPr>
      <cdr:spPr>
        <a:xfrm xmlns:a="http://schemas.openxmlformats.org/drawingml/2006/main">
          <a:off x="11547187" y="3404932"/>
          <a:ext cx="2776295" cy="513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800" baseline="0"/>
            <a:t>104 cores</a:t>
          </a:r>
        </a:p>
      </cdr:txBody>
    </cdr:sp>
  </cdr:relSizeAnchor>
  <cdr:relSizeAnchor xmlns:cdr="http://schemas.openxmlformats.org/drawingml/2006/chartDrawing">
    <cdr:from>
      <cdr:x>0.13635</cdr:x>
      <cdr:y>0.49383</cdr:y>
    </cdr:from>
    <cdr:to>
      <cdr:x>0.38072</cdr:x>
      <cdr:y>0.85553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4EF9BFC-C0B7-8388-9E57-40D3E098ADA7}"/>
            </a:ext>
          </a:extLst>
        </cdr:cNvPr>
        <cdr:cNvCxnSpPr/>
      </cdr:nvCxnSpPr>
      <cdr:spPr>
        <a:xfrm xmlns:a="http://schemas.openxmlformats.org/drawingml/2006/main" flipV="1">
          <a:off x="3321736" y="6299200"/>
          <a:ext cx="5953497" cy="4613856"/>
        </a:xfrm>
        <a:prstGeom xmlns:a="http://schemas.openxmlformats.org/drawingml/2006/main" prst="line">
          <a:avLst/>
        </a:prstGeom>
        <a:ln xmlns:a="http://schemas.openxmlformats.org/drawingml/2006/main" w="444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0.22326</cdr:x>
      <cdr:y>0.64014</cdr:y>
    </cdr:from>
    <cdr:to>
      <cdr:x>0.26073</cdr:x>
      <cdr:y>0.67631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AC7659D3-EB10-50CF-62D2-30DB49E2606C}"/>
            </a:ext>
          </a:extLst>
        </cdr:cNvPr>
        <cdr:cNvSpPr txBox="1"/>
      </cdr:nvSpPr>
      <cdr:spPr>
        <a:xfrm xmlns:a="http://schemas.openxmlformats.org/drawingml/2006/main">
          <a:off x="6053666" y="7493000"/>
          <a:ext cx="101600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0.27068</cdr:x>
      <cdr:y>0.68051</cdr:y>
    </cdr:from>
    <cdr:to>
      <cdr:x>0.49149</cdr:x>
      <cdr:y>0.73108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F2E92286-1628-AD94-7747-5523C50FF91B}"/>
            </a:ext>
          </a:extLst>
        </cdr:cNvPr>
        <cdr:cNvSpPr txBox="1"/>
      </cdr:nvSpPr>
      <cdr:spPr>
        <a:xfrm xmlns:a="http://schemas.openxmlformats.org/drawingml/2006/main">
          <a:off x="6594453" y="8680450"/>
          <a:ext cx="5379529" cy="645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3200"/>
            <a:t>EDP @ Freq 3.8 GHz 16 cores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0.13776</cdr:x>
      <cdr:y>0.29377</cdr:y>
    </cdr:from>
    <cdr:to>
      <cdr:x>0.22389</cdr:x>
      <cdr:y>0.29387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CA7410-EF00-1016-3C0A-908A2E8CC0FF}"/>
            </a:ext>
          </a:extLst>
        </cdr:cNvPr>
        <cdr:cNvCxnSpPr/>
      </cdr:nvCxnSpPr>
      <cdr:spPr>
        <a:xfrm xmlns:a="http://schemas.openxmlformats.org/drawingml/2006/main">
          <a:off x="1733549" y="1907115"/>
          <a:ext cx="1083825" cy="6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0.15945</cdr:x>
      <cdr:y>0.49443</cdr:y>
    </cdr:from>
    <cdr:to>
      <cdr:x>0.2272</cdr:x>
      <cdr:y>0.49443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CF8342A-6851-76B0-A6D5-1CA3E6638ADE}"/>
            </a:ext>
          </a:extLst>
        </cdr:cNvPr>
        <cdr:cNvCxnSpPr/>
      </cdr:nvCxnSpPr>
      <cdr:spPr>
        <a:xfrm xmlns:a="http://schemas.openxmlformats.org/drawingml/2006/main">
          <a:off x="2042583" y="3757084"/>
          <a:ext cx="86783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0.23381</cdr:x>
      <cdr:y>0.4805</cdr:y>
    </cdr:from>
    <cdr:to>
      <cdr:x>0.28833</cdr:x>
      <cdr:y>0.4805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C3B363C-E3D8-A53E-C9C6-0B243CC7567D}"/>
            </a:ext>
          </a:extLst>
        </cdr:cNvPr>
        <cdr:cNvCxnSpPr/>
      </cdr:nvCxnSpPr>
      <cdr:spPr>
        <a:xfrm xmlns:a="http://schemas.openxmlformats.org/drawingml/2006/main">
          <a:off x="2995083" y="3651251"/>
          <a:ext cx="698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0.13797</cdr:x>
      <cdr:y>0.08217</cdr:y>
    </cdr:from>
    <cdr:to>
      <cdr:x>0.15119</cdr:x>
      <cdr:y>0.27994</cdr:y>
    </cdr:to>
    <cdr:sp macro="" textlink="">
      <cdr:nvSpPr>
        <cdr:cNvPr id="10" name="Freeform 9">
          <a:extLst xmlns:a="http://schemas.openxmlformats.org/drawingml/2006/main">
            <a:ext uri="{FF2B5EF4-FFF2-40B4-BE49-F238E27FC236}">
              <a16:creationId xmlns:a16="http://schemas.microsoft.com/office/drawing/2014/main" id="{F5CB123B-1E71-9E22-5141-73B5779D4C61}"/>
            </a:ext>
          </a:extLst>
        </cdr:cNvPr>
        <cdr:cNvSpPr/>
      </cdr:nvSpPr>
      <cdr:spPr>
        <a:xfrm xmlns:a="http://schemas.openxmlformats.org/drawingml/2006/main">
          <a:off x="1767416" y="624417"/>
          <a:ext cx="169334" cy="1502833"/>
        </a:xfrm>
        <a:custGeom xmlns:a="http://schemas.openxmlformats.org/drawingml/2006/main">
          <a:avLst/>
          <a:gdLst>
            <a:gd name="connsiteX0" fmla="*/ 0 w 169334"/>
            <a:gd name="connsiteY0" fmla="*/ 0 h 1502833"/>
            <a:gd name="connsiteX1" fmla="*/ 127000 w 169334"/>
            <a:gd name="connsiteY1" fmla="*/ 698500 h 1502833"/>
            <a:gd name="connsiteX2" fmla="*/ 169334 w 169334"/>
            <a:gd name="connsiteY2" fmla="*/ 1502833 h 15028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9334" h="1502833">
              <a:moveTo>
                <a:pt x="0" y="0"/>
              </a:moveTo>
              <a:cubicBezTo>
                <a:pt x="49389" y="224014"/>
                <a:pt x="98778" y="448028"/>
                <a:pt x="127000" y="698500"/>
              </a:cubicBezTo>
              <a:cubicBezTo>
                <a:pt x="155222" y="948972"/>
                <a:pt x="95251" y="1393472"/>
                <a:pt x="169334" y="1502833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0.14623</cdr:x>
      <cdr:y>0.34695</cdr:y>
    </cdr:from>
    <cdr:to>
      <cdr:x>0.1958</cdr:x>
      <cdr:y>0.47493</cdr:y>
    </cdr:to>
    <cdr:sp macro="" textlink="">
      <cdr:nvSpPr>
        <cdr:cNvPr id="12" name="Freeform 11">
          <a:extLst xmlns:a="http://schemas.openxmlformats.org/drawingml/2006/main">
            <a:ext uri="{FF2B5EF4-FFF2-40B4-BE49-F238E27FC236}">
              <a16:creationId xmlns:a16="http://schemas.microsoft.com/office/drawing/2014/main" id="{088CDB39-32E6-DEE4-5446-300F992B2D7E}"/>
            </a:ext>
          </a:extLst>
        </cdr:cNvPr>
        <cdr:cNvSpPr/>
      </cdr:nvSpPr>
      <cdr:spPr>
        <a:xfrm xmlns:a="http://schemas.openxmlformats.org/drawingml/2006/main">
          <a:off x="1873250" y="2636416"/>
          <a:ext cx="635000" cy="972501"/>
        </a:xfrm>
        <a:custGeom xmlns:a="http://schemas.openxmlformats.org/drawingml/2006/main">
          <a:avLst/>
          <a:gdLst>
            <a:gd name="connsiteX0" fmla="*/ 0 w 635000"/>
            <a:gd name="connsiteY0" fmla="*/ 20001 h 972501"/>
            <a:gd name="connsiteX1" fmla="*/ 127000 w 635000"/>
            <a:gd name="connsiteY1" fmla="*/ 125834 h 972501"/>
            <a:gd name="connsiteX2" fmla="*/ 635000 w 635000"/>
            <a:gd name="connsiteY2" fmla="*/ 972501 h 9725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35000" h="972501">
              <a:moveTo>
                <a:pt x="0" y="20001"/>
              </a:moveTo>
              <a:cubicBezTo>
                <a:pt x="10583" y="-6458"/>
                <a:pt x="21167" y="-32916"/>
                <a:pt x="127000" y="125834"/>
              </a:cubicBezTo>
              <a:cubicBezTo>
                <a:pt x="232833" y="284584"/>
                <a:pt x="384528" y="831390"/>
                <a:pt x="635000" y="972501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0.1855</cdr:x>
      <cdr:y>0.39136</cdr:y>
    </cdr:from>
    <cdr:to>
      <cdr:x>0.23711</cdr:x>
      <cdr:y>0.42201</cdr:y>
    </cdr:to>
    <cdr:sp macro="" textlink="">
      <cdr:nvSpPr>
        <cdr:cNvPr id="13" name="Freeform 12">
          <a:extLst xmlns:a="http://schemas.openxmlformats.org/drawingml/2006/main">
            <a:ext uri="{FF2B5EF4-FFF2-40B4-BE49-F238E27FC236}">
              <a16:creationId xmlns:a16="http://schemas.microsoft.com/office/drawing/2014/main" id="{F8ADFE9C-18BE-7D24-F4A6-3D63DF64016D}"/>
            </a:ext>
          </a:extLst>
        </cdr:cNvPr>
        <cdr:cNvSpPr/>
      </cdr:nvSpPr>
      <cdr:spPr>
        <a:xfrm xmlns:a="http://schemas.openxmlformats.org/drawingml/2006/main">
          <a:off x="2376280" y="2973917"/>
          <a:ext cx="661136" cy="232833"/>
        </a:xfrm>
        <a:custGeom xmlns:a="http://schemas.openxmlformats.org/drawingml/2006/main">
          <a:avLst/>
          <a:gdLst>
            <a:gd name="connsiteX0" fmla="*/ 4969 w 618802"/>
            <a:gd name="connsiteY0" fmla="*/ 0 h 254000"/>
            <a:gd name="connsiteX1" fmla="*/ 89636 w 618802"/>
            <a:gd name="connsiteY1" fmla="*/ 42333 h 254000"/>
            <a:gd name="connsiteX2" fmla="*/ 618802 w 618802"/>
            <a:gd name="connsiteY2" fmla="*/ 254000 h 25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18802" h="254000">
              <a:moveTo>
                <a:pt x="4969" y="0"/>
              </a:moveTo>
              <a:cubicBezTo>
                <a:pt x="-3851" y="0"/>
                <a:pt x="-12670" y="0"/>
                <a:pt x="89636" y="42333"/>
              </a:cubicBezTo>
              <a:cubicBezTo>
                <a:pt x="191942" y="84666"/>
                <a:pt x="389497" y="186972"/>
                <a:pt x="618802" y="254000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0.23381</cdr:x>
      <cdr:y>0.41922</cdr:y>
    </cdr:from>
    <cdr:to>
      <cdr:x>0.25859</cdr:x>
      <cdr:y>0.46379</cdr:y>
    </cdr:to>
    <cdr:sp macro="" textlink="">
      <cdr:nvSpPr>
        <cdr:cNvPr id="14" name="Freeform 13">
          <a:extLst xmlns:a="http://schemas.openxmlformats.org/drawingml/2006/main">
            <a:ext uri="{FF2B5EF4-FFF2-40B4-BE49-F238E27FC236}">
              <a16:creationId xmlns:a16="http://schemas.microsoft.com/office/drawing/2014/main" id="{F5388CD4-E707-8031-88B4-546905DF7DAD}"/>
            </a:ext>
          </a:extLst>
        </cdr:cNvPr>
        <cdr:cNvSpPr/>
      </cdr:nvSpPr>
      <cdr:spPr>
        <a:xfrm xmlns:a="http://schemas.openxmlformats.org/drawingml/2006/main">
          <a:off x="2995082" y="3185583"/>
          <a:ext cx="317500" cy="338667"/>
        </a:xfrm>
        <a:custGeom xmlns:a="http://schemas.openxmlformats.org/drawingml/2006/main">
          <a:avLst/>
          <a:gdLst>
            <a:gd name="connsiteX0" fmla="*/ 0 w 317500"/>
            <a:gd name="connsiteY0" fmla="*/ 0 h 338667"/>
            <a:gd name="connsiteX1" fmla="*/ 317500 w 317500"/>
            <a:gd name="connsiteY1" fmla="*/ 338667 h 338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17500" h="338667">
              <a:moveTo>
                <a:pt x="0" y="0"/>
              </a:moveTo>
              <a:lnTo>
                <a:pt x="317500" y="338667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0.17597</cdr:x>
      <cdr:y>0.22423</cdr:y>
    </cdr:from>
    <cdr:to>
      <cdr:x>0.23215</cdr:x>
      <cdr:y>0.25487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A269724D-8A5D-9323-52B4-359B78B02318}"/>
            </a:ext>
          </a:extLst>
        </cdr:cNvPr>
        <cdr:cNvSpPr txBox="1"/>
      </cdr:nvSpPr>
      <cdr:spPr>
        <a:xfrm xmlns:a="http://schemas.openxmlformats.org/drawingml/2006/main">
          <a:off x="2254249" y="1703916"/>
          <a:ext cx="719667" cy="232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1 core</a:t>
          </a:r>
        </a:p>
      </cdr:txBody>
    </cdr:sp>
  </cdr:relSizeAnchor>
  <cdr:relSizeAnchor xmlns:cdr="http://schemas.openxmlformats.org/drawingml/2006/chartDrawing">
    <cdr:from>
      <cdr:x>0.15945</cdr:x>
      <cdr:y>0.50279</cdr:y>
    </cdr:from>
    <cdr:to>
      <cdr:x>0.21563</cdr:x>
      <cdr:y>0.53343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C9EDF6E4-7C19-49A8-C897-32C5471FEA54}"/>
            </a:ext>
          </a:extLst>
        </cdr:cNvPr>
        <cdr:cNvSpPr txBox="1"/>
      </cdr:nvSpPr>
      <cdr:spPr>
        <a:xfrm xmlns:a="http://schemas.openxmlformats.org/drawingml/2006/main">
          <a:off x="2042582" y="3820583"/>
          <a:ext cx="719667" cy="232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4 cores</a:t>
          </a:r>
        </a:p>
      </cdr:txBody>
    </cdr:sp>
  </cdr:relSizeAnchor>
  <cdr:relSizeAnchor xmlns:cdr="http://schemas.openxmlformats.org/drawingml/2006/chartDrawing">
    <cdr:from>
      <cdr:x>0.24703</cdr:x>
      <cdr:y>0.48329</cdr:y>
    </cdr:from>
    <cdr:to>
      <cdr:x>0.30321</cdr:x>
      <cdr:y>0.51114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E28CFC73-FC82-5BF0-0BE6-1D157F11367A}"/>
            </a:ext>
          </a:extLst>
        </cdr:cNvPr>
        <cdr:cNvSpPr txBox="1"/>
      </cdr:nvSpPr>
      <cdr:spPr>
        <a:xfrm xmlns:a="http://schemas.openxmlformats.org/drawingml/2006/main">
          <a:off x="3164415" y="3672417"/>
          <a:ext cx="719667" cy="211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8 cores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575733</xdr:colOff>
      <xdr:row>47</xdr:row>
      <xdr:rowOff>93133</xdr:rowOff>
    </xdr:from>
    <xdr:to>
      <xdr:col>29</xdr:col>
      <xdr:colOff>59267</xdr:colOff>
      <xdr:row>81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D0A93-8863-4421-82A2-5E8AAF57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613833</xdr:colOff>
      <xdr:row>54</xdr:row>
      <xdr:rowOff>296333</xdr:rowOff>
    </xdr:from>
    <xdr:to>
      <xdr:col>15</xdr:col>
      <xdr:colOff>1270002</xdr:colOff>
      <xdr:row>69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5420A-D696-4BF2-BDD4-65AB86DD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476252</xdr:colOff>
      <xdr:row>48</xdr:row>
      <xdr:rowOff>169334</xdr:rowOff>
    </xdr:from>
    <xdr:to>
      <xdr:col>26</xdr:col>
      <xdr:colOff>169334</xdr:colOff>
      <xdr:row>70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1588D-804B-4A1D-86B7-20F0AE05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97367</xdr:rowOff>
    </xdr:from>
    <xdr:to>
      <xdr:col>24</xdr:col>
      <xdr:colOff>809625</xdr:colOff>
      <xdr:row>72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FD6EB9-0AAD-4DD6-8C80-7ECFEF8F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624840</xdr:colOff>
      <xdr:row>23</xdr:row>
      <xdr:rowOff>126576</xdr:rowOff>
    </xdr:from>
    <xdr:to>
      <xdr:col>85</xdr:col>
      <xdr:colOff>413173</xdr:colOff>
      <xdr:row>67</xdr:row>
      <xdr:rowOff>113453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96BBC-C90B-4FBF-BA5E-04D27498F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508000</xdr:colOff>
      <xdr:row>17</xdr:row>
      <xdr:rowOff>127000</xdr:rowOff>
    </xdr:from>
    <xdr:to>
      <xdr:col>25</xdr:col>
      <xdr:colOff>1346200</xdr:colOff>
      <xdr:row>42</xdr:row>
      <xdr:rowOff>279400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1BC6A4-09AC-4AAE-BBC3-A71F4422A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</xdr:colOff>
      <xdr:row>3</xdr:row>
      <xdr:rowOff>736600</xdr:rowOff>
    </xdr:from>
    <xdr:to>
      <xdr:col>78</xdr:col>
      <xdr:colOff>817034</xdr:colOff>
      <xdr:row>19</xdr:row>
      <xdr:rowOff>29633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0DF89C-EC6F-AD9F-1450-5A5AF8F3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529165</xdr:colOff>
      <xdr:row>3</xdr:row>
      <xdr:rowOff>1651000</xdr:rowOff>
    </xdr:from>
    <xdr:to>
      <xdr:col>101</xdr:col>
      <xdr:colOff>423333</xdr:colOff>
      <xdr:row>35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2CE4CA-E530-E248-7D4B-40AC5449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0.56697</cdr:x>
      <cdr:y>0.09546</cdr:y>
    </cdr:from>
    <cdr:to>
      <cdr:x>0.56697</cdr:x>
      <cdr:y>0.79482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AC11B19-7E4F-03F6-A845-6BA874FB760E}"/>
            </a:ext>
          </a:extLst>
        </cdr:cNvPr>
        <cdr:cNvCxnSpPr/>
      </cdr:nvCxnSpPr>
      <cdr:spPr>
        <a:xfrm xmlns:a="http://schemas.openxmlformats.org/drawingml/2006/main" flipV="1">
          <a:off x="7848601" y="1005416"/>
          <a:ext cx="0" cy="7366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0.53028</cdr:x>
      <cdr:y>0.12761</cdr:y>
    </cdr:from>
    <cdr:to>
      <cdr:x>0.63425</cdr:x>
      <cdr:y>0.17986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1E9CF24-95A3-1469-CD1E-5BCA8FCCF3C9}"/>
            </a:ext>
          </a:extLst>
        </cdr:cNvPr>
        <cdr:cNvSpPr txBox="1"/>
      </cdr:nvSpPr>
      <cdr:spPr>
        <a:xfrm xmlns:a="http://schemas.openxmlformats.org/drawingml/2006/main">
          <a:off x="7340601" y="1344082"/>
          <a:ext cx="1439334" cy="55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000"/>
            <a:t>Socket line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0.4766</cdr:x>
      <cdr:y>0.16071</cdr:y>
    </cdr:from>
    <cdr:to>
      <cdr:x>0.50215</cdr:x>
      <cdr:y>0.21173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765CE-2130-A0F0-3879-C618C75DB76E}"/>
            </a:ext>
          </a:extLst>
        </cdr:cNvPr>
        <cdr:cNvSpPr txBox="1"/>
      </cdr:nvSpPr>
      <cdr:spPr>
        <a:xfrm xmlns:a="http://schemas.openxmlformats.org/drawingml/2006/main">
          <a:off x="10185400" y="1600200"/>
          <a:ext cx="546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kern="1200"/>
            <a:t>L2</a:t>
          </a:r>
        </a:p>
      </cdr:txBody>
    </cdr:sp>
  </cdr:relSizeAnchor>
  <cdr:relSizeAnchor xmlns:cdr="http://schemas.openxmlformats.org/drawingml/2006/chartDrawing">
    <cdr:from>
      <cdr:x>0.34883</cdr:x>
      <cdr:y>0.53571</cdr:y>
    </cdr:from>
    <cdr:to>
      <cdr:x>0.37439</cdr:x>
      <cdr:y>0.58673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A062AF5-B410-087F-3A93-8D24194C5D09}"/>
            </a:ext>
          </a:extLst>
        </cdr:cNvPr>
        <cdr:cNvSpPr txBox="1"/>
      </cdr:nvSpPr>
      <cdr:spPr>
        <a:xfrm xmlns:a="http://schemas.openxmlformats.org/drawingml/2006/main">
          <a:off x="7454900" y="5334000"/>
          <a:ext cx="546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kern="1200"/>
            <a:t>L3</a:t>
          </a:r>
        </a:p>
      </cdr:txBody>
    </cdr:sp>
  </cdr:relSizeAnchor>
  <cdr:relSizeAnchor xmlns:cdr="http://schemas.openxmlformats.org/drawingml/2006/chartDrawing">
    <cdr:from>
      <cdr:x>0.19611</cdr:x>
      <cdr:y>0.75638</cdr:y>
    </cdr:from>
    <cdr:to>
      <cdr:x>0.24588</cdr:x>
      <cdr:y>0.79847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A062AF5-B410-087F-3A93-8D24194C5D09}"/>
            </a:ext>
          </a:extLst>
        </cdr:cNvPr>
        <cdr:cNvSpPr txBox="1"/>
      </cdr:nvSpPr>
      <cdr:spPr>
        <a:xfrm xmlns:a="http://schemas.openxmlformats.org/drawingml/2006/main">
          <a:off x="4190999" y="7531100"/>
          <a:ext cx="106362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kern="1200"/>
            <a:t>MEM</a:t>
          </a:r>
        </a:p>
      </cdr:txBody>
    </cdr:sp>
  </cdr:relSizeAnchor>
  <cdr:relSizeAnchor xmlns:cdr="http://schemas.openxmlformats.org/drawingml/2006/chartDrawing">
    <cdr:from>
      <cdr:x>0.52892</cdr:x>
      <cdr:y>0.11862</cdr:y>
    </cdr:from>
    <cdr:to>
      <cdr:x>0.53129</cdr:x>
      <cdr:y>0.84566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680FED3-A2CD-CDEC-ABFD-2FC602FEB259}"/>
            </a:ext>
          </a:extLst>
        </cdr:cNvPr>
        <cdr:cNvCxnSpPr/>
      </cdr:nvCxnSpPr>
      <cdr:spPr>
        <a:xfrm xmlns:a="http://schemas.openxmlformats.org/drawingml/2006/main" flipH="1" flipV="1">
          <a:off x="11350625" y="1181100"/>
          <a:ext cx="50800" cy="7239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0.50185</cdr:x>
      <cdr:y>0.13265</cdr:y>
    </cdr:from>
    <cdr:to>
      <cdr:x>0.62258</cdr:x>
      <cdr:y>0.21173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DCE3CAE-0422-C724-4445-57EB316EF240}"/>
            </a:ext>
          </a:extLst>
        </cdr:cNvPr>
        <cdr:cNvSpPr txBox="1"/>
      </cdr:nvSpPr>
      <cdr:spPr>
        <a:xfrm xmlns:a="http://schemas.openxmlformats.org/drawingml/2006/main">
          <a:off x="10769600" y="1320800"/>
          <a:ext cx="2590800" cy="78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2000"/>
            <a:t>Socket line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0.21958</cdr:x>
      <cdr:y>0.22684</cdr:y>
    </cdr:from>
    <cdr:to>
      <cdr:x>0.29072</cdr:x>
      <cdr:y>0.27385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D86928-336A-6480-5632-32B2098791F0}"/>
            </a:ext>
          </a:extLst>
        </cdr:cNvPr>
        <cdr:cNvSpPr txBox="1"/>
      </cdr:nvSpPr>
      <cdr:spPr>
        <a:xfrm xmlns:a="http://schemas.openxmlformats.org/drawingml/2006/main">
          <a:off x="5213351" y="2635251"/>
          <a:ext cx="16891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US" sz="1100" kern="1200"/>
        </a:p>
      </cdr:txBody>
    </cdr:sp>
  </cdr:relSizeAnchor>
  <cdr:relSizeAnchor xmlns:cdr="http://schemas.openxmlformats.org/drawingml/2006/chartDrawing">
    <cdr:from>
      <cdr:x>0.36507</cdr:x>
      <cdr:y>0.33178</cdr:y>
    </cdr:from>
    <cdr:to>
      <cdr:x>0.38807</cdr:x>
      <cdr:y>0.37551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283DEC-E977-1E87-274E-E5B2121116CC}"/>
            </a:ext>
          </a:extLst>
        </cdr:cNvPr>
        <cdr:cNvSpPr txBox="1"/>
      </cdr:nvSpPr>
      <cdr:spPr>
        <a:xfrm xmlns:a="http://schemas.openxmlformats.org/drawingml/2006/main">
          <a:off x="8667751" y="3854451"/>
          <a:ext cx="546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kern="1200"/>
            <a:t>L2</a:t>
          </a:r>
        </a:p>
      </cdr:txBody>
    </cdr:sp>
  </cdr:relSizeAnchor>
  <cdr:relSizeAnchor xmlns:cdr="http://schemas.openxmlformats.org/drawingml/2006/chartDrawing">
    <cdr:from>
      <cdr:x>0.33378</cdr:x>
      <cdr:y>0.62968</cdr:y>
    </cdr:from>
    <cdr:to>
      <cdr:x>0.35678</cdr:x>
      <cdr:y>0.67341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BE4DBA5-5E82-79F1-5D96-1B52CC3337C6}"/>
            </a:ext>
          </a:extLst>
        </cdr:cNvPr>
        <cdr:cNvSpPr txBox="1"/>
      </cdr:nvSpPr>
      <cdr:spPr>
        <a:xfrm xmlns:a="http://schemas.openxmlformats.org/drawingml/2006/main">
          <a:off x="7924800" y="7315200"/>
          <a:ext cx="546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kern="1200"/>
            <a:t>L3</a:t>
          </a:r>
        </a:p>
      </cdr:txBody>
    </cdr:sp>
  </cdr:relSizeAnchor>
  <cdr:relSizeAnchor xmlns:cdr="http://schemas.openxmlformats.org/drawingml/2006/chartDrawing">
    <cdr:from>
      <cdr:x>0.2728</cdr:x>
      <cdr:y>0.78601</cdr:y>
    </cdr:from>
    <cdr:to>
      <cdr:x>0.3176</cdr:x>
      <cdr:y>0.82208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223C6D2-773F-7986-4D18-855986C0133A}"/>
            </a:ext>
          </a:extLst>
        </cdr:cNvPr>
        <cdr:cNvSpPr txBox="1"/>
      </cdr:nvSpPr>
      <cdr:spPr>
        <a:xfrm xmlns:a="http://schemas.openxmlformats.org/drawingml/2006/main">
          <a:off x="6477000" y="9131300"/>
          <a:ext cx="106362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kern="1200"/>
            <a:t>MEM</a:t>
          </a:r>
        </a:p>
      </cdr:txBody>
    </cdr:sp>
  </cdr:relSizeAnchor>
  <cdr:relSizeAnchor xmlns:cdr="http://schemas.openxmlformats.org/drawingml/2006/chartDrawing">
    <cdr:from>
      <cdr:x>0.4759</cdr:x>
      <cdr:y>0.07926</cdr:y>
    </cdr:from>
    <cdr:to>
      <cdr:x>0.47696</cdr:x>
      <cdr:y>0.86198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98755D5-ADC7-6AC1-3060-81E2D8409800}"/>
            </a:ext>
          </a:extLst>
        </cdr:cNvPr>
        <cdr:cNvCxnSpPr/>
      </cdr:nvCxnSpPr>
      <cdr:spPr>
        <a:xfrm xmlns:a="http://schemas.openxmlformats.org/drawingml/2006/main" flipH="1" flipV="1">
          <a:off x="11347451" y="920751"/>
          <a:ext cx="25400" cy="9093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0.50146</cdr:x>
      <cdr:y>0.14048</cdr:y>
    </cdr:from>
    <cdr:to>
      <cdr:x>0.63782</cdr:x>
      <cdr:y>0.20607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0371904-7307-6A91-92DA-D7911E4D4E7A}"/>
            </a:ext>
          </a:extLst>
        </cdr:cNvPr>
        <cdr:cNvSpPr txBox="1"/>
      </cdr:nvSpPr>
      <cdr:spPr>
        <a:xfrm xmlns:a="http://schemas.openxmlformats.org/drawingml/2006/main">
          <a:off x="11957051" y="1631951"/>
          <a:ext cx="3251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0.4514</cdr:x>
      <cdr:y>0.13829</cdr:y>
    </cdr:from>
    <cdr:to>
      <cdr:x>0.56005</cdr:x>
      <cdr:y>0.20607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3F65F8B-16B9-A843-2490-D4C349059D6C}"/>
            </a:ext>
          </a:extLst>
        </cdr:cNvPr>
        <cdr:cNvSpPr txBox="1"/>
      </cdr:nvSpPr>
      <cdr:spPr>
        <a:xfrm xmlns:a="http://schemas.openxmlformats.org/drawingml/2006/main">
          <a:off x="10763251" y="1606551"/>
          <a:ext cx="2590800" cy="78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000"/>
            <a:t>Socket line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656168</xdr:colOff>
      <xdr:row>3</xdr:row>
      <xdr:rowOff>359832</xdr:rowOff>
    </xdr:from>
    <xdr:to>
      <xdr:col>27</xdr:col>
      <xdr:colOff>381002</xdr:colOff>
      <xdr:row>24</xdr:row>
      <xdr:rowOff>253998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5DDB7-87DB-8267-443C-369F9A2F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148166</xdr:rowOff>
    </xdr:from>
    <xdr:to>
      <xdr:col>19</xdr:col>
      <xdr:colOff>222251</xdr:colOff>
      <xdr:row>67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E5939-E20C-A8AB-A229-30E7B4FB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37</xdr:row>
      <xdr:rowOff>47836</xdr:rowOff>
    </xdr:from>
    <xdr:to>
      <xdr:col>11</xdr:col>
      <xdr:colOff>439421</xdr:colOff>
      <xdr:row>64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A0BF-8317-5ECD-5729-9212B756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1283973</xdr:colOff>
      <xdr:row>56</xdr:row>
      <xdr:rowOff>23222</xdr:rowOff>
    </xdr:from>
    <xdr:to>
      <xdr:col>5</xdr:col>
      <xdr:colOff>2955110</xdr:colOff>
      <xdr:row>82</xdr:row>
      <xdr:rowOff>40094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82091-9D0B-8697-3D8D-2CC6AF73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1725930</xdr:colOff>
      <xdr:row>55</xdr:row>
      <xdr:rowOff>156393</xdr:rowOff>
    </xdr:from>
    <xdr:to>
      <xdr:col>2</xdr:col>
      <xdr:colOff>2312670</xdr:colOff>
      <xdr:row>79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FFE7C-3CA7-17E7-4357-8AD521B5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1452563</xdr:colOff>
      <xdr:row>27</xdr:row>
      <xdr:rowOff>77788</xdr:rowOff>
    </xdr:from>
    <xdr:to>
      <xdr:col>6</xdr:col>
      <xdr:colOff>814388</xdr:colOff>
      <xdr:row>46</xdr:row>
      <xdr:rowOff>49213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76381-E493-32C1-2ED1-C2DD435A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1754188</xdr:colOff>
      <xdr:row>23</xdr:row>
      <xdr:rowOff>180974</xdr:rowOff>
    </xdr:from>
    <xdr:to>
      <xdr:col>7</xdr:col>
      <xdr:colOff>1557338</xdr:colOff>
      <xdr:row>40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5A228-F45F-46E8-AAE1-BC9B5192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936625</xdr:colOff>
      <xdr:row>18</xdr:row>
      <xdr:rowOff>190500</xdr:rowOff>
    </xdr:from>
    <xdr:to>
      <xdr:col>10</xdr:col>
      <xdr:colOff>414337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D8010-0935-DAB0-53E8-61949DBC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326390</xdr:colOff>
      <xdr:row>50</xdr:row>
      <xdr:rowOff>204643</xdr:rowOff>
    </xdr:from>
    <xdr:to>
      <xdr:col>54</xdr:col>
      <xdr:colOff>5080</xdr:colOff>
      <xdr:row>107</xdr:row>
      <xdr:rowOff>153035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24570B-E1B5-DE1B-51DC-FAE9C669A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825500</xdr:colOff>
      <xdr:row>9</xdr:row>
      <xdr:rowOff>127000</xdr:rowOff>
    </xdr:from>
    <xdr:to>
      <xdr:col>28</xdr:col>
      <xdr:colOff>571500</xdr:colOff>
      <xdr:row>66</xdr:row>
      <xdr:rowOff>201084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B3E19F-E592-9388-08B7-44B783B9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209550</xdr:rowOff>
    </xdr:from>
    <xdr:to>
      <xdr:col>21</xdr:col>
      <xdr:colOff>105409</xdr:colOff>
      <xdr:row>133</xdr:row>
      <xdr:rowOff>74930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675C30-B4B0-99EA-D012-BCD348A8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106681</xdr:colOff>
      <xdr:row>6</xdr:row>
      <xdr:rowOff>121920</xdr:rowOff>
    </xdr:from>
    <xdr:to>
      <xdr:col>48</xdr:col>
      <xdr:colOff>541020</xdr:colOff>
      <xdr:row>39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E63EE6-4D2E-9A47-931D-2E560E7DE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80433</xdr:colOff>
      <xdr:row>10</xdr:row>
      <xdr:rowOff>50801</xdr:rowOff>
    </xdr:from>
    <xdr:to>
      <xdr:col>74</xdr:col>
      <xdr:colOff>554990</xdr:colOff>
      <xdr:row>55</xdr:row>
      <xdr:rowOff>209551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CBB57-91DD-09FE-D286-84F3D544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562607</xdr:colOff>
      <xdr:row>5</xdr:row>
      <xdr:rowOff>76200</xdr:rowOff>
    </xdr:from>
    <xdr:to>
      <xdr:col>67</xdr:col>
      <xdr:colOff>800100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A5BAE-2E79-D3F8-567D-664C68A6D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Overflow="clip" wrap="square" rtlCol="0"/>
      <a:lstStyle>
        <a:defPPr algn="l">
          <a:defRPr sz="1100"/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EBC2-DB37-4483-A9D3-1B468C8903C9}">
  <dimension ref="A1:R55"/>
  <sheetViews>
    <sheetView topLeftCell="A13" zoomScale="50" zoomScaleNormal="50" workbookViewId="0">
      <selection activeCell="A29" sqref="A29"/>
    </sheetView>
  </sheetViews>
  <sheetFormatPr baseColWidth="10" defaultColWidth="10.6640625" defaultRowHeight="16" x14ac:dyDescent="0.2"/>
  <cols>
    <col min="1" max="1" width="50.5" customWidth="1"/>
    <col min="2" max="2" width="28.1640625" customWidth="1"/>
    <col min="3" max="3" width="32.5" customWidth="1"/>
    <col min="4" max="4" width="32.33203125" customWidth="1"/>
    <col min="5" max="5" width="33.5" customWidth="1"/>
    <col min="6" max="6" width="50.5" customWidth="1"/>
    <col min="7" max="7" width="33.83203125" customWidth="1"/>
    <col min="8" max="8" width="30.83203125" customWidth="1"/>
    <col min="9" max="10" width="20.83203125" customWidth="1"/>
    <col min="12" max="12" width="45.6640625" customWidth="1"/>
    <col min="13" max="13" width="22.1640625" customWidth="1"/>
    <col min="14" max="14" width="22.6640625" customWidth="1"/>
    <col min="15" max="15" width="25.6640625" customWidth="1"/>
    <col min="16" max="16" width="28.33203125" customWidth="1"/>
    <col min="17" max="17" width="26" customWidth="1"/>
    <col min="18" max="18" width="25" bestFit="1" customWidth="1"/>
  </cols>
  <sheetData>
    <row r="1" spans="1:18" ht="24" x14ac:dyDescent="0.3">
      <c r="A1" s="2" t="s">
        <v>17</v>
      </c>
      <c r="B1" s="1" t="s">
        <v>2</v>
      </c>
      <c r="C1" s="1" t="s">
        <v>5</v>
      </c>
      <c r="D1" s="1" t="s">
        <v>16</v>
      </c>
      <c r="E1" s="1" t="s">
        <v>9</v>
      </c>
      <c r="F1" s="2" t="s">
        <v>17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8" ht="22" x14ac:dyDescent="0.3">
      <c r="A2" s="4" t="s">
        <v>0</v>
      </c>
      <c r="B2" s="18">
        <v>71566280000</v>
      </c>
      <c r="C2" s="18">
        <v>71051440000</v>
      </c>
      <c r="D2" s="6">
        <v>67893720000</v>
      </c>
      <c r="E2" s="18">
        <v>13737380000</v>
      </c>
      <c r="F2" s="4" t="s">
        <v>0</v>
      </c>
      <c r="G2" s="18">
        <v>86037500000</v>
      </c>
      <c r="H2" s="18">
        <v>51775360000</v>
      </c>
      <c r="I2" s="18">
        <v>49708750000</v>
      </c>
      <c r="J2" s="6">
        <v>16824260000</v>
      </c>
    </row>
    <row r="3" spans="1:18" ht="22" hidden="1" x14ac:dyDescent="0.3">
      <c r="A3" s="4" t="s">
        <v>121</v>
      </c>
      <c r="B3" s="18">
        <f>B2</f>
        <v>71566280000</v>
      </c>
      <c r="C3" s="18">
        <f>B2/2</f>
        <v>35783140000</v>
      </c>
      <c r="D3" s="18">
        <f>B2/4</f>
        <v>17891570000</v>
      </c>
      <c r="E3" s="18">
        <f>B2/8</f>
        <v>8945785000</v>
      </c>
      <c r="F3" s="4" t="s">
        <v>121</v>
      </c>
      <c r="G3" s="18">
        <f>G2</f>
        <v>86037500000</v>
      </c>
      <c r="H3" s="18">
        <f>G2/2</f>
        <v>43018750000</v>
      </c>
      <c r="I3" s="18">
        <f>G2/4</f>
        <v>21509375000</v>
      </c>
      <c r="J3" s="6">
        <f>G2/8</f>
        <v>10754687500</v>
      </c>
    </row>
    <row r="4" spans="1:18" ht="22" x14ac:dyDescent="0.3">
      <c r="A4" s="4" t="s">
        <v>201</v>
      </c>
      <c r="B4" s="6">
        <f>B6+B7</f>
        <v>34761980000</v>
      </c>
      <c r="C4" s="6">
        <f>C6+C7</f>
        <v>12877139800</v>
      </c>
      <c r="D4" s="6">
        <f>D6+D7</f>
        <v>8172832350</v>
      </c>
      <c r="E4" s="6">
        <f>E6+E7</f>
        <v>5639886830</v>
      </c>
      <c r="F4" s="4" t="s">
        <v>1</v>
      </c>
      <c r="G4" s="6">
        <f>G6+G7</f>
        <v>37738310000</v>
      </c>
      <c r="H4" s="6">
        <f>H6+H7</f>
        <v>21724264500</v>
      </c>
      <c r="I4" s="6">
        <f>I6+I7</f>
        <v>13953280000</v>
      </c>
      <c r="J4" s="6">
        <f>J6+J7</f>
        <v>8416387830</v>
      </c>
    </row>
    <row r="5" spans="1:18" ht="22" x14ac:dyDescent="0.3">
      <c r="A5" s="4" t="s">
        <v>121</v>
      </c>
      <c r="B5" s="6">
        <f>B4</f>
        <v>34761980000</v>
      </c>
      <c r="C5" s="6">
        <f>B4/2</f>
        <v>17380990000</v>
      </c>
      <c r="D5" s="6">
        <f>B4/4</f>
        <v>8690495000</v>
      </c>
      <c r="E5" s="6">
        <f>B4/8</f>
        <v>4345247500</v>
      </c>
      <c r="F5" s="4" t="s">
        <v>121</v>
      </c>
      <c r="G5" s="6">
        <f>G4</f>
        <v>37738310000</v>
      </c>
      <c r="H5" s="6">
        <f>G4/2</f>
        <v>18869155000</v>
      </c>
      <c r="I5" s="6">
        <f>G4/4</f>
        <v>9434577500</v>
      </c>
      <c r="J5" s="6">
        <f>G4/8</f>
        <v>4717288750</v>
      </c>
    </row>
    <row r="6" spans="1:18" ht="22" x14ac:dyDescent="0.3">
      <c r="A6" s="4" t="s">
        <v>50</v>
      </c>
      <c r="B6" s="18">
        <v>34761980000</v>
      </c>
      <c r="C6" s="6">
        <v>347619800</v>
      </c>
      <c r="D6" s="18">
        <v>1949715000</v>
      </c>
      <c r="E6" s="18">
        <v>79038830</v>
      </c>
      <c r="F6" s="4" t="s">
        <v>50</v>
      </c>
      <c r="G6" s="18">
        <v>37738310000</v>
      </c>
      <c r="H6" s="18">
        <v>316274500</v>
      </c>
      <c r="I6" s="18">
        <v>1544795000</v>
      </c>
      <c r="J6" s="18">
        <v>79038830</v>
      </c>
    </row>
    <row r="7" spans="1:18" ht="24" x14ac:dyDescent="0.3">
      <c r="A7" s="4" t="s">
        <v>51</v>
      </c>
      <c r="B7" s="18">
        <v>0</v>
      </c>
      <c r="C7" s="18">
        <v>12529520000</v>
      </c>
      <c r="D7" s="6">
        <f>6144081000+79036350</f>
        <v>6223117350</v>
      </c>
      <c r="E7" s="18">
        <v>5560848000</v>
      </c>
      <c r="F7" s="4" t="s">
        <v>51</v>
      </c>
      <c r="G7" s="6">
        <v>0</v>
      </c>
      <c r="H7" s="18">
        <v>21407990000</v>
      </c>
      <c r="I7" s="6">
        <f>10863690000+1544795000</f>
        <v>12408485000</v>
      </c>
      <c r="J7" s="18">
        <v>8337349000</v>
      </c>
      <c r="L7" s="11"/>
      <c r="M7" s="11"/>
      <c r="N7" s="11"/>
      <c r="O7" s="11"/>
      <c r="P7" s="11"/>
      <c r="Q7" s="11"/>
      <c r="R7" s="11"/>
    </row>
    <row r="8" spans="1:18" ht="24" x14ac:dyDescent="0.3">
      <c r="A8" s="4" t="s">
        <v>15</v>
      </c>
      <c r="B8" s="16">
        <v>0</v>
      </c>
      <c r="C8" s="16">
        <v>97.3005</v>
      </c>
      <c r="D8" s="16">
        <v>76.143900000000002</v>
      </c>
      <c r="E8" s="16">
        <v>98.598600000000005</v>
      </c>
      <c r="F8" s="4" t="s">
        <v>15</v>
      </c>
      <c r="G8" s="13">
        <f>G7/G6+G7</f>
        <v>0</v>
      </c>
      <c r="H8" s="16">
        <v>98.5441</v>
      </c>
      <c r="I8" s="16">
        <v>87.629300000000001</v>
      </c>
      <c r="J8" s="16">
        <v>99.060900000000004</v>
      </c>
      <c r="R8" s="11"/>
    </row>
    <row r="9" spans="1:18" ht="24" x14ac:dyDescent="0.3">
      <c r="A9" s="4" t="s">
        <v>14</v>
      </c>
      <c r="B9" s="8">
        <f>B4/B2*100</f>
        <v>48.573126897192367</v>
      </c>
      <c r="C9" s="8">
        <f>C4/C2*100</f>
        <v>18.123685881665452</v>
      </c>
      <c r="D9" s="8">
        <f>D4/D2*100</f>
        <v>12.037685296961191</v>
      </c>
      <c r="E9" s="8">
        <f>E4/E2*100</f>
        <v>41.055039825643611</v>
      </c>
      <c r="F9" s="4" t="s">
        <v>14</v>
      </c>
      <c r="G9" s="8">
        <f>G4/G2*100</f>
        <v>43.86262966729624</v>
      </c>
      <c r="H9" s="8">
        <f>H4/H2*100</f>
        <v>41.958693285763729</v>
      </c>
      <c r="I9" s="8">
        <f>I4/I2*100</f>
        <v>28.070068146956018</v>
      </c>
      <c r="J9" s="8">
        <f>J4/J2*100</f>
        <v>50.025307680694432</v>
      </c>
      <c r="R9" s="11"/>
    </row>
    <row r="10" spans="1:18" ht="24" x14ac:dyDescent="0.3">
      <c r="A10" s="4" t="s">
        <v>3</v>
      </c>
      <c r="B10" s="7">
        <v>10.36</v>
      </c>
      <c r="C10" s="7">
        <v>11.02</v>
      </c>
      <c r="D10" s="7">
        <v>10.56</v>
      </c>
      <c r="E10" s="7">
        <v>4.0199999999999996</v>
      </c>
      <c r="F10" s="4" t="s">
        <v>3</v>
      </c>
      <c r="G10" s="6">
        <v>14.9</v>
      </c>
      <c r="H10" s="18">
        <v>10.93</v>
      </c>
      <c r="I10" s="18">
        <v>6.37</v>
      </c>
      <c r="J10" s="7">
        <v>4.3</v>
      </c>
      <c r="R10" s="11"/>
    </row>
    <row r="11" spans="1:18" ht="24" x14ac:dyDescent="0.3">
      <c r="A11" s="4" t="s">
        <v>4</v>
      </c>
      <c r="B11" s="18">
        <v>0.4304</v>
      </c>
      <c r="C11" s="18">
        <v>0.46129999999999999</v>
      </c>
      <c r="D11" s="18">
        <v>0.46229999999999999</v>
      </c>
      <c r="E11" s="18">
        <v>0.86199999999999999</v>
      </c>
      <c r="F11" s="4" t="s">
        <v>4</v>
      </c>
      <c r="G11" s="18">
        <v>0.51559999999999995</v>
      </c>
      <c r="H11" s="18">
        <v>0.35580000000000001</v>
      </c>
      <c r="I11" s="18">
        <v>0.37940000000000002</v>
      </c>
      <c r="J11" s="18">
        <v>0.76480000000000004</v>
      </c>
      <c r="R11" s="11"/>
    </row>
    <row r="12" spans="1:18" ht="24" x14ac:dyDescent="0.3">
      <c r="A12" s="4" t="s">
        <v>13</v>
      </c>
      <c r="B12" s="13"/>
      <c r="C12" s="13"/>
      <c r="D12" s="13"/>
      <c r="E12" s="13"/>
      <c r="F12" s="4" t="s">
        <v>13</v>
      </c>
      <c r="G12" s="14">
        <f>100*G2/B2</f>
        <v>120.22072406166703</v>
      </c>
      <c r="H12" s="14">
        <f>100*H2/C2</f>
        <v>72.870247246220487</v>
      </c>
      <c r="I12" s="14">
        <f>100*I2/D2</f>
        <v>73.215534514826999</v>
      </c>
      <c r="J12" s="14">
        <f>100*J2/E2</f>
        <v>122.47066034425778</v>
      </c>
      <c r="R12" s="11"/>
    </row>
    <row r="13" spans="1:18" ht="24" x14ac:dyDescent="0.3">
      <c r="A13" s="4" t="s">
        <v>11</v>
      </c>
      <c r="B13" s="13"/>
      <c r="C13" s="14">
        <f>100*C2/$B$2</f>
        <v>99.28061092458627</v>
      </c>
      <c r="D13" s="14">
        <f>100*D2/$B$2</f>
        <v>94.868309488770407</v>
      </c>
      <c r="E13" s="14">
        <f>100*E2/$B$2</f>
        <v>19.195324949124085</v>
      </c>
      <c r="F13" s="4" t="s">
        <v>11</v>
      </c>
      <c r="G13" s="13"/>
      <c r="H13" s="14">
        <f>100*H2/$G$2</f>
        <v>60.177666715095164</v>
      </c>
      <c r="I13" s="14">
        <f>100*I2/$G$2</f>
        <v>57.77567920964696</v>
      </c>
      <c r="J13" s="14">
        <f>100*J2/$G$2</f>
        <v>19.55456632282435</v>
      </c>
      <c r="R13" s="11"/>
    </row>
    <row r="14" spans="1:18" ht="24" x14ac:dyDescent="0.3">
      <c r="A14" s="4" t="s">
        <v>12</v>
      </c>
      <c r="B14" s="13"/>
      <c r="C14" s="14">
        <f>100*C4/$B$4</f>
        <v>37.043746645041509</v>
      </c>
      <c r="D14" s="14">
        <f>100*D4/$B$4</f>
        <v>23.510836695723317</v>
      </c>
      <c r="E14" s="14">
        <f>100*E4/$B$4</f>
        <v>16.224296861110904</v>
      </c>
      <c r="F14" s="4" t="s">
        <v>12</v>
      </c>
      <c r="G14" s="13"/>
      <c r="H14" s="14">
        <f>100*H4/$G$4</f>
        <v>57.565546787866232</v>
      </c>
      <c r="I14" s="14">
        <f>100*I4/$G$4</f>
        <v>36.973780754888068</v>
      </c>
      <c r="J14" s="14">
        <f>100*J4/$G$4</f>
        <v>22.301973326309525</v>
      </c>
      <c r="R14" s="11"/>
    </row>
    <row r="15" spans="1:18" ht="24" x14ac:dyDescent="0.3">
      <c r="A15" s="17" t="s">
        <v>56</v>
      </c>
      <c r="B15" s="16">
        <v>2463.2247000000002</v>
      </c>
      <c r="C15" s="16">
        <v>2315.0399000000002</v>
      </c>
      <c r="D15" s="16">
        <v>2538.0952000000002</v>
      </c>
      <c r="E15" s="16">
        <v>11228.8442</v>
      </c>
      <c r="F15" s="17" t="s">
        <v>56</v>
      </c>
      <c r="G15" s="16">
        <v>2541.5879</v>
      </c>
      <c r="H15" s="16">
        <v>3945.7462999999998</v>
      </c>
      <c r="I15" s="16">
        <v>7143.7147000000004</v>
      </c>
      <c r="J15" s="16">
        <v>15485.669599999999</v>
      </c>
      <c r="R15" s="11"/>
    </row>
    <row r="16" spans="1:18" ht="24" x14ac:dyDescent="0.3">
      <c r="A16" s="28"/>
      <c r="B16" s="39"/>
      <c r="C16" s="39"/>
      <c r="D16" s="39"/>
      <c r="E16" s="39"/>
      <c r="F16" s="28"/>
      <c r="G16" s="39"/>
      <c r="H16" s="39"/>
      <c r="I16" s="39"/>
      <c r="J16" s="39"/>
      <c r="R16" s="11"/>
    </row>
    <row r="17" spans="1:18" ht="24" x14ac:dyDescent="0.3">
      <c r="A17" s="2" t="s">
        <v>37</v>
      </c>
      <c r="B17" s="1" t="s">
        <v>2</v>
      </c>
      <c r="C17" s="1" t="s">
        <v>5</v>
      </c>
      <c r="D17" s="1" t="s">
        <v>16</v>
      </c>
      <c r="E17" s="1" t="s">
        <v>9</v>
      </c>
      <c r="F17" s="2" t="s">
        <v>37</v>
      </c>
      <c r="G17" s="1" t="s">
        <v>6</v>
      </c>
      <c r="H17" s="1" t="s">
        <v>7</v>
      </c>
      <c r="I17" s="1" t="s">
        <v>8</v>
      </c>
      <c r="J17" s="1" t="s">
        <v>10</v>
      </c>
      <c r="R17" s="11"/>
    </row>
    <row r="18" spans="1:18" ht="24" x14ac:dyDescent="0.3">
      <c r="A18" s="4" t="s">
        <v>0</v>
      </c>
      <c r="B18" s="15">
        <v>76514200000</v>
      </c>
      <c r="C18" s="15">
        <v>73968780000</v>
      </c>
      <c r="D18" s="15">
        <v>66430040000</v>
      </c>
      <c r="E18" s="15">
        <v>10113540000</v>
      </c>
      <c r="F18" s="4" t="s">
        <v>0</v>
      </c>
      <c r="G18" s="15">
        <v>86037460000</v>
      </c>
      <c r="H18" s="15">
        <v>55933420000</v>
      </c>
      <c r="I18" s="15">
        <v>47291520000</v>
      </c>
      <c r="J18" s="15">
        <v>9881790000</v>
      </c>
      <c r="R18" s="11"/>
    </row>
    <row r="19" spans="1:18" ht="24" x14ac:dyDescent="0.3">
      <c r="A19" s="4" t="s">
        <v>1</v>
      </c>
      <c r="B19" s="12">
        <f>B20+B21</f>
        <v>8329232700</v>
      </c>
      <c r="C19" s="12">
        <f>C20+C21</f>
        <v>8329242500</v>
      </c>
      <c r="D19" s="12">
        <f>D20+D21</f>
        <v>6453766200</v>
      </c>
      <c r="E19" s="12">
        <f>E20+E21</f>
        <v>3134645420</v>
      </c>
      <c r="F19" s="4" t="s">
        <v>1</v>
      </c>
      <c r="G19" s="15">
        <f>G20+G21</f>
        <v>37738310000</v>
      </c>
      <c r="H19" s="15">
        <f>H20+H21</f>
        <v>13881946300</v>
      </c>
      <c r="I19" s="15">
        <f>I20+I21</f>
        <v>7969306800</v>
      </c>
      <c r="J19" s="15">
        <f>J20+J21</f>
        <v>4148089420</v>
      </c>
      <c r="R19" s="11"/>
    </row>
    <row r="20" spans="1:18" ht="24" x14ac:dyDescent="0.3">
      <c r="A20" s="4" t="s">
        <v>50</v>
      </c>
      <c r="B20" s="15">
        <v>770390700</v>
      </c>
      <c r="C20" s="15">
        <v>770410500</v>
      </c>
      <c r="D20" s="15">
        <v>2888943000</v>
      </c>
      <c r="E20" s="15">
        <v>79036420</v>
      </c>
      <c r="F20" s="4" t="s">
        <v>50</v>
      </c>
      <c r="G20" s="15">
        <v>37738310000</v>
      </c>
      <c r="H20" s="15">
        <v>737476300</v>
      </c>
      <c r="I20" s="15">
        <v>1544795000</v>
      </c>
      <c r="J20" s="15">
        <v>79036420</v>
      </c>
      <c r="R20" s="11"/>
    </row>
    <row r="21" spans="1:18" ht="22" x14ac:dyDescent="0.3">
      <c r="A21" s="4" t="s">
        <v>51</v>
      </c>
      <c r="B21" s="15">
        <v>7558842000</v>
      </c>
      <c r="C21" s="15">
        <v>7558832000</v>
      </c>
      <c r="D21" s="12">
        <f>158070200+3406753000</f>
        <v>3564823200</v>
      </c>
      <c r="E21" s="15">
        <v>3055609000</v>
      </c>
      <c r="F21" s="4" t="s">
        <v>51</v>
      </c>
      <c r="G21" s="12">
        <v>0</v>
      </c>
      <c r="H21" s="15">
        <v>13144470000</v>
      </c>
      <c r="I21" s="15">
        <f>158072800+6266439000</f>
        <v>6424511800</v>
      </c>
      <c r="J21" s="15">
        <v>4069053000</v>
      </c>
    </row>
    <row r="22" spans="1:18" ht="22" x14ac:dyDescent="0.3">
      <c r="A22" s="4" t="s">
        <v>15</v>
      </c>
      <c r="B22" s="13">
        <v>0</v>
      </c>
      <c r="C22" s="16">
        <v>90.750500000000002</v>
      </c>
      <c r="D22" s="16">
        <v>55.2363</v>
      </c>
      <c r="E22" s="16">
        <v>97.4786</v>
      </c>
      <c r="F22" s="4" t="s">
        <v>15</v>
      </c>
      <c r="G22" s="13">
        <v>0</v>
      </c>
      <c r="H22" s="16">
        <v>94.6875</v>
      </c>
      <c r="I22" s="16">
        <v>72.650099999999995</v>
      </c>
      <c r="J22" s="16">
        <v>98.0946</v>
      </c>
    </row>
    <row r="23" spans="1:18" ht="22" x14ac:dyDescent="0.3">
      <c r="A23" s="4" t="s">
        <v>14</v>
      </c>
      <c r="B23" s="14">
        <f>B19/B18*100</f>
        <v>10.885865238086526</v>
      </c>
      <c r="C23" s="14">
        <f>C19/C18*100</f>
        <v>11.260483814928406</v>
      </c>
      <c r="D23" s="14">
        <f>D19/D18*100</f>
        <v>9.7151321901958809</v>
      </c>
      <c r="E23" s="14">
        <f>E19/E18*100</f>
        <v>30.994542168222004</v>
      </c>
      <c r="F23" s="4" t="s">
        <v>14</v>
      </c>
      <c r="G23" s="14">
        <f>G19/G18*100</f>
        <v>43.862650059636813</v>
      </c>
      <c r="H23" s="14">
        <f>H19/H18*100</f>
        <v>24.818697479968147</v>
      </c>
      <c r="I23" s="14">
        <f>I19/I18*100</f>
        <v>16.851449900531851</v>
      </c>
      <c r="J23" s="14">
        <f>J19/J18*100</f>
        <v>41.977105564882478</v>
      </c>
    </row>
    <row r="24" spans="1:18" ht="22" x14ac:dyDescent="0.3">
      <c r="A24" s="4" t="s">
        <v>3</v>
      </c>
      <c r="B24" s="13">
        <v>10.09</v>
      </c>
      <c r="C24" s="13">
        <v>10.23</v>
      </c>
      <c r="D24" s="13">
        <v>10.82</v>
      </c>
      <c r="E24" s="13">
        <v>4.1399999999999997</v>
      </c>
      <c r="F24" s="4" t="s">
        <v>3</v>
      </c>
      <c r="G24" s="13">
        <v>14.7</v>
      </c>
      <c r="H24" s="13">
        <v>6.23</v>
      </c>
      <c r="I24" s="13">
        <v>5.5</v>
      </c>
      <c r="J24" s="13">
        <v>3.71</v>
      </c>
    </row>
    <row r="25" spans="1:18" ht="22" x14ac:dyDescent="0.3">
      <c r="A25" s="4" t="s">
        <v>4</v>
      </c>
      <c r="B25" s="16">
        <v>0.39200000000000002</v>
      </c>
      <c r="C25" s="16">
        <v>0.41089999999999999</v>
      </c>
      <c r="D25" s="16">
        <v>0.4839</v>
      </c>
      <c r="E25" s="16">
        <v>1.2084999999999999</v>
      </c>
      <c r="F25" s="4" t="s">
        <v>4</v>
      </c>
      <c r="G25" s="16">
        <v>0.51559999999999995</v>
      </c>
      <c r="H25" s="16">
        <v>0.35580000000000001</v>
      </c>
      <c r="I25" s="16">
        <v>0.34370000000000001</v>
      </c>
      <c r="J25" s="16">
        <v>1.1072</v>
      </c>
    </row>
    <row r="26" spans="1:18" ht="22" x14ac:dyDescent="0.3">
      <c r="A26" s="4" t="s">
        <v>13</v>
      </c>
      <c r="B26" s="7"/>
      <c r="C26" s="7"/>
      <c r="D26" s="7"/>
      <c r="E26" s="7"/>
      <c r="F26" s="4" t="s">
        <v>13</v>
      </c>
      <c r="G26" s="8">
        <f>100*G18/B18</f>
        <v>112.44639557101819</v>
      </c>
      <c r="H26" s="8">
        <f>100*H18/C18</f>
        <v>75.617605157202803</v>
      </c>
      <c r="I26" s="8">
        <f>100*I18/D18</f>
        <v>71.18996164988009</v>
      </c>
      <c r="J26" s="8">
        <f>100*J18/E18</f>
        <v>97.708517492391394</v>
      </c>
    </row>
    <row r="27" spans="1:18" ht="22" x14ac:dyDescent="0.3">
      <c r="A27" s="4" t="s">
        <v>11</v>
      </c>
      <c r="B27" s="7"/>
      <c r="C27" s="8">
        <f>100*C18/$B$2</f>
        <v>103.35702791873491</v>
      </c>
      <c r="D27" s="8">
        <f>100*D18/$B$2</f>
        <v>92.823100488106974</v>
      </c>
      <c r="E27" s="8">
        <f>100*E18/$B$2</f>
        <v>14.131711191359953</v>
      </c>
      <c r="F27" s="4" t="s">
        <v>11</v>
      </c>
      <c r="G27" s="6"/>
      <c r="H27" s="8">
        <f>100*H18/$G$2</f>
        <v>65.010512857765505</v>
      </c>
      <c r="I27" s="8">
        <f>100*I18/$G$2</f>
        <v>54.966171727444426</v>
      </c>
      <c r="J27" s="8">
        <f>100*J18/$G$2</f>
        <v>11.485445300014529</v>
      </c>
    </row>
    <row r="28" spans="1:18" ht="22" x14ac:dyDescent="0.3">
      <c r="A28" s="4" t="s">
        <v>12</v>
      </c>
      <c r="B28" s="7"/>
      <c r="C28" s="8">
        <f>100*C19/$B$4</f>
        <v>23.960782728716833</v>
      </c>
      <c r="D28" s="8">
        <f>100*D19/$B$4</f>
        <v>18.565588611465746</v>
      </c>
      <c r="E28" s="8">
        <f>100*E19/$B$4</f>
        <v>9.0174536087990393</v>
      </c>
      <c r="F28" s="4" t="s">
        <v>12</v>
      </c>
      <c r="G28" s="6"/>
      <c r="H28" s="8">
        <f>100*H19/$G$4</f>
        <v>36.784758776956359</v>
      </c>
      <c r="I28" s="8">
        <f>100*I19/$G$4</f>
        <v>21.117285856202887</v>
      </c>
      <c r="J28" s="8">
        <f>100*J19/$G$4</f>
        <v>10.991720137971202</v>
      </c>
    </row>
    <row r="29" spans="1:18" ht="21" x14ac:dyDescent="0.25">
      <c r="A29" s="17" t="s">
        <v>58</v>
      </c>
      <c r="B29" s="16">
        <v>3087.8877000000002</v>
      </c>
      <c r="C29" s="16">
        <v>3046.9086000000002</v>
      </c>
      <c r="D29" s="16">
        <v>2858.5432000000001</v>
      </c>
      <c r="E29" s="16">
        <v>11958.088900000001</v>
      </c>
      <c r="F29" s="17" t="s">
        <v>58</v>
      </c>
      <c r="G29" s="16">
        <v>2576.098</v>
      </c>
      <c r="H29" s="16">
        <v>8629.7572</v>
      </c>
      <c r="I29" s="16">
        <v>9762.6401000000005</v>
      </c>
      <c r="J29" s="16">
        <v>17756.524600000001</v>
      </c>
    </row>
    <row r="30" spans="1:18" ht="21" x14ac:dyDescent="0.25">
      <c r="A30" s="9"/>
      <c r="B30" s="10"/>
      <c r="C30" s="10"/>
      <c r="D30" s="10"/>
      <c r="E30" s="10"/>
      <c r="F30" s="9"/>
      <c r="G30" s="10"/>
      <c r="H30" s="10"/>
      <c r="I30" s="10"/>
      <c r="J30" s="10"/>
    </row>
    <row r="31" spans="1:18" ht="21" x14ac:dyDescent="0.25">
      <c r="A31" s="9" t="s">
        <v>93</v>
      </c>
      <c r="B31" s="10"/>
      <c r="C31" s="10"/>
      <c r="D31" s="10"/>
      <c r="E31" s="10"/>
      <c r="F31" s="9"/>
      <c r="G31" s="10"/>
      <c r="H31" s="10"/>
      <c r="I31" s="10"/>
      <c r="J31" s="10"/>
    </row>
    <row r="32" spans="1:18" ht="24" x14ac:dyDescent="0.3">
      <c r="A32" s="19" t="s">
        <v>17</v>
      </c>
      <c r="B32" s="1" t="s">
        <v>16</v>
      </c>
      <c r="C32" s="1" t="s">
        <v>9</v>
      </c>
      <c r="D32" s="1" t="s">
        <v>8</v>
      </c>
      <c r="E32" s="1" t="s">
        <v>10</v>
      </c>
    </row>
    <row r="33" spans="1:5" ht="19" x14ac:dyDescent="0.25">
      <c r="A33" s="40" t="s">
        <v>0</v>
      </c>
      <c r="B33" s="45">
        <v>38896330000</v>
      </c>
      <c r="C33" s="45">
        <v>18736860000</v>
      </c>
      <c r="D33" s="45">
        <v>62482960000</v>
      </c>
      <c r="E33" s="45">
        <v>26703910000</v>
      </c>
    </row>
    <row r="34" spans="1:5" ht="19" x14ac:dyDescent="0.25">
      <c r="A34" s="40" t="s">
        <v>1</v>
      </c>
      <c r="B34" s="46">
        <f>B35+B36</f>
        <v>20334402412</v>
      </c>
      <c r="C34" s="46">
        <f>C35+C36</f>
        <v>13598404800</v>
      </c>
      <c r="D34" s="46">
        <f>D35+D36</f>
        <v>32593012412</v>
      </c>
      <c r="E34" s="46">
        <f>E35+E36</f>
        <v>21617719202</v>
      </c>
    </row>
    <row r="35" spans="1:5" ht="19" hidden="1" x14ac:dyDescent="0.25">
      <c r="A35" s="40" t="s">
        <v>50</v>
      </c>
      <c r="B35" s="45">
        <v>2412</v>
      </c>
      <c r="C35" s="45">
        <v>6698010</v>
      </c>
      <c r="D35" s="45">
        <v>2412</v>
      </c>
      <c r="E35" s="45">
        <v>2412</v>
      </c>
    </row>
    <row r="36" spans="1:5" ht="19" hidden="1" x14ac:dyDescent="0.25">
      <c r="A36" s="40" t="s">
        <v>51</v>
      </c>
      <c r="B36" s="45">
        <v>20334400000</v>
      </c>
      <c r="C36" s="46">
        <f>13571620000+20086790</f>
        <v>13591706790</v>
      </c>
      <c r="D36" s="45">
        <v>32593010000</v>
      </c>
      <c r="E36" s="46">
        <f>21597630000+20086790</f>
        <v>21617716790</v>
      </c>
    </row>
    <row r="37" spans="1:5" ht="19" x14ac:dyDescent="0.25">
      <c r="A37" s="40" t="s">
        <v>15</v>
      </c>
      <c r="B37" s="41">
        <v>100</v>
      </c>
      <c r="C37" s="47">
        <v>99.950699999999998</v>
      </c>
      <c r="D37" s="41">
        <v>100</v>
      </c>
      <c r="E37" s="41">
        <v>100</v>
      </c>
    </row>
    <row r="38" spans="1:5" ht="19" x14ac:dyDescent="0.25">
      <c r="A38" s="40" t="s">
        <v>14</v>
      </c>
      <c r="B38" s="43">
        <f>B34/B33*100</f>
        <v>52.278460235194423</v>
      </c>
      <c r="C38" s="43">
        <f>C34/C33*100</f>
        <v>72.57568664119816</v>
      </c>
      <c r="D38" s="43">
        <f>D34/D33*100</f>
        <v>52.163041590859329</v>
      </c>
      <c r="E38" s="43">
        <f>E34/E33*100</f>
        <v>80.953385485496327</v>
      </c>
    </row>
    <row r="39" spans="1:5" ht="19" x14ac:dyDescent="0.25">
      <c r="A39" s="40" t="s">
        <v>91</v>
      </c>
      <c r="B39" s="41">
        <v>4.71</v>
      </c>
      <c r="C39" s="44">
        <v>2.72</v>
      </c>
      <c r="D39" s="48">
        <v>7.41</v>
      </c>
      <c r="E39" s="44">
        <v>3.63</v>
      </c>
    </row>
    <row r="40" spans="1:5" ht="19" x14ac:dyDescent="0.25">
      <c r="A40" s="40" t="s">
        <v>92</v>
      </c>
      <c r="B40" s="47">
        <v>0.3579</v>
      </c>
      <c r="C40" s="47">
        <v>0.42430000000000001</v>
      </c>
      <c r="D40" s="47">
        <v>0.35189999999999999</v>
      </c>
      <c r="E40" s="47">
        <v>0.39889999999999998</v>
      </c>
    </row>
    <row r="41" spans="1:5" ht="19" x14ac:dyDescent="0.25">
      <c r="A41" s="40" t="s">
        <v>13</v>
      </c>
      <c r="B41" s="44"/>
      <c r="C41" s="44"/>
      <c r="D41" s="43">
        <f>100*D33/B33</f>
        <v>160.63973130626977</v>
      </c>
      <c r="E41" s="43">
        <f>100*E33/C33</f>
        <v>142.52073186222239</v>
      </c>
    </row>
    <row r="42" spans="1:5" ht="19" x14ac:dyDescent="0.25">
      <c r="A42" s="40" t="s">
        <v>11</v>
      </c>
      <c r="B42" s="43" t="e">
        <f>100*#REF!/#REF!</f>
        <v>#REF!</v>
      </c>
      <c r="C42" s="43" t="e">
        <f>100*C33/#REF!</f>
        <v>#REF!</v>
      </c>
      <c r="D42" s="43" t="e">
        <f>100*B33/#REF!</f>
        <v>#REF!</v>
      </c>
      <c r="E42" s="43" t="e">
        <f>100*E33/#REF!</f>
        <v>#REF!</v>
      </c>
    </row>
    <row r="43" spans="1:5" ht="19" x14ac:dyDescent="0.25">
      <c r="A43" s="40" t="s">
        <v>12</v>
      </c>
      <c r="B43" s="43" t="e">
        <f>100*B34/#REF!</f>
        <v>#REF!</v>
      </c>
      <c r="C43" s="43" t="e">
        <f>100*C34/#REF!</f>
        <v>#REF!</v>
      </c>
      <c r="D43" s="43" t="e">
        <f>100*D34/#REF!</f>
        <v>#REF!</v>
      </c>
      <c r="E43" s="43" t="e">
        <f>100*E34/#REF!</f>
        <v>#REF!</v>
      </c>
    </row>
    <row r="44" spans="1:5" ht="18" x14ac:dyDescent="0.2">
      <c r="A44" s="42" t="s">
        <v>56</v>
      </c>
      <c r="B44" s="42">
        <v>17489.204399999999</v>
      </c>
      <c r="C44" s="42">
        <v>40616.948900000003</v>
      </c>
      <c r="D44" s="42">
        <v>17702.492600000001</v>
      </c>
      <c r="E44" s="42">
        <v>48226.099399999999</v>
      </c>
    </row>
    <row r="45" spans="1:5" x14ac:dyDescent="0.2">
      <c r="A45" s="28"/>
      <c r="B45" s="39"/>
      <c r="C45" s="39"/>
      <c r="D45" s="39"/>
      <c r="E45" s="39"/>
    </row>
    <row r="46" spans="1:5" ht="24" x14ac:dyDescent="0.3">
      <c r="A46" s="19" t="s">
        <v>37</v>
      </c>
      <c r="B46" s="1" t="s">
        <v>16</v>
      </c>
      <c r="C46" s="1" t="s">
        <v>9</v>
      </c>
      <c r="D46" s="1" t="s">
        <v>8</v>
      </c>
      <c r="E46" s="1" t="s">
        <v>10</v>
      </c>
    </row>
    <row r="47" spans="1:5" ht="19" x14ac:dyDescent="0.25">
      <c r="A47" s="40" t="s">
        <v>0</v>
      </c>
      <c r="B47" s="45">
        <v>26062510000</v>
      </c>
      <c r="C47" s="45">
        <v>11231440000</v>
      </c>
      <c r="D47" s="45">
        <v>38300970000</v>
      </c>
      <c r="E47" s="45">
        <v>13027310000</v>
      </c>
    </row>
    <row r="48" spans="1:5" ht="19" x14ac:dyDescent="0.25">
      <c r="A48" s="40" t="s">
        <v>1</v>
      </c>
      <c r="B48" s="46">
        <f>B49+B50</f>
        <v>13034404120</v>
      </c>
      <c r="C48" s="46">
        <f>C49+C50</f>
        <v>6854723350</v>
      </c>
      <c r="D48" s="46">
        <f>D49+D50</f>
        <v>20663993640</v>
      </c>
      <c r="E48" s="46">
        <f>E49+E50</f>
        <v>10068306790</v>
      </c>
    </row>
    <row r="49" spans="1:5" ht="19" hidden="1" x14ac:dyDescent="0.25">
      <c r="A49" s="40" t="s">
        <v>50</v>
      </c>
      <c r="B49" s="46">
        <v>0</v>
      </c>
      <c r="C49" s="46">
        <v>0</v>
      </c>
      <c r="D49" s="46">
        <v>0</v>
      </c>
      <c r="E49" s="46">
        <v>0</v>
      </c>
    </row>
    <row r="50" spans="1:5" ht="19" hidden="1" x14ac:dyDescent="0.25">
      <c r="A50" s="40" t="s">
        <v>51</v>
      </c>
      <c r="B50" s="46">
        <f>40174120+12994230000</f>
        <v>13034404120</v>
      </c>
      <c r="C50" s="46">
        <f>383076200+6451560000+20087150</f>
        <v>6854723350</v>
      </c>
      <c r="D50" s="46">
        <f>40173640+20623820000</f>
        <v>20663993640</v>
      </c>
      <c r="E50" s="46">
        <f>20086790+10048220000</f>
        <v>10068306790</v>
      </c>
    </row>
    <row r="51" spans="1:5" ht="19" x14ac:dyDescent="0.25">
      <c r="A51" s="40" t="s">
        <v>15</v>
      </c>
      <c r="B51" s="41">
        <v>100</v>
      </c>
      <c r="C51" s="41">
        <v>100</v>
      </c>
      <c r="D51" s="41">
        <v>100</v>
      </c>
      <c r="E51" s="41">
        <v>100</v>
      </c>
    </row>
    <row r="52" spans="1:5" ht="19" x14ac:dyDescent="0.25">
      <c r="A52" s="40" t="s">
        <v>14</v>
      </c>
      <c r="B52" s="43">
        <f>B48/B47*100</f>
        <v>50.012082949800309</v>
      </c>
      <c r="C52" s="43">
        <f>C48/C47*100</f>
        <v>61.031562738170706</v>
      </c>
      <c r="D52" s="43">
        <f>D48/D47*100</f>
        <v>53.95161960650082</v>
      </c>
      <c r="E52" s="43">
        <f>E48/E47*100</f>
        <v>77.286153396211503</v>
      </c>
    </row>
    <row r="53" spans="1:5" ht="19" x14ac:dyDescent="0.25">
      <c r="A53" s="40" t="s">
        <v>91</v>
      </c>
      <c r="B53" s="44">
        <v>2.78</v>
      </c>
      <c r="C53" s="44">
        <v>3.87</v>
      </c>
      <c r="D53" s="41">
        <v>3.92</v>
      </c>
      <c r="E53" s="44">
        <v>2.2400000000000002</v>
      </c>
    </row>
    <row r="54" spans="1:5" ht="19" x14ac:dyDescent="0.25">
      <c r="A54" s="40" t="s">
        <v>92</v>
      </c>
      <c r="B54" s="47">
        <v>0.3125</v>
      </c>
      <c r="C54" s="47">
        <v>0.85960000000000003</v>
      </c>
      <c r="D54" s="47">
        <v>0.30130000000000001</v>
      </c>
      <c r="E54" s="47">
        <v>1.0412999999999999</v>
      </c>
    </row>
    <row r="55" spans="1:5" ht="19" x14ac:dyDescent="0.25">
      <c r="A55" s="40" t="s">
        <v>13</v>
      </c>
      <c r="B55" s="44"/>
      <c r="C55" s="44"/>
      <c r="D55" s="43">
        <f>100*D47/B47</f>
        <v>146.95810188657961</v>
      </c>
      <c r="E55" s="43">
        <f>100*E47/C47</f>
        <v>115.98966828830497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7850-17E1-4DCB-9382-95039A24E3A9}">
  <dimension ref="A4:BX31"/>
  <sheetViews>
    <sheetView topLeftCell="AG1" zoomScale="30" zoomScaleNormal="30" workbookViewId="0">
      <selection activeCell="AG4" sqref="AG4:AG31"/>
    </sheetView>
  </sheetViews>
  <sheetFormatPr baseColWidth="10" defaultColWidth="10.83203125" defaultRowHeight="16" x14ac:dyDescent="0.2"/>
  <cols>
    <col min="1" max="1" width="10.83203125" hidden="1" customWidth="1"/>
    <col min="2" max="2" width="17.33203125" hidden="1" customWidth="1"/>
    <col min="3" max="3" width="25.33203125" hidden="1" customWidth="1"/>
    <col min="4" max="4" width="31.5" hidden="1" customWidth="1"/>
    <col min="5" max="5" width="2" hidden="1" customWidth="1"/>
    <col min="6" max="6" width="20.5" hidden="1" customWidth="1"/>
    <col min="7" max="7" width="20.33203125" hidden="1" customWidth="1"/>
    <col min="8" max="9" width="20" hidden="1" customWidth="1"/>
    <col min="10" max="10" width="24.5" hidden="1" customWidth="1"/>
    <col min="11" max="11" width="11.6640625" hidden="1" customWidth="1"/>
    <col min="12" max="12" width="13.83203125" hidden="1" customWidth="1"/>
    <col min="13" max="16" width="17.6640625" hidden="1" customWidth="1"/>
    <col min="17" max="17" width="18.33203125" hidden="1" customWidth="1"/>
    <col min="18" max="19" width="16.1640625" hidden="1" customWidth="1"/>
    <col min="20" max="20" width="17.1640625" hidden="1" customWidth="1"/>
    <col min="21" max="21" width="17.5" hidden="1" customWidth="1"/>
    <col min="22" max="22" width="16.33203125" hidden="1" customWidth="1"/>
    <col min="23" max="23" width="17.1640625" hidden="1" customWidth="1"/>
    <col min="24" max="24" width="19.5" hidden="1" customWidth="1"/>
    <col min="25" max="25" width="13.83203125" hidden="1" customWidth="1"/>
    <col min="26" max="30" width="20.33203125" hidden="1" customWidth="1"/>
    <col min="31" max="31" width="20" hidden="1" customWidth="1"/>
    <col min="32" max="32" width="24.5" hidden="1" customWidth="1"/>
    <col min="33" max="34" width="24.5" customWidth="1"/>
    <col min="35" max="35" width="20.33203125" customWidth="1"/>
    <col min="36" max="36" width="24.5" customWidth="1"/>
    <col min="37" max="41" width="20.33203125" customWidth="1"/>
    <col min="42" max="42" width="18.1640625" customWidth="1"/>
    <col min="43" max="43" width="13.33203125" customWidth="1"/>
    <col min="44" max="44" width="20.5" customWidth="1"/>
    <col min="45" max="45" width="11.1640625" bestFit="1" customWidth="1"/>
    <col min="46" max="46" width="20.5" customWidth="1"/>
    <col min="47" max="47" width="16.83203125" customWidth="1"/>
    <col min="48" max="48" width="17.1640625" customWidth="1"/>
    <col min="49" max="49" width="13.83203125" customWidth="1"/>
    <col min="50" max="51" width="11.1640625" bestFit="1" customWidth="1"/>
    <col min="70" max="70" width="18.5" bestFit="1" customWidth="1"/>
    <col min="71" max="71" width="11.83203125" bestFit="1" customWidth="1"/>
    <col min="72" max="73" width="11.1640625" bestFit="1" customWidth="1"/>
    <col min="74" max="74" width="37.5" customWidth="1"/>
    <col min="75" max="75" width="31.6640625" customWidth="1"/>
    <col min="76" max="76" width="18.5" bestFit="1" customWidth="1"/>
    <col min="77" max="77" width="11.83203125" bestFit="1" customWidth="1"/>
    <col min="78" max="80" width="11.1640625" bestFit="1" customWidth="1"/>
    <col min="81" max="82" width="18.5" bestFit="1" customWidth="1"/>
    <col min="83" max="83" width="11.83203125" bestFit="1" customWidth="1"/>
    <col min="84" max="86" width="11.1640625" bestFit="1" customWidth="1"/>
  </cols>
  <sheetData>
    <row r="4" spans="1:52" ht="409.5" x14ac:dyDescent="0.3">
      <c r="A4" s="76" t="s">
        <v>200</v>
      </c>
      <c r="B4" s="76" t="s">
        <v>190</v>
      </c>
      <c r="C4" s="76" t="s">
        <v>198</v>
      </c>
      <c r="D4" s="76" t="s">
        <v>199</v>
      </c>
      <c r="E4" s="76" t="s">
        <v>198</v>
      </c>
      <c r="F4" s="76" t="s">
        <v>197</v>
      </c>
      <c r="G4" s="76" t="s">
        <v>196</v>
      </c>
      <c r="H4" s="76" t="s">
        <v>195</v>
      </c>
      <c r="I4" s="76" t="s">
        <v>184</v>
      </c>
      <c r="J4" s="76" t="s">
        <v>183</v>
      </c>
      <c r="K4" s="77"/>
      <c r="L4" s="76" t="s">
        <v>194</v>
      </c>
      <c r="M4" s="77"/>
      <c r="N4" s="76" t="s">
        <v>193</v>
      </c>
      <c r="O4" s="77"/>
      <c r="P4" s="76" t="s">
        <v>192</v>
      </c>
      <c r="Q4" s="77"/>
      <c r="R4" s="76" t="s">
        <v>191</v>
      </c>
      <c r="S4" s="95" t="s">
        <v>76</v>
      </c>
      <c r="T4" s="77" t="s">
        <v>190</v>
      </c>
      <c r="U4" s="76" t="s">
        <v>189</v>
      </c>
      <c r="V4" s="77" t="s">
        <v>188</v>
      </c>
      <c r="W4" s="94" t="s">
        <v>187</v>
      </c>
      <c r="X4" s="77" t="s">
        <v>186</v>
      </c>
      <c r="Y4" s="94" t="s">
        <v>185</v>
      </c>
      <c r="Z4" s="76" t="s">
        <v>183</v>
      </c>
      <c r="AA4" s="76"/>
      <c r="AB4" s="94" t="s">
        <v>185</v>
      </c>
      <c r="AC4" s="76" t="s">
        <v>183</v>
      </c>
      <c r="AD4" s="93"/>
      <c r="AE4" s="76" t="s">
        <v>184</v>
      </c>
      <c r="AF4" s="76" t="s">
        <v>183</v>
      </c>
      <c r="AG4" s="76" t="s">
        <v>182</v>
      </c>
      <c r="AH4" s="116" t="s">
        <v>181</v>
      </c>
      <c r="AI4" s="116" t="s">
        <v>180</v>
      </c>
      <c r="AJ4" s="116" t="s">
        <v>179</v>
      </c>
      <c r="AK4" s="116" t="s">
        <v>178</v>
      </c>
      <c r="AL4" s="116" t="s">
        <v>177</v>
      </c>
      <c r="AM4" s="116" t="s">
        <v>176</v>
      </c>
      <c r="AN4" s="116" t="s">
        <v>175</v>
      </c>
      <c r="AO4" s="116" t="s">
        <v>174</v>
      </c>
      <c r="AP4" s="116" t="s">
        <v>173</v>
      </c>
      <c r="AQ4" s="116" t="s">
        <v>172</v>
      </c>
      <c r="AR4" s="117" t="s">
        <v>171</v>
      </c>
      <c r="AS4" s="117" t="s">
        <v>170</v>
      </c>
      <c r="AT4" s="116" t="s">
        <v>169</v>
      </c>
      <c r="AU4" s="116" t="s">
        <v>168</v>
      </c>
      <c r="AV4" s="116" t="s">
        <v>167</v>
      </c>
      <c r="AW4" s="117" t="s">
        <v>166</v>
      </c>
      <c r="AX4" s="117" t="s">
        <v>165</v>
      </c>
      <c r="AY4" s="117" t="s">
        <v>164</v>
      </c>
      <c r="AZ4" s="70"/>
    </row>
    <row r="5" spans="1:52" ht="26" x14ac:dyDescent="0.3">
      <c r="A5" s="74">
        <v>1</v>
      </c>
      <c r="B5" s="89">
        <v>7888.8558000000003</v>
      </c>
      <c r="C5" s="85">
        <f t="shared" ref="C5:C31" si="0">B5/1000</f>
        <v>7.8888558</v>
      </c>
      <c r="D5" s="85">
        <v>201.33080000000001</v>
      </c>
      <c r="E5" s="85">
        <v>15632.3014</v>
      </c>
      <c r="F5" s="85">
        <f t="shared" ref="F5:F31" si="1">E5/1000</f>
        <v>15.632301400000001</v>
      </c>
      <c r="G5" s="85">
        <v>233.5958</v>
      </c>
      <c r="H5" s="85">
        <v>19089.164799999999</v>
      </c>
      <c r="I5" s="85">
        <f t="shared" ref="I5:I31" si="2">H5/1000</f>
        <v>19.089164799999999</v>
      </c>
      <c r="J5" s="85">
        <v>236.83189999999999</v>
      </c>
      <c r="K5" s="83">
        <v>2542.2813000000001</v>
      </c>
      <c r="L5" s="83">
        <f t="shared" ref="L5:L31" si="3">K5/1000</f>
        <v>2.5422813</v>
      </c>
      <c r="M5" s="83">
        <v>3943.1527000000001</v>
      </c>
      <c r="N5" s="83">
        <f t="shared" ref="N5:N31" si="4">M5/1000</f>
        <v>3.9431527000000002</v>
      </c>
      <c r="O5" s="83">
        <v>7144.7013999999999</v>
      </c>
      <c r="P5" s="68">
        <f t="shared" ref="P5:P31" si="5">O5/1000</f>
        <v>7.1447013999999998</v>
      </c>
      <c r="Q5" s="83">
        <v>15642.3091</v>
      </c>
      <c r="R5" s="68">
        <f t="shared" ref="R5:R31" si="6">Q5/1000</f>
        <v>15.6423091</v>
      </c>
      <c r="S5" s="69"/>
      <c r="T5" s="82">
        <v>25667.491099999999</v>
      </c>
      <c r="U5" s="83">
        <f t="shared" ref="U5:U31" si="7">T5/1000</f>
        <v>25.667491099999999</v>
      </c>
      <c r="V5" s="82">
        <v>48475.536999999997</v>
      </c>
      <c r="W5" s="83">
        <f t="shared" ref="W5:W30" si="8">V6/1000</f>
        <v>36.3668385</v>
      </c>
      <c r="X5" s="82">
        <v>54624.7163</v>
      </c>
      <c r="Y5" s="67">
        <f t="shared" ref="Y5:Y31" si="9">X5/1000</f>
        <v>54.624716300000003</v>
      </c>
      <c r="Z5" s="81">
        <v>251.01</v>
      </c>
      <c r="AA5" s="81"/>
      <c r="AB5" s="67">
        <f t="shared" ref="AB5:AB31" si="10">X5/1000</f>
        <v>54.624716300000003</v>
      </c>
      <c r="AC5" s="81">
        <v>251.01</v>
      </c>
      <c r="AD5" s="80"/>
      <c r="AE5" s="79">
        <v>19.089164799999999</v>
      </c>
      <c r="AF5" s="79">
        <v>236.83189999999999</v>
      </c>
      <c r="AG5" s="78">
        <v>1</v>
      </c>
      <c r="AH5" s="72">
        <v>159.31559999999999</v>
      </c>
      <c r="AI5" s="72">
        <v>251.01</v>
      </c>
      <c r="AJ5" s="79">
        <v>236.83189999999999</v>
      </c>
      <c r="AK5" s="72">
        <f t="shared" ref="AK5:AK31" si="11">AL5/1.8</f>
        <v>0.79072222222222222</v>
      </c>
      <c r="AL5" s="72">
        <v>1.4233</v>
      </c>
      <c r="AM5" s="72">
        <v>1.9696</v>
      </c>
      <c r="AN5" s="72">
        <f>AO5/1.6</f>
        <v>3305.1330625000001</v>
      </c>
      <c r="AO5" s="72">
        <v>5288.2129000000004</v>
      </c>
      <c r="AP5" s="72">
        <v>7027.1967999999997</v>
      </c>
      <c r="AQ5" s="72">
        <v>25.846800000000002</v>
      </c>
      <c r="AR5" s="72">
        <v>34.203200000000002</v>
      </c>
      <c r="AS5" s="72">
        <v>57.070599999999999</v>
      </c>
      <c r="AT5" s="72">
        <v>1291.9174</v>
      </c>
      <c r="AU5" s="72">
        <v>4150.8486999999996</v>
      </c>
      <c r="AV5" s="72">
        <v>5055.9753000000001</v>
      </c>
      <c r="AW5" s="72">
        <v>18.523700000000002</v>
      </c>
      <c r="AX5" s="72">
        <v>23.4557</v>
      </c>
      <c r="AY5" s="72">
        <v>41.283200000000001</v>
      </c>
      <c r="AZ5" s="70"/>
    </row>
    <row r="6" spans="1:52" ht="26" x14ac:dyDescent="0.3">
      <c r="A6" s="74">
        <v>4</v>
      </c>
      <c r="B6" s="91">
        <v>7336.7870999999996</v>
      </c>
      <c r="C6" s="85">
        <f t="shared" si="0"/>
        <v>7.3367870999999996</v>
      </c>
      <c r="D6" s="85">
        <v>217.50399999999999</v>
      </c>
      <c r="E6" s="87">
        <v>9992.34</v>
      </c>
      <c r="F6" s="85">
        <f t="shared" si="1"/>
        <v>9.9923400000000004</v>
      </c>
      <c r="G6" s="85">
        <v>252.95590000000001</v>
      </c>
      <c r="H6" s="86">
        <v>71030.606799999994</v>
      </c>
      <c r="I6" s="85">
        <f t="shared" si="2"/>
        <v>71.030606800000001</v>
      </c>
      <c r="J6" s="85">
        <v>267.16359999999997</v>
      </c>
      <c r="K6" s="83">
        <v>4223.5720000000001</v>
      </c>
      <c r="L6" s="83">
        <f t="shared" si="3"/>
        <v>4.2235719999999999</v>
      </c>
      <c r="M6" s="83">
        <v>15331.654699999999</v>
      </c>
      <c r="N6" s="83">
        <f t="shared" si="4"/>
        <v>15.3316547</v>
      </c>
      <c r="O6" s="83">
        <v>6751.6715000000004</v>
      </c>
      <c r="P6" s="68">
        <f t="shared" si="5"/>
        <v>6.7516715000000005</v>
      </c>
      <c r="Q6" s="83">
        <v>14271.6181</v>
      </c>
      <c r="R6" s="68">
        <f t="shared" si="6"/>
        <v>14.2716181</v>
      </c>
      <c r="S6" s="69"/>
      <c r="T6" s="82">
        <v>18417.130300000001</v>
      </c>
      <c r="U6" s="83">
        <f t="shared" si="7"/>
        <v>18.4171303</v>
      </c>
      <c r="V6" s="82">
        <v>36366.838499999998</v>
      </c>
      <c r="W6" s="83">
        <f t="shared" si="8"/>
        <v>252.9760038</v>
      </c>
      <c r="X6" s="82">
        <v>45832.4277</v>
      </c>
      <c r="Y6" s="67">
        <f t="shared" si="9"/>
        <v>45.832427699999997</v>
      </c>
      <c r="Z6" s="81">
        <v>292.15519999999998</v>
      </c>
      <c r="AA6" s="81"/>
      <c r="AB6" s="67">
        <f t="shared" si="10"/>
        <v>45.832427699999997</v>
      </c>
      <c r="AC6" s="81">
        <v>292.15519999999998</v>
      </c>
      <c r="AD6" s="80"/>
      <c r="AE6" s="79">
        <v>71.030606800000001</v>
      </c>
      <c r="AF6" s="79">
        <v>267.16359999999997</v>
      </c>
      <c r="AG6" s="78">
        <v>4</v>
      </c>
      <c r="AH6" s="72">
        <f t="shared" ref="AH6:AH31" si="12">AI6/2</f>
        <v>146.07759999999999</v>
      </c>
      <c r="AI6" s="72">
        <v>292.15519999999998</v>
      </c>
      <c r="AJ6" s="79">
        <v>267.16359999999997</v>
      </c>
      <c r="AK6" s="72">
        <f t="shared" si="11"/>
        <v>0.5752222222222223</v>
      </c>
      <c r="AL6" s="72">
        <v>1.0354000000000001</v>
      </c>
      <c r="AM6" s="72">
        <v>1.5071000000000001</v>
      </c>
      <c r="AN6" s="72">
        <v>2528.8242</v>
      </c>
      <c r="AO6" s="72">
        <v>6381.7218000000003</v>
      </c>
      <c r="AP6" s="72">
        <v>7524.5123999999996</v>
      </c>
      <c r="AQ6" s="72">
        <v>18.593</v>
      </c>
      <c r="AR6" s="118">
        <v>22.464700000000001</v>
      </c>
      <c r="AS6" s="68">
        <v>41.734900000000003</v>
      </c>
      <c r="AT6" s="72">
        <v>1743.7334000000001</v>
      </c>
      <c r="AU6" s="72">
        <v>4777.2986000000001</v>
      </c>
      <c r="AV6" s="72">
        <v>3379.2669000000001</v>
      </c>
      <c r="AW6" s="72">
        <v>11.2958</v>
      </c>
      <c r="AX6" s="72">
        <v>16.758700000000001</v>
      </c>
      <c r="AY6" s="72">
        <v>18.886299999999999</v>
      </c>
      <c r="AZ6" s="70"/>
    </row>
    <row r="7" spans="1:52" ht="26" x14ac:dyDescent="0.3">
      <c r="A7" s="89">
        <v>8</v>
      </c>
      <c r="B7" s="91">
        <v>55667.451800000003</v>
      </c>
      <c r="C7" s="85">
        <f t="shared" si="0"/>
        <v>55.667451800000002</v>
      </c>
      <c r="D7" s="85">
        <v>228.06829999999999</v>
      </c>
      <c r="E7" s="87">
        <v>110429.7852</v>
      </c>
      <c r="F7" s="85">
        <f t="shared" si="1"/>
        <v>110.4297852</v>
      </c>
      <c r="G7" s="85">
        <v>241.31530000000001</v>
      </c>
      <c r="H7" s="86">
        <v>136226.4333</v>
      </c>
      <c r="I7" s="85">
        <f t="shared" si="2"/>
        <v>136.2264333</v>
      </c>
      <c r="J7" s="85">
        <v>267.39999999999998</v>
      </c>
      <c r="K7" s="83">
        <v>5756.8410999999996</v>
      </c>
      <c r="L7" s="83">
        <f t="shared" si="3"/>
        <v>5.7568410999999999</v>
      </c>
      <c r="M7" s="83">
        <v>30248.586500000001</v>
      </c>
      <c r="N7" s="83">
        <f t="shared" si="4"/>
        <v>30.248586500000002</v>
      </c>
      <c r="O7" s="83">
        <v>52793.7889</v>
      </c>
      <c r="P7" s="68">
        <f t="shared" si="5"/>
        <v>52.793788900000003</v>
      </c>
      <c r="Q7" s="83">
        <v>110429.7852</v>
      </c>
      <c r="R7" s="68">
        <f t="shared" si="6"/>
        <v>110.4297852</v>
      </c>
      <c r="S7" s="69"/>
      <c r="T7" s="82">
        <v>139591.3903</v>
      </c>
      <c r="U7" s="83">
        <f t="shared" si="7"/>
        <v>139.5913903</v>
      </c>
      <c r="V7" s="82">
        <v>252976.00380000001</v>
      </c>
      <c r="W7" s="83">
        <f t="shared" si="8"/>
        <v>331.04716200000001</v>
      </c>
      <c r="X7" s="82">
        <v>345167.07990000001</v>
      </c>
      <c r="Y7" s="67">
        <f t="shared" si="9"/>
        <v>345.16707990000003</v>
      </c>
      <c r="Z7" s="81">
        <v>314.22149999999999</v>
      </c>
      <c r="AA7" s="81"/>
      <c r="AB7" s="67">
        <f t="shared" si="10"/>
        <v>345.16707990000003</v>
      </c>
      <c r="AC7" s="81">
        <v>314.22149999999999</v>
      </c>
      <c r="AD7" s="80"/>
      <c r="AE7" s="79">
        <v>136.2264333</v>
      </c>
      <c r="AF7" s="79">
        <v>267.39999999999998</v>
      </c>
      <c r="AG7" s="78">
        <v>8</v>
      </c>
      <c r="AH7" s="72">
        <f t="shared" si="12"/>
        <v>157.11075</v>
      </c>
      <c r="AI7" s="72">
        <v>314.22149999999999</v>
      </c>
      <c r="AJ7" s="79">
        <v>267.39999999999998</v>
      </c>
      <c r="AK7" s="72">
        <f t="shared" si="11"/>
        <v>0.5230555555555555</v>
      </c>
      <c r="AL7" s="72">
        <v>0.9415</v>
      </c>
      <c r="AM7" s="72">
        <v>1.4136</v>
      </c>
      <c r="AN7" s="72">
        <v>3103.4405999999999</v>
      </c>
      <c r="AO7" s="72">
        <v>7384.3050000000003</v>
      </c>
      <c r="AP7" s="72">
        <v>5146.3096999999998</v>
      </c>
      <c r="AQ7" s="72">
        <v>17.284800000000001</v>
      </c>
      <c r="AR7" s="72">
        <v>23.716100000000001</v>
      </c>
      <c r="AS7" s="72">
        <v>27.389299999999999</v>
      </c>
      <c r="AT7" s="72">
        <v>2040.924</v>
      </c>
      <c r="AU7" s="72">
        <v>4717.3735999999999</v>
      </c>
      <c r="AV7" s="72">
        <v>2857.6738</v>
      </c>
      <c r="AW7" s="72">
        <v>10.311500000000001</v>
      </c>
      <c r="AX7" s="72">
        <v>15.1465</v>
      </c>
      <c r="AY7" s="72">
        <v>15.039</v>
      </c>
      <c r="AZ7" s="70"/>
    </row>
    <row r="8" spans="1:52" ht="26" x14ac:dyDescent="0.3">
      <c r="A8" s="89">
        <v>12</v>
      </c>
      <c r="B8" s="91">
        <v>81565.345499999996</v>
      </c>
      <c r="C8" s="85">
        <f t="shared" si="0"/>
        <v>81.565345499999992</v>
      </c>
      <c r="D8" s="85">
        <v>220.40440000000001</v>
      </c>
      <c r="E8" s="87">
        <v>163569.37460000001</v>
      </c>
      <c r="F8" s="85">
        <f t="shared" si="1"/>
        <v>163.5693746</v>
      </c>
      <c r="G8" s="85">
        <v>254.57939999999999</v>
      </c>
      <c r="H8" s="86">
        <v>200840.86689999999</v>
      </c>
      <c r="I8" s="85">
        <f t="shared" si="2"/>
        <v>200.84086689999998</v>
      </c>
      <c r="J8" s="85">
        <v>266.488</v>
      </c>
      <c r="K8" s="83">
        <v>8318.2800000000007</v>
      </c>
      <c r="L8" s="83">
        <f t="shared" si="3"/>
        <v>8.3182800000000015</v>
      </c>
      <c r="M8" s="83">
        <v>44936.380499999999</v>
      </c>
      <c r="N8" s="83">
        <f t="shared" si="4"/>
        <v>44.936380499999999</v>
      </c>
      <c r="O8" s="83">
        <v>78443.458700000003</v>
      </c>
      <c r="P8" s="68">
        <f t="shared" si="5"/>
        <v>78.443458700000008</v>
      </c>
      <c r="Q8" s="83">
        <v>163569.37460000001</v>
      </c>
      <c r="R8" s="68">
        <f t="shared" si="6"/>
        <v>163.5693746</v>
      </c>
      <c r="S8" s="69"/>
      <c r="T8" s="82">
        <v>133985.41190000001</v>
      </c>
      <c r="U8" s="83">
        <f t="shared" si="7"/>
        <v>133.9854119</v>
      </c>
      <c r="V8" s="82">
        <v>331047.16200000001</v>
      </c>
      <c r="W8" s="83">
        <f t="shared" si="8"/>
        <v>291.0966742</v>
      </c>
      <c r="X8" s="82">
        <v>290902.56770000001</v>
      </c>
      <c r="Y8" s="67">
        <f t="shared" si="9"/>
        <v>290.90256770000002</v>
      </c>
      <c r="Z8" s="81">
        <v>305.47269999999997</v>
      </c>
      <c r="AA8" s="81"/>
      <c r="AB8" s="67">
        <f t="shared" si="10"/>
        <v>290.90256770000002</v>
      </c>
      <c r="AC8" s="81">
        <v>305.47269999999997</v>
      </c>
      <c r="AD8" s="80"/>
      <c r="AE8" s="79">
        <v>200.84086689999998</v>
      </c>
      <c r="AF8" s="79">
        <v>266.488</v>
      </c>
      <c r="AG8" s="78">
        <v>12</v>
      </c>
      <c r="AH8" s="72">
        <f t="shared" si="12"/>
        <v>152.73634999999999</v>
      </c>
      <c r="AI8" s="72">
        <v>305.47269999999997</v>
      </c>
      <c r="AJ8" s="79">
        <v>266.488</v>
      </c>
      <c r="AK8" s="72">
        <f t="shared" si="11"/>
        <v>0.52077777777777778</v>
      </c>
      <c r="AL8" s="72">
        <v>0.93740000000000001</v>
      </c>
      <c r="AM8" s="72">
        <v>1.3648</v>
      </c>
      <c r="AN8" s="72">
        <v>3415.1732000000002</v>
      </c>
      <c r="AO8" s="72">
        <v>6941.0748999999996</v>
      </c>
      <c r="AP8" s="72">
        <v>6558.1089000000002</v>
      </c>
      <c r="AQ8" s="72">
        <v>16.6478</v>
      </c>
      <c r="AR8" s="72">
        <v>22.542000000000002</v>
      </c>
      <c r="AS8" s="72">
        <v>33.788499999999999</v>
      </c>
      <c r="AT8" s="72">
        <v>1822.1692</v>
      </c>
      <c r="AU8" s="72">
        <v>4536.8999000000003</v>
      </c>
      <c r="AV8" s="72">
        <v>2708.1958</v>
      </c>
      <c r="AW8" s="72">
        <v>8.8949999999999996</v>
      </c>
      <c r="AX8" s="72">
        <v>14.7021</v>
      </c>
      <c r="AY8" s="72">
        <v>13.788500000000001</v>
      </c>
      <c r="AZ8" s="70"/>
    </row>
    <row r="9" spans="1:52" ht="26" x14ac:dyDescent="0.3">
      <c r="A9" s="89">
        <v>16</v>
      </c>
      <c r="B9" s="91">
        <v>107137.0321</v>
      </c>
      <c r="C9" s="85">
        <f t="shared" si="0"/>
        <v>107.1370321</v>
      </c>
      <c r="D9" s="85">
        <v>214.1088</v>
      </c>
      <c r="E9" s="87">
        <v>216997.6404</v>
      </c>
      <c r="F9" s="85">
        <f t="shared" si="1"/>
        <v>216.99764039999999</v>
      </c>
      <c r="G9" s="85">
        <v>247.7852</v>
      </c>
      <c r="H9" s="86">
        <v>267494.85249999998</v>
      </c>
      <c r="I9" s="85">
        <f t="shared" si="2"/>
        <v>267.49485249999998</v>
      </c>
      <c r="J9" s="85">
        <v>268.73140000000001</v>
      </c>
      <c r="K9" s="83">
        <v>10293.175999999999</v>
      </c>
      <c r="L9" s="83">
        <f t="shared" si="3"/>
        <v>10.293175999999999</v>
      </c>
      <c r="M9" s="83">
        <v>59864.7719</v>
      </c>
      <c r="N9" s="83">
        <f t="shared" si="4"/>
        <v>59.864771900000001</v>
      </c>
      <c r="O9" s="83">
        <v>103582.5529</v>
      </c>
      <c r="P9" s="68">
        <f t="shared" si="5"/>
        <v>103.5825529</v>
      </c>
      <c r="Q9" s="83">
        <v>216997.6404</v>
      </c>
      <c r="R9" s="68">
        <f t="shared" si="6"/>
        <v>216.99764039999999</v>
      </c>
      <c r="S9" s="69"/>
      <c r="T9" s="82">
        <v>139121.85269999999</v>
      </c>
      <c r="U9" s="83">
        <f t="shared" si="7"/>
        <v>139.12185269999998</v>
      </c>
      <c r="V9" s="82">
        <v>291096.67420000001</v>
      </c>
      <c r="W9" s="83">
        <f t="shared" si="8"/>
        <v>370.52112959999999</v>
      </c>
      <c r="X9" s="82">
        <v>413894.23560000001</v>
      </c>
      <c r="Y9" s="67">
        <f t="shared" si="9"/>
        <v>413.8942356</v>
      </c>
      <c r="Z9" s="81">
        <v>296.15140000000002</v>
      </c>
      <c r="AA9" s="81"/>
      <c r="AB9" s="67">
        <f t="shared" si="10"/>
        <v>413.8942356</v>
      </c>
      <c r="AC9" s="81">
        <v>296.15140000000002</v>
      </c>
      <c r="AD9" s="80"/>
      <c r="AE9" s="79">
        <v>267.49485249999998</v>
      </c>
      <c r="AF9" s="79">
        <v>268.73140000000001</v>
      </c>
      <c r="AG9" s="78">
        <v>16</v>
      </c>
      <c r="AH9" s="72">
        <f t="shared" si="12"/>
        <v>148.07570000000001</v>
      </c>
      <c r="AI9" s="72">
        <v>296.15140000000002</v>
      </c>
      <c r="AJ9" s="79">
        <v>268.73140000000001</v>
      </c>
      <c r="AK9" s="72">
        <f t="shared" si="11"/>
        <v>0.63127777777777783</v>
      </c>
      <c r="AL9" s="72">
        <v>1.1363000000000001</v>
      </c>
      <c r="AM9" s="72">
        <v>1.3655999999999999</v>
      </c>
      <c r="AN9" s="72">
        <v>3415.8072999999999</v>
      </c>
      <c r="AO9" s="72">
        <v>6487.4421000000002</v>
      </c>
      <c r="AP9" s="72">
        <v>6924.7308999999996</v>
      </c>
      <c r="AQ9" s="72">
        <v>16.6568</v>
      </c>
      <c r="AR9" s="72">
        <v>20.787800000000001</v>
      </c>
      <c r="AS9" s="72">
        <v>35.153799999999997</v>
      </c>
      <c r="AT9" s="72">
        <v>1882.3771999999999</v>
      </c>
      <c r="AU9" s="72">
        <v>4465.2195000000002</v>
      </c>
      <c r="AV9" s="72">
        <v>2448.6741000000002</v>
      </c>
      <c r="AW9" s="72">
        <v>9.19</v>
      </c>
      <c r="AX9" s="72">
        <v>14.488799999999999</v>
      </c>
      <c r="AY9" s="72">
        <v>12.469200000000001</v>
      </c>
      <c r="AZ9" s="70"/>
    </row>
    <row r="10" spans="1:52" ht="26" x14ac:dyDescent="0.3">
      <c r="A10" s="89">
        <v>20</v>
      </c>
      <c r="B10" s="91">
        <v>134914.53289999999</v>
      </c>
      <c r="C10" s="85">
        <f t="shared" si="0"/>
        <v>134.91453289999998</v>
      </c>
      <c r="D10" s="85">
        <v>212.80860000000001</v>
      </c>
      <c r="E10" s="87">
        <v>271636.19760000001</v>
      </c>
      <c r="F10" s="85">
        <f t="shared" si="1"/>
        <v>271.6361976</v>
      </c>
      <c r="G10" s="85">
        <v>253.9726</v>
      </c>
      <c r="H10" s="86">
        <v>336203.8</v>
      </c>
      <c r="I10" s="85">
        <f t="shared" si="2"/>
        <v>336.2038</v>
      </c>
      <c r="J10" s="85">
        <v>267.59199999999998</v>
      </c>
      <c r="K10" s="83">
        <v>9464.8744999999999</v>
      </c>
      <c r="L10" s="83">
        <f t="shared" si="3"/>
        <v>9.4648745000000005</v>
      </c>
      <c r="M10" s="83">
        <v>74703.520999999993</v>
      </c>
      <c r="N10" s="83">
        <f t="shared" si="4"/>
        <v>74.703520999999995</v>
      </c>
      <c r="O10" s="83">
        <v>130195.6525</v>
      </c>
      <c r="P10" s="68">
        <f t="shared" si="5"/>
        <v>130.19565249999999</v>
      </c>
      <c r="Q10" s="83">
        <v>271636.19760000001</v>
      </c>
      <c r="R10" s="68">
        <f t="shared" si="6"/>
        <v>271.6361976</v>
      </c>
      <c r="S10" s="69"/>
      <c r="T10" s="82">
        <v>126357.697</v>
      </c>
      <c r="U10" s="83">
        <f t="shared" si="7"/>
        <v>126.357697</v>
      </c>
      <c r="V10" s="82">
        <v>370521.12959999999</v>
      </c>
      <c r="W10" s="83">
        <f t="shared" si="8"/>
        <v>344.51758580000001</v>
      </c>
      <c r="X10" s="82">
        <v>380378.69540000003</v>
      </c>
      <c r="Y10" s="67">
        <f t="shared" si="9"/>
        <v>380.37869540000003</v>
      </c>
      <c r="Z10" s="81">
        <v>293.19830000000002</v>
      </c>
      <c r="AA10" s="81"/>
      <c r="AB10" s="67">
        <f t="shared" si="10"/>
        <v>380.37869540000003</v>
      </c>
      <c r="AC10" s="81">
        <v>293.19830000000002</v>
      </c>
      <c r="AD10" s="80"/>
      <c r="AE10" s="79">
        <v>336.2038</v>
      </c>
      <c r="AF10" s="79">
        <v>267.59199999999998</v>
      </c>
      <c r="AG10" s="78">
        <v>20</v>
      </c>
      <c r="AH10" s="72">
        <f t="shared" si="12"/>
        <v>146.59915000000001</v>
      </c>
      <c r="AI10" s="72">
        <v>293.19830000000002</v>
      </c>
      <c r="AJ10" s="79">
        <v>267.59199999999998</v>
      </c>
      <c r="AK10" s="72">
        <f t="shared" si="11"/>
        <v>0.55249999999999999</v>
      </c>
      <c r="AL10" s="72">
        <v>0.99450000000000005</v>
      </c>
      <c r="AM10" s="72">
        <v>1.2987</v>
      </c>
      <c r="AN10" s="72">
        <v>3502.5174999999999</v>
      </c>
      <c r="AO10" s="72">
        <v>6320.3307999999997</v>
      </c>
      <c r="AP10" s="72">
        <v>6739.7497999999996</v>
      </c>
      <c r="AQ10" s="72">
        <v>16.4068</v>
      </c>
      <c r="AR10" s="72">
        <v>20.146000000000001</v>
      </c>
      <c r="AS10" s="72">
        <v>34.198599999999999</v>
      </c>
      <c r="AT10" s="72">
        <v>1888.7726</v>
      </c>
      <c r="AU10" s="72">
        <v>4419.9726000000001</v>
      </c>
      <c r="AV10" s="72">
        <v>2359.9807999999998</v>
      </c>
      <c r="AW10" s="72">
        <v>8.9925999999999995</v>
      </c>
      <c r="AX10" s="72">
        <v>14.4125</v>
      </c>
      <c r="AY10" s="72">
        <v>12.3146</v>
      </c>
      <c r="AZ10" s="70"/>
    </row>
    <row r="11" spans="1:52" ht="26" x14ac:dyDescent="0.3">
      <c r="A11" s="89">
        <v>24</v>
      </c>
      <c r="B11" s="91">
        <v>155764.88769999999</v>
      </c>
      <c r="C11" s="85">
        <f t="shared" si="0"/>
        <v>155.7648877</v>
      </c>
      <c r="D11" s="85">
        <v>213.26320000000001</v>
      </c>
      <c r="E11" s="87">
        <v>318449.83750000002</v>
      </c>
      <c r="F11" s="85">
        <f t="shared" si="1"/>
        <v>318.4498375</v>
      </c>
      <c r="G11" s="85">
        <v>254.45609999999999</v>
      </c>
      <c r="H11" s="86">
        <v>391928.62709999998</v>
      </c>
      <c r="I11" s="85">
        <f t="shared" si="2"/>
        <v>391.92862709999997</v>
      </c>
      <c r="J11" s="85">
        <v>267.9513</v>
      </c>
      <c r="K11" s="83">
        <v>10258.957899999999</v>
      </c>
      <c r="L11" s="83">
        <f t="shared" si="3"/>
        <v>10.258957899999999</v>
      </c>
      <c r="M11" s="83">
        <v>88375.808199999999</v>
      </c>
      <c r="N11" s="83">
        <f t="shared" si="4"/>
        <v>88.375808199999994</v>
      </c>
      <c r="O11" s="83">
        <v>146969.24559999999</v>
      </c>
      <c r="P11" s="68">
        <f t="shared" si="5"/>
        <v>146.96924559999999</v>
      </c>
      <c r="Q11" s="83">
        <v>318449.83750000002</v>
      </c>
      <c r="R11" s="68">
        <f t="shared" si="6"/>
        <v>318.4498375</v>
      </c>
      <c r="S11" s="69"/>
      <c r="T11" s="82">
        <v>138280.42800000001</v>
      </c>
      <c r="U11" s="83">
        <f t="shared" si="7"/>
        <v>138.280428</v>
      </c>
      <c r="V11" s="82">
        <v>344517.5858</v>
      </c>
      <c r="W11" s="83">
        <f t="shared" si="8"/>
        <v>307.48717210000001</v>
      </c>
      <c r="X11" s="82">
        <v>373112.17509999999</v>
      </c>
      <c r="Y11" s="67">
        <f t="shared" si="9"/>
        <v>373.1121751</v>
      </c>
      <c r="Z11" s="81">
        <v>293.25020000000001</v>
      </c>
      <c r="AA11" s="81"/>
      <c r="AB11" s="67">
        <f t="shared" si="10"/>
        <v>373.1121751</v>
      </c>
      <c r="AC11" s="81">
        <v>293.25020000000001</v>
      </c>
      <c r="AD11" s="80"/>
      <c r="AE11" s="79">
        <v>391.92862709999997</v>
      </c>
      <c r="AF11" s="79">
        <v>267.9513</v>
      </c>
      <c r="AG11" s="78">
        <v>24</v>
      </c>
      <c r="AH11" s="72">
        <f t="shared" si="12"/>
        <v>146.6251</v>
      </c>
      <c r="AI11" s="72">
        <v>293.25020000000001</v>
      </c>
      <c r="AJ11" s="79">
        <v>267.9513</v>
      </c>
      <c r="AK11" s="72">
        <f t="shared" si="11"/>
        <v>0.54999999999999993</v>
      </c>
      <c r="AL11" s="72">
        <v>0.99</v>
      </c>
      <c r="AM11" s="72">
        <v>1.3465</v>
      </c>
      <c r="AN11" s="72">
        <v>3404.1792</v>
      </c>
      <c r="AO11" s="72">
        <v>6941.585</v>
      </c>
      <c r="AP11" s="72">
        <v>5986.4341000000004</v>
      </c>
      <c r="AQ11" s="72">
        <v>17.341999999999999</v>
      </c>
      <c r="AR11" s="72">
        <v>22.510999999999999</v>
      </c>
      <c r="AS11" s="72">
        <v>30.825900000000001</v>
      </c>
      <c r="AT11" s="72">
        <v>2025.4186</v>
      </c>
      <c r="AU11" s="72">
        <v>4434.5882000000001</v>
      </c>
      <c r="AV11" s="72">
        <v>2215.8886000000002</v>
      </c>
      <c r="AW11" s="72">
        <v>10.143599999999999</v>
      </c>
      <c r="AX11" s="72">
        <v>14.2994</v>
      </c>
      <c r="AY11" s="72">
        <v>12.1487</v>
      </c>
      <c r="AZ11" s="70"/>
    </row>
    <row r="12" spans="1:52" ht="26" x14ac:dyDescent="0.3">
      <c r="A12" s="89">
        <v>28</v>
      </c>
      <c r="B12" s="91">
        <v>174780.01149999999</v>
      </c>
      <c r="C12" s="85">
        <f t="shared" si="0"/>
        <v>174.7800115</v>
      </c>
      <c r="D12" s="85">
        <v>214.27029999999999</v>
      </c>
      <c r="E12" s="87">
        <v>361152.4705</v>
      </c>
      <c r="F12" s="85">
        <f t="shared" si="1"/>
        <v>361.15247049999999</v>
      </c>
      <c r="G12" s="85">
        <v>263.03570000000002</v>
      </c>
      <c r="H12" s="86">
        <v>424214.48369999998</v>
      </c>
      <c r="I12" s="85">
        <f t="shared" si="2"/>
        <v>424.21448369999996</v>
      </c>
      <c r="J12" s="85">
        <v>267.33350000000002</v>
      </c>
      <c r="K12" s="83">
        <v>13007.0578</v>
      </c>
      <c r="L12" s="83">
        <f t="shared" si="3"/>
        <v>13.0070578</v>
      </c>
      <c r="M12" s="83">
        <v>102168.6958</v>
      </c>
      <c r="N12" s="83">
        <f t="shared" si="4"/>
        <v>102.16869579999999</v>
      </c>
      <c r="O12" s="83">
        <v>168048.38020000001</v>
      </c>
      <c r="P12" s="68">
        <f t="shared" si="5"/>
        <v>168.04838020000003</v>
      </c>
      <c r="Q12" s="83">
        <v>361152.4705</v>
      </c>
      <c r="R12" s="68">
        <f t="shared" si="6"/>
        <v>361.15247049999999</v>
      </c>
      <c r="S12" s="69"/>
      <c r="T12" s="82">
        <v>121016.5877</v>
      </c>
      <c r="U12" s="83">
        <f t="shared" si="7"/>
        <v>121.0165877</v>
      </c>
      <c r="V12" s="82">
        <v>307487.17210000003</v>
      </c>
      <c r="W12" s="83">
        <f t="shared" si="8"/>
        <v>327.29566549999998</v>
      </c>
      <c r="X12" s="82">
        <v>331156.3959</v>
      </c>
      <c r="Y12" s="67">
        <f t="shared" si="9"/>
        <v>331.15639590000001</v>
      </c>
      <c r="Z12" s="81">
        <v>279.36250000000001</v>
      </c>
      <c r="AA12" s="81"/>
      <c r="AB12" s="67">
        <f t="shared" si="10"/>
        <v>331.15639590000001</v>
      </c>
      <c r="AC12" s="81">
        <v>279.36250000000001</v>
      </c>
      <c r="AD12" s="80"/>
      <c r="AE12" s="79">
        <v>424.21448369999996</v>
      </c>
      <c r="AF12" s="79">
        <v>267.33350000000002</v>
      </c>
      <c r="AG12" s="78">
        <v>28</v>
      </c>
      <c r="AH12" s="72">
        <f t="shared" si="12"/>
        <v>139.68125000000001</v>
      </c>
      <c r="AI12" s="72">
        <v>279.36250000000001</v>
      </c>
      <c r="AJ12" s="79">
        <v>267.33350000000002</v>
      </c>
      <c r="AK12" s="72">
        <f t="shared" si="11"/>
        <v>0.58105555555555555</v>
      </c>
      <c r="AL12" s="72">
        <v>1.0459000000000001</v>
      </c>
      <c r="AM12" s="72">
        <v>1.4093</v>
      </c>
      <c r="AN12" s="72">
        <v>3267.6194999999998</v>
      </c>
      <c r="AO12" s="68">
        <v>6046.0046000000002</v>
      </c>
      <c r="AP12" s="72">
        <v>7015.6899000000003</v>
      </c>
      <c r="AQ12" s="72">
        <v>17.127500000000001</v>
      </c>
      <c r="AR12" s="72">
        <v>20.630299999999998</v>
      </c>
      <c r="AS12" s="72">
        <v>36.149000000000001</v>
      </c>
      <c r="AT12" s="72">
        <v>1811.0215000000001</v>
      </c>
      <c r="AU12" s="72">
        <v>4135.4740000000002</v>
      </c>
      <c r="AV12" s="72">
        <v>2216.3539999999998</v>
      </c>
      <c r="AW12" s="72">
        <v>9.4367999999999999</v>
      </c>
      <c r="AX12" s="72">
        <v>14.169700000000001</v>
      </c>
      <c r="AY12" s="72">
        <v>12.133599999999999</v>
      </c>
      <c r="AZ12" s="70"/>
    </row>
    <row r="13" spans="1:52" ht="26" x14ac:dyDescent="0.3">
      <c r="A13" s="89">
        <v>32</v>
      </c>
      <c r="B13" s="91">
        <v>199074.68520000001</v>
      </c>
      <c r="C13" s="85">
        <f t="shared" si="0"/>
        <v>199.0746852</v>
      </c>
      <c r="D13" s="92">
        <v>225.74930000000001</v>
      </c>
      <c r="E13" s="87">
        <v>415958.31219999999</v>
      </c>
      <c r="F13" s="85">
        <f t="shared" si="1"/>
        <v>415.95831219999997</v>
      </c>
      <c r="G13" s="85">
        <v>246.0334</v>
      </c>
      <c r="H13" s="86">
        <v>461587.83730000001</v>
      </c>
      <c r="I13" s="85">
        <f t="shared" si="2"/>
        <v>461.58783729999999</v>
      </c>
      <c r="J13" s="85">
        <v>267.0204</v>
      </c>
      <c r="K13" s="83">
        <v>11479.107400000001</v>
      </c>
      <c r="L13" s="83">
        <f t="shared" si="3"/>
        <v>11.4791074</v>
      </c>
      <c r="M13" s="83">
        <v>117164.08409999999</v>
      </c>
      <c r="N13" s="83">
        <f t="shared" si="4"/>
        <v>117.1640841</v>
      </c>
      <c r="O13" s="83">
        <v>200692.75589999999</v>
      </c>
      <c r="P13" s="68">
        <f t="shared" si="5"/>
        <v>200.69275589999998</v>
      </c>
      <c r="Q13" s="83">
        <v>415958.31219999999</v>
      </c>
      <c r="R13" s="68">
        <f t="shared" si="6"/>
        <v>415.95831219999997</v>
      </c>
      <c r="S13" s="69"/>
      <c r="T13" s="82">
        <v>138174.43890000001</v>
      </c>
      <c r="U13" s="83">
        <f t="shared" si="7"/>
        <v>138.17443890000001</v>
      </c>
      <c r="V13" s="82">
        <v>327295.6655</v>
      </c>
      <c r="W13" s="83">
        <f t="shared" si="8"/>
        <v>312.96011599999997</v>
      </c>
      <c r="X13" s="82">
        <v>338565.57549999998</v>
      </c>
      <c r="Y13" s="67">
        <f t="shared" si="9"/>
        <v>338.56557549999997</v>
      </c>
      <c r="Z13" s="81">
        <v>287.7371</v>
      </c>
      <c r="AA13" s="81"/>
      <c r="AB13" s="67">
        <f t="shared" si="10"/>
        <v>338.56557549999997</v>
      </c>
      <c r="AC13" s="81">
        <v>287.7371</v>
      </c>
      <c r="AD13" s="80"/>
      <c r="AE13" s="79">
        <v>461.58783729999999</v>
      </c>
      <c r="AF13" s="79">
        <v>267.0204</v>
      </c>
      <c r="AG13" s="78">
        <v>32</v>
      </c>
      <c r="AH13" s="72">
        <f t="shared" si="12"/>
        <v>143.86855</v>
      </c>
      <c r="AI13" s="72">
        <v>287.7371</v>
      </c>
      <c r="AJ13" s="79">
        <v>267.0204</v>
      </c>
      <c r="AK13" s="72">
        <f t="shared" si="11"/>
        <v>0.55438888888888893</v>
      </c>
      <c r="AL13" s="72">
        <v>0.99790000000000001</v>
      </c>
      <c r="AM13" s="72">
        <v>1.4300999999999999</v>
      </c>
      <c r="AN13" s="72">
        <v>3384.7370000000001</v>
      </c>
      <c r="AO13" s="72">
        <v>6873.3489</v>
      </c>
      <c r="AP13" s="72">
        <v>6448.4243999999999</v>
      </c>
      <c r="AQ13" s="72">
        <v>17.0547</v>
      </c>
      <c r="AR13" s="72">
        <v>23.828499999999998</v>
      </c>
      <c r="AS13" s="72">
        <v>34.727200000000003</v>
      </c>
      <c r="AT13" s="72">
        <v>1912.3492000000001</v>
      </c>
      <c r="AU13" s="72">
        <v>3949.8496</v>
      </c>
      <c r="AV13" s="72">
        <v>2140.8503000000001</v>
      </c>
      <c r="AW13" s="72">
        <v>9.7457999999999991</v>
      </c>
      <c r="AX13" s="72">
        <v>14.0975</v>
      </c>
      <c r="AY13" s="72">
        <v>12.0017</v>
      </c>
      <c r="AZ13" s="70"/>
    </row>
    <row r="14" spans="1:52" ht="26" x14ac:dyDescent="0.3">
      <c r="A14" s="89">
        <v>36</v>
      </c>
      <c r="B14" s="91">
        <v>228463.47339999999</v>
      </c>
      <c r="C14" s="85">
        <f t="shared" si="0"/>
        <v>228.4634734</v>
      </c>
      <c r="D14" s="85">
        <v>225.22620000000001</v>
      </c>
      <c r="E14" s="87">
        <v>468706.94140000001</v>
      </c>
      <c r="F14" s="85">
        <f t="shared" si="1"/>
        <v>468.70694140000001</v>
      </c>
      <c r="G14" s="85">
        <v>246.39259999999999</v>
      </c>
      <c r="H14" s="86">
        <v>491492.19839999999</v>
      </c>
      <c r="I14" s="85">
        <f t="shared" si="2"/>
        <v>491.49219840000001</v>
      </c>
      <c r="J14" s="85">
        <v>266.18060000000003</v>
      </c>
      <c r="K14" s="83">
        <v>13179.863499999999</v>
      </c>
      <c r="L14" s="83">
        <f t="shared" si="3"/>
        <v>13.1798635</v>
      </c>
      <c r="M14" s="83">
        <v>132031.58840000001</v>
      </c>
      <c r="N14" s="83">
        <f t="shared" si="4"/>
        <v>132.0315884</v>
      </c>
      <c r="O14" s="83">
        <v>227736.6347</v>
      </c>
      <c r="P14" s="68">
        <f t="shared" si="5"/>
        <v>227.7366347</v>
      </c>
      <c r="Q14" s="83">
        <v>468706.94140000001</v>
      </c>
      <c r="R14" s="68">
        <f t="shared" si="6"/>
        <v>468.70694140000001</v>
      </c>
      <c r="S14" s="69"/>
      <c r="T14" s="82">
        <v>130466.28750000001</v>
      </c>
      <c r="U14" s="83">
        <f t="shared" si="7"/>
        <v>130.46628749999999</v>
      </c>
      <c r="V14" s="82">
        <v>312960.11599999998</v>
      </c>
      <c r="W14" s="83">
        <f t="shared" si="8"/>
        <v>334.27584710000002</v>
      </c>
      <c r="X14" s="82">
        <v>353269.9632</v>
      </c>
      <c r="Y14" s="67">
        <f t="shared" si="9"/>
        <v>353.26996320000001</v>
      </c>
      <c r="Z14" s="81">
        <v>283.72390000000001</v>
      </c>
      <c r="AA14" s="81"/>
      <c r="AB14" s="67">
        <f t="shared" si="10"/>
        <v>353.26996320000001</v>
      </c>
      <c r="AC14" s="81">
        <v>283.72390000000001</v>
      </c>
      <c r="AD14" s="80"/>
      <c r="AE14" s="79">
        <v>491.49219840000001</v>
      </c>
      <c r="AF14" s="79">
        <v>266.18060000000003</v>
      </c>
      <c r="AG14" s="78">
        <v>36</v>
      </c>
      <c r="AH14" s="72">
        <f t="shared" si="12"/>
        <v>141.86195000000001</v>
      </c>
      <c r="AI14" s="72">
        <v>283.72390000000001</v>
      </c>
      <c r="AJ14" s="79">
        <v>266.18060000000003</v>
      </c>
      <c r="AK14" s="72">
        <f t="shared" si="11"/>
        <v>0.58333333333333337</v>
      </c>
      <c r="AL14" s="72">
        <v>1.05</v>
      </c>
      <c r="AM14" s="72">
        <v>1.486</v>
      </c>
      <c r="AN14" s="72">
        <v>3356.7148000000002</v>
      </c>
      <c r="AO14" s="72">
        <v>5577.3908000000001</v>
      </c>
      <c r="AP14" s="72">
        <v>6359.1641</v>
      </c>
      <c r="AQ14" s="72">
        <v>17.085599999999999</v>
      </c>
      <c r="AR14" s="72">
        <v>20.8248</v>
      </c>
      <c r="AS14" s="72">
        <v>35.1051</v>
      </c>
      <c r="AT14" s="72">
        <v>1811.0631000000001</v>
      </c>
      <c r="AU14" s="72">
        <v>4005.7026999999998</v>
      </c>
      <c r="AV14" s="72">
        <v>2070.1840999999999</v>
      </c>
      <c r="AW14" s="72">
        <v>8.7476000000000003</v>
      </c>
      <c r="AX14" s="72">
        <v>14.263999999999999</v>
      </c>
      <c r="AY14" s="72">
        <v>11.963699999999999</v>
      </c>
      <c r="AZ14" s="70"/>
    </row>
    <row r="15" spans="1:52" ht="26" x14ac:dyDescent="0.3">
      <c r="A15" s="89">
        <v>40</v>
      </c>
      <c r="B15" s="91">
        <v>247618.44159999999</v>
      </c>
      <c r="C15" s="85">
        <f t="shared" si="0"/>
        <v>247.61844159999998</v>
      </c>
      <c r="D15" s="85">
        <v>225.04990000000001</v>
      </c>
      <c r="E15" s="87">
        <v>505640.86450000003</v>
      </c>
      <c r="F15" s="85">
        <f t="shared" si="1"/>
        <v>505.64086450000002</v>
      </c>
      <c r="G15" s="85">
        <v>254.2148</v>
      </c>
      <c r="H15" s="86">
        <v>531890.85979999998</v>
      </c>
      <c r="I15" s="85">
        <f t="shared" si="2"/>
        <v>531.89085979999993</v>
      </c>
      <c r="J15" s="85">
        <v>261.97309999999999</v>
      </c>
      <c r="K15" s="83">
        <v>15971.1739</v>
      </c>
      <c r="L15" s="83">
        <f t="shared" si="3"/>
        <v>15.9711739</v>
      </c>
      <c r="M15" s="83">
        <v>145123.9613</v>
      </c>
      <c r="N15" s="83">
        <f t="shared" si="4"/>
        <v>145.12396129999999</v>
      </c>
      <c r="O15" s="83">
        <v>248768.74859999999</v>
      </c>
      <c r="P15" s="68">
        <f t="shared" si="5"/>
        <v>248.76874859999998</v>
      </c>
      <c r="Q15" s="83">
        <v>505640.86450000003</v>
      </c>
      <c r="R15" s="68">
        <f t="shared" si="6"/>
        <v>505.64086450000002</v>
      </c>
      <c r="S15" s="69"/>
      <c r="T15" s="82">
        <v>133521.68650000001</v>
      </c>
      <c r="U15" s="83">
        <f t="shared" si="7"/>
        <v>133.52168650000002</v>
      </c>
      <c r="V15" s="82">
        <v>334275.84710000001</v>
      </c>
      <c r="W15" s="83">
        <f t="shared" si="8"/>
        <v>346.88635220000003</v>
      </c>
      <c r="X15" s="82">
        <v>327219.3836</v>
      </c>
      <c r="Y15" s="67">
        <f t="shared" si="9"/>
        <v>327.21938360000001</v>
      </c>
      <c r="Z15" s="81">
        <v>282.08330000000001</v>
      </c>
      <c r="AA15" s="81"/>
      <c r="AB15" s="67">
        <f t="shared" si="10"/>
        <v>327.21938360000001</v>
      </c>
      <c r="AC15" s="81">
        <v>282.08330000000001</v>
      </c>
      <c r="AD15" s="80"/>
      <c r="AE15" s="79">
        <v>531.89085979999993</v>
      </c>
      <c r="AF15" s="79">
        <v>261.97309999999999</v>
      </c>
      <c r="AG15" s="78">
        <v>40</v>
      </c>
      <c r="AH15" s="72">
        <f t="shared" si="12"/>
        <v>141.04165</v>
      </c>
      <c r="AI15" s="72">
        <v>282.08330000000001</v>
      </c>
      <c r="AJ15" s="79">
        <v>261.97309999999999</v>
      </c>
      <c r="AK15" s="72">
        <f t="shared" si="11"/>
        <v>0.58333333333333337</v>
      </c>
      <c r="AL15" s="72">
        <v>1.05</v>
      </c>
      <c r="AM15" s="72">
        <v>1.4521999999999999</v>
      </c>
      <c r="AN15" s="72">
        <v>3459.3984</v>
      </c>
      <c r="AO15" s="72">
        <v>6853.8221999999996</v>
      </c>
      <c r="AP15" s="72">
        <v>4597.5389999999998</v>
      </c>
      <c r="AQ15" s="72">
        <v>17.051400000000001</v>
      </c>
      <c r="AR15" s="72">
        <v>24.8462</v>
      </c>
      <c r="AS15" s="72">
        <v>26.136199999999999</v>
      </c>
      <c r="AT15" s="72">
        <v>1793.9452000000001</v>
      </c>
      <c r="AU15" s="72">
        <v>3805.2822000000001</v>
      </c>
      <c r="AV15" s="72">
        <v>2083.2844</v>
      </c>
      <c r="AW15" s="72">
        <v>10.0527</v>
      </c>
      <c r="AX15" s="72">
        <v>14.1266</v>
      </c>
      <c r="AY15" s="72">
        <v>11.936299999999999</v>
      </c>
      <c r="AZ15" s="70"/>
    </row>
    <row r="16" spans="1:52" ht="26" x14ac:dyDescent="0.3">
      <c r="A16" s="89">
        <v>44</v>
      </c>
      <c r="B16" s="91">
        <v>276658.78230000002</v>
      </c>
      <c r="C16" s="85">
        <f t="shared" si="0"/>
        <v>276.65878230000004</v>
      </c>
      <c r="D16" s="85">
        <v>219.2741</v>
      </c>
      <c r="E16" s="87">
        <v>564647.31850000005</v>
      </c>
      <c r="F16" s="85">
        <f t="shared" si="1"/>
        <v>564.6473185000001</v>
      </c>
      <c r="G16" s="85">
        <v>252.30500000000001</v>
      </c>
      <c r="H16" s="86">
        <v>562187.97320000001</v>
      </c>
      <c r="I16" s="85">
        <f t="shared" si="2"/>
        <v>562.18797319999999</v>
      </c>
      <c r="J16" s="85">
        <v>262.81420000000003</v>
      </c>
      <c r="K16" s="83">
        <v>15690.513499999999</v>
      </c>
      <c r="L16" s="83">
        <f t="shared" si="3"/>
        <v>15.6905135</v>
      </c>
      <c r="M16" s="83">
        <v>159811.1985</v>
      </c>
      <c r="N16" s="83">
        <f t="shared" si="4"/>
        <v>159.81119849999999</v>
      </c>
      <c r="O16" s="83">
        <v>274074.10989999998</v>
      </c>
      <c r="P16" s="68">
        <f t="shared" si="5"/>
        <v>274.0741099</v>
      </c>
      <c r="Q16" s="83">
        <v>564647.31850000005</v>
      </c>
      <c r="R16" s="68">
        <f t="shared" si="6"/>
        <v>564.6473185000001</v>
      </c>
      <c r="S16" s="69"/>
      <c r="T16" s="82">
        <v>135069.22750000001</v>
      </c>
      <c r="U16" s="83">
        <f t="shared" si="7"/>
        <v>135.06922750000001</v>
      </c>
      <c r="V16" s="82">
        <v>346886.35220000002</v>
      </c>
      <c r="W16" s="83">
        <f t="shared" si="8"/>
        <v>328.50449609999998</v>
      </c>
      <c r="X16" s="82">
        <v>335397.75050000002</v>
      </c>
      <c r="Y16" s="67">
        <f t="shared" si="9"/>
        <v>335.39775050000003</v>
      </c>
      <c r="Z16" s="81">
        <v>269.96690000000001</v>
      </c>
      <c r="AA16" s="81"/>
      <c r="AB16" s="67">
        <f t="shared" si="10"/>
        <v>335.39775050000003</v>
      </c>
      <c r="AC16" s="81">
        <v>269.96690000000001</v>
      </c>
      <c r="AD16" s="80"/>
      <c r="AE16" s="79">
        <v>562.18797319999999</v>
      </c>
      <c r="AF16" s="79">
        <v>262.81420000000003</v>
      </c>
      <c r="AG16" s="78">
        <v>44</v>
      </c>
      <c r="AH16" s="72">
        <f t="shared" si="12"/>
        <v>134.98345</v>
      </c>
      <c r="AI16" s="72">
        <v>269.96690000000001</v>
      </c>
      <c r="AJ16" s="79">
        <v>262.81420000000003</v>
      </c>
      <c r="AK16" s="72">
        <f t="shared" si="11"/>
        <v>0.59444444444444444</v>
      </c>
      <c r="AL16" s="72">
        <v>1.07</v>
      </c>
      <c r="AM16" s="72">
        <v>1.4725999999999999</v>
      </c>
      <c r="AN16" s="72">
        <v>2921.1235000000001</v>
      </c>
      <c r="AO16" s="72">
        <v>6348.8179</v>
      </c>
      <c r="AP16" s="72">
        <v>5870.0590000000002</v>
      </c>
      <c r="AQ16" s="72">
        <v>18.131</v>
      </c>
      <c r="AR16" s="72">
        <v>23.978300000000001</v>
      </c>
      <c r="AS16" s="72">
        <v>33.581600000000002</v>
      </c>
      <c r="AT16" s="72">
        <v>1622.7261000000001</v>
      </c>
      <c r="AU16" s="72">
        <v>3627.2354</v>
      </c>
      <c r="AV16" s="72">
        <v>2029.8382999999999</v>
      </c>
      <c r="AW16" s="72">
        <v>9.3888999999999996</v>
      </c>
      <c r="AX16" s="72">
        <v>14.173400000000001</v>
      </c>
      <c r="AY16" s="72">
        <v>11.8828</v>
      </c>
      <c r="AZ16" s="70"/>
    </row>
    <row r="17" spans="1:76" ht="26" x14ac:dyDescent="0.3">
      <c r="A17" s="89">
        <v>48</v>
      </c>
      <c r="B17" s="91">
        <v>301121.68449999997</v>
      </c>
      <c r="C17" s="85">
        <f t="shared" si="0"/>
        <v>301.12168449999996</v>
      </c>
      <c r="D17" s="85">
        <v>213.12970000000001</v>
      </c>
      <c r="E17" s="87">
        <v>606990.90830000001</v>
      </c>
      <c r="F17" s="85">
        <f t="shared" si="1"/>
        <v>606.9909083</v>
      </c>
      <c r="G17" s="85">
        <v>243.78219999999999</v>
      </c>
      <c r="H17" s="86">
        <v>593087.13280000002</v>
      </c>
      <c r="I17" s="85">
        <f t="shared" si="2"/>
        <v>593.08713280000006</v>
      </c>
      <c r="J17" s="85">
        <v>256.05779999999999</v>
      </c>
      <c r="K17" s="83">
        <v>17400.4761</v>
      </c>
      <c r="L17" s="83">
        <f t="shared" si="3"/>
        <v>17.400476099999999</v>
      </c>
      <c r="M17" s="83">
        <v>173059.74540000001</v>
      </c>
      <c r="N17" s="83">
        <f t="shared" si="4"/>
        <v>173.05974540000003</v>
      </c>
      <c r="O17" s="83">
        <v>295874.24320000003</v>
      </c>
      <c r="P17" s="68">
        <f t="shared" si="5"/>
        <v>295.87424320000002</v>
      </c>
      <c r="Q17" s="83">
        <v>606990.90830000001</v>
      </c>
      <c r="R17" s="68">
        <f t="shared" si="6"/>
        <v>606.9909083</v>
      </c>
      <c r="S17" s="69"/>
      <c r="T17" s="82">
        <v>134283.2616</v>
      </c>
      <c r="U17" s="83">
        <f t="shared" si="7"/>
        <v>134.2832616</v>
      </c>
      <c r="V17" s="82">
        <v>328504.49609999999</v>
      </c>
      <c r="W17" s="83">
        <f t="shared" si="8"/>
        <v>316.93762560000005</v>
      </c>
      <c r="X17" s="82">
        <v>330749.60239999997</v>
      </c>
      <c r="Y17" s="67">
        <f t="shared" si="9"/>
        <v>330.74960239999996</v>
      </c>
      <c r="Z17" s="81">
        <v>284.86669999999998</v>
      </c>
      <c r="AA17" s="81"/>
      <c r="AB17" s="67">
        <f t="shared" si="10"/>
        <v>330.74960239999996</v>
      </c>
      <c r="AC17" s="81">
        <v>284.86669999999998</v>
      </c>
      <c r="AD17" s="80"/>
      <c r="AE17" s="79">
        <v>593.08713280000006</v>
      </c>
      <c r="AF17" s="79">
        <v>256.05779999999999</v>
      </c>
      <c r="AG17" s="78">
        <v>48</v>
      </c>
      <c r="AH17" s="72">
        <f t="shared" si="12"/>
        <v>142.43334999999999</v>
      </c>
      <c r="AI17" s="72">
        <v>284.86669999999998</v>
      </c>
      <c r="AJ17" s="79">
        <v>256.05779999999999</v>
      </c>
      <c r="AK17" s="72">
        <f t="shared" si="11"/>
        <v>0.6</v>
      </c>
      <c r="AL17" s="72">
        <v>1.08</v>
      </c>
      <c r="AM17" s="72">
        <v>1.5442</v>
      </c>
      <c r="AN17" s="72">
        <v>3105.4720000000002</v>
      </c>
      <c r="AO17" s="72">
        <v>6206.5272999999997</v>
      </c>
      <c r="AP17" s="72">
        <v>6121.9126999999999</v>
      </c>
      <c r="AQ17" s="72">
        <v>18.278500000000001</v>
      </c>
      <c r="AR17" s="72">
        <v>23.8521</v>
      </c>
      <c r="AS17" s="72">
        <v>34.935299999999998</v>
      </c>
      <c r="AT17" s="72">
        <v>1605.2469000000001</v>
      </c>
      <c r="AU17" s="72">
        <v>3697.8719999999998</v>
      </c>
      <c r="AV17" s="72">
        <v>2000.0315000000001</v>
      </c>
      <c r="AW17" s="72">
        <v>8.9405000000000001</v>
      </c>
      <c r="AX17" s="72">
        <v>14.1998</v>
      </c>
      <c r="AY17" s="72">
        <v>12.033799999999999</v>
      </c>
      <c r="AZ17" s="70"/>
    </row>
    <row r="18" spans="1:76" ht="26" x14ac:dyDescent="0.3">
      <c r="A18" s="89">
        <v>52</v>
      </c>
      <c r="B18" s="91">
        <v>313234.2316</v>
      </c>
      <c r="C18" s="85">
        <f t="shared" si="0"/>
        <v>313.23423159999999</v>
      </c>
      <c r="D18" s="85">
        <v>224.18209999999999</v>
      </c>
      <c r="E18" s="87">
        <v>639447.97739999997</v>
      </c>
      <c r="F18" s="85">
        <f t="shared" si="1"/>
        <v>639.44797740000001</v>
      </c>
      <c r="G18" s="85">
        <v>257.36810000000003</v>
      </c>
      <c r="H18" s="86">
        <v>631373.83250000002</v>
      </c>
      <c r="I18" s="85">
        <f t="shared" si="2"/>
        <v>631.37383250000005</v>
      </c>
      <c r="J18" s="85">
        <v>269.8587</v>
      </c>
      <c r="K18" s="83">
        <v>17198.1001</v>
      </c>
      <c r="L18" s="83">
        <f t="shared" si="3"/>
        <v>17.198100100000001</v>
      </c>
      <c r="M18" s="83">
        <v>184195.24559999999</v>
      </c>
      <c r="N18" s="83">
        <f t="shared" si="4"/>
        <v>184.19524559999999</v>
      </c>
      <c r="O18" s="83">
        <v>311490.58720000001</v>
      </c>
      <c r="P18" s="68">
        <f t="shared" si="5"/>
        <v>311.49058719999999</v>
      </c>
      <c r="Q18" s="83">
        <v>639447.97739999997</v>
      </c>
      <c r="R18" s="68">
        <f t="shared" si="6"/>
        <v>639.44797740000001</v>
      </c>
      <c r="S18" s="69"/>
      <c r="T18" s="82">
        <v>136982.0533</v>
      </c>
      <c r="U18" s="83">
        <f t="shared" si="7"/>
        <v>136.98205329999999</v>
      </c>
      <c r="V18" s="82">
        <v>316937.62560000003</v>
      </c>
      <c r="W18" s="83">
        <f t="shared" si="8"/>
        <v>316.8377979</v>
      </c>
      <c r="X18" s="82">
        <v>330160.26610000001</v>
      </c>
      <c r="Y18" s="67">
        <f t="shared" si="9"/>
        <v>330.1602661</v>
      </c>
      <c r="Z18" s="81">
        <v>290.84179999999998</v>
      </c>
      <c r="AA18" s="81"/>
      <c r="AB18" s="67">
        <f t="shared" si="10"/>
        <v>330.1602661</v>
      </c>
      <c r="AC18" s="81">
        <v>290.84179999999998</v>
      </c>
      <c r="AD18" s="80"/>
      <c r="AE18" s="79">
        <v>631.37383250000005</v>
      </c>
      <c r="AF18" s="79">
        <v>269.8587</v>
      </c>
      <c r="AG18" s="78">
        <v>52</v>
      </c>
      <c r="AH18" s="72">
        <f t="shared" si="12"/>
        <v>145.42089999999999</v>
      </c>
      <c r="AI18" s="72">
        <v>290.84179999999998</v>
      </c>
      <c r="AJ18" s="79">
        <v>269.8587</v>
      </c>
      <c r="AK18" s="72">
        <f t="shared" si="11"/>
        <v>0.64444444444444438</v>
      </c>
      <c r="AL18" s="72">
        <v>1.1599999999999999</v>
      </c>
      <c r="AM18" s="72">
        <v>1.5911</v>
      </c>
      <c r="AN18" s="72">
        <v>3278.4973</v>
      </c>
      <c r="AO18" s="72">
        <v>5166.2542000000003</v>
      </c>
      <c r="AP18" s="72">
        <v>6316.9016000000001</v>
      </c>
      <c r="AQ18" s="72">
        <v>18.003599999999999</v>
      </c>
      <c r="AR18" s="68">
        <v>20.442399999999999</v>
      </c>
      <c r="AS18" s="72">
        <v>36.162100000000002</v>
      </c>
      <c r="AT18" s="72">
        <v>1629.5037</v>
      </c>
      <c r="AU18" s="72">
        <v>3695.3724000000002</v>
      </c>
      <c r="AV18" s="72">
        <v>2059.9207000000001</v>
      </c>
      <c r="AW18" s="72">
        <v>9.0725999999999996</v>
      </c>
      <c r="AX18" s="72">
        <v>14.2315</v>
      </c>
      <c r="AY18" s="72">
        <v>12.013999999999999</v>
      </c>
      <c r="AZ18" s="70"/>
    </row>
    <row r="19" spans="1:76" ht="26" x14ac:dyDescent="0.3">
      <c r="A19" s="89">
        <v>56</v>
      </c>
      <c r="B19" s="91">
        <v>300451.076</v>
      </c>
      <c r="C19" s="85">
        <f t="shared" si="0"/>
        <v>300.451076</v>
      </c>
      <c r="D19" s="85">
        <v>339.68049999999999</v>
      </c>
      <c r="E19" s="87">
        <v>627207.16090000002</v>
      </c>
      <c r="F19" s="85">
        <f t="shared" si="1"/>
        <v>627.20716089999996</v>
      </c>
      <c r="G19" s="85">
        <v>458.6696</v>
      </c>
      <c r="H19" s="86">
        <v>639665.0736</v>
      </c>
      <c r="I19" s="85">
        <f t="shared" si="2"/>
        <v>639.66507360000003</v>
      </c>
      <c r="J19" s="85">
        <v>496.73520000000002</v>
      </c>
      <c r="K19" s="83">
        <v>13962.809600000001</v>
      </c>
      <c r="L19" s="83">
        <f t="shared" si="3"/>
        <v>13.9628096</v>
      </c>
      <c r="M19" s="83">
        <v>190104.7347</v>
      </c>
      <c r="N19" s="83">
        <f t="shared" si="4"/>
        <v>190.10473469999999</v>
      </c>
      <c r="O19" s="83">
        <v>315658.08429999999</v>
      </c>
      <c r="P19" s="68">
        <f t="shared" si="5"/>
        <v>315.65808429999998</v>
      </c>
      <c r="Q19" s="83">
        <v>627207.16090000002</v>
      </c>
      <c r="R19" s="68">
        <f t="shared" si="6"/>
        <v>627.20716089999996</v>
      </c>
      <c r="S19" s="69"/>
      <c r="T19" s="82">
        <v>119552.3309</v>
      </c>
      <c r="U19" s="83">
        <f t="shared" si="7"/>
        <v>119.5523309</v>
      </c>
      <c r="V19" s="82">
        <v>316837.79790000001</v>
      </c>
      <c r="W19" s="83">
        <f t="shared" si="8"/>
        <v>332.51868719999999</v>
      </c>
      <c r="X19" s="82">
        <v>321247.05170000001</v>
      </c>
      <c r="Y19" s="67">
        <f t="shared" si="9"/>
        <v>321.24705169999999</v>
      </c>
      <c r="Z19" s="81">
        <v>660.95259999999996</v>
      </c>
      <c r="AA19" s="81"/>
      <c r="AB19" s="67">
        <f t="shared" si="10"/>
        <v>321.24705169999999</v>
      </c>
      <c r="AC19" s="81">
        <v>660.95259999999996</v>
      </c>
      <c r="AD19" s="80"/>
      <c r="AE19" s="79">
        <v>639.66507360000003</v>
      </c>
      <c r="AF19" s="79">
        <v>496.73520000000002</v>
      </c>
      <c r="AG19" s="78">
        <v>56</v>
      </c>
      <c r="AH19" s="72">
        <f t="shared" si="12"/>
        <v>330.47629999999998</v>
      </c>
      <c r="AI19" s="72">
        <v>660.95259999999996</v>
      </c>
      <c r="AJ19" s="79">
        <v>496.73520000000002</v>
      </c>
      <c r="AK19" s="72">
        <f t="shared" si="11"/>
        <v>1.5627777777777778</v>
      </c>
      <c r="AL19" s="72">
        <v>2.8130000000000002</v>
      </c>
      <c r="AM19" s="72">
        <v>2.968</v>
      </c>
      <c r="AN19" s="72">
        <v>3164.2689</v>
      </c>
      <c r="AO19" s="72">
        <v>6210.0875999999998</v>
      </c>
      <c r="AP19" s="72">
        <v>4617.9189999999999</v>
      </c>
      <c r="AQ19" s="72">
        <v>18.236799999999999</v>
      </c>
      <c r="AR19" s="72">
        <v>25.149000000000001</v>
      </c>
      <c r="AS19" s="72">
        <v>37.018999999999998</v>
      </c>
      <c r="AT19" s="72">
        <v>1516.6422</v>
      </c>
      <c r="AU19" s="72">
        <v>3502.1475</v>
      </c>
      <c r="AV19" s="72">
        <v>2064.7501999999999</v>
      </c>
      <c r="AW19" s="72">
        <v>9.2941000000000003</v>
      </c>
      <c r="AX19" s="72">
        <v>14.2843</v>
      </c>
      <c r="AY19" s="72">
        <v>12.158200000000001</v>
      </c>
      <c r="AZ19" s="70"/>
    </row>
    <row r="20" spans="1:76" ht="26" x14ac:dyDescent="0.3">
      <c r="A20" s="89">
        <v>60</v>
      </c>
      <c r="B20" s="91">
        <v>309720.25890000002</v>
      </c>
      <c r="C20" s="85">
        <f t="shared" si="0"/>
        <v>309.72025890000003</v>
      </c>
      <c r="D20" s="85">
        <v>381.46249999999998</v>
      </c>
      <c r="E20" s="87">
        <v>658972.86369999999</v>
      </c>
      <c r="F20" s="85">
        <f t="shared" si="1"/>
        <v>658.97286369999995</v>
      </c>
      <c r="G20" s="85">
        <v>529.43119999999999</v>
      </c>
      <c r="H20" s="86">
        <v>655308.12219999998</v>
      </c>
      <c r="I20" s="85">
        <f t="shared" si="2"/>
        <v>655.30812219999996</v>
      </c>
      <c r="J20" s="85">
        <v>575.40790000000004</v>
      </c>
      <c r="K20" s="83">
        <v>13047.4267</v>
      </c>
      <c r="L20" s="83">
        <f t="shared" si="3"/>
        <v>13.047426700000001</v>
      </c>
      <c r="M20" s="83">
        <v>198006.8155</v>
      </c>
      <c r="N20" s="83">
        <f t="shared" si="4"/>
        <v>198.00681549999999</v>
      </c>
      <c r="O20" s="83">
        <v>329442.00949999999</v>
      </c>
      <c r="P20" s="68">
        <f t="shared" si="5"/>
        <v>329.44200949999998</v>
      </c>
      <c r="Q20" s="83">
        <v>658972.86369999999</v>
      </c>
      <c r="R20" s="68">
        <f t="shared" si="6"/>
        <v>658.97286369999995</v>
      </c>
      <c r="S20" s="69"/>
      <c r="T20" s="82">
        <v>120723.6712</v>
      </c>
      <c r="U20" s="83">
        <f t="shared" si="7"/>
        <v>120.7236712</v>
      </c>
      <c r="V20" s="82">
        <v>332518.68719999999</v>
      </c>
      <c r="W20" s="83">
        <f t="shared" si="8"/>
        <v>316.35967930000004</v>
      </c>
      <c r="X20" s="82">
        <v>338897.48950000003</v>
      </c>
      <c r="Y20" s="67">
        <f t="shared" si="9"/>
        <v>338.89748950000001</v>
      </c>
      <c r="Z20" s="81">
        <v>759.52530000000002</v>
      </c>
      <c r="AA20" s="81"/>
      <c r="AB20" s="67">
        <f t="shared" si="10"/>
        <v>338.89748950000001</v>
      </c>
      <c r="AC20" s="81">
        <v>759.52530000000002</v>
      </c>
      <c r="AD20" s="80"/>
      <c r="AE20" s="79">
        <v>655.30812219999996</v>
      </c>
      <c r="AF20" s="79">
        <v>575.40790000000004</v>
      </c>
      <c r="AG20" s="78">
        <v>60</v>
      </c>
      <c r="AH20" s="72">
        <f t="shared" si="12"/>
        <v>379.76265000000001</v>
      </c>
      <c r="AI20" s="72">
        <v>759.52530000000002</v>
      </c>
      <c r="AJ20" s="79">
        <v>575.40790000000004</v>
      </c>
      <c r="AK20" s="72">
        <f t="shared" si="11"/>
        <v>1.7555555555555555</v>
      </c>
      <c r="AL20" s="72">
        <v>3.16</v>
      </c>
      <c r="AM20" s="72">
        <v>3.3942999999999999</v>
      </c>
      <c r="AN20" s="72">
        <v>3148.3948</v>
      </c>
      <c r="AO20" s="72">
        <v>6147.4225999999999</v>
      </c>
      <c r="AP20" s="72">
        <v>4488.5989</v>
      </c>
      <c r="AQ20" s="72">
        <v>18.3323</v>
      </c>
      <c r="AR20" s="72">
        <v>25.219200000000001</v>
      </c>
      <c r="AS20" s="72">
        <v>35.501300000000001</v>
      </c>
      <c r="AT20" s="72">
        <v>1608.6842999999999</v>
      </c>
      <c r="AU20" s="72">
        <v>3370.1369</v>
      </c>
      <c r="AV20" s="72">
        <v>2031.4110000000001</v>
      </c>
      <c r="AW20" s="72">
        <v>9.0170999999999992</v>
      </c>
      <c r="AX20" s="72">
        <v>14.2967</v>
      </c>
      <c r="AY20" s="72">
        <v>12.018700000000001</v>
      </c>
      <c r="AZ20" s="70"/>
    </row>
    <row r="21" spans="1:76" ht="26" x14ac:dyDescent="0.3">
      <c r="A21" s="89">
        <v>64</v>
      </c>
      <c r="B21" s="91">
        <v>332036.00699999998</v>
      </c>
      <c r="C21" s="85">
        <f t="shared" si="0"/>
        <v>332.03600699999998</v>
      </c>
      <c r="D21" s="85">
        <v>412.92950000000002</v>
      </c>
      <c r="E21" s="87">
        <v>689985.59169999999</v>
      </c>
      <c r="F21" s="85">
        <f t="shared" si="1"/>
        <v>689.98559169999999</v>
      </c>
      <c r="G21" s="85">
        <v>600.84010000000001</v>
      </c>
      <c r="H21" s="86">
        <v>677441.90020000003</v>
      </c>
      <c r="I21" s="85">
        <f t="shared" si="2"/>
        <v>677.44190020000008</v>
      </c>
      <c r="J21" s="85">
        <v>643.23350000000005</v>
      </c>
      <c r="K21" s="83">
        <v>14643.9372</v>
      </c>
      <c r="L21" s="83">
        <f t="shared" si="3"/>
        <v>14.6439372</v>
      </c>
      <c r="M21" s="83">
        <v>208489.12289999999</v>
      </c>
      <c r="N21" s="83">
        <f t="shared" si="4"/>
        <v>208.48912289999998</v>
      </c>
      <c r="O21" s="83">
        <v>329729.62099999998</v>
      </c>
      <c r="P21" s="68">
        <f t="shared" si="5"/>
        <v>329.72962100000001</v>
      </c>
      <c r="Q21" s="83">
        <v>689985.59169999999</v>
      </c>
      <c r="R21" s="68">
        <f t="shared" si="6"/>
        <v>689.98559169999999</v>
      </c>
      <c r="S21" s="69"/>
      <c r="T21" s="82">
        <v>118803.3118</v>
      </c>
      <c r="U21" s="83">
        <f t="shared" si="7"/>
        <v>118.80331179999999</v>
      </c>
      <c r="V21" s="82">
        <v>316359.67930000002</v>
      </c>
      <c r="W21" s="83">
        <f t="shared" si="8"/>
        <v>285.67000519999999</v>
      </c>
      <c r="X21" s="82">
        <v>333509.21340000001</v>
      </c>
      <c r="Y21" s="67">
        <f t="shared" si="9"/>
        <v>333.50921340000002</v>
      </c>
      <c r="Z21" s="81">
        <v>814.71130000000005</v>
      </c>
      <c r="AA21" s="81"/>
      <c r="AB21" s="67">
        <f t="shared" si="10"/>
        <v>333.50921340000002</v>
      </c>
      <c r="AC21" s="81">
        <v>814.71130000000005</v>
      </c>
      <c r="AD21" s="80"/>
      <c r="AE21" s="79">
        <v>677.44190020000008</v>
      </c>
      <c r="AF21" s="79">
        <v>643.23350000000005</v>
      </c>
      <c r="AG21" s="78">
        <v>64</v>
      </c>
      <c r="AH21" s="72">
        <f t="shared" si="12"/>
        <v>407.35565000000003</v>
      </c>
      <c r="AI21" s="72">
        <v>814.71130000000005</v>
      </c>
      <c r="AJ21" s="79">
        <v>643.23350000000005</v>
      </c>
      <c r="AK21" s="72">
        <f t="shared" si="11"/>
        <v>1.9277777777777778</v>
      </c>
      <c r="AL21" s="72">
        <v>3.47</v>
      </c>
      <c r="AM21" s="72">
        <v>3.8027000000000002</v>
      </c>
      <c r="AN21" s="72">
        <v>2408.6210000000001</v>
      </c>
      <c r="AO21" s="72">
        <v>6006.2118</v>
      </c>
      <c r="AP21" s="72">
        <v>6129.0460999999996</v>
      </c>
      <c r="AQ21" s="72">
        <v>18.463699999999999</v>
      </c>
      <c r="AR21" s="72">
        <v>25.2392</v>
      </c>
      <c r="AS21" s="72">
        <v>36.050400000000003</v>
      </c>
      <c r="AT21" s="72">
        <v>1577.1603</v>
      </c>
      <c r="AU21" s="72">
        <v>3444.3715000000002</v>
      </c>
      <c r="AV21" s="72">
        <v>2016.826</v>
      </c>
      <c r="AW21" s="72">
        <v>8.9588000000000001</v>
      </c>
      <c r="AX21" s="72">
        <v>14.383800000000001</v>
      </c>
      <c r="AY21" s="72">
        <v>12.018800000000001</v>
      </c>
      <c r="AZ21" s="70"/>
    </row>
    <row r="22" spans="1:76" ht="26" x14ac:dyDescent="0.3">
      <c r="A22" s="89">
        <v>68</v>
      </c>
      <c r="B22" s="91">
        <v>322361.72330000001</v>
      </c>
      <c r="C22" s="85">
        <f t="shared" si="0"/>
        <v>322.36172329999999</v>
      </c>
      <c r="D22" s="85">
        <v>438.61489999999998</v>
      </c>
      <c r="E22" s="87">
        <v>696978.64549999998</v>
      </c>
      <c r="F22" s="85">
        <f t="shared" si="1"/>
        <v>696.97864549999997</v>
      </c>
      <c r="G22" s="85">
        <v>636.35540000000003</v>
      </c>
      <c r="H22" s="86">
        <v>686488.08380000002</v>
      </c>
      <c r="I22" s="85">
        <f t="shared" si="2"/>
        <v>686.48808380000003</v>
      </c>
      <c r="J22" s="85">
        <v>687.80679999999995</v>
      </c>
      <c r="K22" s="83">
        <v>14017.3552</v>
      </c>
      <c r="L22" s="83">
        <f t="shared" si="3"/>
        <v>14.017355200000001</v>
      </c>
      <c r="M22" s="83">
        <v>219463.27830000001</v>
      </c>
      <c r="N22" s="83">
        <f t="shared" si="4"/>
        <v>219.46327830000001</v>
      </c>
      <c r="O22" s="83">
        <v>342569.33909999998</v>
      </c>
      <c r="P22" s="68">
        <f t="shared" si="5"/>
        <v>342.56933909999998</v>
      </c>
      <c r="Q22" s="83">
        <v>696978.64549999998</v>
      </c>
      <c r="R22" s="68">
        <f t="shared" si="6"/>
        <v>696.97864549999997</v>
      </c>
      <c r="S22" s="69"/>
      <c r="T22" s="82">
        <v>115335.7087</v>
      </c>
      <c r="U22" s="83">
        <f t="shared" si="7"/>
        <v>115.3357087</v>
      </c>
      <c r="V22" s="82">
        <v>285670.00520000001</v>
      </c>
      <c r="W22" s="83">
        <f t="shared" si="8"/>
        <v>287.77782059999998</v>
      </c>
      <c r="X22" s="82">
        <v>307316.79060000001</v>
      </c>
      <c r="Y22" s="67">
        <f t="shared" si="9"/>
        <v>307.31679059999999</v>
      </c>
      <c r="Z22" s="81">
        <v>847.54</v>
      </c>
      <c r="AA22" s="81"/>
      <c r="AB22" s="67">
        <f t="shared" si="10"/>
        <v>307.31679059999999</v>
      </c>
      <c r="AC22" s="81">
        <v>847.54</v>
      </c>
      <c r="AD22" s="80"/>
      <c r="AE22" s="79">
        <v>686.48808380000003</v>
      </c>
      <c r="AF22" s="79">
        <v>687.80679999999995</v>
      </c>
      <c r="AG22" s="78">
        <v>68</v>
      </c>
      <c r="AH22" s="72">
        <f t="shared" si="12"/>
        <v>423.77</v>
      </c>
      <c r="AI22" s="72">
        <v>847.54</v>
      </c>
      <c r="AJ22" s="79">
        <v>687.80679999999995</v>
      </c>
      <c r="AK22" s="72">
        <f t="shared" si="11"/>
        <v>2.4305555555555554</v>
      </c>
      <c r="AL22" s="72">
        <v>4.375</v>
      </c>
      <c r="AM22" s="72">
        <v>4.0039999999999996</v>
      </c>
      <c r="AN22" s="72">
        <v>3269.3020000000001</v>
      </c>
      <c r="AO22" s="72">
        <v>4741.5923000000003</v>
      </c>
      <c r="AP22" s="72">
        <v>6224.6071000000002</v>
      </c>
      <c r="AQ22" s="72">
        <v>18.281600000000001</v>
      </c>
      <c r="AR22" s="72">
        <v>20.363700000000001</v>
      </c>
      <c r="AS22" s="72">
        <v>36.832799999999999</v>
      </c>
      <c r="AT22" s="72">
        <v>1547.4248</v>
      </c>
      <c r="AU22" s="72">
        <v>3430.2703999999999</v>
      </c>
      <c r="AV22" s="72">
        <v>1999.6755000000001</v>
      </c>
      <c r="AW22" s="72">
        <v>8.9905000000000008</v>
      </c>
      <c r="AX22" s="72">
        <v>14.3969</v>
      </c>
      <c r="AY22" s="72">
        <v>12.0168</v>
      </c>
      <c r="AZ22" s="70"/>
    </row>
    <row r="23" spans="1:76" ht="26" x14ac:dyDescent="0.3">
      <c r="A23" s="89">
        <v>72</v>
      </c>
      <c r="B23" s="91">
        <v>335476.1226</v>
      </c>
      <c r="C23" s="85">
        <f t="shared" si="0"/>
        <v>335.4761226</v>
      </c>
      <c r="D23" s="85">
        <v>459.68939999999998</v>
      </c>
      <c r="E23" s="87">
        <v>715557.38370000001</v>
      </c>
      <c r="F23" s="85">
        <f t="shared" si="1"/>
        <v>715.55738370000006</v>
      </c>
      <c r="G23" s="85">
        <v>671.01639999999998</v>
      </c>
      <c r="H23" s="86">
        <v>702864.09970000002</v>
      </c>
      <c r="I23" s="85">
        <f t="shared" si="2"/>
        <v>702.8640997</v>
      </c>
      <c r="J23" s="85">
        <v>694.98659999999995</v>
      </c>
      <c r="K23" s="83">
        <v>12730.4779</v>
      </c>
      <c r="L23" s="83">
        <f t="shared" si="3"/>
        <v>12.7304779</v>
      </c>
      <c r="M23" s="83">
        <v>225279.9314</v>
      </c>
      <c r="N23" s="83">
        <f t="shared" si="4"/>
        <v>225.27993140000001</v>
      </c>
      <c r="O23" s="83">
        <v>354771.47480000003</v>
      </c>
      <c r="P23" s="68">
        <f t="shared" si="5"/>
        <v>354.77147480000002</v>
      </c>
      <c r="Q23" s="83">
        <v>715557.38370000001</v>
      </c>
      <c r="R23" s="68">
        <f t="shared" si="6"/>
        <v>715.55738370000006</v>
      </c>
      <c r="S23" s="69"/>
      <c r="T23" s="82">
        <v>114948.97040000001</v>
      </c>
      <c r="U23" s="83">
        <f t="shared" si="7"/>
        <v>114.94897040000001</v>
      </c>
      <c r="V23" s="82">
        <v>287777.82059999998</v>
      </c>
      <c r="W23" s="83">
        <f t="shared" si="8"/>
        <v>267.94493829999999</v>
      </c>
      <c r="X23" s="82">
        <v>303108.45649999997</v>
      </c>
      <c r="Y23" s="67">
        <f t="shared" si="9"/>
        <v>303.10845649999999</v>
      </c>
      <c r="Z23" s="81">
        <v>875.54060000000004</v>
      </c>
      <c r="AA23" s="81"/>
      <c r="AB23" s="67">
        <f t="shared" si="10"/>
        <v>303.10845649999999</v>
      </c>
      <c r="AC23" s="81">
        <v>875.54060000000004</v>
      </c>
      <c r="AD23" s="80"/>
      <c r="AE23" s="79">
        <v>702.8640997</v>
      </c>
      <c r="AF23" s="79">
        <v>694.98659999999995</v>
      </c>
      <c r="AG23" s="78">
        <v>72</v>
      </c>
      <c r="AH23" s="72">
        <f t="shared" si="12"/>
        <v>437.77030000000002</v>
      </c>
      <c r="AI23" s="72">
        <v>875.54060000000004</v>
      </c>
      <c r="AJ23" s="79">
        <v>694.98659999999995</v>
      </c>
      <c r="AK23" s="72">
        <f t="shared" si="11"/>
        <v>2.1094444444444447</v>
      </c>
      <c r="AL23" s="72">
        <v>3.7970000000000002</v>
      </c>
      <c r="AM23" s="72">
        <v>4.2615999999999996</v>
      </c>
      <c r="AN23" s="72">
        <v>3189.1817000000001</v>
      </c>
      <c r="AO23" s="72">
        <v>4614.3064000000004</v>
      </c>
      <c r="AP23" s="72">
        <v>6168.9251000000004</v>
      </c>
      <c r="AQ23" s="72">
        <v>18.430299999999999</v>
      </c>
      <c r="AR23" s="72">
        <v>20.514900000000001</v>
      </c>
      <c r="AS23" s="72">
        <v>36.759</v>
      </c>
      <c r="AT23" s="72">
        <v>1552.4748999999999</v>
      </c>
      <c r="AU23" s="72">
        <v>3198.5695999999998</v>
      </c>
      <c r="AV23" s="72">
        <v>2015.6902</v>
      </c>
      <c r="AW23" s="72">
        <v>9.0147999999999993</v>
      </c>
      <c r="AX23" s="72">
        <v>14.237399999999999</v>
      </c>
      <c r="AY23" s="72">
        <v>12.0291</v>
      </c>
      <c r="AZ23" s="70"/>
      <c r="BR23" s="90"/>
      <c r="BW23" s="90"/>
      <c r="BX23" s="90"/>
    </row>
    <row r="24" spans="1:76" ht="26" x14ac:dyDescent="0.3">
      <c r="A24" s="89">
        <v>76</v>
      </c>
      <c r="B24" s="91">
        <v>349948.07659999997</v>
      </c>
      <c r="C24" s="85">
        <f t="shared" si="0"/>
        <v>349.94807659999998</v>
      </c>
      <c r="D24" s="85">
        <v>480.16399999999999</v>
      </c>
      <c r="E24" s="87">
        <v>743706.53460000001</v>
      </c>
      <c r="F24" s="85">
        <f t="shared" si="1"/>
        <v>743.70653460000005</v>
      </c>
      <c r="G24" s="85">
        <v>709.65039999999999</v>
      </c>
      <c r="H24" s="86">
        <v>717923.45279999997</v>
      </c>
      <c r="I24" s="85">
        <f t="shared" si="2"/>
        <v>717.92345279999995</v>
      </c>
      <c r="J24" s="85">
        <v>763.76340000000005</v>
      </c>
      <c r="K24" s="83">
        <v>11432.1445</v>
      </c>
      <c r="L24" s="83">
        <f t="shared" si="3"/>
        <v>11.4321445</v>
      </c>
      <c r="M24" s="83">
        <v>233780.32670000001</v>
      </c>
      <c r="N24" s="83">
        <f t="shared" si="4"/>
        <v>233.78032670000002</v>
      </c>
      <c r="O24" s="83">
        <v>372378.67690000002</v>
      </c>
      <c r="P24" s="68">
        <f t="shared" si="5"/>
        <v>372.37867690000002</v>
      </c>
      <c r="Q24" s="83">
        <v>743706.53460000001</v>
      </c>
      <c r="R24" s="68">
        <f t="shared" si="6"/>
        <v>743.70653460000005</v>
      </c>
      <c r="S24" s="69"/>
      <c r="T24" s="82">
        <v>95059.409100000004</v>
      </c>
      <c r="U24" s="83">
        <f t="shared" si="7"/>
        <v>95.059409100000011</v>
      </c>
      <c r="V24" s="82">
        <v>267944.93829999998</v>
      </c>
      <c r="W24" s="83">
        <f t="shared" si="8"/>
        <v>259.09282990000003</v>
      </c>
      <c r="X24" s="82">
        <v>267590.29090000002</v>
      </c>
      <c r="Y24" s="67">
        <f t="shared" si="9"/>
        <v>267.59029090000001</v>
      </c>
      <c r="Z24" s="81">
        <v>919.31780000000003</v>
      </c>
      <c r="AA24" s="81"/>
      <c r="AB24" s="67">
        <f t="shared" si="10"/>
        <v>267.59029090000001</v>
      </c>
      <c r="AC24" s="81">
        <v>919.31780000000003</v>
      </c>
      <c r="AD24" s="80"/>
      <c r="AE24" s="79">
        <v>717.92345279999995</v>
      </c>
      <c r="AF24" s="79">
        <v>763.76340000000005</v>
      </c>
      <c r="AG24" s="78">
        <v>76</v>
      </c>
      <c r="AH24" s="72">
        <f t="shared" si="12"/>
        <v>459.65890000000002</v>
      </c>
      <c r="AI24" s="72">
        <v>919.31780000000003</v>
      </c>
      <c r="AJ24" s="79">
        <v>763.76340000000005</v>
      </c>
      <c r="AK24" s="72">
        <f t="shared" si="11"/>
        <v>2.2777777777777777</v>
      </c>
      <c r="AL24" s="72">
        <v>4.0999999999999996</v>
      </c>
      <c r="AM24" s="72">
        <v>4.7123999999999997</v>
      </c>
      <c r="AN24" s="72">
        <v>3230.7977999999998</v>
      </c>
      <c r="AO24" s="72">
        <v>5960.0829999999996</v>
      </c>
      <c r="AP24" s="72">
        <v>6217.5564000000004</v>
      </c>
      <c r="AQ24" s="72">
        <v>18.5425</v>
      </c>
      <c r="AR24" s="72">
        <v>25.309000000000001</v>
      </c>
      <c r="AS24" s="72">
        <v>37.310099999999998</v>
      </c>
      <c r="AT24" s="72">
        <v>1557.9535000000001</v>
      </c>
      <c r="AU24" s="72">
        <v>3370.1244000000002</v>
      </c>
      <c r="AV24" s="72">
        <v>1998.7188000000001</v>
      </c>
      <c r="AW24" s="72">
        <v>9.1350999999999996</v>
      </c>
      <c r="AX24" s="72">
        <v>14.389900000000001</v>
      </c>
      <c r="AY24" s="72">
        <v>12.019500000000001</v>
      </c>
      <c r="AZ24" s="70"/>
      <c r="BR24" s="90"/>
      <c r="BW24" s="90"/>
      <c r="BX24" s="90"/>
    </row>
    <row r="25" spans="1:76" ht="26" x14ac:dyDescent="0.3">
      <c r="A25" s="89">
        <v>80</v>
      </c>
      <c r="B25" s="91">
        <v>366346.1531</v>
      </c>
      <c r="C25" s="85">
        <f t="shared" si="0"/>
        <v>366.34615309999998</v>
      </c>
      <c r="D25" s="85">
        <v>494.06760000000003</v>
      </c>
      <c r="E25" s="87">
        <v>751507.75</v>
      </c>
      <c r="F25" s="85">
        <f t="shared" si="1"/>
        <v>751.50774999999999</v>
      </c>
      <c r="G25" s="85">
        <v>735.21550000000002</v>
      </c>
      <c r="H25" s="86">
        <v>745933.06440000003</v>
      </c>
      <c r="I25" s="85">
        <f t="shared" si="2"/>
        <v>745.93306440000003</v>
      </c>
      <c r="J25" s="85">
        <v>788.9624</v>
      </c>
      <c r="K25" s="83">
        <v>12094.992099999999</v>
      </c>
      <c r="L25" s="83">
        <f t="shared" si="3"/>
        <v>12.094992099999999</v>
      </c>
      <c r="M25" s="83">
        <v>248107.22020000001</v>
      </c>
      <c r="N25" s="83">
        <f t="shared" si="4"/>
        <v>248.1072202</v>
      </c>
      <c r="O25" s="83">
        <v>380679.77669999999</v>
      </c>
      <c r="P25" s="68">
        <f t="shared" si="5"/>
        <v>380.67977669999999</v>
      </c>
      <c r="Q25" s="83">
        <v>751507.75</v>
      </c>
      <c r="R25" s="68">
        <f t="shared" si="6"/>
        <v>751.50774999999999</v>
      </c>
      <c r="S25" s="69"/>
      <c r="T25" s="82">
        <v>101865.8723</v>
      </c>
      <c r="U25" s="83">
        <f t="shared" si="7"/>
        <v>101.86587230000001</v>
      </c>
      <c r="V25" s="82">
        <v>259092.82990000001</v>
      </c>
      <c r="W25" s="83">
        <f t="shared" si="8"/>
        <v>250.39528669999999</v>
      </c>
      <c r="X25" s="82">
        <v>250757.5423</v>
      </c>
      <c r="Y25" s="67">
        <f t="shared" si="9"/>
        <v>250.75754230000001</v>
      </c>
      <c r="Z25" s="81">
        <v>976.63340000000005</v>
      </c>
      <c r="AA25" s="81"/>
      <c r="AB25" s="67">
        <f t="shared" si="10"/>
        <v>250.75754230000001</v>
      </c>
      <c r="AC25" s="81">
        <v>976.63340000000005</v>
      </c>
      <c r="AD25" s="80"/>
      <c r="AE25" s="79">
        <v>745.93306440000003</v>
      </c>
      <c r="AF25" s="79">
        <v>788.9624</v>
      </c>
      <c r="AG25" s="78">
        <v>80</v>
      </c>
      <c r="AH25" s="72">
        <f t="shared" si="12"/>
        <v>488.31670000000003</v>
      </c>
      <c r="AI25" s="72">
        <v>976.63340000000005</v>
      </c>
      <c r="AJ25" s="79">
        <v>788.9624</v>
      </c>
      <c r="AK25" s="72">
        <f t="shared" si="11"/>
        <v>2.3386111111111112</v>
      </c>
      <c r="AL25" s="72">
        <v>4.2095000000000002</v>
      </c>
      <c r="AM25" s="72">
        <v>4.7835000000000001</v>
      </c>
      <c r="AN25" s="72">
        <v>3205.9056</v>
      </c>
      <c r="AO25" s="72">
        <v>5764.1877000000004</v>
      </c>
      <c r="AP25" s="72">
        <v>6041.2494999999999</v>
      </c>
      <c r="AQ25" s="72">
        <v>18.578299999999999</v>
      </c>
      <c r="AR25" s="72">
        <v>25.293099999999999</v>
      </c>
      <c r="AS25" s="72">
        <v>36.572200000000002</v>
      </c>
      <c r="AT25" s="72">
        <v>1550.8568</v>
      </c>
      <c r="AU25" s="72">
        <v>3180.8638000000001</v>
      </c>
      <c r="AV25" s="68">
        <v>1979.3822</v>
      </c>
      <c r="AW25" s="72">
        <v>8.9649000000000001</v>
      </c>
      <c r="AX25" s="72">
        <v>14.296799999999999</v>
      </c>
      <c r="AY25" s="72">
        <v>12.0038</v>
      </c>
      <c r="AZ25" s="70"/>
    </row>
    <row r="26" spans="1:76" ht="26" x14ac:dyDescent="0.3">
      <c r="A26" s="89">
        <v>84</v>
      </c>
      <c r="B26" s="88">
        <v>378025.77710000001</v>
      </c>
      <c r="C26" s="85">
        <f t="shared" si="0"/>
        <v>378.02577710000003</v>
      </c>
      <c r="D26" s="85">
        <v>515.36649999999997</v>
      </c>
      <c r="E26" s="87">
        <v>775398.66359999997</v>
      </c>
      <c r="F26" s="85">
        <f t="shared" si="1"/>
        <v>775.39866359999996</v>
      </c>
      <c r="G26" s="85">
        <v>756.22900000000004</v>
      </c>
      <c r="H26" s="86">
        <v>794550.67189999996</v>
      </c>
      <c r="I26" s="85">
        <f t="shared" si="2"/>
        <v>794.5506719</v>
      </c>
      <c r="J26" s="85">
        <v>795.6549</v>
      </c>
      <c r="K26" s="83">
        <v>10482.183000000001</v>
      </c>
      <c r="L26" s="83">
        <f t="shared" si="3"/>
        <v>10.482183000000001</v>
      </c>
      <c r="M26" s="83">
        <v>259838.22169999999</v>
      </c>
      <c r="N26" s="83">
        <f t="shared" si="4"/>
        <v>259.83822170000002</v>
      </c>
      <c r="O26" s="83">
        <v>408517.88309999998</v>
      </c>
      <c r="P26" s="68">
        <f t="shared" si="5"/>
        <v>408.51788309999995</v>
      </c>
      <c r="Q26" s="83">
        <v>775398.66359999997</v>
      </c>
      <c r="R26" s="68">
        <f t="shared" si="6"/>
        <v>775.39866359999996</v>
      </c>
      <c r="S26" s="69"/>
      <c r="T26" s="82">
        <v>107265.3685</v>
      </c>
      <c r="U26" s="83">
        <f t="shared" si="7"/>
        <v>107.26536849999999</v>
      </c>
      <c r="V26" s="82">
        <v>250395.2867</v>
      </c>
      <c r="W26" s="83">
        <f t="shared" si="8"/>
        <v>235.3174262</v>
      </c>
      <c r="X26" s="82">
        <v>206969.10269999999</v>
      </c>
      <c r="Y26" s="67">
        <f t="shared" si="9"/>
        <v>206.96910269999998</v>
      </c>
      <c r="Z26" s="81">
        <v>1009.0942</v>
      </c>
      <c r="AA26" s="81"/>
      <c r="AB26" s="67">
        <f t="shared" si="10"/>
        <v>206.96910269999998</v>
      </c>
      <c r="AC26" s="81">
        <v>1009.0942</v>
      </c>
      <c r="AD26" s="80"/>
      <c r="AE26" s="79">
        <v>794.5506719</v>
      </c>
      <c r="AF26" s="79">
        <v>795.6549</v>
      </c>
      <c r="AG26" s="78">
        <v>84</v>
      </c>
      <c r="AH26" s="72">
        <f t="shared" si="12"/>
        <v>504.5471</v>
      </c>
      <c r="AI26" s="72">
        <v>1009.0942</v>
      </c>
      <c r="AJ26" s="79">
        <v>795.6549</v>
      </c>
      <c r="AK26" s="72">
        <f t="shared" si="11"/>
        <v>2.4611111111111108</v>
      </c>
      <c r="AL26" s="72">
        <v>4.43</v>
      </c>
      <c r="AM26" s="72">
        <v>4.9585999999999997</v>
      </c>
      <c r="AN26" s="68">
        <f t="shared" ref="AN26:AN31" si="13">AO26/1.8</f>
        <v>2799.943666666667</v>
      </c>
      <c r="AO26" s="72">
        <v>5039.8986000000004</v>
      </c>
      <c r="AP26" s="72">
        <v>6156.6687000000002</v>
      </c>
      <c r="AQ26" s="68">
        <f t="shared" ref="AQ26:AQ31" si="14">AR26/1.3</f>
        <v>17.427307692307693</v>
      </c>
      <c r="AR26" s="72">
        <v>22.6555</v>
      </c>
      <c r="AS26" s="72">
        <v>37.473300000000002</v>
      </c>
      <c r="AT26" s="68">
        <f t="shared" ref="AT26:AT31" si="15">AU26/2</f>
        <v>1613.5853</v>
      </c>
      <c r="AU26" s="72">
        <v>3227.1705999999999</v>
      </c>
      <c r="AV26" s="72">
        <v>1956.7248999999999</v>
      </c>
      <c r="AW26" s="68">
        <f t="shared" ref="AW26:AW31" si="16">AX26/1.6</f>
        <v>8.9699999999999989</v>
      </c>
      <c r="AX26" s="72">
        <v>14.352</v>
      </c>
      <c r="AY26" s="72">
        <v>11.973100000000001</v>
      </c>
      <c r="AZ26" s="70"/>
      <c r="BR26" s="90"/>
      <c r="BW26" s="90"/>
      <c r="BX26" s="90"/>
    </row>
    <row r="27" spans="1:76" ht="26" x14ac:dyDescent="0.3">
      <c r="A27" s="89">
        <v>88</v>
      </c>
      <c r="B27" s="91">
        <v>395170.68339999998</v>
      </c>
      <c r="C27" s="85">
        <f t="shared" si="0"/>
        <v>395.17068339999997</v>
      </c>
      <c r="D27" s="85">
        <v>516.40620000000001</v>
      </c>
      <c r="E27" s="87">
        <v>825374.30630000005</v>
      </c>
      <c r="F27" s="85">
        <f t="shared" si="1"/>
        <v>825.37430630000006</v>
      </c>
      <c r="G27" s="85">
        <v>773.53719999999998</v>
      </c>
      <c r="H27" s="86">
        <v>815573.66619999998</v>
      </c>
      <c r="I27" s="85">
        <f t="shared" si="2"/>
        <v>815.57366619999993</v>
      </c>
      <c r="J27" s="85">
        <v>842.73630000000003</v>
      </c>
      <c r="K27" s="83">
        <v>10786.9375</v>
      </c>
      <c r="L27" s="83">
        <f t="shared" si="3"/>
        <v>10.786937500000001</v>
      </c>
      <c r="M27" s="83">
        <v>271052.19579999999</v>
      </c>
      <c r="N27" s="83">
        <f t="shared" si="4"/>
        <v>271.05219579999999</v>
      </c>
      <c r="O27" s="83">
        <v>429744.88630000001</v>
      </c>
      <c r="P27" s="68">
        <f t="shared" si="5"/>
        <v>429.74488630000002</v>
      </c>
      <c r="Q27" s="83">
        <v>825374.30630000005</v>
      </c>
      <c r="R27" s="68">
        <f t="shared" si="6"/>
        <v>825.37430630000006</v>
      </c>
      <c r="S27" s="69"/>
      <c r="T27" s="82">
        <v>99673.440300000002</v>
      </c>
      <c r="U27" s="83">
        <f t="shared" si="7"/>
        <v>99.673440299999996</v>
      </c>
      <c r="V27" s="82">
        <v>235317.42619999999</v>
      </c>
      <c r="W27" s="83">
        <f t="shared" si="8"/>
        <v>237.10146129999998</v>
      </c>
      <c r="X27" s="82">
        <v>244161.49650000001</v>
      </c>
      <c r="Y27" s="67">
        <f t="shared" si="9"/>
        <v>244.1614965</v>
      </c>
      <c r="Z27" s="81">
        <v>1022.678</v>
      </c>
      <c r="AA27" s="81"/>
      <c r="AB27" s="67">
        <f t="shared" si="10"/>
        <v>244.1614965</v>
      </c>
      <c r="AC27" s="81">
        <v>1022.678</v>
      </c>
      <c r="AD27" s="80"/>
      <c r="AE27" s="79">
        <v>815.57366619999993</v>
      </c>
      <c r="AF27" s="79">
        <v>842.73630000000003</v>
      </c>
      <c r="AG27" s="78">
        <v>88</v>
      </c>
      <c r="AH27" s="72">
        <f t="shared" si="12"/>
        <v>511.339</v>
      </c>
      <c r="AI27" s="72">
        <v>1022.678</v>
      </c>
      <c r="AJ27" s="79">
        <v>842.73630000000003</v>
      </c>
      <c r="AK27" s="72">
        <f t="shared" si="11"/>
        <v>2.6166666666666667</v>
      </c>
      <c r="AL27" s="72">
        <v>4.71</v>
      </c>
      <c r="AM27" s="72">
        <v>5.2887000000000004</v>
      </c>
      <c r="AN27" s="68">
        <f t="shared" si="13"/>
        <v>3064.9609999999998</v>
      </c>
      <c r="AO27" s="72">
        <v>5516.9297999999999</v>
      </c>
      <c r="AP27" s="72">
        <v>6000.5663999999997</v>
      </c>
      <c r="AQ27" s="68">
        <f t="shared" si="14"/>
        <v>19.516384615384617</v>
      </c>
      <c r="AR27" s="72">
        <v>25.371300000000002</v>
      </c>
      <c r="AS27" s="72">
        <v>36.818199999999997</v>
      </c>
      <c r="AT27" s="68">
        <f t="shared" si="15"/>
        <v>1561.81035</v>
      </c>
      <c r="AU27" s="72">
        <v>3123.6206999999999</v>
      </c>
      <c r="AV27" s="72">
        <v>1961.2618</v>
      </c>
      <c r="AW27" s="68">
        <f t="shared" si="16"/>
        <v>8.9430624999999999</v>
      </c>
      <c r="AX27" s="72">
        <v>14.3089</v>
      </c>
      <c r="AY27" s="72">
        <v>12.0168</v>
      </c>
      <c r="AZ27" s="70"/>
      <c r="BR27" s="90"/>
      <c r="BW27" s="90"/>
      <c r="BX27" s="90"/>
    </row>
    <row r="28" spans="1:76" ht="26" x14ac:dyDescent="0.3">
      <c r="A28" s="89">
        <v>92</v>
      </c>
      <c r="B28" s="91">
        <v>414976.78590000002</v>
      </c>
      <c r="C28" s="85">
        <f t="shared" si="0"/>
        <v>414.97678590000004</v>
      </c>
      <c r="D28" s="85">
        <v>525.25279999999998</v>
      </c>
      <c r="E28" s="87">
        <v>817106.76060000004</v>
      </c>
      <c r="F28" s="85">
        <f t="shared" si="1"/>
        <v>817.10676060000003</v>
      </c>
      <c r="G28" s="85">
        <v>804.32849999999996</v>
      </c>
      <c r="H28" s="86">
        <v>848456.21799999999</v>
      </c>
      <c r="I28" s="85">
        <f t="shared" si="2"/>
        <v>848.45621800000004</v>
      </c>
      <c r="J28" s="85">
        <v>879.97339999999997</v>
      </c>
      <c r="K28" s="83">
        <v>12696.808300000001</v>
      </c>
      <c r="L28" s="83">
        <f t="shared" si="3"/>
        <v>12.696808300000001</v>
      </c>
      <c r="M28" s="83">
        <v>283745.88640000002</v>
      </c>
      <c r="N28" s="83">
        <f t="shared" si="4"/>
        <v>283.74588640000002</v>
      </c>
      <c r="O28" s="83">
        <v>442360.71710000001</v>
      </c>
      <c r="P28" s="68">
        <f t="shared" si="5"/>
        <v>442.36071709999999</v>
      </c>
      <c r="Q28" s="83">
        <v>817106.76060000004</v>
      </c>
      <c r="R28" s="68">
        <f t="shared" si="6"/>
        <v>817.10676060000003</v>
      </c>
      <c r="S28" s="69"/>
      <c r="T28" s="82">
        <v>90524.998500000002</v>
      </c>
      <c r="U28" s="83">
        <f t="shared" si="7"/>
        <v>90.524998499999995</v>
      </c>
      <c r="V28" s="82">
        <v>237101.4613</v>
      </c>
      <c r="W28" s="83">
        <f t="shared" si="8"/>
        <v>211.08217720000002</v>
      </c>
      <c r="X28" s="82">
        <v>236737.63579999999</v>
      </c>
      <c r="Y28" s="67">
        <f t="shared" si="9"/>
        <v>236.73763579999999</v>
      </c>
      <c r="Z28" s="81">
        <v>1056.1579999999999</v>
      </c>
      <c r="AA28" s="81"/>
      <c r="AB28" s="67">
        <f t="shared" si="10"/>
        <v>236.73763579999999</v>
      </c>
      <c r="AC28" s="81">
        <v>1056.1579999999999</v>
      </c>
      <c r="AD28" s="80"/>
      <c r="AE28" s="79">
        <v>848.45621800000004</v>
      </c>
      <c r="AF28" s="79">
        <v>879.97339999999997</v>
      </c>
      <c r="AG28" s="78">
        <v>92</v>
      </c>
      <c r="AH28" s="72">
        <f t="shared" si="12"/>
        <v>528.07899999999995</v>
      </c>
      <c r="AI28" s="72">
        <v>1056.1579999999999</v>
      </c>
      <c r="AJ28" s="79">
        <v>879.97339999999997</v>
      </c>
      <c r="AK28" s="72">
        <f t="shared" si="11"/>
        <v>2.6666666666666665</v>
      </c>
      <c r="AL28" s="72">
        <v>4.8</v>
      </c>
      <c r="AM28" s="72">
        <v>5.3253000000000004</v>
      </c>
      <c r="AN28" s="68">
        <f t="shared" si="13"/>
        <v>3001.4953333333333</v>
      </c>
      <c r="AO28" s="72">
        <v>5402.6916000000001</v>
      </c>
      <c r="AP28" s="72">
        <v>5955.8045000000002</v>
      </c>
      <c r="AQ28" s="68">
        <f t="shared" si="14"/>
        <v>18.960461538461537</v>
      </c>
      <c r="AR28" s="72">
        <v>24.648599999999998</v>
      </c>
      <c r="AS28" s="72">
        <v>36.868699999999997</v>
      </c>
      <c r="AT28" s="68">
        <f t="shared" si="15"/>
        <v>1583.6768500000001</v>
      </c>
      <c r="AU28" s="72">
        <v>3167.3537000000001</v>
      </c>
      <c r="AV28" s="72">
        <v>1946.2804000000001</v>
      </c>
      <c r="AW28" s="68">
        <f t="shared" si="16"/>
        <v>9.0226874999999982</v>
      </c>
      <c r="AX28" s="72">
        <v>14.436299999999999</v>
      </c>
      <c r="AY28" s="72">
        <v>12.035</v>
      </c>
      <c r="AZ28" s="70"/>
      <c r="BR28" s="90"/>
      <c r="BW28" s="90"/>
      <c r="BX28" s="90"/>
    </row>
    <row r="29" spans="1:76" ht="26" x14ac:dyDescent="0.3">
      <c r="A29" s="89">
        <v>96</v>
      </c>
      <c r="B29" s="89">
        <v>391693.71730000002</v>
      </c>
      <c r="C29" s="85">
        <f t="shared" si="0"/>
        <v>391.6937173</v>
      </c>
      <c r="D29" s="85">
        <v>538.24639999999999</v>
      </c>
      <c r="E29" s="87">
        <v>873631.42669999995</v>
      </c>
      <c r="F29" s="85">
        <f t="shared" si="1"/>
        <v>873.63142669999991</v>
      </c>
      <c r="G29" s="85">
        <v>820.49289999999996</v>
      </c>
      <c r="H29" s="86">
        <v>860730.43680000002</v>
      </c>
      <c r="I29" s="85">
        <f t="shared" si="2"/>
        <v>860.73043680000001</v>
      </c>
      <c r="J29" s="85">
        <v>873.34469999999999</v>
      </c>
      <c r="K29" s="83">
        <v>10378.1517</v>
      </c>
      <c r="L29" s="83">
        <f t="shared" si="3"/>
        <v>10.3781517</v>
      </c>
      <c r="M29" s="83">
        <v>292683.41149999999</v>
      </c>
      <c r="N29" s="83">
        <f t="shared" si="4"/>
        <v>292.68341149999998</v>
      </c>
      <c r="O29" s="83">
        <v>461637.49440000003</v>
      </c>
      <c r="P29" s="68">
        <f t="shared" si="5"/>
        <v>461.63749440000004</v>
      </c>
      <c r="Q29" s="83">
        <v>873631.42669999995</v>
      </c>
      <c r="R29" s="68">
        <f t="shared" si="6"/>
        <v>873.63142669999991</v>
      </c>
      <c r="S29" s="69"/>
      <c r="T29" s="82">
        <v>89789</v>
      </c>
      <c r="U29" s="83">
        <f t="shared" si="7"/>
        <v>89.789000000000001</v>
      </c>
      <c r="V29" s="82">
        <v>211082.17720000001</v>
      </c>
      <c r="W29" s="83">
        <f t="shared" si="8"/>
        <v>251.76176949999999</v>
      </c>
      <c r="X29" s="82">
        <v>221178.79089999999</v>
      </c>
      <c r="Y29" s="67">
        <f t="shared" si="9"/>
        <v>221.1787909</v>
      </c>
      <c r="Z29" s="81">
        <v>1102.2414000000001</v>
      </c>
      <c r="AA29" s="81"/>
      <c r="AB29" s="67">
        <f t="shared" si="10"/>
        <v>221.1787909</v>
      </c>
      <c r="AC29" s="81">
        <v>1102.2414000000001</v>
      </c>
      <c r="AD29" s="80"/>
      <c r="AE29" s="79">
        <v>860.73043680000001</v>
      </c>
      <c r="AF29" s="79">
        <v>873.34469999999999</v>
      </c>
      <c r="AG29" s="78">
        <v>96</v>
      </c>
      <c r="AH29" s="72">
        <f t="shared" si="12"/>
        <v>551.12070000000006</v>
      </c>
      <c r="AI29" s="72">
        <v>1102.2414000000001</v>
      </c>
      <c r="AJ29" s="79">
        <v>873.34469999999999</v>
      </c>
      <c r="AK29" s="72">
        <f t="shared" si="11"/>
        <v>3</v>
      </c>
      <c r="AL29" s="72">
        <v>5.4</v>
      </c>
      <c r="AM29" s="72">
        <v>5.5796000000000001</v>
      </c>
      <c r="AN29" s="68">
        <f t="shared" si="13"/>
        <v>2985.2667777777779</v>
      </c>
      <c r="AO29" s="72">
        <v>5373.4802</v>
      </c>
      <c r="AP29" s="72">
        <v>6034.5334999999995</v>
      </c>
      <c r="AQ29" s="68">
        <f t="shared" si="14"/>
        <v>19.524923076923077</v>
      </c>
      <c r="AR29" s="72">
        <v>25.382400000000001</v>
      </c>
      <c r="AS29" s="72">
        <v>37.581299999999999</v>
      </c>
      <c r="AT29" s="68">
        <f t="shared" si="15"/>
        <v>1556.0232000000001</v>
      </c>
      <c r="AU29" s="72">
        <v>3112.0464000000002</v>
      </c>
      <c r="AV29" s="72">
        <v>1923.9041999999999</v>
      </c>
      <c r="AW29" s="68">
        <f t="shared" si="16"/>
        <v>9.0443125000000002</v>
      </c>
      <c r="AX29" s="72">
        <v>14.4709</v>
      </c>
      <c r="AY29" s="72">
        <v>11.990600000000001</v>
      </c>
      <c r="AZ29" s="70"/>
    </row>
    <row r="30" spans="1:76" ht="26" x14ac:dyDescent="0.3">
      <c r="A30" s="89">
        <v>100</v>
      </c>
      <c r="B30" s="88">
        <v>407188</v>
      </c>
      <c r="C30" s="85">
        <f t="shared" si="0"/>
        <v>407.18799999999999</v>
      </c>
      <c r="D30" s="85">
        <v>545.23530000000005</v>
      </c>
      <c r="E30" s="87">
        <v>874775.96050000004</v>
      </c>
      <c r="F30" s="85">
        <f t="shared" si="1"/>
        <v>874.7759605</v>
      </c>
      <c r="G30" s="85">
        <v>823.7047</v>
      </c>
      <c r="H30" s="86">
        <v>874358.45349999995</v>
      </c>
      <c r="I30" s="85">
        <f t="shared" si="2"/>
        <v>874.3584535</v>
      </c>
      <c r="J30" s="85">
        <v>891.53160000000003</v>
      </c>
      <c r="K30" s="83">
        <v>10223.682199999999</v>
      </c>
      <c r="L30" s="83">
        <f t="shared" si="3"/>
        <v>10.223682199999999</v>
      </c>
      <c r="M30" s="83">
        <v>305993.2855</v>
      </c>
      <c r="N30" s="83">
        <f t="shared" si="4"/>
        <v>305.99328550000001</v>
      </c>
      <c r="O30" s="83">
        <v>472059.66039999999</v>
      </c>
      <c r="P30" s="68">
        <f t="shared" si="5"/>
        <v>472.05966039999998</v>
      </c>
      <c r="Q30" s="83">
        <v>874775.96050000004</v>
      </c>
      <c r="R30" s="68">
        <f t="shared" si="6"/>
        <v>874.7759605</v>
      </c>
      <c r="S30" s="69"/>
      <c r="T30" s="84">
        <v>86040</v>
      </c>
      <c r="U30" s="83">
        <f t="shared" si="7"/>
        <v>86.04</v>
      </c>
      <c r="V30" s="82">
        <v>251761.76949999999</v>
      </c>
      <c r="W30" s="83">
        <f t="shared" si="8"/>
        <v>206.96910269999998</v>
      </c>
      <c r="X30" s="82">
        <v>216864.6177</v>
      </c>
      <c r="Y30" s="67">
        <f t="shared" si="9"/>
        <v>216.8646177</v>
      </c>
      <c r="Z30" s="81">
        <v>1117.0353</v>
      </c>
      <c r="AA30" s="81"/>
      <c r="AB30" s="67">
        <f t="shared" si="10"/>
        <v>216.8646177</v>
      </c>
      <c r="AC30" s="81">
        <v>1117.0353</v>
      </c>
      <c r="AD30" s="80"/>
      <c r="AE30" s="79">
        <v>874.3584535</v>
      </c>
      <c r="AF30" s="79">
        <v>891.53160000000003</v>
      </c>
      <c r="AG30" s="78">
        <v>100</v>
      </c>
      <c r="AH30" s="72">
        <f t="shared" si="12"/>
        <v>558.51765</v>
      </c>
      <c r="AI30" s="72">
        <v>1117.0353</v>
      </c>
      <c r="AJ30" s="79">
        <v>891.53160000000003</v>
      </c>
      <c r="AK30" s="72">
        <f t="shared" si="11"/>
        <v>2.9833333333333334</v>
      </c>
      <c r="AL30" s="72">
        <v>5.37</v>
      </c>
      <c r="AM30" s="72">
        <v>5.5777999999999999</v>
      </c>
      <c r="AN30" s="68">
        <f t="shared" si="13"/>
        <v>2978.1111666666666</v>
      </c>
      <c r="AO30" s="72">
        <v>5360.6000999999997</v>
      </c>
      <c r="AP30" s="72">
        <v>5910.6570000000002</v>
      </c>
      <c r="AQ30" s="68">
        <f t="shared" si="14"/>
        <v>19.577538461538463</v>
      </c>
      <c r="AR30" s="72">
        <v>25.450800000000001</v>
      </c>
      <c r="AS30" s="72">
        <v>36.9161</v>
      </c>
      <c r="AT30" s="68">
        <f t="shared" si="15"/>
        <v>1504.7043000000001</v>
      </c>
      <c r="AU30" s="72">
        <v>3009.4086000000002</v>
      </c>
      <c r="AV30" s="72">
        <v>1922.5506</v>
      </c>
      <c r="AW30" s="68">
        <f t="shared" si="16"/>
        <v>8.9678124999999991</v>
      </c>
      <c r="AX30" s="72">
        <v>14.3485</v>
      </c>
      <c r="AY30" s="72">
        <v>12.041399999999999</v>
      </c>
      <c r="AZ30" s="70"/>
    </row>
    <row r="31" spans="1:76" ht="26" x14ac:dyDescent="0.3">
      <c r="A31" s="89">
        <v>104</v>
      </c>
      <c r="B31" s="88">
        <v>420000</v>
      </c>
      <c r="C31" s="85">
        <f t="shared" si="0"/>
        <v>420</v>
      </c>
      <c r="D31" s="85">
        <v>548.01649999999995</v>
      </c>
      <c r="E31" s="87">
        <v>808027.58349999995</v>
      </c>
      <c r="F31" s="85">
        <f t="shared" si="1"/>
        <v>808.02758349999999</v>
      </c>
      <c r="G31" s="85">
        <v>832.51729999999998</v>
      </c>
      <c r="H31" s="86">
        <v>867831.35840000003</v>
      </c>
      <c r="I31" s="85">
        <f t="shared" si="2"/>
        <v>867.8313584</v>
      </c>
      <c r="J31" s="85">
        <v>905.02750000000003</v>
      </c>
      <c r="K31" s="83">
        <v>10135.1677</v>
      </c>
      <c r="L31" s="83">
        <f t="shared" si="3"/>
        <v>10.1351677</v>
      </c>
      <c r="M31" s="83">
        <v>303528.10720000003</v>
      </c>
      <c r="N31" s="83">
        <f t="shared" si="4"/>
        <v>303.52810720000002</v>
      </c>
      <c r="O31" s="83">
        <v>471332.73090000002</v>
      </c>
      <c r="P31" s="68">
        <f t="shared" si="5"/>
        <v>471.3327309</v>
      </c>
      <c r="Q31" s="83">
        <v>808027.58349999995</v>
      </c>
      <c r="R31" s="68">
        <f t="shared" si="6"/>
        <v>808.02758349999999</v>
      </c>
      <c r="S31" s="69"/>
      <c r="T31" s="84">
        <v>85439.45</v>
      </c>
      <c r="U31" s="83">
        <f t="shared" si="7"/>
        <v>85.439449999999994</v>
      </c>
      <c r="V31" s="82">
        <v>206969.10269999999</v>
      </c>
      <c r="W31" s="83">
        <v>205</v>
      </c>
      <c r="X31" s="82">
        <v>219252.7874</v>
      </c>
      <c r="Y31" s="67">
        <f t="shared" si="9"/>
        <v>219.25278739999999</v>
      </c>
      <c r="Z31" s="81">
        <v>1156.4491</v>
      </c>
      <c r="AA31" s="81"/>
      <c r="AB31" s="67">
        <f t="shared" si="10"/>
        <v>219.25278739999999</v>
      </c>
      <c r="AC31" s="81">
        <v>1156.4491</v>
      </c>
      <c r="AD31" s="80"/>
      <c r="AE31" s="79">
        <v>867.8313584</v>
      </c>
      <c r="AF31" s="79">
        <v>905.02750000000003</v>
      </c>
      <c r="AG31" s="78">
        <v>104</v>
      </c>
      <c r="AH31" s="72">
        <f t="shared" si="12"/>
        <v>578.22455000000002</v>
      </c>
      <c r="AI31" s="72">
        <v>1156.4491</v>
      </c>
      <c r="AJ31" s="79">
        <v>905.02750000000003</v>
      </c>
      <c r="AK31" s="72">
        <f t="shared" si="11"/>
        <v>3.2016111111111112</v>
      </c>
      <c r="AL31" s="72">
        <v>5.7629000000000001</v>
      </c>
      <c r="AM31" s="72">
        <v>5.7236000000000002</v>
      </c>
      <c r="AN31" s="68">
        <f t="shared" si="13"/>
        <v>2958.0431666666668</v>
      </c>
      <c r="AO31" s="72">
        <v>5324.4777000000004</v>
      </c>
      <c r="AP31" s="72">
        <v>5812.7190000000001</v>
      </c>
      <c r="AQ31" s="68">
        <f t="shared" si="14"/>
        <v>19.637846153846152</v>
      </c>
      <c r="AR31" s="72">
        <v>25.529199999999999</v>
      </c>
      <c r="AS31" s="72">
        <v>36.801200000000001</v>
      </c>
      <c r="AT31" s="68">
        <f t="shared" si="15"/>
        <v>1497.2655999999999</v>
      </c>
      <c r="AU31" s="72">
        <v>2994.5311999999999</v>
      </c>
      <c r="AV31" s="72">
        <v>1905.1561999999999</v>
      </c>
      <c r="AW31" s="68">
        <f t="shared" si="16"/>
        <v>9.0465625000000003</v>
      </c>
      <c r="AX31" s="72">
        <v>14.474500000000001</v>
      </c>
      <c r="AY31" s="72">
        <v>12.0665</v>
      </c>
      <c r="AZ31" s="7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4871-53EC-D944-9DD4-C954E743729D}">
  <dimension ref="A2:AD40"/>
  <sheetViews>
    <sheetView zoomScale="60" zoomScaleNormal="60" workbookViewId="0">
      <selection activeCell="R29" sqref="R29"/>
    </sheetView>
  </sheetViews>
  <sheetFormatPr baseColWidth="10" defaultRowHeight="16" x14ac:dyDescent="0.2"/>
  <sheetData>
    <row r="2" spans="1:5" x14ac:dyDescent="0.2">
      <c r="B2" t="s">
        <v>77</v>
      </c>
      <c r="C2" t="s">
        <v>218</v>
      </c>
      <c r="D2" t="s">
        <v>76</v>
      </c>
      <c r="E2" t="s">
        <v>218</v>
      </c>
    </row>
    <row r="3" spans="1:5" x14ac:dyDescent="0.2">
      <c r="B3" t="s">
        <v>217</v>
      </c>
    </row>
    <row r="4" spans="1:5" ht="54" x14ac:dyDescent="0.3">
      <c r="A4" s="76" t="s">
        <v>182</v>
      </c>
      <c r="B4" t="s">
        <v>219</v>
      </c>
    </row>
    <row r="5" spans="1:5" ht="26" x14ac:dyDescent="0.3">
      <c r="A5" s="78">
        <v>1</v>
      </c>
      <c r="B5">
        <v>3.97</v>
      </c>
      <c r="C5">
        <v>3.9</v>
      </c>
      <c r="D5">
        <v>3.79</v>
      </c>
      <c r="E5">
        <v>5.52</v>
      </c>
    </row>
    <row r="6" spans="1:5" ht="26" x14ac:dyDescent="0.3">
      <c r="A6" s="78">
        <v>4</v>
      </c>
      <c r="B6">
        <v>9.66</v>
      </c>
      <c r="C6">
        <v>9.69</v>
      </c>
      <c r="D6">
        <v>8.39</v>
      </c>
      <c r="E6">
        <v>11.96</v>
      </c>
    </row>
    <row r="7" spans="1:5" ht="26" x14ac:dyDescent="0.3">
      <c r="A7" s="78">
        <v>8</v>
      </c>
      <c r="B7">
        <v>19.14</v>
      </c>
      <c r="C7">
        <v>19.03</v>
      </c>
      <c r="D7">
        <v>16.64</v>
      </c>
      <c r="E7">
        <v>23.32</v>
      </c>
    </row>
    <row r="8" spans="1:5" ht="26" x14ac:dyDescent="0.3">
      <c r="A8" s="78">
        <v>12</v>
      </c>
      <c r="B8">
        <v>28.42</v>
      </c>
      <c r="C8">
        <v>28.07</v>
      </c>
      <c r="D8">
        <v>24.63</v>
      </c>
      <c r="E8">
        <v>33.54</v>
      </c>
    </row>
    <row r="9" spans="1:5" ht="26" x14ac:dyDescent="0.3">
      <c r="A9" s="78">
        <v>16</v>
      </c>
      <c r="B9">
        <v>37.75</v>
      </c>
      <c r="C9">
        <v>36.49</v>
      </c>
      <c r="D9">
        <v>32.36</v>
      </c>
      <c r="E9">
        <v>43.62</v>
      </c>
    </row>
    <row r="10" spans="1:5" ht="26" x14ac:dyDescent="0.3">
      <c r="A10" s="78">
        <v>20</v>
      </c>
      <c r="B10">
        <v>47.2</v>
      </c>
      <c r="C10">
        <v>45.73</v>
      </c>
      <c r="D10">
        <v>39.75</v>
      </c>
      <c r="E10">
        <v>52.52</v>
      </c>
    </row>
    <row r="11" spans="1:5" ht="26" x14ac:dyDescent="0.3">
      <c r="A11" s="78">
        <v>24</v>
      </c>
      <c r="B11">
        <v>56.44</v>
      </c>
      <c r="C11">
        <v>53.9</v>
      </c>
      <c r="D11">
        <v>47.93</v>
      </c>
      <c r="E11">
        <v>63.7</v>
      </c>
    </row>
    <row r="12" spans="1:5" ht="26" x14ac:dyDescent="0.3">
      <c r="A12" s="78">
        <v>28</v>
      </c>
      <c r="B12">
        <v>64.010000000000005</v>
      </c>
      <c r="C12">
        <v>60.32</v>
      </c>
      <c r="D12">
        <v>53.36</v>
      </c>
      <c r="E12">
        <v>68.19</v>
      </c>
    </row>
    <row r="13" spans="1:5" ht="26" x14ac:dyDescent="0.3">
      <c r="A13" s="78">
        <v>32</v>
      </c>
      <c r="B13">
        <v>74.430000000000007</v>
      </c>
      <c r="C13">
        <v>70.37</v>
      </c>
      <c r="D13">
        <v>62.88</v>
      </c>
      <c r="E13">
        <v>82.12</v>
      </c>
    </row>
    <row r="14" spans="1:5" ht="26" x14ac:dyDescent="0.3">
      <c r="A14" s="78">
        <v>36</v>
      </c>
      <c r="B14">
        <v>79.5</v>
      </c>
      <c r="C14">
        <v>77.47</v>
      </c>
      <c r="D14">
        <v>68.709999999999994</v>
      </c>
      <c r="E14">
        <v>89.42</v>
      </c>
    </row>
    <row r="15" spans="1:5" ht="26" x14ac:dyDescent="0.3">
      <c r="A15" s="78">
        <v>40</v>
      </c>
      <c r="B15">
        <v>89.3</v>
      </c>
      <c r="C15">
        <v>85.69</v>
      </c>
      <c r="D15">
        <v>75.739999999999995</v>
      </c>
      <c r="E15">
        <v>95.96</v>
      </c>
    </row>
    <row r="16" spans="1:5" ht="26" x14ac:dyDescent="0.3">
      <c r="A16" s="78">
        <v>44</v>
      </c>
      <c r="B16">
        <v>97.65</v>
      </c>
      <c r="C16">
        <v>90.85</v>
      </c>
      <c r="D16">
        <v>78.73</v>
      </c>
      <c r="E16">
        <v>93.31</v>
      </c>
    </row>
    <row r="17" spans="1:5" ht="26" x14ac:dyDescent="0.3">
      <c r="A17" s="78">
        <v>48</v>
      </c>
      <c r="B17">
        <v>104.9</v>
      </c>
      <c r="C17">
        <v>100.34</v>
      </c>
      <c r="D17">
        <v>89.28</v>
      </c>
      <c r="E17">
        <v>114.96</v>
      </c>
    </row>
    <row r="18" spans="1:5" ht="26" x14ac:dyDescent="0.3">
      <c r="A18" s="78">
        <v>52</v>
      </c>
      <c r="B18">
        <v>114.69</v>
      </c>
      <c r="C18">
        <v>105.78</v>
      </c>
      <c r="D18">
        <v>97.15</v>
      </c>
      <c r="E18">
        <v>112.78</v>
      </c>
    </row>
    <row r="19" spans="1:5" ht="26" x14ac:dyDescent="0.3">
      <c r="A19" s="78">
        <v>56</v>
      </c>
      <c r="B19">
        <v>119.98</v>
      </c>
      <c r="C19">
        <v>114.34</v>
      </c>
      <c r="D19">
        <v>100.04</v>
      </c>
      <c r="E19">
        <v>123.82</v>
      </c>
    </row>
    <row r="20" spans="1:5" ht="26" x14ac:dyDescent="0.3">
      <c r="A20" s="78">
        <v>60</v>
      </c>
      <c r="B20">
        <v>127.63</v>
      </c>
      <c r="C20">
        <v>122.96</v>
      </c>
      <c r="D20">
        <v>107.07</v>
      </c>
      <c r="E20">
        <v>134.94</v>
      </c>
    </row>
    <row r="21" spans="1:5" ht="26" x14ac:dyDescent="0.3">
      <c r="A21" s="78">
        <v>64</v>
      </c>
      <c r="B21">
        <v>134.21</v>
      </c>
      <c r="C21">
        <v>128.34</v>
      </c>
      <c r="D21">
        <v>111.29</v>
      </c>
      <c r="E21">
        <v>139.37</v>
      </c>
    </row>
    <row r="22" spans="1:5" ht="26" x14ac:dyDescent="0.3">
      <c r="A22" s="78">
        <v>68</v>
      </c>
      <c r="B22">
        <v>140.87</v>
      </c>
      <c r="C22">
        <v>127.18</v>
      </c>
      <c r="D22">
        <v>110.1</v>
      </c>
      <c r="E22">
        <v>123.79</v>
      </c>
    </row>
    <row r="23" spans="1:5" ht="26" x14ac:dyDescent="0.3">
      <c r="A23" s="78">
        <v>72</v>
      </c>
      <c r="B23">
        <v>149.01</v>
      </c>
      <c r="C23">
        <v>142.29</v>
      </c>
      <c r="D23">
        <v>124.73</v>
      </c>
      <c r="E23">
        <v>154.29</v>
      </c>
    </row>
    <row r="24" spans="1:5" ht="26" x14ac:dyDescent="0.3">
      <c r="A24" s="78">
        <v>76</v>
      </c>
      <c r="B24">
        <v>154.82</v>
      </c>
      <c r="C24">
        <v>130.65</v>
      </c>
      <c r="D24">
        <v>115.47</v>
      </c>
      <c r="E24">
        <v>130.86000000000001</v>
      </c>
    </row>
    <row r="25" spans="1:5" ht="26" x14ac:dyDescent="0.3">
      <c r="A25" s="78">
        <v>80</v>
      </c>
      <c r="B25">
        <v>164.62</v>
      </c>
      <c r="C25">
        <v>156.52000000000001</v>
      </c>
      <c r="D25">
        <v>133.75</v>
      </c>
      <c r="E25">
        <v>164.24</v>
      </c>
    </row>
    <row r="26" spans="1:5" ht="26" x14ac:dyDescent="0.3">
      <c r="A26" s="78">
        <v>84</v>
      </c>
      <c r="B26">
        <v>167.51</v>
      </c>
      <c r="C26">
        <v>158.82</v>
      </c>
      <c r="D26">
        <v>136.91999999999999</v>
      </c>
      <c r="E26">
        <v>162.08000000000001</v>
      </c>
    </row>
    <row r="27" spans="1:5" ht="26" x14ac:dyDescent="0.3">
      <c r="A27" s="78">
        <v>88</v>
      </c>
      <c r="B27">
        <v>179.84</v>
      </c>
      <c r="C27">
        <v>163.04</v>
      </c>
      <c r="D27">
        <v>143.28</v>
      </c>
      <c r="E27">
        <v>165.04</v>
      </c>
    </row>
    <row r="28" spans="1:5" ht="26" x14ac:dyDescent="0.3">
      <c r="A28" s="78">
        <v>92</v>
      </c>
      <c r="B28">
        <v>168.6</v>
      </c>
      <c r="C28">
        <v>147.06</v>
      </c>
      <c r="D28">
        <v>129.18</v>
      </c>
      <c r="E28">
        <v>137.09</v>
      </c>
    </row>
    <row r="29" spans="1:5" ht="26" x14ac:dyDescent="0.3">
      <c r="A29" s="78">
        <v>96</v>
      </c>
      <c r="B29">
        <v>186.54</v>
      </c>
      <c r="C29">
        <v>173.39</v>
      </c>
      <c r="D29">
        <v>147.16999999999999</v>
      </c>
      <c r="E29">
        <v>174.06</v>
      </c>
    </row>
    <row r="30" spans="1:5" ht="26" x14ac:dyDescent="0.3">
      <c r="A30" s="78">
        <v>100</v>
      </c>
      <c r="B30">
        <v>186.66</v>
      </c>
      <c r="C30">
        <v>174.65</v>
      </c>
      <c r="D30">
        <v>147.16999999999999</v>
      </c>
      <c r="E30">
        <v>174.29</v>
      </c>
    </row>
    <row r="31" spans="1:5" ht="26" x14ac:dyDescent="0.3">
      <c r="A31" s="78">
        <v>104</v>
      </c>
      <c r="B31">
        <v>221.85</v>
      </c>
      <c r="C31">
        <v>210.8</v>
      </c>
      <c r="D31">
        <v>196.02</v>
      </c>
      <c r="E31">
        <v>216.33</v>
      </c>
    </row>
    <row r="36" spans="3:30" x14ac:dyDescent="0.2">
      <c r="D36">
        <v>1</v>
      </c>
      <c r="E36">
        <v>4</v>
      </c>
      <c r="F36">
        <v>8</v>
      </c>
      <c r="G36">
        <v>12</v>
      </c>
      <c r="H36">
        <v>16</v>
      </c>
      <c r="I36">
        <v>20</v>
      </c>
      <c r="J36">
        <v>24</v>
      </c>
      <c r="K36">
        <v>28</v>
      </c>
      <c r="L36">
        <v>32</v>
      </c>
      <c r="M36">
        <v>36</v>
      </c>
      <c r="N36">
        <v>40</v>
      </c>
      <c r="O36">
        <v>44</v>
      </c>
      <c r="P36">
        <v>48</v>
      </c>
      <c r="Q36">
        <v>52</v>
      </c>
      <c r="R36">
        <v>56</v>
      </c>
      <c r="S36">
        <v>60</v>
      </c>
      <c r="T36">
        <v>64</v>
      </c>
      <c r="U36">
        <v>68</v>
      </c>
      <c r="V36">
        <v>72</v>
      </c>
      <c r="W36">
        <v>76</v>
      </c>
      <c r="X36">
        <v>80</v>
      </c>
      <c r="Y36">
        <v>84</v>
      </c>
      <c r="Z36">
        <v>88</v>
      </c>
      <c r="AA36">
        <v>92</v>
      </c>
      <c r="AB36">
        <v>96</v>
      </c>
      <c r="AC36">
        <v>100</v>
      </c>
      <c r="AD36">
        <v>104</v>
      </c>
    </row>
    <row r="37" spans="3:30" x14ac:dyDescent="0.2">
      <c r="C37" t="s">
        <v>76</v>
      </c>
      <c r="D37">
        <v>1753.1434999999999</v>
      </c>
      <c r="E37">
        <v>997.90290000000005</v>
      </c>
      <c r="F37">
        <v>949.6318</v>
      </c>
      <c r="G37">
        <v>990.04280000000006</v>
      </c>
      <c r="H37">
        <v>984.37300000000005</v>
      </c>
      <c r="I37">
        <v>1105.6170999999999</v>
      </c>
      <c r="J37">
        <v>1080.3751</v>
      </c>
      <c r="K37">
        <v>1167.2204999999999</v>
      </c>
      <c r="L37">
        <v>1265.1217999999999</v>
      </c>
      <c r="M37">
        <v>1262.8047999999999</v>
      </c>
      <c r="N37">
        <v>1310.9032</v>
      </c>
      <c r="O37">
        <v>1401.9449999999999</v>
      </c>
      <c r="P37">
        <v>1404.7951</v>
      </c>
      <c r="Q37">
        <v>1414.3045999999999</v>
      </c>
      <c r="R37">
        <v>1519.0897</v>
      </c>
      <c r="S37">
        <v>1649.0913</v>
      </c>
      <c r="T37">
        <v>1714.4081000000001</v>
      </c>
      <c r="U37">
        <v>1784.5581999999999</v>
      </c>
      <c r="V37">
        <v>1907.5550000000001</v>
      </c>
      <c r="W37">
        <v>2016.7983999999999</v>
      </c>
      <c r="X37">
        <v>1916.3357000000001</v>
      </c>
      <c r="Y37">
        <v>2067.991</v>
      </c>
      <c r="Z37">
        <v>2013.3119999999999</v>
      </c>
      <c r="AA37">
        <v>2077.8751999999999</v>
      </c>
      <c r="AB37">
        <v>2077.2624000000001</v>
      </c>
      <c r="AC37">
        <v>2141.8256000000001</v>
      </c>
      <c r="AD37">
        <v>2227.89</v>
      </c>
    </row>
    <row r="38" spans="3:30" x14ac:dyDescent="0.2">
      <c r="D38">
        <v>3.79</v>
      </c>
      <c r="E38">
        <v>8.39</v>
      </c>
      <c r="F38">
        <v>16.64</v>
      </c>
      <c r="G38">
        <v>24.63</v>
      </c>
      <c r="H38">
        <v>32.36</v>
      </c>
      <c r="I38">
        <v>39.75</v>
      </c>
      <c r="J38">
        <v>47.93</v>
      </c>
      <c r="K38">
        <v>53.36</v>
      </c>
      <c r="L38">
        <v>62.88</v>
      </c>
      <c r="M38">
        <v>68.709999999999994</v>
      </c>
      <c r="N38">
        <v>75.739999999999995</v>
      </c>
      <c r="O38">
        <v>78.73</v>
      </c>
      <c r="P38">
        <v>89.28</v>
      </c>
      <c r="Q38">
        <v>97.15</v>
      </c>
      <c r="R38">
        <v>100.04</v>
      </c>
      <c r="S38">
        <v>107.07</v>
      </c>
      <c r="T38">
        <v>111.29</v>
      </c>
      <c r="U38">
        <v>110.1</v>
      </c>
      <c r="V38">
        <v>124.73</v>
      </c>
      <c r="W38">
        <v>115.47</v>
      </c>
      <c r="X38">
        <v>133.75</v>
      </c>
      <c r="Y38">
        <v>136.91999999999999</v>
      </c>
      <c r="Z38">
        <v>143.28</v>
      </c>
      <c r="AA38">
        <v>129.18</v>
      </c>
      <c r="AB38">
        <v>147.16999999999999</v>
      </c>
      <c r="AC38">
        <v>147.16999999999999</v>
      </c>
      <c r="AD38">
        <v>196.02</v>
      </c>
    </row>
    <row r="39" spans="3:30" x14ac:dyDescent="0.2">
      <c r="C39" t="s">
        <v>77</v>
      </c>
      <c r="D39">
        <v>2850.7579000000001</v>
      </c>
      <c r="E39">
        <v>1941.7475999999999</v>
      </c>
      <c r="F39">
        <v>2000</v>
      </c>
      <c r="G39">
        <v>2121.3197999999998</v>
      </c>
      <c r="H39">
        <v>1924.8136999999999</v>
      </c>
      <c r="I39">
        <v>1973.0933</v>
      </c>
      <c r="J39">
        <v>2052.3732999999997</v>
      </c>
      <c r="K39">
        <v>2034.6596999999999</v>
      </c>
      <c r="L39">
        <v>2130.3724999999999</v>
      </c>
      <c r="M39">
        <v>2199.8216000000002</v>
      </c>
      <c r="N39">
        <v>2164.2336</v>
      </c>
      <c r="O39">
        <v>2308.3310000000001</v>
      </c>
      <c r="P39">
        <v>2277.5295000000001</v>
      </c>
      <c r="Q39">
        <v>2357.7658000000001</v>
      </c>
      <c r="R39">
        <v>2405.4036999999998</v>
      </c>
      <c r="S39">
        <v>2433.6313</v>
      </c>
      <c r="T39">
        <v>2500.8980000000001</v>
      </c>
      <c r="U39">
        <v>2650.2030999999997</v>
      </c>
      <c r="V39">
        <v>2671.3362999999999</v>
      </c>
      <c r="W39">
        <v>2818.0932000000003</v>
      </c>
      <c r="X39">
        <v>2746.5897</v>
      </c>
      <c r="Y39">
        <v>2782.3869</v>
      </c>
      <c r="Z39">
        <v>2971.7406000000001</v>
      </c>
      <c r="AA39">
        <v>2896.7666999999997</v>
      </c>
      <c r="AB39">
        <v>2973.3337000000001</v>
      </c>
      <c r="AC39">
        <v>2933.0844000000002</v>
      </c>
      <c r="AD39">
        <v>2946.5578999999998</v>
      </c>
    </row>
    <row r="40" spans="3:30" x14ac:dyDescent="0.2">
      <c r="D40">
        <v>3.97</v>
      </c>
      <c r="E40">
        <v>9.66</v>
      </c>
      <c r="F40">
        <v>19.14</v>
      </c>
      <c r="G40">
        <v>28.42</v>
      </c>
      <c r="H40">
        <v>37.75</v>
      </c>
      <c r="I40">
        <v>47.2</v>
      </c>
      <c r="J40">
        <v>56.44</v>
      </c>
      <c r="K40">
        <v>64.010000000000005</v>
      </c>
      <c r="L40">
        <v>74.430000000000007</v>
      </c>
      <c r="M40">
        <v>79.5</v>
      </c>
      <c r="N40">
        <v>89.3</v>
      </c>
      <c r="O40">
        <v>97.65</v>
      </c>
      <c r="P40">
        <v>104.9</v>
      </c>
      <c r="Q40">
        <v>114.69</v>
      </c>
      <c r="R40">
        <v>119.98</v>
      </c>
      <c r="S40">
        <v>127.63</v>
      </c>
      <c r="T40">
        <v>134.21</v>
      </c>
      <c r="U40">
        <v>140.87</v>
      </c>
      <c r="V40">
        <v>149.01</v>
      </c>
      <c r="W40">
        <v>154.82</v>
      </c>
      <c r="X40">
        <v>164.62</v>
      </c>
      <c r="Y40">
        <v>167.51</v>
      </c>
      <c r="Z40">
        <v>179.84</v>
      </c>
      <c r="AA40">
        <v>168.6</v>
      </c>
      <c r="AB40">
        <v>186.54</v>
      </c>
      <c r="AC40">
        <v>186.66</v>
      </c>
      <c r="AD40">
        <v>221.85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F41-35A0-4407-94CF-05A47C18184E}">
  <dimension ref="B3:BE46"/>
  <sheetViews>
    <sheetView zoomScale="40" zoomScaleNormal="40" workbookViewId="0">
      <selection activeCell="A22" sqref="A22"/>
    </sheetView>
  </sheetViews>
  <sheetFormatPr baseColWidth="10" defaultColWidth="10.83203125" defaultRowHeight="26" x14ac:dyDescent="0.3"/>
  <cols>
    <col min="2" max="2" width="13.5" hidden="1" customWidth="1"/>
    <col min="3" max="3" width="18.5" hidden="1" customWidth="1"/>
    <col min="4" max="4" width="11.33203125" hidden="1" customWidth="1"/>
    <col min="5" max="5" width="31.1640625" hidden="1" customWidth="1"/>
    <col min="6" max="6" width="26.6640625" hidden="1" customWidth="1"/>
    <col min="7" max="8" width="13" hidden="1" customWidth="1"/>
    <col min="9" max="9" width="19.83203125" customWidth="1"/>
    <col min="10" max="10" width="18.33203125" hidden="1" customWidth="1"/>
    <col min="11" max="11" width="11" bestFit="1" customWidth="1"/>
    <col min="12" max="12" width="25.1640625" style="64" hidden="1" customWidth="1"/>
    <col min="13" max="13" width="24.6640625" style="65" hidden="1" customWidth="1"/>
    <col min="14" max="14" width="11" bestFit="1" customWidth="1"/>
    <col min="16" max="16" width="20.5" customWidth="1"/>
    <col min="17" max="17" width="10.83203125" hidden="1" customWidth="1"/>
    <col min="18" max="18" width="11" bestFit="1" customWidth="1"/>
    <col min="19" max="19" width="34.1640625" style="64" hidden="1" customWidth="1"/>
    <col min="20" max="20" width="26.83203125" hidden="1" customWidth="1"/>
    <col min="21" max="21" width="13" bestFit="1" customWidth="1"/>
    <col min="22" max="22" width="12.83203125" customWidth="1"/>
    <col min="24" max="24" width="0" hidden="1" customWidth="1"/>
    <col min="25" max="25" width="25.83203125" hidden="1" customWidth="1"/>
    <col min="26" max="26" width="23.5" hidden="1" customWidth="1"/>
    <col min="27" max="27" width="20.5" hidden="1" customWidth="1"/>
    <col min="28" max="28" width="22.5" hidden="1" customWidth="1"/>
    <col min="29" max="29" width="22.1640625" hidden="1" customWidth="1"/>
    <col min="30" max="30" width="20" hidden="1" customWidth="1"/>
    <col min="31" max="31" width="16.1640625" hidden="1" customWidth="1"/>
    <col min="32" max="32" width="19.1640625" hidden="1" customWidth="1"/>
    <col min="33" max="33" width="14.1640625" hidden="1" customWidth="1"/>
    <col min="35" max="35" width="27.1640625" customWidth="1"/>
    <col min="36" max="36" width="24.6640625" customWidth="1"/>
    <col min="37" max="37" width="17.6640625" customWidth="1"/>
    <col min="38" max="38" width="15.5" hidden="1" customWidth="1"/>
    <col min="39" max="39" width="17.1640625" customWidth="1"/>
    <col min="40" max="41" width="21.83203125" customWidth="1"/>
    <col min="42" max="42" width="17.33203125" hidden="1" customWidth="1"/>
    <col min="43" max="43" width="19" hidden="1" customWidth="1"/>
    <col min="44" max="44" width="17.1640625" hidden="1" customWidth="1"/>
    <col min="45" max="45" width="16.33203125" hidden="1" customWidth="1"/>
    <col min="46" max="46" width="12.6640625" customWidth="1"/>
    <col min="47" max="47" width="27.1640625" customWidth="1"/>
    <col min="48" max="48" width="23.33203125" customWidth="1"/>
    <col min="49" max="49" width="22.1640625" customWidth="1"/>
    <col min="50" max="50" width="30.5" hidden="1" customWidth="1"/>
    <col min="51" max="51" width="17" customWidth="1"/>
    <col min="52" max="52" width="19.33203125" customWidth="1"/>
    <col min="53" max="53" width="21.83203125" customWidth="1"/>
    <col min="54" max="54" width="17.83203125" hidden="1" customWidth="1"/>
    <col min="55" max="55" width="16.6640625" hidden="1" customWidth="1"/>
    <col min="56" max="56" width="17.1640625" hidden="1" customWidth="1"/>
    <col min="57" max="57" width="16.6640625" hidden="1" customWidth="1"/>
  </cols>
  <sheetData>
    <row r="3" spans="2:57" ht="34" x14ac:dyDescent="0.4">
      <c r="B3" s="112"/>
      <c r="C3" s="144" t="s">
        <v>206</v>
      </c>
      <c r="D3" s="144"/>
      <c r="E3" s="144"/>
      <c r="F3" s="144"/>
      <c r="G3" s="144"/>
      <c r="H3" s="114"/>
      <c r="I3" s="145" t="s">
        <v>205</v>
      </c>
      <c r="J3" s="146"/>
      <c r="K3" s="146"/>
      <c r="L3" s="146"/>
      <c r="M3" s="146"/>
      <c r="N3" s="147"/>
      <c r="O3" s="114"/>
      <c r="P3" s="145" t="s">
        <v>207</v>
      </c>
      <c r="Q3" s="146"/>
      <c r="R3" s="146"/>
      <c r="S3" s="146"/>
      <c r="T3" s="146"/>
      <c r="U3" s="147"/>
      <c r="V3" s="113"/>
      <c r="Y3" s="148" t="s">
        <v>206</v>
      </c>
      <c r="Z3" s="149"/>
      <c r="AA3" s="149"/>
      <c r="AB3" s="149"/>
      <c r="AC3" s="149"/>
      <c r="AD3" s="149"/>
      <c r="AE3" s="149"/>
      <c r="AF3" s="149"/>
      <c r="AH3" s="137"/>
      <c r="AI3" s="142" t="s">
        <v>205</v>
      </c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37"/>
      <c r="AU3" s="142" t="s">
        <v>216</v>
      </c>
      <c r="AV3" s="143"/>
      <c r="AW3" s="143"/>
      <c r="AX3" s="143"/>
      <c r="AY3" s="143"/>
      <c r="AZ3" s="143"/>
      <c r="BA3" s="143"/>
      <c r="BB3" s="143"/>
      <c r="BC3" s="143"/>
      <c r="BD3" s="143"/>
      <c r="BE3" s="143"/>
    </row>
    <row r="4" spans="2:57" ht="140" x14ac:dyDescent="0.4">
      <c r="B4" s="104" t="s">
        <v>200</v>
      </c>
      <c r="C4" s="105" t="s">
        <v>203</v>
      </c>
      <c r="D4" s="105" t="s">
        <v>202</v>
      </c>
      <c r="E4" s="106" t="s">
        <v>163</v>
      </c>
      <c r="F4" s="106" t="s">
        <v>162</v>
      </c>
      <c r="G4" s="105" t="s">
        <v>204</v>
      </c>
      <c r="H4" s="96"/>
      <c r="I4" s="105" t="s">
        <v>203</v>
      </c>
      <c r="J4" s="105" t="s">
        <v>202</v>
      </c>
      <c r="K4" s="105" t="s">
        <v>202</v>
      </c>
      <c r="L4" s="106" t="s">
        <v>162</v>
      </c>
      <c r="M4" s="105" t="s">
        <v>204</v>
      </c>
      <c r="N4" s="105" t="s">
        <v>208</v>
      </c>
      <c r="O4" s="97"/>
      <c r="P4" s="105" t="s">
        <v>203</v>
      </c>
      <c r="Q4" s="105" t="s">
        <v>202</v>
      </c>
      <c r="R4" s="105" t="s">
        <v>202</v>
      </c>
      <c r="S4" s="106" t="s">
        <v>162</v>
      </c>
      <c r="T4" s="105" t="s">
        <v>204</v>
      </c>
      <c r="U4" s="105" t="s">
        <v>208</v>
      </c>
      <c r="V4" s="96"/>
      <c r="X4" s="107" t="s">
        <v>200</v>
      </c>
      <c r="Y4" s="120" t="s">
        <v>209</v>
      </c>
      <c r="Z4" s="120" t="s">
        <v>210</v>
      </c>
      <c r="AA4" s="120" t="s">
        <v>161</v>
      </c>
      <c r="AB4" s="120" t="s">
        <v>215</v>
      </c>
      <c r="AC4" s="121" t="s">
        <v>211</v>
      </c>
      <c r="AD4" s="121" t="s">
        <v>212</v>
      </c>
      <c r="AE4" s="121" t="s">
        <v>213</v>
      </c>
      <c r="AF4" s="121" t="s">
        <v>214</v>
      </c>
      <c r="AG4" s="121"/>
      <c r="AH4" s="138" t="s">
        <v>200</v>
      </c>
      <c r="AI4" s="139" t="s">
        <v>209</v>
      </c>
      <c r="AJ4" s="139" t="s">
        <v>210</v>
      </c>
      <c r="AK4" s="140" t="s">
        <v>203</v>
      </c>
      <c r="AL4" s="140" t="s">
        <v>202</v>
      </c>
      <c r="AM4" s="140" t="s">
        <v>208</v>
      </c>
      <c r="AN4" s="139" t="s">
        <v>161</v>
      </c>
      <c r="AO4" s="139" t="s">
        <v>215</v>
      </c>
      <c r="AP4" s="141" t="s">
        <v>211</v>
      </c>
      <c r="AQ4" s="141" t="s">
        <v>212</v>
      </c>
      <c r="AR4" s="141" t="s">
        <v>213</v>
      </c>
      <c r="AS4" s="141" t="s">
        <v>214</v>
      </c>
      <c r="AT4" s="141"/>
      <c r="AU4" s="139" t="s">
        <v>209</v>
      </c>
      <c r="AV4" s="139" t="s">
        <v>210</v>
      </c>
      <c r="AW4" s="140" t="s">
        <v>203</v>
      </c>
      <c r="AX4" s="140" t="s">
        <v>202</v>
      </c>
      <c r="AY4" s="140" t="s">
        <v>208</v>
      </c>
      <c r="AZ4" s="139" t="s">
        <v>161</v>
      </c>
      <c r="BA4" s="139" t="s">
        <v>215</v>
      </c>
      <c r="BB4" s="141" t="s">
        <v>211</v>
      </c>
      <c r="BC4" s="141" t="s">
        <v>212</v>
      </c>
      <c r="BD4" s="141" t="s">
        <v>213</v>
      </c>
      <c r="BE4" s="141" t="s">
        <v>214</v>
      </c>
    </row>
    <row r="5" spans="2:57" ht="29" x14ac:dyDescent="0.35">
      <c r="B5" s="108">
        <v>1</v>
      </c>
      <c r="C5" s="98">
        <v>5.38</v>
      </c>
      <c r="D5" s="98">
        <v>4.43</v>
      </c>
      <c r="E5" s="100">
        <v>10495320000</v>
      </c>
      <c r="F5" s="100">
        <v>16876070000</v>
      </c>
      <c r="G5" s="98">
        <f t="shared" ref="G5" si="0">E5*100/F5</f>
        <v>62.190545547630464</v>
      </c>
      <c r="H5" s="99"/>
      <c r="I5" s="98">
        <v>7.63</v>
      </c>
      <c r="J5" s="98">
        <v>6</v>
      </c>
      <c r="K5" s="98">
        <v>3.22</v>
      </c>
      <c r="L5" s="98">
        <v>21597630000</v>
      </c>
      <c r="M5" s="98">
        <v>26703910000</v>
      </c>
      <c r="N5" s="98">
        <f t="shared" ref="N5:N11" si="1">L5*100/M5</f>
        <v>80.878156045313219</v>
      </c>
      <c r="O5" s="99"/>
      <c r="P5" s="98">
        <v>65.58</v>
      </c>
      <c r="Q5" s="98">
        <v>3.97</v>
      </c>
      <c r="R5" s="98">
        <v>3.54</v>
      </c>
      <c r="S5" s="98">
        <v>8337349000</v>
      </c>
      <c r="T5" s="98">
        <v>16824260000</v>
      </c>
      <c r="U5" s="98">
        <f t="shared" ref="U5" si="2">S5*100/T5</f>
        <v>49.555516854827495</v>
      </c>
      <c r="V5" s="99"/>
      <c r="X5" s="110">
        <v>1</v>
      </c>
      <c r="Y5" s="71">
        <v>10495320000</v>
      </c>
      <c r="Z5" s="75" t="s">
        <v>160</v>
      </c>
      <c r="AA5" s="75"/>
      <c r="AB5" s="75"/>
      <c r="AC5" s="72">
        <v>2355.0697</v>
      </c>
      <c r="AD5" s="68" t="s">
        <v>160</v>
      </c>
      <c r="AE5" s="72">
        <v>1805.5052000000001</v>
      </c>
      <c r="AF5" s="68" t="s">
        <v>160</v>
      </c>
      <c r="AG5" s="101"/>
      <c r="AH5" s="122">
        <v>1</v>
      </c>
      <c r="AI5" s="123">
        <v>21597630000</v>
      </c>
      <c r="AJ5" s="124" t="s">
        <v>160</v>
      </c>
      <c r="AK5" s="125">
        <v>7.63</v>
      </c>
      <c r="AL5" s="125">
        <v>3.22</v>
      </c>
      <c r="AM5" s="125">
        <v>80.878156045313219</v>
      </c>
      <c r="AN5" s="124"/>
      <c r="AO5" s="124"/>
      <c r="AP5" s="126">
        <v>4750.4254000000001</v>
      </c>
      <c r="AQ5" s="127" t="s">
        <v>160</v>
      </c>
      <c r="AR5" s="126">
        <v>3109.165</v>
      </c>
      <c r="AS5" s="127" t="s">
        <v>160</v>
      </c>
      <c r="AT5" s="128"/>
      <c r="AU5" s="129">
        <v>8337349000</v>
      </c>
      <c r="AV5" s="124" t="s">
        <v>160</v>
      </c>
      <c r="AW5" s="125">
        <v>65.58</v>
      </c>
      <c r="AX5" s="125">
        <v>3.54</v>
      </c>
      <c r="AY5" s="125">
        <v>49.555516854827495</v>
      </c>
      <c r="AZ5" s="124"/>
      <c r="BA5" s="124"/>
      <c r="BB5" s="126">
        <v>6765.8423000000003</v>
      </c>
      <c r="BC5" s="127" t="s">
        <v>160</v>
      </c>
      <c r="BD5" s="126">
        <v>8589.1015000000007</v>
      </c>
      <c r="BE5" s="127" t="s">
        <v>160</v>
      </c>
    </row>
    <row r="6" spans="2:57" ht="29" x14ac:dyDescent="0.35">
      <c r="B6" s="109">
        <v>8</v>
      </c>
      <c r="C6" s="98">
        <v>5.34</v>
      </c>
      <c r="D6" s="98">
        <v>0.72</v>
      </c>
      <c r="E6" s="100">
        <v>10495326000</v>
      </c>
      <c r="F6" s="100">
        <v>17365590000</v>
      </c>
      <c r="G6" s="98">
        <f t="shared" ref="G6:G11" si="3">E6*100/F6</f>
        <v>60.437485855649015</v>
      </c>
      <c r="H6" s="99"/>
      <c r="I6" s="100">
        <v>7.52</v>
      </c>
      <c r="J6" s="98">
        <v>11.76</v>
      </c>
      <c r="K6" s="98">
        <v>0.74</v>
      </c>
      <c r="L6" s="100">
        <v>21597632000</v>
      </c>
      <c r="M6" s="100">
        <v>26874616000</v>
      </c>
      <c r="N6" s="98">
        <f t="shared" si="1"/>
        <v>80.364430137345963</v>
      </c>
      <c r="O6" s="99"/>
      <c r="P6" s="98">
        <v>9.49</v>
      </c>
      <c r="Q6" s="98">
        <v>5.7</v>
      </c>
      <c r="R6" s="98">
        <v>0.66</v>
      </c>
      <c r="S6" s="98">
        <v>8337349000</v>
      </c>
      <c r="T6" s="100">
        <v>17082840000</v>
      </c>
      <c r="U6" s="98">
        <f t="shared" ref="U6:U11" si="4">S6*100/T6</f>
        <v>48.805403551165966</v>
      </c>
      <c r="V6" s="99"/>
      <c r="X6" s="111">
        <v>8</v>
      </c>
      <c r="Y6" s="71">
        <v>1302588000</v>
      </c>
      <c r="Z6" s="71">
        <v>1315386000</v>
      </c>
      <c r="AA6" s="119">
        <f>Z6-Y6</f>
        <v>12798000</v>
      </c>
      <c r="AB6" s="115">
        <f t="shared" ref="AB6:AB15" si="5">(Z6-Y6)*100/Y6</f>
        <v>0.98250559655086644</v>
      </c>
      <c r="AC6" s="72">
        <v>2142.7170999999998</v>
      </c>
      <c r="AD6" s="72">
        <v>2659.9641000000001</v>
      </c>
      <c r="AE6" s="72">
        <v>1661.7043000000001</v>
      </c>
      <c r="AF6" s="72">
        <v>2341.9634000000001</v>
      </c>
      <c r="AG6" s="102"/>
      <c r="AH6" s="130">
        <v>8</v>
      </c>
      <c r="AI6" s="123">
        <v>2680383000</v>
      </c>
      <c r="AJ6" s="129">
        <v>2707205000</v>
      </c>
      <c r="AK6" s="131">
        <v>7.52</v>
      </c>
      <c r="AL6" s="125">
        <v>0.74</v>
      </c>
      <c r="AM6" s="125">
        <v>80.364430137345963</v>
      </c>
      <c r="AN6" s="132">
        <f t="shared" ref="AN6:AN11" si="6">AJ6-AI6</f>
        <v>26822000</v>
      </c>
      <c r="AO6" s="133">
        <f t="shared" ref="AO6:AO11" si="7">(AJ6-AI6)*100/AI6</f>
        <v>1.0006778881973211</v>
      </c>
      <c r="AP6" s="126">
        <v>3144.2341999999999</v>
      </c>
      <c r="AQ6" s="126">
        <v>3624.6871000000001</v>
      </c>
      <c r="AR6" s="126">
        <v>2053.6071999999999</v>
      </c>
      <c r="AS6" s="126">
        <v>2708.5417000000002</v>
      </c>
      <c r="AT6" s="134"/>
      <c r="AU6" s="129">
        <v>1041284000</v>
      </c>
      <c r="AV6" s="129">
        <v>1043019000</v>
      </c>
      <c r="AW6" s="125">
        <v>9.49</v>
      </c>
      <c r="AX6" s="125">
        <v>0.66</v>
      </c>
      <c r="AY6" s="125">
        <v>48.805403551165966</v>
      </c>
      <c r="AZ6" s="132">
        <f t="shared" ref="AZ6:AZ11" si="8">AV6-AU6</f>
        <v>1735000</v>
      </c>
      <c r="BA6" s="133">
        <f t="shared" ref="BA6:BA11" si="9">(AV6-AU6)*100/AU6</f>
        <v>0.16662120996769372</v>
      </c>
      <c r="BB6" s="126">
        <v>5182.2401</v>
      </c>
      <c r="BC6" s="126">
        <v>6878.4351999999999</v>
      </c>
      <c r="BD6" s="126">
        <v>6839.7938999999997</v>
      </c>
      <c r="BE6" s="126">
        <v>7471.7808999999997</v>
      </c>
    </row>
    <row r="7" spans="2:57" ht="29" x14ac:dyDescent="0.35">
      <c r="B7" s="109">
        <v>16</v>
      </c>
      <c r="C7" s="98">
        <v>3.11</v>
      </c>
      <c r="D7" s="98">
        <v>0.66</v>
      </c>
      <c r="E7" s="100">
        <v>10495324900</v>
      </c>
      <c r="F7" s="100">
        <v>17267185000</v>
      </c>
      <c r="G7" s="98">
        <f t="shared" si="3"/>
        <v>60.781910311379647</v>
      </c>
      <c r="H7" s="99"/>
      <c r="I7" s="100">
        <v>7.28</v>
      </c>
      <c r="J7" s="98">
        <v>12.14</v>
      </c>
      <c r="K7" s="98">
        <v>0.66</v>
      </c>
      <c r="L7" s="100">
        <v>21597632000</v>
      </c>
      <c r="M7" s="100">
        <v>27162543000</v>
      </c>
      <c r="N7" s="98">
        <f t="shared" si="1"/>
        <v>79.512555212521889</v>
      </c>
      <c r="O7" s="99"/>
      <c r="P7" s="98">
        <v>5.48</v>
      </c>
      <c r="Q7" s="98">
        <v>6.03</v>
      </c>
      <c r="R7" s="98">
        <v>0.37</v>
      </c>
      <c r="S7" s="98">
        <v>8337348800</v>
      </c>
      <c r="T7" s="100">
        <v>17226335000</v>
      </c>
      <c r="U7" s="98">
        <f t="shared" si="4"/>
        <v>48.398854428408598</v>
      </c>
      <c r="V7" s="99"/>
      <c r="X7" s="111">
        <v>16</v>
      </c>
      <c r="Y7" s="71">
        <v>646370800</v>
      </c>
      <c r="Z7" s="71">
        <v>661123900</v>
      </c>
      <c r="AA7" s="119">
        <f t="shared" ref="AA7:AA15" si="10">Z7-Y7</f>
        <v>14753100</v>
      </c>
      <c r="AB7" s="115">
        <f t="shared" si="5"/>
        <v>2.2824514968807379</v>
      </c>
      <c r="AC7" s="72">
        <v>1383.7822000000001</v>
      </c>
      <c r="AD7" s="72">
        <v>1896.0337999999999</v>
      </c>
      <c r="AE7" s="72">
        <v>620.57820000000004</v>
      </c>
      <c r="AF7" s="72">
        <v>1282.1505999999999</v>
      </c>
      <c r="AG7" s="102"/>
      <c r="AH7" s="130">
        <v>16</v>
      </c>
      <c r="AI7" s="129">
        <v>1330044000</v>
      </c>
      <c r="AJ7" s="129">
        <v>1360373000</v>
      </c>
      <c r="AK7" s="131">
        <v>7.28</v>
      </c>
      <c r="AL7" s="125">
        <v>0.66</v>
      </c>
      <c r="AM7" s="125">
        <v>79.512555212521889</v>
      </c>
      <c r="AN7" s="132">
        <f t="shared" si="6"/>
        <v>30329000</v>
      </c>
      <c r="AO7" s="133">
        <f t="shared" si="7"/>
        <v>2.2803005013367978</v>
      </c>
      <c r="AP7" s="126">
        <v>1970.4514999999999</v>
      </c>
      <c r="AQ7" s="126">
        <v>2295.8110000000001</v>
      </c>
      <c r="AR7" s="126">
        <v>811.8836</v>
      </c>
      <c r="AS7" s="126">
        <v>1754.8806999999999</v>
      </c>
      <c r="AT7" s="134"/>
      <c r="AU7" s="129">
        <v>520410700</v>
      </c>
      <c r="AV7" s="129">
        <v>521914800</v>
      </c>
      <c r="AW7" s="125">
        <v>5.48</v>
      </c>
      <c r="AX7" s="125">
        <v>0.37</v>
      </c>
      <c r="AY7" s="125">
        <v>48.398854428408598</v>
      </c>
      <c r="AZ7" s="132">
        <f t="shared" si="8"/>
        <v>1504100</v>
      </c>
      <c r="BA7" s="133">
        <f t="shared" si="9"/>
        <v>0.28902172841565327</v>
      </c>
      <c r="BB7" s="126">
        <v>5199.5036</v>
      </c>
      <c r="BC7" s="126">
        <v>6889.9065000000001</v>
      </c>
      <c r="BD7" s="126">
        <v>6329.4467999999997</v>
      </c>
      <c r="BE7" s="126">
        <v>7229.1638999999996</v>
      </c>
    </row>
    <row r="8" spans="2:57" ht="29" x14ac:dyDescent="0.35">
      <c r="B8" s="109">
        <v>32</v>
      </c>
      <c r="C8" s="98">
        <v>2.89</v>
      </c>
      <c r="D8" s="98">
        <v>0.64</v>
      </c>
      <c r="E8" s="100">
        <v>10495325000</v>
      </c>
      <c r="F8" s="100">
        <v>18441500200</v>
      </c>
      <c r="G8" s="98">
        <f t="shared" si="3"/>
        <v>56.911449102172284</v>
      </c>
      <c r="H8" s="99"/>
      <c r="I8" s="100">
        <v>6.51</v>
      </c>
      <c r="J8" s="100">
        <v>12.1</v>
      </c>
      <c r="K8" s="98">
        <v>0.64</v>
      </c>
      <c r="L8" s="100">
        <v>21597632000</v>
      </c>
      <c r="M8" s="100">
        <v>27878905200</v>
      </c>
      <c r="N8" s="98">
        <f t="shared" si="1"/>
        <v>77.469440944904818</v>
      </c>
      <c r="O8" s="99"/>
      <c r="P8" s="98">
        <v>3.48</v>
      </c>
      <c r="Q8" s="98">
        <v>6.16</v>
      </c>
      <c r="R8" s="98">
        <v>0.27</v>
      </c>
      <c r="S8" s="98">
        <v>8337348700</v>
      </c>
      <c r="T8" s="100">
        <v>17720272300</v>
      </c>
      <c r="U8" s="98">
        <f t="shared" si="4"/>
        <v>47.049777559005115</v>
      </c>
      <c r="V8" s="99"/>
      <c r="X8" s="111">
        <v>24</v>
      </c>
      <c r="Y8" s="71">
        <v>430787500</v>
      </c>
      <c r="Z8" s="71">
        <v>442432800</v>
      </c>
      <c r="AA8" s="119">
        <f t="shared" si="10"/>
        <v>11645300</v>
      </c>
      <c r="AB8" s="115">
        <f t="shared" si="5"/>
        <v>2.7032585671589819</v>
      </c>
      <c r="AC8" s="72">
        <v>956.41759999999999</v>
      </c>
      <c r="AD8" s="72">
        <v>1228.4864</v>
      </c>
      <c r="AE8" s="72">
        <v>766.6952</v>
      </c>
      <c r="AF8" s="72">
        <v>1128.1164000000001</v>
      </c>
      <c r="AG8" s="102"/>
      <c r="AH8" s="130">
        <v>32</v>
      </c>
      <c r="AI8" s="129">
        <v>661258900</v>
      </c>
      <c r="AJ8" s="129">
        <v>693454000</v>
      </c>
      <c r="AK8" s="131">
        <v>6.51</v>
      </c>
      <c r="AL8" s="125">
        <v>0.64</v>
      </c>
      <c r="AM8" s="125">
        <v>77.469440944904818</v>
      </c>
      <c r="AN8" s="132">
        <f t="shared" si="6"/>
        <v>32195100</v>
      </c>
      <c r="AO8" s="133">
        <f t="shared" si="7"/>
        <v>4.8687586662349647</v>
      </c>
      <c r="AP8" s="126">
        <v>1028.7589</v>
      </c>
      <c r="AQ8" s="126">
        <v>1129.8978999999999</v>
      </c>
      <c r="AR8" s="126">
        <v>418.61860000000001</v>
      </c>
      <c r="AS8" s="126">
        <v>796.06899999999996</v>
      </c>
      <c r="AT8" s="134"/>
      <c r="AU8" s="129">
        <v>259951800</v>
      </c>
      <c r="AV8" s="129">
        <v>261001400</v>
      </c>
      <c r="AW8" s="125">
        <v>3.48</v>
      </c>
      <c r="AX8" s="125">
        <v>0.27</v>
      </c>
      <c r="AY8" s="125">
        <v>47.049777559005115</v>
      </c>
      <c r="AZ8" s="132">
        <f t="shared" si="8"/>
        <v>1049600</v>
      </c>
      <c r="BA8" s="133">
        <f t="shared" si="9"/>
        <v>0.40376715991195289</v>
      </c>
      <c r="BB8" s="126">
        <v>4852.4481999999998</v>
      </c>
      <c r="BC8" s="126">
        <v>6415.8065999999999</v>
      </c>
      <c r="BD8" s="126">
        <v>5515.4892</v>
      </c>
      <c r="BE8" s="126">
        <v>6917.1624000000002</v>
      </c>
    </row>
    <row r="9" spans="2:57" ht="29" x14ac:dyDescent="0.35">
      <c r="B9" s="109">
        <v>80</v>
      </c>
      <c r="C9" s="98">
        <v>1.1100000000000001</v>
      </c>
      <c r="D9" s="98">
        <v>0.91</v>
      </c>
      <c r="E9" s="100">
        <v>10495324500</v>
      </c>
      <c r="F9" s="100">
        <v>40658093700</v>
      </c>
      <c r="G9" s="98">
        <f t="shared" si="3"/>
        <v>25.813616785481511</v>
      </c>
      <c r="H9" s="99"/>
      <c r="I9" s="100">
        <v>6.07</v>
      </c>
      <c r="J9" s="98">
        <v>4.58</v>
      </c>
      <c r="K9" s="98">
        <v>2.41</v>
      </c>
      <c r="L9" s="100">
        <v>21597631800</v>
      </c>
      <c r="M9" s="100">
        <v>45812141100</v>
      </c>
      <c r="N9" s="98">
        <f t="shared" si="1"/>
        <v>47.143903955189728</v>
      </c>
      <c r="O9" s="99"/>
      <c r="P9" s="98">
        <v>2.7</v>
      </c>
      <c r="Q9" s="98">
        <v>5.79</v>
      </c>
      <c r="R9" s="98">
        <v>0.43</v>
      </c>
      <c r="S9" s="100">
        <v>8337348900</v>
      </c>
      <c r="T9" s="100">
        <v>23254070700</v>
      </c>
      <c r="U9" s="98">
        <f t="shared" si="4"/>
        <v>35.853287828870322</v>
      </c>
      <c r="V9" s="99"/>
      <c r="X9" s="111">
        <v>32</v>
      </c>
      <c r="Y9" s="71">
        <v>321410200</v>
      </c>
      <c r="Z9" s="71">
        <v>336936200</v>
      </c>
      <c r="AA9" s="119">
        <f t="shared" si="10"/>
        <v>15526000</v>
      </c>
      <c r="AB9" s="115">
        <f t="shared" si="5"/>
        <v>4.8305872060065296</v>
      </c>
      <c r="AC9" s="72">
        <v>621.67240000000004</v>
      </c>
      <c r="AD9" s="72">
        <v>917.19119999999998</v>
      </c>
      <c r="AE9" s="72">
        <v>255.2739</v>
      </c>
      <c r="AF9" s="72">
        <v>564.51850000000002</v>
      </c>
      <c r="AG9" s="102"/>
      <c r="AH9" s="130">
        <v>80</v>
      </c>
      <c r="AI9" s="129">
        <v>261616700</v>
      </c>
      <c r="AJ9" s="129">
        <v>278122600</v>
      </c>
      <c r="AK9" s="131">
        <v>6.07</v>
      </c>
      <c r="AL9" s="125">
        <v>2.41</v>
      </c>
      <c r="AM9" s="125">
        <v>47.143903955189728</v>
      </c>
      <c r="AN9" s="132">
        <f t="shared" si="6"/>
        <v>16505900</v>
      </c>
      <c r="AO9" s="133">
        <f t="shared" si="7"/>
        <v>6.3091920355237265</v>
      </c>
      <c r="AP9" s="126">
        <v>244.68</v>
      </c>
      <c r="AQ9" s="126">
        <v>335.86880000000002</v>
      </c>
      <c r="AR9" s="126">
        <v>121.8</v>
      </c>
      <c r="AS9" s="126">
        <v>260.23390000000001</v>
      </c>
      <c r="AT9" s="134"/>
      <c r="AU9" s="129">
        <v>105142000</v>
      </c>
      <c r="AV9" s="129">
        <v>105980600</v>
      </c>
      <c r="AW9" s="125">
        <v>2.7</v>
      </c>
      <c r="AX9" s="125">
        <v>0.43</v>
      </c>
      <c r="AY9" s="125">
        <v>35.853287828870322</v>
      </c>
      <c r="AZ9" s="132">
        <f t="shared" si="8"/>
        <v>838600</v>
      </c>
      <c r="BA9" s="133">
        <f t="shared" si="9"/>
        <v>0.7975880238154115</v>
      </c>
      <c r="BB9" s="126">
        <v>4321.7615999999998</v>
      </c>
      <c r="BC9" s="126">
        <v>5740.6875</v>
      </c>
      <c r="BD9" s="126">
        <v>3381.0735</v>
      </c>
      <c r="BE9" s="126">
        <v>5941.8561</v>
      </c>
    </row>
    <row r="10" spans="2:57" ht="29" x14ac:dyDescent="0.35">
      <c r="B10" s="109">
        <v>100</v>
      </c>
      <c r="C10" s="98">
        <v>1.07</v>
      </c>
      <c r="D10" s="98">
        <v>1.1299999999999999</v>
      </c>
      <c r="E10" s="100">
        <v>10495324500</v>
      </c>
      <c r="F10" s="100">
        <v>36983188100</v>
      </c>
      <c r="G10" s="98">
        <f t="shared" si="3"/>
        <v>28.378636454005434</v>
      </c>
      <c r="H10" s="99"/>
      <c r="I10" s="98">
        <v>5.6</v>
      </c>
      <c r="J10" s="98">
        <v>4.0999999999999996</v>
      </c>
      <c r="K10" s="98">
        <v>3</v>
      </c>
      <c r="L10" s="100">
        <v>21597632300</v>
      </c>
      <c r="M10" s="100">
        <v>56949972100</v>
      </c>
      <c r="N10" s="98">
        <f t="shared" si="1"/>
        <v>37.923868096153114</v>
      </c>
      <c r="O10" s="99"/>
      <c r="P10" s="98">
        <v>2.5</v>
      </c>
      <c r="Q10" s="98">
        <v>5.6</v>
      </c>
      <c r="R10" s="98">
        <v>0.53</v>
      </c>
      <c r="S10" s="100">
        <v>8337348600</v>
      </c>
      <c r="T10" s="100">
        <v>25062029200</v>
      </c>
      <c r="U10" s="98">
        <f t="shared" si="4"/>
        <v>33.266853747022211</v>
      </c>
      <c r="V10" s="99"/>
      <c r="X10" s="111">
        <v>48</v>
      </c>
      <c r="Y10" s="71">
        <v>212803300</v>
      </c>
      <c r="Z10" s="71">
        <v>224781200</v>
      </c>
      <c r="AA10" s="119">
        <f t="shared" si="10"/>
        <v>11977900</v>
      </c>
      <c r="AB10" s="115">
        <f t="shared" si="5"/>
        <v>5.6286251200051876</v>
      </c>
      <c r="AC10" s="72">
        <v>402.99919999999997</v>
      </c>
      <c r="AD10" s="72">
        <v>589.57470000000001</v>
      </c>
      <c r="AE10" s="72">
        <v>171.98869999999999</v>
      </c>
      <c r="AF10" s="72">
        <v>433.56760000000003</v>
      </c>
      <c r="AG10" s="102"/>
      <c r="AH10" s="130">
        <v>100</v>
      </c>
      <c r="AI10" s="129">
        <v>211360000</v>
      </c>
      <c r="AJ10" s="129">
        <v>224906600</v>
      </c>
      <c r="AK10" s="125">
        <v>5.6</v>
      </c>
      <c r="AL10" s="125">
        <v>3</v>
      </c>
      <c r="AM10" s="125">
        <v>37.923868096153114</v>
      </c>
      <c r="AN10" s="132">
        <f t="shared" si="6"/>
        <v>13546600</v>
      </c>
      <c r="AO10" s="133">
        <f t="shared" si="7"/>
        <v>6.4092543527630585</v>
      </c>
      <c r="AP10" s="126">
        <v>198.83680000000001</v>
      </c>
      <c r="AQ10" s="126">
        <v>269.12310000000002</v>
      </c>
      <c r="AR10" s="135">
        <v>106.52379999999999</v>
      </c>
      <c r="AS10" s="135">
        <v>207.25559999999999</v>
      </c>
      <c r="AT10" s="136"/>
      <c r="AU10" s="129">
        <v>83832830</v>
      </c>
      <c r="AV10" s="129">
        <v>84687930</v>
      </c>
      <c r="AW10" s="125">
        <v>2.5</v>
      </c>
      <c r="AX10" s="125">
        <v>0.53</v>
      </c>
      <c r="AY10" s="125">
        <v>33.266853747022211</v>
      </c>
      <c r="AZ10" s="132">
        <f t="shared" si="8"/>
        <v>855100</v>
      </c>
      <c r="BA10" s="133">
        <f t="shared" si="9"/>
        <v>1.020006124092435</v>
      </c>
      <c r="BB10" s="126">
        <v>3648.1615999999999</v>
      </c>
      <c r="BC10" s="126">
        <v>5419.3674000000001</v>
      </c>
      <c r="BD10" s="126">
        <v>1192.3303000000001</v>
      </c>
      <c r="BE10" s="126">
        <v>5129.0147999999999</v>
      </c>
    </row>
    <row r="11" spans="2:57" ht="29" x14ac:dyDescent="0.35">
      <c r="B11" s="109">
        <v>104</v>
      </c>
      <c r="C11" s="98">
        <v>2.34</v>
      </c>
      <c r="D11" s="98">
        <v>1.73</v>
      </c>
      <c r="E11" s="100">
        <v>10495325130</v>
      </c>
      <c r="F11" s="98">
        <v>46025490500</v>
      </c>
      <c r="G11" s="98">
        <f t="shared" si="3"/>
        <v>22.803287951923075</v>
      </c>
      <c r="H11" s="99"/>
      <c r="I11" s="98">
        <v>5.5</v>
      </c>
      <c r="J11" s="98">
        <v>4</v>
      </c>
      <c r="K11" s="98">
        <v>3.1</v>
      </c>
      <c r="L11" s="100">
        <v>21597631900</v>
      </c>
      <c r="M11" s="100">
        <v>43921065200</v>
      </c>
      <c r="N11" s="98">
        <f t="shared" si="1"/>
        <v>49.173743400012071</v>
      </c>
      <c r="O11" s="99"/>
      <c r="P11" s="98">
        <v>2.62</v>
      </c>
      <c r="Q11" s="98">
        <v>5.53</v>
      </c>
      <c r="R11" s="98">
        <v>0.56999999999999995</v>
      </c>
      <c r="S11" s="100">
        <v>8337348570</v>
      </c>
      <c r="T11" s="100">
        <v>26203356700</v>
      </c>
      <c r="U11" s="98">
        <f t="shared" si="4"/>
        <v>31.817864655485149</v>
      </c>
      <c r="V11" s="99"/>
      <c r="X11" s="111">
        <v>56</v>
      </c>
      <c r="Y11" s="71">
        <v>182266000</v>
      </c>
      <c r="Z11" s="71">
        <v>193008300</v>
      </c>
      <c r="AA11" s="119">
        <f t="shared" si="10"/>
        <v>10742300</v>
      </c>
      <c r="AB11" s="115">
        <f t="shared" si="5"/>
        <v>5.8937486969593893</v>
      </c>
      <c r="AC11" s="72">
        <v>313.78429999999997</v>
      </c>
      <c r="AD11" s="72">
        <v>469.8082</v>
      </c>
      <c r="AE11" s="72">
        <v>141.95320000000001</v>
      </c>
      <c r="AF11" s="72">
        <v>268.00490000000002</v>
      </c>
      <c r="AG11" s="102"/>
      <c r="AH11" s="130">
        <v>104</v>
      </c>
      <c r="AI11" s="129">
        <v>202985500</v>
      </c>
      <c r="AJ11" s="129">
        <v>216267000</v>
      </c>
      <c r="AK11" s="125">
        <v>5.5</v>
      </c>
      <c r="AL11" s="125">
        <v>3.1</v>
      </c>
      <c r="AM11" s="125">
        <v>49.173743400012071</v>
      </c>
      <c r="AN11" s="132">
        <f t="shared" si="6"/>
        <v>13281500</v>
      </c>
      <c r="AO11" s="133">
        <f t="shared" si="7"/>
        <v>6.5430782001670069</v>
      </c>
      <c r="AP11" s="126">
        <v>162.57239999999999</v>
      </c>
      <c r="AQ11" s="126">
        <v>223.22329999999999</v>
      </c>
      <c r="AR11" s="126">
        <v>85.604699999999994</v>
      </c>
      <c r="AS11" s="126">
        <v>174.99369999999999</v>
      </c>
      <c r="AT11" s="134"/>
      <c r="AU11" s="129">
        <v>80601190</v>
      </c>
      <c r="AV11" s="129">
        <v>81346010</v>
      </c>
      <c r="AW11" s="125">
        <v>2.62</v>
      </c>
      <c r="AX11" s="125">
        <v>0.56999999999999995</v>
      </c>
      <c r="AY11" s="125">
        <v>31.817864655485149</v>
      </c>
      <c r="AZ11" s="132">
        <f t="shared" si="8"/>
        <v>744820</v>
      </c>
      <c r="BA11" s="133">
        <f t="shared" si="9"/>
        <v>0.92408064942961765</v>
      </c>
      <c r="BB11" s="126">
        <v>2865.0909999999999</v>
      </c>
      <c r="BC11" s="126">
        <v>5465.9121999999998</v>
      </c>
      <c r="BD11" s="126">
        <v>1094.5293999999999</v>
      </c>
      <c r="BE11" s="126">
        <v>4876.6693999999998</v>
      </c>
    </row>
    <row r="12" spans="2:57" x14ac:dyDescent="0.3">
      <c r="B12" s="109"/>
      <c r="C12" s="98"/>
      <c r="D12" s="98"/>
      <c r="E12" s="100"/>
      <c r="F12" s="100"/>
      <c r="G12" s="98"/>
      <c r="H12" s="99"/>
      <c r="I12" s="98"/>
      <c r="J12" s="98"/>
      <c r="K12" s="98"/>
      <c r="L12" s="100"/>
      <c r="M12" s="100"/>
      <c r="N12" s="98"/>
      <c r="O12" s="99"/>
      <c r="P12" s="98"/>
      <c r="Q12" s="98"/>
      <c r="R12" s="98"/>
      <c r="S12" s="98"/>
      <c r="T12" s="100"/>
      <c r="U12" s="98"/>
      <c r="V12" s="99"/>
      <c r="X12" s="111">
        <v>80</v>
      </c>
      <c r="Y12" s="71">
        <v>127195300</v>
      </c>
      <c r="Z12" s="71">
        <v>135038100</v>
      </c>
      <c r="AA12" s="119">
        <f t="shared" si="10"/>
        <v>7842800</v>
      </c>
      <c r="AB12" s="115">
        <f t="shared" si="5"/>
        <v>6.1659511003944329</v>
      </c>
      <c r="AC12" s="72">
        <v>234.84469999999999</v>
      </c>
      <c r="AD12" s="72">
        <v>340.7072</v>
      </c>
      <c r="AE12" s="72">
        <v>120.30070000000001</v>
      </c>
      <c r="AF12" s="72">
        <v>263.50209999999998</v>
      </c>
      <c r="AG12" s="102"/>
      <c r="BB12" s="72">
        <v>2114.7860000000001</v>
      </c>
      <c r="BC12" s="72">
        <v>5126.7916999999998</v>
      </c>
      <c r="BD12" s="72">
        <v>597.42870000000005</v>
      </c>
      <c r="BE12" s="72">
        <v>4154.7151000000003</v>
      </c>
    </row>
    <row r="13" spans="2:57" x14ac:dyDescent="0.3">
      <c r="X13" s="111">
        <v>96</v>
      </c>
      <c r="Y13" s="71">
        <v>106055600</v>
      </c>
      <c r="Z13" s="71">
        <v>112614300</v>
      </c>
      <c r="AA13" s="119">
        <f t="shared" si="10"/>
        <v>6558700</v>
      </c>
      <c r="AB13" s="115">
        <f t="shared" si="5"/>
        <v>6.184209037523714</v>
      </c>
      <c r="AC13" s="72">
        <v>187.8699</v>
      </c>
      <c r="AD13" s="72">
        <v>257.26620000000003</v>
      </c>
      <c r="AE13" s="68">
        <v>118</v>
      </c>
      <c r="AF13" s="68">
        <v>240</v>
      </c>
      <c r="AG13" s="101"/>
      <c r="AH13" s="111"/>
      <c r="AI13" s="73"/>
      <c r="AJ13" s="73"/>
      <c r="AK13" s="73"/>
      <c r="AL13" s="73"/>
      <c r="AM13" s="119"/>
      <c r="AN13" s="119"/>
      <c r="AO13" s="115"/>
      <c r="AP13" s="72"/>
      <c r="AQ13" s="72"/>
      <c r="AR13" s="72"/>
      <c r="AS13" s="72"/>
      <c r="AT13" s="103"/>
      <c r="AU13" s="73"/>
      <c r="AV13" s="73"/>
      <c r="AW13" s="73"/>
      <c r="AX13" s="73"/>
      <c r="AY13" s="73"/>
      <c r="AZ13" s="119"/>
      <c r="BA13" s="115"/>
      <c r="BB13" s="72">
        <v>2068.8503000000001</v>
      </c>
      <c r="BC13" s="72">
        <v>4635.0623999999998</v>
      </c>
      <c r="BD13" s="72">
        <v>569.51700000000005</v>
      </c>
      <c r="BE13" s="72">
        <v>3806.2676000000001</v>
      </c>
    </row>
    <row r="14" spans="2:57" x14ac:dyDescent="0.3">
      <c r="B14" s="109"/>
      <c r="C14" s="98"/>
      <c r="D14" s="98"/>
      <c r="E14" s="100"/>
      <c r="F14" s="100"/>
      <c r="G14" s="98"/>
      <c r="H14" s="99"/>
      <c r="I14" s="98"/>
      <c r="J14" s="98"/>
      <c r="K14" s="98"/>
      <c r="L14" s="100"/>
      <c r="M14" s="100"/>
      <c r="N14" s="98"/>
      <c r="O14" s="99"/>
      <c r="P14" s="98"/>
      <c r="Q14" s="98"/>
      <c r="R14" s="98"/>
      <c r="S14" s="98"/>
      <c r="T14" s="100"/>
      <c r="U14" s="98"/>
      <c r="V14" s="99"/>
      <c r="X14" s="111">
        <v>100</v>
      </c>
      <c r="Y14" s="71">
        <v>101891600</v>
      </c>
      <c r="Z14" s="71">
        <v>108120800</v>
      </c>
      <c r="AA14" s="119">
        <f t="shared" si="10"/>
        <v>6229200</v>
      </c>
      <c r="AB14" s="115">
        <f t="shared" si="5"/>
        <v>6.1135559751736155</v>
      </c>
      <c r="AC14" s="72">
        <v>152.56649999999999</v>
      </c>
      <c r="AD14" s="72">
        <v>230.67750000000001</v>
      </c>
      <c r="AE14" s="68">
        <v>109</v>
      </c>
      <c r="AF14" s="68">
        <v>220</v>
      </c>
      <c r="AG14" s="101"/>
      <c r="BB14" s="72">
        <v>2001.5458000000001</v>
      </c>
      <c r="BC14" s="72">
        <v>4524.1529</v>
      </c>
      <c r="BD14" s="72">
        <v>560.0548</v>
      </c>
      <c r="BE14" s="72">
        <v>3798.2257</v>
      </c>
    </row>
    <row r="15" spans="2:57" x14ac:dyDescent="0.3">
      <c r="B15" s="109"/>
      <c r="C15" s="98"/>
      <c r="D15" s="98"/>
      <c r="E15" s="100"/>
      <c r="F15" s="100"/>
      <c r="G15" s="98"/>
      <c r="H15" s="99"/>
      <c r="I15" s="98"/>
      <c r="J15" s="98"/>
      <c r="K15" s="98"/>
      <c r="L15" s="100"/>
      <c r="M15" s="100"/>
      <c r="N15" s="98"/>
      <c r="O15" s="99"/>
      <c r="P15" s="98"/>
      <c r="Q15" s="98"/>
      <c r="R15" s="98"/>
      <c r="S15" s="100"/>
      <c r="T15" s="100"/>
      <c r="U15" s="98"/>
      <c r="V15" s="99"/>
      <c r="X15" s="111">
        <v>104</v>
      </c>
      <c r="Y15" s="71">
        <v>97977890</v>
      </c>
      <c r="Z15" s="71">
        <v>104003900</v>
      </c>
      <c r="AA15" s="119">
        <f t="shared" si="10"/>
        <v>6026010</v>
      </c>
      <c r="AB15" s="115">
        <f t="shared" si="5"/>
        <v>6.1503773963697324</v>
      </c>
      <c r="AC15" s="72">
        <v>105.8828</v>
      </c>
      <c r="AD15" s="72">
        <v>142.32599999999999</v>
      </c>
      <c r="AE15" s="68">
        <v>95</v>
      </c>
      <c r="AF15" s="68">
        <v>200</v>
      </c>
      <c r="AG15" s="101"/>
      <c r="BB15" s="72">
        <v>2018.6557</v>
      </c>
      <c r="BC15" s="72">
        <v>4732.3687</v>
      </c>
      <c r="BD15" s="72">
        <v>541.77959999999996</v>
      </c>
      <c r="BE15" s="72">
        <v>3763.8939999999998</v>
      </c>
    </row>
    <row r="17" spans="2:56" x14ac:dyDescent="0.2">
      <c r="B17" s="109"/>
      <c r="C17" s="98"/>
      <c r="D17" s="98"/>
      <c r="E17" s="100"/>
      <c r="F17" s="100"/>
      <c r="G17" s="98"/>
      <c r="H17" s="99"/>
      <c r="I17" s="98"/>
      <c r="J17" s="98"/>
      <c r="K17" s="98"/>
      <c r="L17" s="100"/>
      <c r="M17" s="100"/>
      <c r="N17" s="98"/>
      <c r="O17" s="99"/>
      <c r="P17" s="98"/>
      <c r="Q17" s="98"/>
      <c r="R17" s="98"/>
      <c r="S17" s="100"/>
      <c r="T17" s="100"/>
      <c r="U17" s="98"/>
      <c r="V17" s="99"/>
    </row>
    <row r="20" spans="2:56" x14ac:dyDescent="0.3">
      <c r="AC20" s="66"/>
      <c r="AE20" s="66"/>
      <c r="AP20" s="66"/>
      <c r="AR20" s="66"/>
      <c r="BB20" s="66"/>
      <c r="BD20" s="66"/>
    </row>
    <row r="21" spans="2:56" x14ac:dyDescent="0.3">
      <c r="L21" s="64" t="e">
        <f>#REF!/2</f>
        <v>#REF!</v>
      </c>
      <c r="M21" s="65">
        <f>M5/2</f>
        <v>13351955000</v>
      </c>
      <c r="AC21" s="66"/>
      <c r="AE21" s="66"/>
      <c r="AP21" s="66"/>
      <c r="AR21" s="66"/>
      <c r="BB21" s="66"/>
      <c r="BD21" s="66"/>
    </row>
    <row r="22" spans="2:56" x14ac:dyDescent="0.3">
      <c r="J22" s="64"/>
      <c r="K22" s="64"/>
      <c r="AC22" s="66"/>
      <c r="AE22" s="66"/>
      <c r="AP22" s="66"/>
      <c r="AR22" s="66"/>
      <c r="BB22" s="66"/>
      <c r="BD22" s="66"/>
    </row>
    <row r="23" spans="2:56" x14ac:dyDescent="0.3">
      <c r="AC23" s="66"/>
      <c r="AE23" s="66"/>
      <c r="AP23" s="66"/>
      <c r="AR23" s="66"/>
      <c r="BB23" s="66"/>
      <c r="BD23" s="66"/>
    </row>
    <row r="24" spans="2:56" x14ac:dyDescent="0.3">
      <c r="AC24" s="66"/>
      <c r="AE24" s="66"/>
      <c r="AP24" s="66"/>
      <c r="AR24" s="66"/>
      <c r="BB24" s="66"/>
      <c r="BD24" s="66"/>
    </row>
    <row r="25" spans="2:56" x14ac:dyDescent="0.3">
      <c r="AC25" s="66"/>
      <c r="AE25" s="66"/>
      <c r="AP25" s="66"/>
      <c r="AR25" s="66"/>
      <c r="BB25" s="66"/>
      <c r="BD25" s="66"/>
    </row>
    <row r="26" spans="2:56" x14ac:dyDescent="0.3">
      <c r="AC26" s="66"/>
      <c r="AE26" s="66"/>
      <c r="AP26" s="66"/>
      <c r="AR26" s="66"/>
      <c r="BB26" s="66"/>
      <c r="BD26" s="66"/>
    </row>
    <row r="27" spans="2:56" x14ac:dyDescent="0.3">
      <c r="AC27" s="66"/>
      <c r="AE27" s="66"/>
      <c r="AP27" s="67"/>
      <c r="AR27" s="66"/>
      <c r="BB27" s="66"/>
      <c r="BD27" s="66"/>
    </row>
    <row r="28" spans="2:56" x14ac:dyDescent="0.3">
      <c r="AC28" s="66"/>
      <c r="AE28" s="66"/>
      <c r="AP28" s="66"/>
      <c r="AR28" s="66"/>
      <c r="BB28" s="66"/>
      <c r="BD28" s="66"/>
    </row>
    <row r="29" spans="2:56" x14ac:dyDescent="0.3">
      <c r="AC29" s="66"/>
      <c r="AE29" s="66"/>
      <c r="AP29" s="66"/>
      <c r="AR29" s="66"/>
      <c r="BB29" s="66"/>
      <c r="BD29" s="66"/>
    </row>
    <row r="30" spans="2:56" x14ac:dyDescent="0.3">
      <c r="AC30" s="66"/>
      <c r="AE30" s="66"/>
      <c r="AP30" s="66"/>
      <c r="AR30" s="66"/>
      <c r="BB30" s="66"/>
      <c r="BD30" s="66"/>
    </row>
    <row r="31" spans="2:56" x14ac:dyDescent="0.3">
      <c r="AC31" s="66"/>
      <c r="AE31" s="66"/>
      <c r="AP31" s="66"/>
      <c r="AR31" s="66"/>
      <c r="BB31" s="66"/>
      <c r="BD31" s="66"/>
    </row>
    <row r="32" spans="2:56" x14ac:dyDescent="0.3">
      <c r="AC32" s="66"/>
      <c r="AE32" s="66"/>
      <c r="AP32" s="66"/>
      <c r="AR32" s="66"/>
      <c r="BB32" s="66"/>
      <c r="BD32" s="66"/>
    </row>
    <row r="33" spans="29:56" x14ac:dyDescent="0.3">
      <c r="AC33" s="66"/>
      <c r="AE33" s="66"/>
      <c r="AP33" s="66"/>
      <c r="AR33" s="66"/>
      <c r="BB33" s="66"/>
      <c r="BD33" s="66"/>
    </row>
    <row r="34" spans="29:56" x14ac:dyDescent="0.3">
      <c r="AC34" s="66"/>
      <c r="AE34" s="66"/>
      <c r="AP34" s="66"/>
      <c r="AR34" s="66"/>
      <c r="BB34" s="66"/>
      <c r="BD34" s="66"/>
    </row>
    <row r="35" spans="29:56" x14ac:dyDescent="0.3">
      <c r="AC35" s="66"/>
      <c r="AE35" s="66"/>
      <c r="AP35" s="66"/>
      <c r="AR35" s="66"/>
      <c r="BB35" s="66"/>
      <c r="BD35" s="66"/>
    </row>
    <row r="36" spans="29:56" x14ac:dyDescent="0.3">
      <c r="AC36" s="66"/>
      <c r="AE36" s="66"/>
      <c r="AP36" s="66"/>
      <c r="AR36" s="66"/>
      <c r="BB36" s="66"/>
      <c r="BD36" s="66"/>
    </row>
    <row r="37" spans="29:56" x14ac:dyDescent="0.3">
      <c r="AC37" s="66"/>
      <c r="AE37" s="66"/>
      <c r="AP37" s="66"/>
      <c r="AR37" s="66"/>
      <c r="BB37" s="66"/>
      <c r="BD37" s="66"/>
    </row>
    <row r="38" spans="29:56" x14ac:dyDescent="0.3">
      <c r="AC38" s="66"/>
      <c r="AE38" s="66"/>
      <c r="AP38" s="66"/>
      <c r="AR38" s="66"/>
      <c r="BB38" s="66"/>
      <c r="BD38" s="66"/>
    </row>
    <row r="39" spans="29:56" x14ac:dyDescent="0.3">
      <c r="AC39" s="66"/>
      <c r="AE39" s="66"/>
      <c r="AP39" s="66"/>
      <c r="AR39" s="66"/>
      <c r="BB39" s="66"/>
      <c r="BD39" s="66"/>
    </row>
    <row r="40" spans="29:56" x14ac:dyDescent="0.3">
      <c r="AC40" s="66"/>
      <c r="AE40" s="66"/>
      <c r="AP40" s="66"/>
      <c r="AR40" s="66"/>
      <c r="BB40" s="66"/>
      <c r="BD40" s="67"/>
    </row>
    <row r="41" spans="29:56" x14ac:dyDescent="0.3">
      <c r="AC41" s="67"/>
      <c r="AE41" s="67"/>
      <c r="AP41" s="66"/>
      <c r="AR41" s="66"/>
      <c r="BB41" s="66"/>
      <c r="BD41" s="66"/>
    </row>
    <row r="42" spans="29:56" x14ac:dyDescent="0.3">
      <c r="AC42" s="67"/>
      <c r="AE42" s="67"/>
      <c r="AP42" s="66"/>
      <c r="AR42" s="66"/>
      <c r="BB42" s="66"/>
      <c r="BD42" s="66"/>
    </row>
    <row r="43" spans="29:56" x14ac:dyDescent="0.3">
      <c r="AC43" s="67"/>
      <c r="AE43" s="67"/>
      <c r="AP43" s="66"/>
      <c r="AR43" s="66"/>
      <c r="BB43" s="66"/>
      <c r="BD43" s="66"/>
    </row>
    <row r="44" spans="29:56" x14ac:dyDescent="0.3">
      <c r="AC44" s="67"/>
      <c r="AE44" s="67"/>
      <c r="AP44" s="66"/>
      <c r="AR44" s="66"/>
      <c r="BB44" s="66"/>
      <c r="BD44" s="66"/>
    </row>
    <row r="45" spans="29:56" x14ac:dyDescent="0.3">
      <c r="AC45" s="67"/>
      <c r="AE45" s="67"/>
      <c r="AP45" s="66"/>
      <c r="AR45" s="66"/>
      <c r="BB45" s="66"/>
      <c r="BD45" s="66"/>
    </row>
    <row r="46" spans="29:56" x14ac:dyDescent="0.3">
      <c r="AC46" s="67"/>
      <c r="AE46" s="67"/>
      <c r="AP46" s="66"/>
      <c r="AR46" s="66"/>
      <c r="BB46" s="66"/>
      <c r="BD46" s="66"/>
    </row>
  </sheetData>
  <mergeCells count="6">
    <mergeCell ref="AU3:BE3"/>
    <mergeCell ref="C3:G3"/>
    <mergeCell ref="I3:N3"/>
    <mergeCell ref="P3:U3"/>
    <mergeCell ref="Y3:AF3"/>
    <mergeCell ref="AI3:A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AB62-C911-A645-ADAC-0550581658C2}">
  <dimension ref="D4:U39"/>
  <sheetViews>
    <sheetView topLeftCell="D1" zoomScale="60" zoomScaleNormal="60" workbookViewId="0">
      <selection activeCell="Y22" sqref="Y1:Z22"/>
    </sheetView>
  </sheetViews>
  <sheetFormatPr baseColWidth="10" defaultColWidth="10.83203125" defaultRowHeight="16" x14ac:dyDescent="0.2"/>
  <cols>
    <col min="4" max="4" width="36.1640625" customWidth="1"/>
    <col min="5" max="5" width="20.33203125" customWidth="1"/>
    <col min="6" max="6" width="22.1640625" customWidth="1"/>
    <col min="7" max="7" width="18.83203125" customWidth="1"/>
    <col min="8" max="8" width="24" customWidth="1"/>
    <col min="15" max="15" width="31.6640625" customWidth="1"/>
    <col min="16" max="16" width="19.1640625" customWidth="1"/>
    <col min="17" max="17" width="10.83203125" customWidth="1"/>
    <col min="19" max="19" width="19.5" customWidth="1"/>
  </cols>
  <sheetData>
    <row r="4" spans="5:21" ht="23" x14ac:dyDescent="0.25">
      <c r="E4" s="24" t="s">
        <v>38</v>
      </c>
      <c r="F4" s="24" t="s">
        <v>39</v>
      </c>
      <c r="G4" s="24" t="s">
        <v>40</v>
      </c>
      <c r="H4" s="24" t="s">
        <v>41</v>
      </c>
      <c r="I4" s="24" t="s">
        <v>42</v>
      </c>
      <c r="J4" s="24" t="s">
        <v>43</v>
      </c>
    </row>
    <row r="5" spans="5:21" ht="24" x14ac:dyDescent="0.3">
      <c r="E5" s="25" t="s">
        <v>44</v>
      </c>
      <c r="F5" s="25">
        <v>14.7</v>
      </c>
      <c r="G5" s="25">
        <v>10.09</v>
      </c>
      <c r="H5" s="25">
        <f>F5*100/(F6+F5)</f>
        <v>80.37178786221979</v>
      </c>
      <c r="I5" s="32">
        <v>201</v>
      </c>
      <c r="J5" s="25">
        <f>F5/I5</f>
        <v>7.3134328358208947E-2</v>
      </c>
      <c r="M5" s="2" t="s">
        <v>74</v>
      </c>
      <c r="N5" s="2" t="s">
        <v>28</v>
      </c>
      <c r="O5" s="34"/>
      <c r="P5" s="2" t="s">
        <v>29</v>
      </c>
      <c r="Q5" s="34"/>
      <c r="R5" s="2" t="s">
        <v>30</v>
      </c>
      <c r="S5" s="34"/>
      <c r="T5" s="2" t="s">
        <v>31</v>
      </c>
      <c r="U5" s="34"/>
    </row>
    <row r="6" spans="5:21" ht="24" x14ac:dyDescent="0.3">
      <c r="E6" s="25" t="s">
        <v>45</v>
      </c>
      <c r="F6" s="25">
        <v>3.59</v>
      </c>
      <c r="G6" s="25">
        <v>2.62</v>
      </c>
      <c r="H6" s="25">
        <f>G6*100/(G6+G5)</f>
        <v>20.61369000786782</v>
      </c>
      <c r="I6" s="32">
        <v>10</v>
      </c>
      <c r="J6" s="25">
        <f>F6/I6</f>
        <v>0.35899999999999999</v>
      </c>
      <c r="M6" s="2" t="s">
        <v>32</v>
      </c>
      <c r="N6" s="2" t="s">
        <v>26</v>
      </c>
      <c r="O6" s="2" t="s">
        <v>27</v>
      </c>
      <c r="P6" s="2" t="s">
        <v>26</v>
      </c>
      <c r="Q6" s="2" t="s">
        <v>27</v>
      </c>
      <c r="R6" s="2" t="s">
        <v>26</v>
      </c>
      <c r="S6" s="2" t="s">
        <v>27</v>
      </c>
      <c r="T6" s="2" t="s">
        <v>26</v>
      </c>
      <c r="U6" s="2" t="s">
        <v>27</v>
      </c>
    </row>
    <row r="7" spans="5:21" ht="24" x14ac:dyDescent="0.3">
      <c r="E7" s="25" t="s">
        <v>46</v>
      </c>
      <c r="F7" s="25">
        <v>14.9</v>
      </c>
      <c r="G7" s="31">
        <v>10.36</v>
      </c>
      <c r="H7" s="25">
        <f>F7*100/(F8+F7)</f>
        <v>80.453563714902813</v>
      </c>
      <c r="I7" s="32">
        <v>201</v>
      </c>
      <c r="J7" s="25">
        <f>F7/I7</f>
        <v>7.4129353233830853E-2</v>
      </c>
      <c r="M7" s="2" t="s">
        <v>19</v>
      </c>
      <c r="N7" s="2">
        <v>28.1</v>
      </c>
      <c r="O7" s="34">
        <v>1596.4838999999999</v>
      </c>
      <c r="P7" s="2">
        <v>22.29</v>
      </c>
      <c r="Q7" s="34">
        <v>1698.3533</v>
      </c>
      <c r="R7" s="2">
        <v>14.91</v>
      </c>
      <c r="S7" s="34">
        <v>2539.3458000000001</v>
      </c>
      <c r="T7" s="2">
        <v>11.8</v>
      </c>
      <c r="U7" s="34">
        <v>3208.8462</v>
      </c>
    </row>
    <row r="8" spans="5:21" ht="24" x14ac:dyDescent="0.3">
      <c r="E8" s="25" t="s">
        <v>47</v>
      </c>
      <c r="F8" s="25">
        <v>3.62</v>
      </c>
      <c r="G8" s="25">
        <v>2.67</v>
      </c>
      <c r="H8" s="25">
        <f>G8*100/(G8+G7)</f>
        <v>20.491174213353801</v>
      </c>
      <c r="I8" s="32">
        <v>10</v>
      </c>
      <c r="J8" s="25">
        <f>F8/I8</f>
        <v>0.36199999999999999</v>
      </c>
      <c r="M8" s="2" t="s">
        <v>18</v>
      </c>
      <c r="N8" s="2">
        <v>20.73</v>
      </c>
      <c r="O8" s="34">
        <v>2090.1035000000002</v>
      </c>
      <c r="P8" s="2">
        <v>16.420000000000002</v>
      </c>
      <c r="Q8" s="34">
        <v>2637.9955</v>
      </c>
      <c r="R8" s="2">
        <v>10.98</v>
      </c>
      <c r="S8" s="34">
        <v>3946.0277999999998</v>
      </c>
      <c r="T8" s="2">
        <v>8.6999999999999993</v>
      </c>
      <c r="U8" s="34">
        <v>4980.0438999999997</v>
      </c>
    </row>
    <row r="9" spans="5:21" ht="24" x14ac:dyDescent="0.3">
      <c r="E9" s="11"/>
      <c r="F9" s="11"/>
      <c r="G9" s="11"/>
      <c r="H9" s="11"/>
      <c r="I9" s="11"/>
      <c r="J9" s="11"/>
      <c r="M9" s="2" t="s">
        <v>20</v>
      </c>
      <c r="N9" s="2">
        <v>12.12</v>
      </c>
      <c r="O9" s="34">
        <v>3755.0904</v>
      </c>
      <c r="P9" s="2">
        <v>9.5299999999999994</v>
      </c>
      <c r="Q9" s="34">
        <v>4774.0342000000001</v>
      </c>
      <c r="R9" s="2">
        <v>6.37</v>
      </c>
      <c r="S9" s="34">
        <v>7141.6845000000003</v>
      </c>
      <c r="T9" s="2">
        <v>5.07</v>
      </c>
      <c r="U9" s="34">
        <v>8978.6949000000004</v>
      </c>
    </row>
    <row r="10" spans="5:21" ht="24" x14ac:dyDescent="0.3">
      <c r="E10" s="11"/>
      <c r="F10" s="11"/>
      <c r="G10" s="11"/>
      <c r="H10" s="11"/>
      <c r="I10" s="11"/>
      <c r="J10" s="11"/>
      <c r="M10" s="2" t="s">
        <v>21</v>
      </c>
      <c r="N10" s="2">
        <v>8.56</v>
      </c>
      <c r="O10" s="34">
        <v>7891.5425999999998</v>
      </c>
      <c r="P10" s="2">
        <v>6.51</v>
      </c>
      <c r="Q10" s="34">
        <v>10372.2837</v>
      </c>
      <c r="R10" s="2">
        <v>4.32</v>
      </c>
      <c r="S10" s="34">
        <v>15634.3766</v>
      </c>
      <c r="T10" s="2">
        <v>3.55</v>
      </c>
      <c r="U10" s="34">
        <v>18993.356599999999</v>
      </c>
    </row>
    <row r="11" spans="5:21" ht="24" x14ac:dyDescent="0.3">
      <c r="E11" s="26" t="s">
        <v>38</v>
      </c>
      <c r="F11" s="26" t="s">
        <v>70</v>
      </c>
      <c r="G11" s="26" t="s">
        <v>71</v>
      </c>
      <c r="H11" s="26" t="s">
        <v>72</v>
      </c>
      <c r="I11" s="26" t="s">
        <v>73</v>
      </c>
      <c r="J11" s="11"/>
      <c r="M11" s="2" t="s">
        <v>22</v>
      </c>
      <c r="N11" s="2">
        <v>19.47</v>
      </c>
      <c r="O11" s="34">
        <v>1311.1511</v>
      </c>
      <c r="P11" s="35">
        <v>15.42</v>
      </c>
      <c r="Q11" s="34">
        <v>1654.9984999999999</v>
      </c>
      <c r="R11" s="2">
        <v>10.32</v>
      </c>
      <c r="S11" s="34">
        <v>2472.8553000000002</v>
      </c>
      <c r="T11" s="2">
        <v>8.17</v>
      </c>
      <c r="U11" s="34">
        <v>3126.2966999999999</v>
      </c>
    </row>
    <row r="12" spans="5:21" ht="24" x14ac:dyDescent="0.3">
      <c r="E12" s="27" t="s">
        <v>48</v>
      </c>
      <c r="F12" s="27">
        <v>14.9</v>
      </c>
      <c r="G12" s="27">
        <v>10.98</v>
      </c>
      <c r="H12" s="22">
        <v>6.37</v>
      </c>
      <c r="I12" s="27">
        <v>4.3600000000000003</v>
      </c>
      <c r="J12" s="11"/>
      <c r="M12" s="2" t="s">
        <v>23</v>
      </c>
      <c r="N12" s="2">
        <v>20.79</v>
      </c>
      <c r="O12" s="34">
        <v>1227.7592</v>
      </c>
      <c r="P12" s="2">
        <v>16.489999999999998</v>
      </c>
      <c r="Q12" s="34">
        <v>1547.4296999999999</v>
      </c>
      <c r="R12" s="2">
        <v>11.02</v>
      </c>
      <c r="S12" s="34">
        <v>2316.1563000000001</v>
      </c>
      <c r="T12" s="2">
        <v>8.73</v>
      </c>
      <c r="U12" s="34">
        <v>2923.1795000000002</v>
      </c>
    </row>
    <row r="13" spans="5:21" ht="24" x14ac:dyDescent="0.3">
      <c r="E13" s="27" t="s">
        <v>49</v>
      </c>
      <c r="F13" s="27">
        <v>3.62</v>
      </c>
      <c r="G13" s="27">
        <v>3.57</v>
      </c>
      <c r="H13" s="22">
        <v>3.62</v>
      </c>
      <c r="I13" s="27">
        <v>3.71</v>
      </c>
      <c r="J13" s="11"/>
      <c r="M13" s="2" t="s">
        <v>24</v>
      </c>
      <c r="N13" s="2">
        <v>19.95</v>
      </c>
      <c r="O13" s="34">
        <v>1344.4110000000001</v>
      </c>
      <c r="P13" s="2">
        <v>15.8</v>
      </c>
      <c r="Q13" s="34">
        <v>1696.4966999999999</v>
      </c>
      <c r="R13" s="2">
        <v>10.55</v>
      </c>
      <c r="S13" s="34">
        <v>2541.5956999999999</v>
      </c>
      <c r="T13" s="2">
        <v>8.36</v>
      </c>
      <c r="U13" s="34">
        <v>3205.6441</v>
      </c>
    </row>
    <row r="14" spans="5:21" ht="24" x14ac:dyDescent="0.3">
      <c r="E14" s="11"/>
      <c r="F14" s="11"/>
      <c r="G14" s="11"/>
      <c r="H14" s="11"/>
      <c r="I14" s="11"/>
      <c r="J14" s="11"/>
      <c r="M14" s="2" t="s">
        <v>25</v>
      </c>
      <c r="N14" s="2">
        <v>7.8</v>
      </c>
      <c r="O14" s="34">
        <v>5784.8924999999999</v>
      </c>
      <c r="P14" s="2">
        <v>5.92</v>
      </c>
      <c r="Q14" s="34">
        <v>7615.5092000000004</v>
      </c>
      <c r="R14" s="2">
        <v>4.03</v>
      </c>
      <c r="S14" s="34">
        <v>11202.827600000001</v>
      </c>
      <c r="T14" s="2">
        <v>3.17</v>
      </c>
      <c r="U14" s="34">
        <v>14230.380300000001</v>
      </c>
    </row>
    <row r="15" spans="5:21" ht="24" x14ac:dyDescent="0.3">
      <c r="E15" s="11"/>
      <c r="F15" s="11"/>
      <c r="G15" s="11"/>
      <c r="H15" s="11"/>
      <c r="I15" s="11"/>
      <c r="J15" s="11"/>
    </row>
    <row r="16" spans="5:21" ht="24" x14ac:dyDescent="0.3">
      <c r="E16" s="11"/>
      <c r="F16" s="19" t="s">
        <v>33</v>
      </c>
      <c r="G16" s="19" t="s">
        <v>34</v>
      </c>
      <c r="H16" s="11"/>
      <c r="I16" s="11"/>
      <c r="J16" s="11"/>
    </row>
    <row r="17" spans="4:19" ht="24" x14ac:dyDescent="0.3">
      <c r="E17" s="11"/>
      <c r="F17" s="20">
        <v>1.6</v>
      </c>
      <c r="G17" s="63">
        <v>1596.471</v>
      </c>
      <c r="H17" s="11"/>
      <c r="I17" s="11"/>
      <c r="J17" s="11"/>
      <c r="O17" s="22" t="s">
        <v>89</v>
      </c>
      <c r="P17" s="21" t="s">
        <v>59</v>
      </c>
      <c r="Q17" s="21" t="s">
        <v>60</v>
      </c>
      <c r="R17" s="21" t="s">
        <v>61</v>
      </c>
      <c r="S17" s="21" t="s">
        <v>62</v>
      </c>
    </row>
    <row r="18" spans="4:19" ht="24" x14ac:dyDescent="0.3">
      <c r="F18" s="20">
        <v>2</v>
      </c>
      <c r="G18" s="63">
        <v>1995.623</v>
      </c>
      <c r="O18" s="21" t="s">
        <v>63</v>
      </c>
      <c r="P18" s="23">
        <v>3164.2817</v>
      </c>
      <c r="Q18" s="23">
        <v>4900.79</v>
      </c>
      <c r="R18" s="23">
        <v>4960.1840000000002</v>
      </c>
      <c r="S18" s="23">
        <v>5257.4534999999996</v>
      </c>
    </row>
    <row r="19" spans="4:19" ht="24" x14ac:dyDescent="0.3">
      <c r="F19" s="20">
        <v>3</v>
      </c>
      <c r="G19" s="63">
        <v>2993.2725</v>
      </c>
      <c r="O19" s="21" t="s">
        <v>64</v>
      </c>
      <c r="P19" s="23">
        <v>12.958500000000001</v>
      </c>
      <c r="Q19" s="23">
        <v>19.476700000000001</v>
      </c>
      <c r="R19" s="23">
        <v>18.0883</v>
      </c>
      <c r="S19" s="23">
        <v>23.1</v>
      </c>
    </row>
    <row r="20" spans="4:19" ht="24" x14ac:dyDescent="0.3">
      <c r="F20" s="20">
        <v>3.6</v>
      </c>
      <c r="G20" s="63">
        <v>3589.6154000000001</v>
      </c>
      <c r="O20" s="21" t="s">
        <v>65</v>
      </c>
      <c r="P20" s="23">
        <v>5908.6606000000002</v>
      </c>
      <c r="Q20" s="23">
        <v>7257.9754000000003</v>
      </c>
      <c r="R20" s="23">
        <v>7031.7030000000004</v>
      </c>
      <c r="S20" s="23">
        <v>6935.5225</v>
      </c>
    </row>
    <row r="21" spans="4:19" ht="24" x14ac:dyDescent="0.3">
      <c r="F21" s="20">
        <v>3.8</v>
      </c>
      <c r="G21" s="63">
        <v>3787.9739</v>
      </c>
      <c r="O21" s="21" t="s">
        <v>66</v>
      </c>
      <c r="P21" s="23">
        <v>24.220400000000001</v>
      </c>
      <c r="Q21" s="23">
        <v>28.678000000000001</v>
      </c>
      <c r="R21" s="23">
        <v>25.6388</v>
      </c>
      <c r="S21" s="23">
        <v>30.1159</v>
      </c>
    </row>
    <row r="22" spans="4:19" ht="24" x14ac:dyDescent="0.3">
      <c r="F22" s="20">
        <v>4</v>
      </c>
      <c r="G22" s="63">
        <v>3787.9113000000002</v>
      </c>
      <c r="O22" s="21" t="s">
        <v>67</v>
      </c>
      <c r="P22" s="23">
        <v>204.99010000000001</v>
      </c>
      <c r="Q22" s="23">
        <v>172.23419999999999</v>
      </c>
      <c r="R22" s="23">
        <v>119.3326</v>
      </c>
      <c r="S22" s="23">
        <v>113.52549999999999</v>
      </c>
    </row>
    <row r="23" spans="4:19" ht="24" x14ac:dyDescent="0.3">
      <c r="F23" s="20">
        <v>4.2</v>
      </c>
      <c r="G23" s="63">
        <v>3789.232</v>
      </c>
      <c r="O23" s="21" t="s">
        <v>68</v>
      </c>
      <c r="P23" s="23">
        <v>0.85850000000000004</v>
      </c>
      <c r="Q23" s="23">
        <v>0.68910000000000005</v>
      </c>
      <c r="R23" s="23">
        <v>0.43540000000000001</v>
      </c>
      <c r="S23" s="23">
        <v>0.48480000000000001</v>
      </c>
    </row>
    <row r="24" spans="4:19" ht="24" x14ac:dyDescent="0.3">
      <c r="O24" s="21" t="s">
        <v>69</v>
      </c>
      <c r="P24" s="23">
        <v>11958.088900000001</v>
      </c>
      <c r="Q24" s="23">
        <v>11228.8442</v>
      </c>
      <c r="R24" s="23">
        <v>17756.524600000001</v>
      </c>
      <c r="S24" s="23">
        <v>15485.669599999999</v>
      </c>
    </row>
    <row r="25" spans="4:19" ht="24" x14ac:dyDescent="0.3">
      <c r="D25" s="3" t="s">
        <v>77</v>
      </c>
      <c r="E25" s="3" t="s">
        <v>80</v>
      </c>
      <c r="F25" s="3" t="s">
        <v>81</v>
      </c>
      <c r="G25" s="3" t="s">
        <v>37</v>
      </c>
      <c r="H25" s="3" t="s">
        <v>82</v>
      </c>
      <c r="I25" s="3" t="s">
        <v>78</v>
      </c>
      <c r="J25" s="3" t="s">
        <v>79</v>
      </c>
      <c r="O25" s="21" t="s">
        <v>88</v>
      </c>
      <c r="P25" s="3">
        <v>22.01</v>
      </c>
      <c r="Q25" s="3">
        <v>35.340000000000003</v>
      </c>
      <c r="R25" s="3">
        <v>40.909999999999997</v>
      </c>
      <c r="S25" s="3">
        <v>65.58</v>
      </c>
    </row>
    <row r="26" spans="4:19" ht="24" x14ac:dyDescent="0.3">
      <c r="D26" s="3" t="s">
        <v>52</v>
      </c>
      <c r="E26" s="33">
        <v>19.399999999999999</v>
      </c>
      <c r="F26" s="33" t="s">
        <v>57</v>
      </c>
      <c r="G26" s="33">
        <v>76.035200000000003</v>
      </c>
      <c r="H26" s="33">
        <v>10.416</v>
      </c>
      <c r="I26" s="33">
        <v>76.035200000000003</v>
      </c>
      <c r="J26" s="3">
        <v>38.24</v>
      </c>
    </row>
    <row r="27" spans="4:19" ht="24" x14ac:dyDescent="0.3">
      <c r="D27" s="3" t="s">
        <v>53</v>
      </c>
      <c r="E27" s="37">
        <v>511030162</v>
      </c>
      <c r="F27" s="36">
        <v>261298044</v>
      </c>
      <c r="G27" s="36">
        <v>2003183146</v>
      </c>
      <c r="H27" s="36">
        <v>274415416</v>
      </c>
      <c r="I27" s="36">
        <v>2003184460</v>
      </c>
      <c r="J27" s="37">
        <v>1007513221</v>
      </c>
      <c r="O27" s="28" t="s">
        <v>90</v>
      </c>
      <c r="P27" s="29" t="s">
        <v>59</v>
      </c>
      <c r="Q27" s="29" t="s">
        <v>60</v>
      </c>
      <c r="R27" s="29" t="s">
        <v>61</v>
      </c>
      <c r="S27" s="29" t="s">
        <v>62</v>
      </c>
    </row>
    <row r="28" spans="4:19" ht="24" x14ac:dyDescent="0.3">
      <c r="D28" s="3" t="s">
        <v>54</v>
      </c>
      <c r="E28" s="33">
        <v>29.914999999999999</v>
      </c>
      <c r="F28" s="33">
        <v>40.050600000000003</v>
      </c>
      <c r="G28" s="33">
        <v>17.606999999999999</v>
      </c>
      <c r="H28" s="33">
        <v>92.371700000000004</v>
      </c>
      <c r="I28" s="33">
        <v>17.847100000000001</v>
      </c>
      <c r="J28" s="3">
        <v>26.14</v>
      </c>
      <c r="O28" s="21" t="s">
        <v>63</v>
      </c>
      <c r="P28" s="30">
        <v>2176.5300999999999</v>
      </c>
      <c r="Q28" s="30">
        <v>6204.0627999999997</v>
      </c>
      <c r="R28" s="30">
        <v>1745.3942</v>
      </c>
      <c r="S28" s="30">
        <v>4176.2529000000004</v>
      </c>
    </row>
    <row r="29" spans="4:19" ht="24" x14ac:dyDescent="0.3">
      <c r="D29" s="37" t="s">
        <v>84</v>
      </c>
      <c r="E29" s="37">
        <f>65.58*1000000000</f>
        <v>65580000000</v>
      </c>
      <c r="F29" s="37">
        <f>65.58*1000000000</f>
        <v>65580000000</v>
      </c>
      <c r="G29" s="37">
        <f>40.91*1000000000</f>
        <v>40910000000</v>
      </c>
      <c r="H29" s="37">
        <f>35.34*1000000000</f>
        <v>35340000000</v>
      </c>
      <c r="I29" s="37">
        <f>65.58*1000000000</f>
        <v>65580000000</v>
      </c>
      <c r="J29" s="37">
        <f>65.58*1000000000</f>
        <v>65580000000</v>
      </c>
      <c r="O29" s="21" t="s">
        <v>64</v>
      </c>
      <c r="P29" s="30">
        <v>8.8547999999999991</v>
      </c>
      <c r="Q29" s="30">
        <v>16.595300000000002</v>
      </c>
      <c r="R29" s="30">
        <v>10.3832</v>
      </c>
      <c r="S29" s="30">
        <v>14.9277</v>
      </c>
    </row>
    <row r="30" spans="4:19" ht="24" x14ac:dyDescent="0.3">
      <c r="D30" s="3" t="s">
        <v>85</v>
      </c>
      <c r="E30" s="33">
        <v>2.59</v>
      </c>
      <c r="F30" s="3">
        <v>3.18</v>
      </c>
      <c r="G30" s="3">
        <v>1.43</v>
      </c>
      <c r="H30" s="33">
        <v>1.96</v>
      </c>
      <c r="I30" s="3">
        <v>1.41</v>
      </c>
      <c r="J30" s="3">
        <v>1.79</v>
      </c>
      <c r="O30" s="21" t="s">
        <v>65</v>
      </c>
      <c r="P30" s="30">
        <v>2349.2363999999998</v>
      </c>
      <c r="Q30" s="30">
        <v>4163.5200000000004</v>
      </c>
      <c r="R30" s="30">
        <v>1706.57</v>
      </c>
      <c r="S30" s="30">
        <v>2583.3454000000002</v>
      </c>
    </row>
    <row r="31" spans="4:19" ht="24" x14ac:dyDescent="0.3">
      <c r="D31" s="3" t="s">
        <v>55</v>
      </c>
      <c r="E31" s="3">
        <f t="shared" ref="E31:J31" si="0">E29/E27</f>
        <v>128.32902023501305</v>
      </c>
      <c r="F31" s="3">
        <f t="shared" si="0"/>
        <v>250.97776851326142</v>
      </c>
      <c r="G31" s="3">
        <f t="shared" si="0"/>
        <v>20.422496106604125</v>
      </c>
      <c r="H31" s="3">
        <f t="shared" si="0"/>
        <v>128.78285234529244</v>
      </c>
      <c r="I31" s="3">
        <f t="shared" si="0"/>
        <v>32.737873775238853</v>
      </c>
      <c r="J31" s="3">
        <f t="shared" si="0"/>
        <v>65.090957253056231</v>
      </c>
      <c r="O31" s="21" t="s">
        <v>66</v>
      </c>
      <c r="P31" s="30">
        <v>9.5612999999999992</v>
      </c>
      <c r="Q31" s="30">
        <v>11.132899999999999</v>
      </c>
      <c r="R31" s="30">
        <v>10.148199999999999</v>
      </c>
      <c r="S31" s="30">
        <v>9.4846000000000004</v>
      </c>
    </row>
    <row r="32" spans="4:19" ht="24" x14ac:dyDescent="0.3">
      <c r="D32" s="38"/>
      <c r="E32" s="38"/>
      <c r="F32" s="38"/>
      <c r="G32" s="38"/>
      <c r="H32" s="38"/>
      <c r="I32" s="38"/>
      <c r="J32" s="38"/>
      <c r="O32" s="21" t="s">
        <v>67</v>
      </c>
      <c r="P32" s="30">
        <v>100.0463</v>
      </c>
      <c r="Q32" s="30">
        <v>101.7423</v>
      </c>
      <c r="R32" s="30">
        <v>94.213499999999996</v>
      </c>
      <c r="S32" s="30">
        <v>91.650999999999996</v>
      </c>
    </row>
    <row r="33" spans="6:19" ht="24" x14ac:dyDescent="0.3">
      <c r="F33" s="3" t="s">
        <v>76</v>
      </c>
      <c r="G33" s="3" t="s">
        <v>80</v>
      </c>
      <c r="H33" s="3" t="s">
        <v>81</v>
      </c>
      <c r="I33" s="3" t="s">
        <v>83</v>
      </c>
      <c r="J33" s="3" t="s">
        <v>82</v>
      </c>
      <c r="O33" s="21" t="s">
        <v>68</v>
      </c>
      <c r="P33" s="30">
        <v>0.40710000000000002</v>
      </c>
      <c r="Q33" s="30">
        <v>0.27200000000000002</v>
      </c>
      <c r="R33" s="30">
        <v>0.56020000000000003</v>
      </c>
      <c r="S33" s="30">
        <v>0.32719999999999999</v>
      </c>
    </row>
    <row r="34" spans="6:19" ht="24" x14ac:dyDescent="0.3">
      <c r="F34" s="3" t="s">
        <v>52</v>
      </c>
      <c r="G34" s="34">
        <v>14.0153</v>
      </c>
      <c r="H34" s="34">
        <v>8.4838000000000005</v>
      </c>
      <c r="I34" s="34">
        <v>8.6105999999999998</v>
      </c>
      <c r="J34" s="34">
        <v>7.6805000000000003</v>
      </c>
      <c r="O34" s="21" t="s">
        <v>69</v>
      </c>
      <c r="P34" s="30">
        <v>60029.864399999999</v>
      </c>
      <c r="Q34" s="30">
        <v>40616.948900000003</v>
      </c>
      <c r="R34" s="30">
        <v>73456.793699999995</v>
      </c>
      <c r="S34" s="30">
        <v>48226.099399999999</v>
      </c>
    </row>
    <row r="35" spans="6:19" ht="24" x14ac:dyDescent="0.3">
      <c r="F35" s="3" t="s">
        <v>53</v>
      </c>
      <c r="G35" s="34">
        <v>369240786</v>
      </c>
      <c r="H35" s="34">
        <v>223510671</v>
      </c>
      <c r="I35" s="34">
        <v>226849414</v>
      </c>
      <c r="J35" s="34">
        <v>202345787</v>
      </c>
      <c r="O35" s="21" t="s">
        <v>88</v>
      </c>
      <c r="P35" s="30">
        <v>4.37</v>
      </c>
      <c r="Q35" s="30">
        <v>4.8499999999999996</v>
      </c>
      <c r="R35" s="30">
        <f>4.37*2-1</f>
        <v>7.74</v>
      </c>
      <c r="S35" s="30">
        <v>7.63</v>
      </c>
    </row>
    <row r="36" spans="6:19" ht="24" x14ac:dyDescent="0.3">
      <c r="F36" s="3" t="s">
        <v>54</v>
      </c>
      <c r="G36" s="34">
        <v>48.237200000000001</v>
      </c>
      <c r="H36" s="34">
        <v>39.4679</v>
      </c>
      <c r="I36" s="34">
        <v>64.475700000000003</v>
      </c>
      <c r="J36" s="34">
        <v>56.771999999999998</v>
      </c>
    </row>
    <row r="37" spans="6:19" ht="24" x14ac:dyDescent="0.3">
      <c r="F37" s="37" t="s">
        <v>84</v>
      </c>
      <c r="G37" s="37">
        <f>11.71*1000000000</f>
        <v>11710000000</v>
      </c>
      <c r="H37" s="37">
        <f>7.63*1000000000</f>
        <v>7630000000</v>
      </c>
      <c r="I37" s="37">
        <f>5.38*1000000000</f>
        <v>5380000000</v>
      </c>
      <c r="J37" s="37">
        <f>7.04*1000000000</f>
        <v>7040000000</v>
      </c>
    </row>
    <row r="38" spans="6:19" ht="24" x14ac:dyDescent="0.3">
      <c r="F38" s="3" t="s">
        <v>85</v>
      </c>
      <c r="G38" s="3">
        <v>2.86</v>
      </c>
      <c r="H38" s="3">
        <v>5.13</v>
      </c>
      <c r="I38" s="34">
        <v>3.51</v>
      </c>
      <c r="J38" s="34">
        <v>4.26</v>
      </c>
    </row>
    <row r="39" spans="6:19" ht="24" x14ac:dyDescent="0.3">
      <c r="F39" s="3" t="s">
        <v>55</v>
      </c>
      <c r="G39" s="3">
        <f>G37/G35</f>
        <v>31.713722979671047</v>
      </c>
      <c r="H39" s="3">
        <f>H37/H35</f>
        <v>34.137072587464964</v>
      </c>
      <c r="I39" s="3">
        <f>I37/I35</f>
        <v>23.716173231992567</v>
      </c>
      <c r="J39" s="3">
        <f>I37/J35</f>
        <v>26.588149324799137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FC7F-E095-D146-A1C4-440301549B29}">
  <dimension ref="A1:R55"/>
  <sheetViews>
    <sheetView zoomScale="20" zoomScaleNormal="20" workbookViewId="0">
      <selection activeCell="I28" sqref="I28"/>
    </sheetView>
  </sheetViews>
  <sheetFormatPr baseColWidth="10" defaultColWidth="10.6640625" defaultRowHeight="16" x14ac:dyDescent="0.2"/>
  <cols>
    <col min="1" max="1" width="50.5" customWidth="1"/>
    <col min="2" max="2" width="28.1640625" customWidth="1"/>
    <col min="3" max="3" width="32.5" customWidth="1"/>
    <col min="4" max="4" width="32.33203125" customWidth="1"/>
    <col min="5" max="5" width="33.5" customWidth="1"/>
    <col min="6" max="6" width="50.5" customWidth="1"/>
    <col min="7" max="7" width="33.83203125" customWidth="1"/>
    <col min="8" max="8" width="30.83203125" customWidth="1"/>
    <col min="9" max="10" width="20.83203125" customWidth="1"/>
    <col min="12" max="12" width="45.6640625" customWidth="1"/>
    <col min="13" max="13" width="22.1640625" customWidth="1"/>
    <col min="14" max="14" width="22.6640625" customWidth="1"/>
    <col min="15" max="15" width="25.6640625" customWidth="1"/>
    <col min="16" max="16" width="28.33203125" customWidth="1"/>
    <col min="17" max="17" width="26" customWidth="1"/>
    <col min="18" max="18" width="25" bestFit="1" customWidth="1"/>
  </cols>
  <sheetData>
    <row r="1" spans="1:18" ht="24" x14ac:dyDescent="0.3">
      <c r="A1" s="2" t="s">
        <v>17</v>
      </c>
      <c r="B1" s="1" t="s">
        <v>2</v>
      </c>
      <c r="C1" s="1" t="s">
        <v>5</v>
      </c>
      <c r="D1" s="1" t="s">
        <v>16</v>
      </c>
      <c r="E1" s="1" t="s">
        <v>9</v>
      </c>
      <c r="F1" s="2" t="s">
        <v>17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8" ht="22" x14ac:dyDescent="0.3">
      <c r="A2" s="4" t="s">
        <v>0</v>
      </c>
      <c r="B2" s="18">
        <v>71566280000</v>
      </c>
      <c r="C2" s="18">
        <v>71051440000</v>
      </c>
      <c r="D2" s="6">
        <v>67893720000</v>
      </c>
      <c r="E2" s="18">
        <v>13737380000</v>
      </c>
      <c r="F2" s="4" t="s">
        <v>0</v>
      </c>
      <c r="G2" s="18">
        <v>86037500000</v>
      </c>
      <c r="H2" s="18">
        <v>51775360000</v>
      </c>
      <c r="I2" s="18">
        <v>49708750000</v>
      </c>
      <c r="J2" s="6">
        <v>16824260000</v>
      </c>
    </row>
    <row r="3" spans="1:18" ht="22" x14ac:dyDescent="0.3">
      <c r="A3" s="4" t="s">
        <v>121</v>
      </c>
      <c r="B3" s="18">
        <f>B2</f>
        <v>71566280000</v>
      </c>
      <c r="C3" s="18">
        <f>B2/2</f>
        <v>35783140000</v>
      </c>
      <c r="D3" s="18">
        <f>B2/4</f>
        <v>17891570000</v>
      </c>
      <c r="E3" s="18">
        <f>B2/8</f>
        <v>8945785000</v>
      </c>
      <c r="F3" s="4" t="s">
        <v>121</v>
      </c>
      <c r="G3" s="18">
        <f>G2</f>
        <v>86037500000</v>
      </c>
      <c r="H3" s="18">
        <f>G2/2</f>
        <v>43018750000</v>
      </c>
      <c r="I3" s="18">
        <f>G2/4</f>
        <v>21509375000</v>
      </c>
      <c r="J3" s="6">
        <f>G2/8</f>
        <v>10754687500</v>
      </c>
    </row>
    <row r="4" spans="1:18" ht="22" x14ac:dyDescent="0.3">
      <c r="A4" s="4" t="s">
        <v>1</v>
      </c>
      <c r="B4" s="6">
        <f>B6+B7</f>
        <v>34761980000</v>
      </c>
      <c r="C4" s="6">
        <f>C6+C7</f>
        <v>12877139800</v>
      </c>
      <c r="D4" s="6">
        <f t="shared" ref="D4:E4" si="0">D6+D7</f>
        <v>8172832350</v>
      </c>
      <c r="E4" s="6">
        <f t="shared" si="0"/>
        <v>5639886830</v>
      </c>
      <c r="F4" s="4" t="s">
        <v>1</v>
      </c>
      <c r="G4" s="6">
        <f>G6+G7</f>
        <v>37738310000</v>
      </c>
      <c r="H4" s="6">
        <f t="shared" ref="H4:J4" si="1">H6+H7</f>
        <v>21724264500</v>
      </c>
      <c r="I4" s="6">
        <f>I6+I7</f>
        <v>13953280000</v>
      </c>
      <c r="J4" s="6">
        <f t="shared" si="1"/>
        <v>8416387830</v>
      </c>
    </row>
    <row r="5" spans="1:18" ht="22" x14ac:dyDescent="0.3">
      <c r="A5" s="4" t="s">
        <v>121</v>
      </c>
      <c r="B5" s="6">
        <f>B4</f>
        <v>34761980000</v>
      </c>
      <c r="C5" s="6">
        <f>B4/2</f>
        <v>17380990000</v>
      </c>
      <c r="D5" s="6">
        <f>B4/4</f>
        <v>8690495000</v>
      </c>
      <c r="E5" s="6">
        <f>B4/8</f>
        <v>4345247500</v>
      </c>
      <c r="F5" s="4" t="s">
        <v>121</v>
      </c>
      <c r="G5" s="6">
        <f>G4</f>
        <v>37738310000</v>
      </c>
      <c r="H5" s="6">
        <f>G4/2</f>
        <v>18869155000</v>
      </c>
      <c r="I5" s="6">
        <f>G4/4</f>
        <v>9434577500</v>
      </c>
      <c r="J5" s="6">
        <f>G4/8</f>
        <v>4717288750</v>
      </c>
    </row>
    <row r="6" spans="1:18" ht="22" x14ac:dyDescent="0.3">
      <c r="A6" s="4" t="s">
        <v>50</v>
      </c>
      <c r="B6" s="18">
        <v>34761980000</v>
      </c>
      <c r="C6" s="6">
        <v>347619800</v>
      </c>
      <c r="D6" s="18">
        <v>1949715000</v>
      </c>
      <c r="E6" s="18">
        <v>79038830</v>
      </c>
      <c r="F6" s="4" t="s">
        <v>50</v>
      </c>
      <c r="G6" s="18">
        <v>37738310000</v>
      </c>
      <c r="H6" s="18">
        <v>316274500</v>
      </c>
      <c r="I6" s="18">
        <v>1544795000</v>
      </c>
      <c r="J6" s="18">
        <v>79038830</v>
      </c>
    </row>
    <row r="7" spans="1:18" ht="24" x14ac:dyDescent="0.3">
      <c r="A7" s="4" t="s">
        <v>51</v>
      </c>
      <c r="B7" s="18">
        <v>0</v>
      </c>
      <c r="C7" s="18">
        <v>12529520000</v>
      </c>
      <c r="D7" s="6">
        <f>6144081000+79036350</f>
        <v>6223117350</v>
      </c>
      <c r="E7" s="18">
        <v>5560848000</v>
      </c>
      <c r="F7" s="4" t="s">
        <v>51</v>
      </c>
      <c r="G7" s="6">
        <v>0</v>
      </c>
      <c r="H7" s="18">
        <v>21407990000</v>
      </c>
      <c r="I7" s="6">
        <f>10863690000+1544795000</f>
        <v>12408485000</v>
      </c>
      <c r="J7" s="18">
        <v>8337349000</v>
      </c>
      <c r="L7" s="11"/>
      <c r="M7" s="11"/>
      <c r="N7" s="11"/>
      <c r="O7" s="11"/>
      <c r="P7" s="11"/>
      <c r="Q7" s="11"/>
      <c r="R7" s="11"/>
    </row>
    <row r="8" spans="1:18" ht="24" x14ac:dyDescent="0.3">
      <c r="A8" s="4" t="s">
        <v>15</v>
      </c>
      <c r="B8" s="16">
        <v>0</v>
      </c>
      <c r="C8" s="16">
        <v>97.3005</v>
      </c>
      <c r="D8" s="16">
        <v>76.143900000000002</v>
      </c>
      <c r="E8" s="16">
        <v>98.598600000000005</v>
      </c>
      <c r="F8" s="4" t="s">
        <v>15</v>
      </c>
      <c r="G8" s="13">
        <f>G7/G6+G7</f>
        <v>0</v>
      </c>
      <c r="H8" s="16">
        <v>98.5441</v>
      </c>
      <c r="I8" s="16">
        <v>87.629300000000001</v>
      </c>
      <c r="J8" s="16">
        <v>99.060900000000004</v>
      </c>
      <c r="R8" s="11"/>
    </row>
    <row r="9" spans="1:18" ht="24" x14ac:dyDescent="0.3">
      <c r="A9" s="4" t="s">
        <v>14</v>
      </c>
      <c r="B9" s="8">
        <f t="shared" ref="B9:J9" si="2">B4/B2*100</f>
        <v>48.573126897192367</v>
      </c>
      <c r="C9" s="8">
        <f t="shared" si="2"/>
        <v>18.123685881665452</v>
      </c>
      <c r="D9" s="8">
        <f t="shared" si="2"/>
        <v>12.037685296961191</v>
      </c>
      <c r="E9" s="8">
        <f t="shared" si="2"/>
        <v>41.055039825643611</v>
      </c>
      <c r="F9" s="4" t="s">
        <v>14</v>
      </c>
      <c r="G9" s="8">
        <f t="shared" si="2"/>
        <v>43.86262966729624</v>
      </c>
      <c r="H9" s="8">
        <f t="shared" si="2"/>
        <v>41.958693285763729</v>
      </c>
      <c r="I9" s="8">
        <f t="shared" si="2"/>
        <v>28.070068146956018</v>
      </c>
      <c r="J9" s="8">
        <f t="shared" si="2"/>
        <v>50.025307680694432</v>
      </c>
      <c r="R9" s="11"/>
    </row>
    <row r="10" spans="1:18" ht="24" x14ac:dyDescent="0.3">
      <c r="A10" s="4" t="s">
        <v>3</v>
      </c>
      <c r="B10" s="7">
        <v>10.36</v>
      </c>
      <c r="C10" s="7">
        <v>11.02</v>
      </c>
      <c r="D10" s="7">
        <v>10.56</v>
      </c>
      <c r="E10" s="7">
        <v>4.0199999999999996</v>
      </c>
      <c r="F10" s="4" t="s">
        <v>3</v>
      </c>
      <c r="G10" s="6">
        <v>14.9</v>
      </c>
      <c r="H10" s="18">
        <v>10.93</v>
      </c>
      <c r="I10" s="18">
        <v>6.37</v>
      </c>
      <c r="J10" s="7">
        <v>4.3</v>
      </c>
      <c r="R10" s="11"/>
    </row>
    <row r="11" spans="1:18" ht="24" x14ac:dyDescent="0.3">
      <c r="A11" s="4" t="s">
        <v>4</v>
      </c>
      <c r="B11" s="18">
        <v>0.4304</v>
      </c>
      <c r="C11" s="18">
        <v>0.46129999999999999</v>
      </c>
      <c r="D11" s="18">
        <v>0.46229999999999999</v>
      </c>
      <c r="E11" s="18">
        <v>0.86199999999999999</v>
      </c>
      <c r="F11" s="4" t="s">
        <v>4</v>
      </c>
      <c r="G11" s="18">
        <v>0.51559999999999995</v>
      </c>
      <c r="H11" s="18">
        <v>0.35580000000000001</v>
      </c>
      <c r="I11" s="18">
        <v>0.37940000000000002</v>
      </c>
      <c r="J11" s="18">
        <v>0.76480000000000004</v>
      </c>
      <c r="R11" s="11"/>
    </row>
    <row r="12" spans="1:18" ht="24" x14ac:dyDescent="0.3">
      <c r="A12" s="4" t="s">
        <v>13</v>
      </c>
      <c r="B12" s="13"/>
      <c r="C12" s="13"/>
      <c r="D12" s="13"/>
      <c r="E12" s="13"/>
      <c r="F12" s="4" t="s">
        <v>13</v>
      </c>
      <c r="G12" s="14">
        <f>100*G2/B2</f>
        <v>120.22072406166703</v>
      </c>
      <c r="H12" s="14">
        <f>100*H2/C2</f>
        <v>72.870247246220487</v>
      </c>
      <c r="I12" s="14">
        <f>100*I2/D2</f>
        <v>73.215534514826999</v>
      </c>
      <c r="J12" s="14">
        <f>100*J2/E2</f>
        <v>122.47066034425778</v>
      </c>
      <c r="R12" s="11"/>
    </row>
    <row r="13" spans="1:18" ht="24" x14ac:dyDescent="0.3">
      <c r="A13" s="4" t="s">
        <v>11</v>
      </c>
      <c r="B13" s="13"/>
      <c r="C13" s="14">
        <f>100*C2/$B$2</f>
        <v>99.28061092458627</v>
      </c>
      <c r="D13" s="14">
        <f>100*D2/$B$2</f>
        <v>94.868309488770407</v>
      </c>
      <c r="E13" s="14">
        <f>100*E2/$B$2</f>
        <v>19.195324949124085</v>
      </c>
      <c r="F13" s="4" t="s">
        <v>11</v>
      </c>
      <c r="G13" s="13"/>
      <c r="H13" s="14">
        <f>100*H2/$G$2</f>
        <v>60.177666715095164</v>
      </c>
      <c r="I13" s="14">
        <f>100*I2/$G$2</f>
        <v>57.77567920964696</v>
      </c>
      <c r="J13" s="14">
        <f>100*J2/$G$2</f>
        <v>19.55456632282435</v>
      </c>
      <c r="R13" s="11"/>
    </row>
    <row r="14" spans="1:18" ht="24" x14ac:dyDescent="0.3">
      <c r="A14" s="4" t="s">
        <v>12</v>
      </c>
      <c r="B14" s="13"/>
      <c r="C14" s="14">
        <f>100*C4/$B$4</f>
        <v>37.043746645041509</v>
      </c>
      <c r="D14" s="14">
        <f>100*D4/$B$4</f>
        <v>23.510836695723317</v>
      </c>
      <c r="E14" s="14">
        <f>100*E4/$B$4</f>
        <v>16.224296861110904</v>
      </c>
      <c r="F14" s="4" t="s">
        <v>12</v>
      </c>
      <c r="G14" s="13"/>
      <c r="H14" s="14">
        <f>100*H4/$G$4</f>
        <v>57.565546787866232</v>
      </c>
      <c r="I14" s="14">
        <f>100*I4/$G$4</f>
        <v>36.973780754888068</v>
      </c>
      <c r="J14" s="14">
        <f>100*J4/$G$4</f>
        <v>22.301973326309525</v>
      </c>
      <c r="R14" s="11"/>
    </row>
    <row r="15" spans="1:18" ht="24" x14ac:dyDescent="0.3">
      <c r="A15" s="17" t="s">
        <v>56</v>
      </c>
      <c r="B15" s="16">
        <v>2463.2247000000002</v>
      </c>
      <c r="C15" s="16">
        <v>2315.0399000000002</v>
      </c>
      <c r="D15" s="16">
        <v>2538.0952000000002</v>
      </c>
      <c r="E15" s="16">
        <v>11228.8442</v>
      </c>
      <c r="F15" s="17" t="s">
        <v>56</v>
      </c>
      <c r="G15" s="16">
        <v>2541.5879</v>
      </c>
      <c r="H15" s="16">
        <v>3945.7462999999998</v>
      </c>
      <c r="I15" s="16">
        <v>7143.7147000000004</v>
      </c>
      <c r="J15" s="16">
        <v>15485.669599999999</v>
      </c>
      <c r="R15" s="11"/>
    </row>
    <row r="16" spans="1:18" ht="24" x14ac:dyDescent="0.3">
      <c r="A16" s="28"/>
      <c r="B16" s="39"/>
      <c r="C16" s="39"/>
      <c r="D16" s="39"/>
      <c r="E16" s="39"/>
      <c r="F16" s="28"/>
      <c r="G16" s="39"/>
      <c r="H16" s="39"/>
      <c r="I16" s="39"/>
      <c r="J16" s="39"/>
      <c r="R16" s="11"/>
    </row>
    <row r="17" spans="1:18" ht="24" x14ac:dyDescent="0.3">
      <c r="A17" s="2" t="s">
        <v>37</v>
      </c>
      <c r="B17" s="1" t="s">
        <v>2</v>
      </c>
      <c r="C17" s="1" t="s">
        <v>5</v>
      </c>
      <c r="D17" s="1" t="s">
        <v>16</v>
      </c>
      <c r="E17" s="1" t="s">
        <v>9</v>
      </c>
      <c r="F17" s="2" t="s">
        <v>37</v>
      </c>
      <c r="G17" s="1" t="s">
        <v>6</v>
      </c>
      <c r="H17" s="1" t="s">
        <v>7</v>
      </c>
      <c r="I17" s="1" t="s">
        <v>8</v>
      </c>
      <c r="J17" s="1" t="s">
        <v>10</v>
      </c>
      <c r="R17" s="11"/>
    </row>
    <row r="18" spans="1:18" ht="24" x14ac:dyDescent="0.3">
      <c r="A18" s="4" t="s">
        <v>0</v>
      </c>
      <c r="B18" s="15">
        <v>76514200000</v>
      </c>
      <c r="C18" s="15">
        <v>73968780000</v>
      </c>
      <c r="D18" s="15">
        <v>66430040000</v>
      </c>
      <c r="E18" s="15">
        <v>10113540000</v>
      </c>
      <c r="F18" s="4" t="s">
        <v>0</v>
      </c>
      <c r="G18" s="15">
        <v>86037460000</v>
      </c>
      <c r="H18" s="15">
        <v>55933420000</v>
      </c>
      <c r="I18" s="15">
        <v>47291520000</v>
      </c>
      <c r="J18" s="15">
        <v>9881790000</v>
      </c>
      <c r="R18" s="11"/>
    </row>
    <row r="19" spans="1:18" ht="24" x14ac:dyDescent="0.3">
      <c r="A19" s="4" t="s">
        <v>1</v>
      </c>
      <c r="B19" s="12">
        <f>B20+B21</f>
        <v>8329232700</v>
      </c>
      <c r="C19" s="12">
        <f>C20+C21</f>
        <v>8329242500</v>
      </c>
      <c r="D19" s="12">
        <f t="shared" ref="D19:E19" si="3">D20+D21</f>
        <v>6453766200</v>
      </c>
      <c r="E19" s="12">
        <f t="shared" si="3"/>
        <v>3134645420</v>
      </c>
      <c r="F19" s="4" t="s">
        <v>1</v>
      </c>
      <c r="G19" s="15">
        <f>G20+G21</f>
        <v>37738310000</v>
      </c>
      <c r="H19" s="15">
        <f t="shared" ref="H19:J19" si="4">H20+H21</f>
        <v>13881946300</v>
      </c>
      <c r="I19" s="15">
        <f t="shared" si="4"/>
        <v>7969306800</v>
      </c>
      <c r="J19" s="15">
        <f t="shared" si="4"/>
        <v>4148089420</v>
      </c>
      <c r="R19" s="11"/>
    </row>
    <row r="20" spans="1:18" ht="24" x14ac:dyDescent="0.3">
      <c r="A20" s="4" t="s">
        <v>50</v>
      </c>
      <c r="B20" s="15">
        <v>770390700</v>
      </c>
      <c r="C20" s="15">
        <v>770410500</v>
      </c>
      <c r="D20" s="15">
        <v>2888943000</v>
      </c>
      <c r="E20" s="15">
        <v>79036420</v>
      </c>
      <c r="F20" s="4" t="s">
        <v>50</v>
      </c>
      <c r="G20" s="15">
        <v>37738310000</v>
      </c>
      <c r="H20" s="15">
        <v>737476300</v>
      </c>
      <c r="I20" s="15">
        <v>1544795000</v>
      </c>
      <c r="J20" s="15">
        <v>79036420</v>
      </c>
      <c r="R20" s="11"/>
    </row>
    <row r="21" spans="1:18" ht="22" x14ac:dyDescent="0.3">
      <c r="A21" s="4" t="s">
        <v>51</v>
      </c>
      <c r="B21" s="15">
        <v>7558842000</v>
      </c>
      <c r="C21" s="15">
        <v>7558832000</v>
      </c>
      <c r="D21" s="12">
        <f>158070200+3406753000</f>
        <v>3564823200</v>
      </c>
      <c r="E21" s="15">
        <v>3055609000</v>
      </c>
      <c r="F21" s="4" t="s">
        <v>51</v>
      </c>
      <c r="G21" s="12">
        <v>0</v>
      </c>
      <c r="H21" s="15">
        <v>13144470000</v>
      </c>
      <c r="I21" s="15">
        <f>158072800+6266439000</f>
        <v>6424511800</v>
      </c>
      <c r="J21" s="15">
        <v>4069053000</v>
      </c>
    </row>
    <row r="22" spans="1:18" ht="22" x14ac:dyDescent="0.3">
      <c r="A22" s="4" t="s">
        <v>15</v>
      </c>
      <c r="B22" s="13">
        <v>0</v>
      </c>
      <c r="C22" s="16">
        <v>90.750500000000002</v>
      </c>
      <c r="D22" s="16">
        <v>55.2363</v>
      </c>
      <c r="E22" s="16">
        <v>97.4786</v>
      </c>
      <c r="F22" s="4" t="s">
        <v>15</v>
      </c>
      <c r="G22" s="13">
        <v>0</v>
      </c>
      <c r="H22" s="16">
        <v>94.6875</v>
      </c>
      <c r="I22" s="16">
        <v>72.650099999999995</v>
      </c>
      <c r="J22" s="16">
        <v>98.0946</v>
      </c>
    </row>
    <row r="23" spans="1:18" ht="22" x14ac:dyDescent="0.3">
      <c r="A23" s="4" t="s">
        <v>14</v>
      </c>
      <c r="B23" s="14">
        <f t="shared" ref="B23:J23" si="5">B19/B18*100</f>
        <v>10.885865238086526</v>
      </c>
      <c r="C23" s="14">
        <f t="shared" si="5"/>
        <v>11.260483814928406</v>
      </c>
      <c r="D23" s="14">
        <f t="shared" si="5"/>
        <v>9.7151321901958809</v>
      </c>
      <c r="E23" s="14">
        <f t="shared" si="5"/>
        <v>30.994542168222004</v>
      </c>
      <c r="F23" s="4" t="s">
        <v>14</v>
      </c>
      <c r="G23" s="14">
        <f t="shared" si="5"/>
        <v>43.862650059636813</v>
      </c>
      <c r="H23" s="14">
        <f t="shared" si="5"/>
        <v>24.818697479968147</v>
      </c>
      <c r="I23" s="14">
        <f t="shared" si="5"/>
        <v>16.851449900531851</v>
      </c>
      <c r="J23" s="14">
        <f t="shared" si="5"/>
        <v>41.977105564882478</v>
      </c>
    </row>
    <row r="24" spans="1:18" ht="22" x14ac:dyDescent="0.3">
      <c r="A24" s="4" t="s">
        <v>3</v>
      </c>
      <c r="B24" s="13">
        <v>10.09</v>
      </c>
      <c r="C24" s="13">
        <v>10.23</v>
      </c>
      <c r="D24" s="13">
        <v>10.82</v>
      </c>
      <c r="E24" s="13">
        <v>4.1399999999999997</v>
      </c>
      <c r="F24" s="4" t="s">
        <v>3</v>
      </c>
      <c r="G24" s="13">
        <v>14.7</v>
      </c>
      <c r="H24" s="13">
        <v>6.23</v>
      </c>
      <c r="I24" s="13">
        <v>5.5</v>
      </c>
      <c r="J24" s="13">
        <v>3.71</v>
      </c>
    </row>
    <row r="25" spans="1:18" ht="22" x14ac:dyDescent="0.3">
      <c r="A25" s="4" t="s">
        <v>4</v>
      </c>
      <c r="B25" s="16">
        <v>0.39200000000000002</v>
      </c>
      <c r="C25" s="16">
        <v>0.41089999999999999</v>
      </c>
      <c r="D25" s="16">
        <v>0.4839</v>
      </c>
      <c r="E25" s="16">
        <v>1.2084999999999999</v>
      </c>
      <c r="F25" s="4" t="s">
        <v>4</v>
      </c>
      <c r="G25" s="16">
        <v>0.51559999999999995</v>
      </c>
      <c r="H25" s="16">
        <v>0.35580000000000001</v>
      </c>
      <c r="I25" s="16">
        <v>0.34370000000000001</v>
      </c>
      <c r="J25" s="16">
        <v>1.1072</v>
      </c>
    </row>
    <row r="26" spans="1:18" ht="22" x14ac:dyDescent="0.3">
      <c r="A26" s="4" t="s">
        <v>13</v>
      </c>
      <c r="B26" s="7"/>
      <c r="C26" s="7"/>
      <c r="D26" s="7"/>
      <c r="E26" s="7"/>
      <c r="F26" s="4" t="s">
        <v>13</v>
      </c>
      <c r="G26" s="8">
        <f>100*G18/B18</f>
        <v>112.44639557101819</v>
      </c>
      <c r="H26" s="8">
        <f>100*H18/C18</f>
        <v>75.617605157202803</v>
      </c>
      <c r="I26" s="8">
        <f>100*I18/D18</f>
        <v>71.18996164988009</v>
      </c>
      <c r="J26" s="8">
        <f>100*J18/E18</f>
        <v>97.708517492391394</v>
      </c>
    </row>
    <row r="27" spans="1:18" ht="22" x14ac:dyDescent="0.3">
      <c r="A27" s="4" t="s">
        <v>11</v>
      </c>
      <c r="B27" s="7"/>
      <c r="C27" s="8">
        <f>100*C18/$B$2</f>
        <v>103.35702791873491</v>
      </c>
      <c r="D27" s="8">
        <f>100*D18/$B$2</f>
        <v>92.823100488106974</v>
      </c>
      <c r="E27" s="8">
        <f>100*E18/$B$2</f>
        <v>14.131711191359953</v>
      </c>
      <c r="F27" s="4" t="s">
        <v>11</v>
      </c>
      <c r="G27" s="6"/>
      <c r="H27" s="8">
        <f>100*H18/$G$2</f>
        <v>65.010512857765505</v>
      </c>
      <c r="I27" s="8">
        <f>100*I18/$G$2</f>
        <v>54.966171727444426</v>
      </c>
      <c r="J27" s="8">
        <f>100*J18/$G$2</f>
        <v>11.485445300014529</v>
      </c>
    </row>
    <row r="28" spans="1:18" ht="22" x14ac:dyDescent="0.3">
      <c r="A28" s="4" t="s">
        <v>12</v>
      </c>
      <c r="B28" s="7"/>
      <c r="C28" s="8">
        <f>100*C19/$B$4</f>
        <v>23.960782728716833</v>
      </c>
      <c r="D28" s="8">
        <f>100*D19/$B$4</f>
        <v>18.565588611465746</v>
      </c>
      <c r="E28" s="8">
        <f>100*E19/$B$4</f>
        <v>9.0174536087990393</v>
      </c>
      <c r="F28" s="4" t="s">
        <v>12</v>
      </c>
      <c r="G28" s="6"/>
      <c r="H28" s="8">
        <f>100*H19/$G$4</f>
        <v>36.784758776956359</v>
      </c>
      <c r="I28" s="8">
        <f>100*I19/$G$4</f>
        <v>21.117285856202887</v>
      </c>
      <c r="J28" s="8">
        <f>100*J19/$G$4</f>
        <v>10.991720137971202</v>
      </c>
    </row>
    <row r="29" spans="1:18" ht="21" x14ac:dyDescent="0.25">
      <c r="A29" s="17" t="s">
        <v>58</v>
      </c>
      <c r="B29" s="16">
        <v>3087.8877000000002</v>
      </c>
      <c r="C29" s="16">
        <v>3046.9086000000002</v>
      </c>
      <c r="D29" s="16">
        <v>2858.5432000000001</v>
      </c>
      <c r="E29" s="16">
        <v>11958.088900000001</v>
      </c>
      <c r="F29" s="17" t="s">
        <v>58</v>
      </c>
      <c r="G29" s="16">
        <v>2576.098</v>
      </c>
      <c r="H29" s="16">
        <v>8629.7572</v>
      </c>
      <c r="I29" s="16">
        <v>9762.6401000000005</v>
      </c>
      <c r="J29" s="16">
        <v>17756.524600000001</v>
      </c>
    </row>
    <row r="30" spans="1:18" ht="21" x14ac:dyDescent="0.25">
      <c r="A30" s="9"/>
      <c r="B30" s="10"/>
      <c r="C30" s="10"/>
      <c r="D30" s="10"/>
      <c r="E30" s="10"/>
      <c r="F30" s="9"/>
      <c r="G30" s="10"/>
      <c r="H30" s="10"/>
      <c r="I30" s="10"/>
      <c r="J30" s="10"/>
    </row>
    <row r="31" spans="1:18" ht="21" x14ac:dyDescent="0.25">
      <c r="A31" s="9" t="s">
        <v>93</v>
      </c>
      <c r="B31" s="10"/>
      <c r="C31" s="10"/>
      <c r="D31" s="10"/>
      <c r="E31" s="10"/>
      <c r="F31" s="9"/>
      <c r="G31" s="10"/>
      <c r="H31" s="10"/>
      <c r="I31" s="10"/>
      <c r="J31" s="10"/>
    </row>
    <row r="32" spans="1:18" ht="24" x14ac:dyDescent="0.3">
      <c r="A32" s="19" t="s">
        <v>17</v>
      </c>
      <c r="B32" s="1" t="s">
        <v>16</v>
      </c>
      <c r="C32" s="1" t="s">
        <v>9</v>
      </c>
      <c r="D32" s="1" t="s">
        <v>8</v>
      </c>
      <c r="E32" s="1" t="s">
        <v>10</v>
      </c>
    </row>
    <row r="33" spans="1:5" ht="19" x14ac:dyDescent="0.25">
      <c r="A33" s="40" t="s">
        <v>0</v>
      </c>
      <c r="B33" s="45">
        <v>38896330000</v>
      </c>
      <c r="C33" s="45">
        <v>18736860000</v>
      </c>
      <c r="D33" s="45">
        <v>62482960000</v>
      </c>
      <c r="E33" s="45">
        <v>26703910000</v>
      </c>
    </row>
    <row r="34" spans="1:5" ht="19" x14ac:dyDescent="0.25">
      <c r="A34" s="40" t="s">
        <v>1</v>
      </c>
      <c r="B34" s="46">
        <f>B35+B36</f>
        <v>20334402412</v>
      </c>
      <c r="C34" s="46">
        <f>C35+C36</f>
        <v>13598404800</v>
      </c>
      <c r="D34" s="46">
        <f>D35+D36</f>
        <v>32593012412</v>
      </c>
      <c r="E34" s="46">
        <f>E35+E36</f>
        <v>21617719202</v>
      </c>
    </row>
    <row r="35" spans="1:5" ht="19" hidden="1" x14ac:dyDescent="0.25">
      <c r="A35" s="40" t="s">
        <v>50</v>
      </c>
      <c r="B35" s="45">
        <v>2412</v>
      </c>
      <c r="C35" s="45">
        <v>6698010</v>
      </c>
      <c r="D35" s="45">
        <v>2412</v>
      </c>
      <c r="E35" s="45">
        <v>2412</v>
      </c>
    </row>
    <row r="36" spans="1:5" ht="19" hidden="1" x14ac:dyDescent="0.25">
      <c r="A36" s="40" t="s">
        <v>51</v>
      </c>
      <c r="B36" s="45">
        <v>20334400000</v>
      </c>
      <c r="C36" s="46">
        <f>13571620000+20086790</f>
        <v>13591706790</v>
      </c>
      <c r="D36" s="45">
        <v>32593010000</v>
      </c>
      <c r="E36" s="46">
        <f>21597630000+20086790</f>
        <v>21617716790</v>
      </c>
    </row>
    <row r="37" spans="1:5" ht="19" x14ac:dyDescent="0.25">
      <c r="A37" s="40" t="s">
        <v>15</v>
      </c>
      <c r="B37" s="41">
        <v>100</v>
      </c>
      <c r="C37" s="47">
        <v>99.950699999999998</v>
      </c>
      <c r="D37" s="41">
        <v>100</v>
      </c>
      <c r="E37" s="41">
        <v>100</v>
      </c>
    </row>
    <row r="38" spans="1:5" ht="19" x14ac:dyDescent="0.25">
      <c r="A38" s="40" t="s">
        <v>14</v>
      </c>
      <c r="B38" s="43">
        <f>B34/B33*100</f>
        <v>52.278460235194423</v>
      </c>
      <c r="C38" s="43">
        <f>C34/C33*100</f>
        <v>72.57568664119816</v>
      </c>
      <c r="D38" s="43">
        <f>D34/B33*100</f>
        <v>83.794569852734185</v>
      </c>
      <c r="E38" s="43">
        <f>E34/E33*100</f>
        <v>80.953385485496327</v>
      </c>
    </row>
    <row r="39" spans="1:5" ht="19" x14ac:dyDescent="0.25">
      <c r="A39" s="40" t="s">
        <v>91</v>
      </c>
      <c r="B39" s="41">
        <v>4.71</v>
      </c>
      <c r="C39" s="44">
        <v>2.72</v>
      </c>
      <c r="D39" s="48">
        <v>7.41</v>
      </c>
      <c r="E39" s="44">
        <v>3.63</v>
      </c>
    </row>
    <row r="40" spans="1:5" ht="19" x14ac:dyDescent="0.25">
      <c r="A40" s="40" t="s">
        <v>92</v>
      </c>
      <c r="B40" s="47">
        <v>0.3579</v>
      </c>
      <c r="C40" s="47">
        <v>0.42430000000000001</v>
      </c>
      <c r="D40" s="47">
        <v>0.35189999999999999</v>
      </c>
      <c r="E40" s="47">
        <v>0.39889999999999998</v>
      </c>
    </row>
    <row r="41" spans="1:5" ht="19" x14ac:dyDescent="0.25">
      <c r="A41" s="40" t="s">
        <v>13</v>
      </c>
      <c r="B41" s="44"/>
      <c r="C41" s="44"/>
      <c r="D41" s="43">
        <f>100*D33/B33</f>
        <v>160.63973130626977</v>
      </c>
      <c r="E41" s="43">
        <f>100*E33/C33</f>
        <v>142.52073186222239</v>
      </c>
    </row>
    <row r="42" spans="1:5" ht="19" x14ac:dyDescent="0.25">
      <c r="A42" s="40" t="s">
        <v>11</v>
      </c>
      <c r="B42" s="43" t="e">
        <f>100*#REF!/#REF!</f>
        <v>#REF!</v>
      </c>
      <c r="C42" s="43" t="e">
        <f>100*C33/#REF!</f>
        <v>#REF!</v>
      </c>
      <c r="D42" s="43" t="e">
        <f>100*B33/#REF!</f>
        <v>#REF!</v>
      </c>
      <c r="E42" s="43" t="e">
        <f>100*E33/#REF!</f>
        <v>#REF!</v>
      </c>
    </row>
    <row r="43" spans="1:5" ht="19" x14ac:dyDescent="0.25">
      <c r="A43" s="40" t="s">
        <v>12</v>
      </c>
      <c r="B43" s="43" t="e">
        <f>100*B34/#REF!</f>
        <v>#REF!</v>
      </c>
      <c r="C43" s="43" t="e">
        <f>100*C34/#REF!</f>
        <v>#REF!</v>
      </c>
      <c r="D43" s="43" t="e">
        <f>100*D34/#REF!</f>
        <v>#REF!</v>
      </c>
      <c r="E43" s="43" t="e">
        <f>100*E34/#REF!</f>
        <v>#REF!</v>
      </c>
    </row>
    <row r="44" spans="1:5" ht="18" x14ac:dyDescent="0.2">
      <c r="A44" s="42" t="s">
        <v>56</v>
      </c>
      <c r="B44" s="42">
        <v>17489.204399999999</v>
      </c>
      <c r="C44" s="42">
        <v>40616.948900000003</v>
      </c>
      <c r="D44" s="42">
        <v>17702.492600000001</v>
      </c>
      <c r="E44" s="42">
        <v>48226.099399999999</v>
      </c>
    </row>
    <row r="45" spans="1:5" x14ac:dyDescent="0.2">
      <c r="A45" s="28"/>
      <c r="B45" s="39"/>
      <c r="C45" s="39"/>
      <c r="D45" s="39"/>
      <c r="E45" s="39"/>
    </row>
    <row r="46" spans="1:5" ht="24" x14ac:dyDescent="0.3">
      <c r="A46" s="19" t="s">
        <v>37</v>
      </c>
      <c r="B46" s="1" t="s">
        <v>16</v>
      </c>
      <c r="C46" s="1" t="s">
        <v>9</v>
      </c>
      <c r="D46" s="1" t="s">
        <v>8</v>
      </c>
      <c r="E46" s="1" t="s">
        <v>10</v>
      </c>
    </row>
    <row r="47" spans="1:5" ht="19" x14ac:dyDescent="0.25">
      <c r="A47" s="40" t="s">
        <v>0</v>
      </c>
      <c r="B47" s="45">
        <v>26062510000</v>
      </c>
      <c r="C47" s="45">
        <v>11231440000</v>
      </c>
      <c r="D47" s="45">
        <v>38300970000</v>
      </c>
      <c r="E47" s="45">
        <v>13027310000</v>
      </c>
    </row>
    <row r="48" spans="1:5" ht="19" x14ac:dyDescent="0.25">
      <c r="A48" s="40" t="s">
        <v>1</v>
      </c>
      <c r="B48" s="46">
        <f>B49+B50</f>
        <v>13034404120</v>
      </c>
      <c r="C48" s="46">
        <f>C49+C50</f>
        <v>6854723350</v>
      </c>
      <c r="D48" s="46">
        <f>D49+D50</f>
        <v>20663993640</v>
      </c>
      <c r="E48" s="46">
        <f>E49+E50</f>
        <v>10068306790</v>
      </c>
    </row>
    <row r="49" spans="1:5" ht="19" hidden="1" x14ac:dyDescent="0.25">
      <c r="A49" s="40" t="s">
        <v>50</v>
      </c>
      <c r="B49" s="46">
        <v>0</v>
      </c>
      <c r="C49" s="46">
        <v>0</v>
      </c>
      <c r="D49" s="46">
        <v>0</v>
      </c>
      <c r="E49" s="46">
        <v>0</v>
      </c>
    </row>
    <row r="50" spans="1:5" ht="19" hidden="1" x14ac:dyDescent="0.25">
      <c r="A50" s="40" t="s">
        <v>51</v>
      </c>
      <c r="B50" s="46">
        <f>40174120+12994230000</f>
        <v>13034404120</v>
      </c>
      <c r="C50" s="46">
        <f>383076200+6451560000+20087150</f>
        <v>6854723350</v>
      </c>
      <c r="D50" s="46">
        <f>40173640+20623820000</f>
        <v>20663993640</v>
      </c>
      <c r="E50" s="46">
        <f>20086790+10048220000</f>
        <v>10068306790</v>
      </c>
    </row>
    <row r="51" spans="1:5" ht="19" x14ac:dyDescent="0.25">
      <c r="A51" s="40" t="s">
        <v>15</v>
      </c>
      <c r="B51" s="41">
        <v>100</v>
      </c>
      <c r="C51" s="41">
        <v>100</v>
      </c>
      <c r="D51" s="41">
        <v>100</v>
      </c>
      <c r="E51" s="41">
        <v>100</v>
      </c>
    </row>
    <row r="52" spans="1:5" ht="19" x14ac:dyDescent="0.25">
      <c r="A52" s="40" t="s">
        <v>14</v>
      </c>
      <c r="B52" s="43">
        <f>B48/B47*100</f>
        <v>50.012082949800309</v>
      </c>
      <c r="C52" s="43">
        <f>C48/C47*100</f>
        <v>61.031562738170706</v>
      </c>
      <c r="D52" s="43">
        <f>D48/D47*100</f>
        <v>53.95161960650082</v>
      </c>
      <c r="E52" s="43">
        <f>E48/E47*100</f>
        <v>77.286153396211503</v>
      </c>
    </row>
    <row r="53" spans="1:5" ht="19" x14ac:dyDescent="0.25">
      <c r="A53" s="40" t="s">
        <v>91</v>
      </c>
      <c r="B53" s="44">
        <v>2.78</v>
      </c>
      <c r="C53" s="44">
        <v>3.87</v>
      </c>
      <c r="D53" s="41">
        <v>3.92</v>
      </c>
      <c r="E53" s="44">
        <v>2.2400000000000002</v>
      </c>
    </row>
    <row r="54" spans="1:5" ht="19" x14ac:dyDescent="0.25">
      <c r="A54" s="40" t="s">
        <v>92</v>
      </c>
      <c r="B54" s="47">
        <v>0.3125</v>
      </c>
      <c r="C54" s="47">
        <v>0.85960000000000003</v>
      </c>
      <c r="D54" s="47">
        <v>0.30130000000000001</v>
      </c>
      <c r="E54" s="47">
        <v>1.0412999999999999</v>
      </c>
    </row>
    <row r="55" spans="1:5" ht="19" x14ac:dyDescent="0.25">
      <c r="A55" s="40" t="s">
        <v>13</v>
      </c>
      <c r="B55" s="44"/>
      <c r="C55" s="44"/>
      <c r="D55" s="43">
        <f>100*D47/B47</f>
        <v>146.95810188657961</v>
      </c>
      <c r="E55" s="43">
        <f>100*E47/C47</f>
        <v>115.98966828830497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E343-4443-434D-A46A-51C90857B561}">
  <dimension ref="A4:I22"/>
  <sheetViews>
    <sheetView topLeftCell="A11" zoomScale="80" zoomScaleNormal="80" workbookViewId="0">
      <selection activeCell="G19" sqref="G19"/>
    </sheetView>
  </sheetViews>
  <sheetFormatPr baseColWidth="10" defaultColWidth="10.83203125" defaultRowHeight="16" x14ac:dyDescent="0.2"/>
  <cols>
    <col min="1" max="1" width="31.5" customWidth="1"/>
    <col min="2" max="2" width="17.83203125" customWidth="1"/>
    <col min="3" max="3" width="24.33203125" customWidth="1"/>
    <col min="4" max="4" width="22.5" customWidth="1"/>
    <col min="5" max="5" width="23.1640625" customWidth="1"/>
    <col min="6" max="6" width="20.1640625" customWidth="1"/>
    <col min="7" max="7" width="18.6640625" customWidth="1"/>
    <col min="8" max="8" width="21.1640625" customWidth="1"/>
    <col min="9" max="9" width="20.6640625" customWidth="1"/>
  </cols>
  <sheetData>
    <row r="4" spans="1:9" ht="21" x14ac:dyDescent="0.25">
      <c r="B4" s="1" t="s">
        <v>122</v>
      </c>
      <c r="C4" s="1" t="s">
        <v>124</v>
      </c>
      <c r="D4" s="1" t="s">
        <v>123</v>
      </c>
      <c r="E4" s="1" t="s">
        <v>125</v>
      </c>
      <c r="F4" s="1" t="s">
        <v>126</v>
      </c>
      <c r="G4" s="1" t="s">
        <v>128</v>
      </c>
      <c r="H4" s="1" t="s">
        <v>127</v>
      </c>
      <c r="I4" s="1" t="s">
        <v>129</v>
      </c>
    </row>
    <row r="5" spans="1:9" ht="22" x14ac:dyDescent="0.3">
      <c r="A5" s="4" t="s">
        <v>15</v>
      </c>
      <c r="B5" s="57">
        <v>76.143900000000002</v>
      </c>
      <c r="C5" s="44">
        <v>100</v>
      </c>
      <c r="D5" s="57">
        <v>98.598600000000005</v>
      </c>
      <c r="E5" s="58">
        <v>99.950699999999998</v>
      </c>
      <c r="F5" s="59">
        <v>87.629300000000001</v>
      </c>
      <c r="G5" s="59">
        <v>100</v>
      </c>
      <c r="H5" s="59">
        <v>99.060900000000004</v>
      </c>
      <c r="I5" s="59">
        <v>100</v>
      </c>
    </row>
    <row r="6" spans="1:9" ht="22" x14ac:dyDescent="0.3">
      <c r="A6" s="4" t="s">
        <v>14</v>
      </c>
      <c r="B6" s="8">
        <v>12.037685296961191</v>
      </c>
      <c r="C6" s="43">
        <v>52.278460235194423</v>
      </c>
      <c r="D6" s="8">
        <v>41.055039825643611</v>
      </c>
      <c r="E6" s="43">
        <v>72.57568664119816</v>
      </c>
      <c r="F6" s="59">
        <v>28.070068146956018</v>
      </c>
      <c r="G6" s="59">
        <v>83.794569852734185</v>
      </c>
      <c r="H6" s="59">
        <v>50.025307680694432</v>
      </c>
      <c r="I6" s="59">
        <v>80.953385485496327</v>
      </c>
    </row>
    <row r="7" spans="1:9" ht="21" x14ac:dyDescent="0.25">
      <c r="B7" s="1" t="s">
        <v>131</v>
      </c>
      <c r="C7" s="1" t="s">
        <v>130</v>
      </c>
      <c r="D7" s="1" t="s">
        <v>132</v>
      </c>
      <c r="E7" s="1" t="s">
        <v>133</v>
      </c>
      <c r="F7" s="1" t="s">
        <v>134</v>
      </c>
      <c r="G7" s="1" t="s">
        <v>135</v>
      </c>
      <c r="H7" s="1" t="s">
        <v>136</v>
      </c>
      <c r="I7" s="1" t="s">
        <v>137</v>
      </c>
    </row>
    <row r="8" spans="1:9" ht="22" x14ac:dyDescent="0.3">
      <c r="A8" s="4" t="s">
        <v>15</v>
      </c>
      <c r="B8" s="57">
        <v>76.143900000000002</v>
      </c>
      <c r="C8" s="59">
        <v>55.2363</v>
      </c>
      <c r="D8" s="57">
        <v>98.598600000000005</v>
      </c>
      <c r="E8" s="59">
        <v>97.4786</v>
      </c>
      <c r="F8" s="59">
        <v>100</v>
      </c>
      <c r="G8" s="59">
        <v>100</v>
      </c>
      <c r="H8" s="59">
        <v>99.950699999999998</v>
      </c>
      <c r="I8" s="59">
        <v>100</v>
      </c>
    </row>
    <row r="9" spans="1:9" ht="22" x14ac:dyDescent="0.3">
      <c r="A9" s="4" t="s">
        <v>14</v>
      </c>
      <c r="B9" s="8">
        <v>12.037685296961191</v>
      </c>
      <c r="C9" s="59">
        <v>9.7151321901958809</v>
      </c>
      <c r="D9" s="8">
        <v>41.055039825643611</v>
      </c>
      <c r="E9" s="59">
        <v>30.994542168222004</v>
      </c>
      <c r="F9" s="59">
        <v>52.278460235194423</v>
      </c>
      <c r="G9" s="59">
        <v>50.012082949800309</v>
      </c>
      <c r="H9" s="59">
        <v>72.57568664119816</v>
      </c>
      <c r="I9" s="59">
        <v>61.031562738170706</v>
      </c>
    </row>
    <row r="12" spans="1:9" ht="21" x14ac:dyDescent="0.25">
      <c r="E12" s="1" t="s">
        <v>123</v>
      </c>
      <c r="F12" s="1" t="s">
        <v>125</v>
      </c>
    </row>
    <row r="13" spans="1:9" ht="21" x14ac:dyDescent="0.25">
      <c r="F13" s="1" t="s">
        <v>124</v>
      </c>
    </row>
    <row r="20" spans="1:5" ht="21" x14ac:dyDescent="0.25">
      <c r="B20" s="1" t="s">
        <v>158</v>
      </c>
      <c r="C20" s="1" t="s">
        <v>157</v>
      </c>
      <c r="D20" s="1" t="s">
        <v>159</v>
      </c>
      <c r="E20" s="1" t="s">
        <v>156</v>
      </c>
    </row>
    <row r="21" spans="1:5" ht="24" x14ac:dyDescent="0.3">
      <c r="A21" s="17" t="s">
        <v>138</v>
      </c>
      <c r="B21" s="23">
        <v>11958.088900000001</v>
      </c>
      <c r="C21" s="16">
        <v>11228.8442</v>
      </c>
      <c r="D21" s="23">
        <v>17756.524600000001</v>
      </c>
      <c r="E21" s="16">
        <v>15485.669599999999</v>
      </c>
    </row>
    <row r="22" spans="1:5" ht="18" x14ac:dyDescent="0.2">
      <c r="A22" s="42" t="s">
        <v>139</v>
      </c>
      <c r="B22" s="30">
        <v>60029.864399999999</v>
      </c>
      <c r="C22" s="42">
        <v>40616.948900000003</v>
      </c>
      <c r="D22" s="30">
        <v>73456.793699999995</v>
      </c>
      <c r="E22" s="42">
        <v>48226.099399999999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D3E6-4989-EA4B-9642-965EC8400391}">
  <dimension ref="A1:AG80"/>
  <sheetViews>
    <sheetView tabSelected="1" topLeftCell="A6" zoomScale="40" zoomScaleNormal="40" workbookViewId="0">
      <selection activeCell="B62" sqref="B62:AB62"/>
    </sheetView>
  </sheetViews>
  <sheetFormatPr baseColWidth="10" defaultColWidth="10.83203125" defaultRowHeight="16" x14ac:dyDescent="0.2"/>
  <cols>
    <col min="1" max="1" width="57.1640625" customWidth="1"/>
    <col min="2" max="2" width="12.83203125" customWidth="1"/>
    <col min="3" max="3" width="14.33203125" customWidth="1"/>
    <col min="4" max="4" width="13.83203125" customWidth="1"/>
    <col min="5" max="5" width="12.5" customWidth="1"/>
    <col min="6" max="6" width="12.6640625" customWidth="1"/>
    <col min="7" max="7" width="12.5" customWidth="1"/>
    <col min="8" max="8" width="12.1640625" customWidth="1"/>
    <col min="9" max="9" width="12.83203125" customWidth="1"/>
    <col min="10" max="10" width="12.33203125" customWidth="1"/>
    <col min="11" max="11" width="13" customWidth="1"/>
    <col min="12" max="12" width="14" customWidth="1"/>
    <col min="13" max="13" width="13" customWidth="1"/>
    <col min="14" max="14" width="15.33203125" customWidth="1"/>
    <col min="15" max="16" width="12.83203125" customWidth="1"/>
    <col min="17" max="17" width="13" customWidth="1"/>
    <col min="18" max="18" width="12.6640625" customWidth="1"/>
    <col min="19" max="19" width="14.5" customWidth="1"/>
    <col min="20" max="21" width="12.1640625" customWidth="1"/>
    <col min="22" max="22" width="13" customWidth="1"/>
    <col min="23" max="23" width="13.1640625" customWidth="1"/>
    <col min="24" max="24" width="13" customWidth="1"/>
    <col min="25" max="25" width="12.5" customWidth="1"/>
    <col min="26" max="26" width="13.33203125" customWidth="1"/>
    <col min="27" max="27" width="12.1640625" customWidth="1"/>
    <col min="28" max="28" width="12.33203125" customWidth="1"/>
    <col min="30" max="30" width="6.6640625" customWidth="1"/>
    <col min="31" max="31" width="25.1640625" customWidth="1"/>
    <col min="32" max="32" width="18" customWidth="1"/>
    <col min="33" max="33" width="17.5" customWidth="1"/>
  </cols>
  <sheetData>
    <row r="1" spans="1:28" ht="20" x14ac:dyDescent="0.2">
      <c r="A1" s="49"/>
      <c r="B1" s="52">
        <v>1</v>
      </c>
      <c r="C1" s="52">
        <v>4</v>
      </c>
      <c r="D1" s="52">
        <v>8</v>
      </c>
      <c r="E1" s="52">
        <v>12</v>
      </c>
      <c r="F1" s="52">
        <v>16</v>
      </c>
      <c r="G1" s="52">
        <v>20</v>
      </c>
      <c r="H1" s="52">
        <v>24</v>
      </c>
      <c r="I1" s="52">
        <v>28</v>
      </c>
      <c r="J1" s="52">
        <v>32</v>
      </c>
      <c r="K1" s="52">
        <v>36</v>
      </c>
      <c r="L1" s="52">
        <v>40</v>
      </c>
      <c r="M1" s="52">
        <v>44</v>
      </c>
      <c r="N1" s="52">
        <v>48</v>
      </c>
      <c r="O1" s="52">
        <v>52</v>
      </c>
      <c r="P1" s="52">
        <v>56</v>
      </c>
      <c r="Q1" s="52">
        <v>60</v>
      </c>
      <c r="R1" s="52">
        <v>64</v>
      </c>
      <c r="S1" s="52">
        <v>68</v>
      </c>
      <c r="T1" s="52">
        <v>72</v>
      </c>
      <c r="U1" s="52">
        <v>76</v>
      </c>
      <c r="V1" s="52">
        <v>80</v>
      </c>
      <c r="W1" s="52">
        <v>84</v>
      </c>
      <c r="X1" s="52">
        <v>88</v>
      </c>
      <c r="Y1" s="52">
        <v>92</v>
      </c>
      <c r="Z1" s="52">
        <v>96</v>
      </c>
      <c r="AA1" s="52">
        <v>100</v>
      </c>
      <c r="AB1" s="52">
        <v>104</v>
      </c>
    </row>
    <row r="2" spans="1:28" ht="20" x14ac:dyDescent="0.2">
      <c r="A2" s="49" t="s">
        <v>87</v>
      </c>
      <c r="B2" s="49">
        <f>3439.9902</f>
        <v>3439.9902000000002</v>
      </c>
      <c r="C2" s="50">
        <f>2265.5891</f>
        <v>2265.5891000000001</v>
      </c>
      <c r="D2" s="49">
        <f>2098.8705</f>
        <v>2098.8705</v>
      </c>
      <c r="E2" s="49">
        <f>2113.181</f>
        <v>2113.181</v>
      </c>
      <c r="F2" s="49">
        <f>2073.841</f>
        <v>2073.8409999999999</v>
      </c>
      <c r="G2" s="50">
        <v>2074.2919000000002</v>
      </c>
      <c r="H2" s="50">
        <v>2095.4980999999998</v>
      </c>
      <c r="I2" s="50">
        <v>2481.6464000000001</v>
      </c>
      <c r="J2" s="50">
        <v>2108.2368000000001</v>
      </c>
      <c r="K2" s="50">
        <v>2156.2541999999999</v>
      </c>
      <c r="L2" s="50">
        <v>2155.7718</v>
      </c>
      <c r="M2" s="50">
        <v>2241.9884999999999</v>
      </c>
      <c r="N2" s="50">
        <v>2226.1107000000002</v>
      </c>
      <c r="O2" s="50">
        <v>2234.0007999999998</v>
      </c>
      <c r="P2" s="50">
        <v>2303.6280999999999</v>
      </c>
      <c r="Q2" s="50">
        <v>2317.1538</v>
      </c>
      <c r="R2" s="50">
        <v>2402.4106000000002</v>
      </c>
      <c r="S2" s="50">
        <v>2385.5965000000001</v>
      </c>
      <c r="T2" s="50">
        <v>2467.4013</v>
      </c>
      <c r="U2" s="49">
        <v>2472.1205</v>
      </c>
      <c r="V2" s="50">
        <v>2530.5612999999998</v>
      </c>
      <c r="W2" s="49">
        <v>2557.9558999999999</v>
      </c>
      <c r="X2" s="50">
        <v>2559.2584000000002</v>
      </c>
      <c r="Y2" s="50">
        <v>2665.3150000000001</v>
      </c>
      <c r="Z2" s="50">
        <v>2691.8609999999999</v>
      </c>
      <c r="AA2" s="49">
        <f>2700.983</f>
        <v>2700.9830000000002</v>
      </c>
      <c r="AB2" s="50">
        <v>2737.6291999999999</v>
      </c>
    </row>
    <row r="3" spans="1:28" ht="20" x14ac:dyDescent="0.2">
      <c r="A3" s="49" t="s">
        <v>86</v>
      </c>
      <c r="B3" s="49">
        <v>396.64359999999999</v>
      </c>
      <c r="C3" s="50">
        <v>257.41829999999999</v>
      </c>
      <c r="D3" s="49">
        <v>238.6748</v>
      </c>
      <c r="E3" s="49">
        <v>236.44470000000001</v>
      </c>
      <c r="F3" s="49">
        <v>231.5428</v>
      </c>
      <c r="G3" s="50">
        <v>230.42580000000001</v>
      </c>
      <c r="H3" s="50">
        <v>233.54929999999999</v>
      </c>
      <c r="I3" s="50">
        <v>281.32229999999998</v>
      </c>
      <c r="J3" s="50">
        <v>227.6378</v>
      </c>
      <c r="K3" s="50">
        <v>232.12719999999999</v>
      </c>
      <c r="L3" s="50">
        <v>233.1352</v>
      </c>
      <c r="M3" s="50">
        <v>235.28550000000001</v>
      </c>
      <c r="N3" s="50">
        <v>239.0446</v>
      </c>
      <c r="O3" s="50">
        <v>237.49719999999999</v>
      </c>
      <c r="P3" s="50">
        <v>241.93809999999999</v>
      </c>
      <c r="Q3" s="50">
        <v>246.10390000000001</v>
      </c>
      <c r="R3" s="50">
        <v>250.36080000000001</v>
      </c>
      <c r="S3" s="50">
        <v>249.55719999999999</v>
      </c>
      <c r="T3" s="50">
        <v>256.88040000000001</v>
      </c>
      <c r="U3" s="50">
        <v>249.98240000000001</v>
      </c>
      <c r="V3" s="50">
        <v>258.53480000000002</v>
      </c>
      <c r="W3" s="50">
        <v>264.00670000000002</v>
      </c>
      <c r="X3" s="50">
        <v>263.48590000000002</v>
      </c>
      <c r="Y3" s="50">
        <v>268.9203</v>
      </c>
      <c r="Z3" s="49">
        <v>270.11950000000002</v>
      </c>
      <c r="AA3" s="50">
        <v>271.5548</v>
      </c>
      <c r="AB3" s="50">
        <v>276.00889999999998</v>
      </c>
    </row>
    <row r="4" spans="1:28" ht="20" x14ac:dyDescent="0.2">
      <c r="A4" s="49" t="s">
        <v>94</v>
      </c>
      <c r="B4" s="49">
        <f>B3+B2</f>
        <v>3836.6338000000001</v>
      </c>
      <c r="C4" s="49">
        <f t="shared" ref="C4:G4" si="0">C3+C2</f>
        <v>2523.0074</v>
      </c>
      <c r="D4" s="49">
        <f t="shared" si="0"/>
        <v>2337.5452999999998</v>
      </c>
      <c r="E4" s="49">
        <f t="shared" si="0"/>
        <v>2349.6257000000001</v>
      </c>
      <c r="F4" s="49">
        <f t="shared" si="0"/>
        <v>2305.3838000000001</v>
      </c>
      <c r="G4" s="49">
        <f t="shared" si="0"/>
        <v>2304.7177000000001</v>
      </c>
      <c r="H4" s="49">
        <f t="shared" ref="H4" si="1">H3+H2</f>
        <v>2329.0473999999999</v>
      </c>
      <c r="I4" s="49">
        <v>2331</v>
      </c>
      <c r="J4" s="49">
        <f t="shared" ref="J4" si="2">J3+J2</f>
        <v>2335.8746000000001</v>
      </c>
      <c r="K4" s="49">
        <f t="shared" ref="K4:L4" si="3">K3+K2</f>
        <v>2388.3813999999998</v>
      </c>
      <c r="L4" s="49">
        <f t="shared" si="3"/>
        <v>2388.9070000000002</v>
      </c>
      <c r="M4" s="49">
        <f t="shared" ref="M4" si="4">M3+M2</f>
        <v>2477.2739999999999</v>
      </c>
      <c r="N4" s="49">
        <f t="shared" ref="N4" si="5">N3+N2</f>
        <v>2465.1553000000004</v>
      </c>
      <c r="O4" s="49">
        <f t="shared" ref="O4" si="6">O3+O2</f>
        <v>2471.4979999999996</v>
      </c>
      <c r="P4" s="49">
        <f t="shared" ref="P4:Q4" si="7">P3+P2</f>
        <v>2545.5661999999998</v>
      </c>
      <c r="Q4" s="49">
        <f t="shared" si="7"/>
        <v>2563.2577000000001</v>
      </c>
      <c r="R4" s="49">
        <f t="shared" ref="R4" si="8">R3+R2</f>
        <v>2652.7714000000001</v>
      </c>
      <c r="S4" s="49">
        <f t="shared" ref="S4" si="9">S3+S2</f>
        <v>2635.1537000000003</v>
      </c>
      <c r="T4" s="49">
        <f t="shared" ref="T4" si="10">T3+T2</f>
        <v>2724.2817</v>
      </c>
      <c r="U4" s="49">
        <f t="shared" ref="U4:V4" si="11">U3+U2</f>
        <v>2722.1028999999999</v>
      </c>
      <c r="V4" s="49">
        <f t="shared" si="11"/>
        <v>2789.0960999999998</v>
      </c>
      <c r="W4" s="49">
        <f t="shared" ref="W4" si="12">W3+W2</f>
        <v>2821.9625999999998</v>
      </c>
      <c r="X4" s="49">
        <f t="shared" ref="X4" si="13">X3+X2</f>
        <v>2822.7443000000003</v>
      </c>
      <c r="Y4" s="49">
        <f t="shared" ref="Y4" si="14">Y3+Y2</f>
        <v>2934.2353000000003</v>
      </c>
      <c r="Z4" s="49">
        <f t="shared" ref="Z4:AA4" si="15">Z3+Z2</f>
        <v>2961.9804999999997</v>
      </c>
      <c r="AA4" s="49">
        <f t="shared" si="15"/>
        <v>2972.5378000000001</v>
      </c>
      <c r="AB4" s="49">
        <f t="shared" ref="AB4" si="16">AB3+AB2</f>
        <v>3013.6380999999997</v>
      </c>
    </row>
    <row r="5" spans="1:28" ht="20" x14ac:dyDescent="0.2">
      <c r="A5" s="49" t="s">
        <v>75</v>
      </c>
      <c r="B5" s="51">
        <v>7888.8558000000003</v>
      </c>
      <c r="C5" s="50">
        <v>7336.7870999999996</v>
      </c>
      <c r="D5" s="50">
        <v>55667.451800000003</v>
      </c>
      <c r="E5" s="50">
        <v>81565.345499999996</v>
      </c>
      <c r="F5" s="50">
        <v>107137.0321</v>
      </c>
      <c r="G5" s="50">
        <v>134914.53289999999</v>
      </c>
      <c r="H5" s="50">
        <v>155764.88769999999</v>
      </c>
      <c r="I5" s="50">
        <v>174780.01149999999</v>
      </c>
      <c r="J5" s="50">
        <v>199074.68520000001</v>
      </c>
      <c r="K5" s="50">
        <v>228463.47339999999</v>
      </c>
      <c r="L5" s="50">
        <v>247618.44159999999</v>
      </c>
      <c r="M5" s="50">
        <v>276658.78230000002</v>
      </c>
      <c r="N5" s="50">
        <v>301121.68449999997</v>
      </c>
      <c r="O5" s="50">
        <v>313234.2316</v>
      </c>
      <c r="P5" s="50">
        <v>300451.076</v>
      </c>
      <c r="Q5" s="50">
        <v>309720.25890000002</v>
      </c>
      <c r="R5" s="50">
        <v>332036.00699999998</v>
      </c>
      <c r="S5" s="50">
        <v>322361.72330000001</v>
      </c>
      <c r="T5" s="50">
        <v>335476.1226</v>
      </c>
      <c r="U5" s="50">
        <v>349948.07659999997</v>
      </c>
      <c r="V5" s="50">
        <v>366346.1531</v>
      </c>
      <c r="W5" s="49">
        <v>378025.77710000001</v>
      </c>
      <c r="X5" s="50">
        <v>395170.68339999998</v>
      </c>
      <c r="Y5" s="50">
        <v>414976.78590000002</v>
      </c>
      <c r="Z5" s="51">
        <v>391693.71730000002</v>
      </c>
      <c r="AA5" s="49">
        <v>407188</v>
      </c>
      <c r="AB5" s="49">
        <v>420000</v>
      </c>
    </row>
    <row r="6" spans="1:28" ht="20" x14ac:dyDescent="0.2">
      <c r="A6" s="49" t="s">
        <v>96</v>
      </c>
      <c r="B6" s="50">
        <f>B5/1000</f>
        <v>7.8888558</v>
      </c>
      <c r="C6" s="50">
        <f>C5/1000+12</f>
        <v>19.336787099999999</v>
      </c>
      <c r="D6" s="50">
        <f t="shared" ref="D6:AB6" si="17">D5/1000</f>
        <v>55.667451800000002</v>
      </c>
      <c r="E6" s="50">
        <f t="shared" si="17"/>
        <v>81.565345499999992</v>
      </c>
      <c r="F6" s="50">
        <f t="shared" si="17"/>
        <v>107.1370321</v>
      </c>
      <c r="G6" s="50">
        <f t="shared" si="17"/>
        <v>134.91453289999998</v>
      </c>
      <c r="H6" s="50">
        <f t="shared" si="17"/>
        <v>155.7648877</v>
      </c>
      <c r="I6" s="50">
        <f t="shared" si="17"/>
        <v>174.7800115</v>
      </c>
      <c r="J6" s="50">
        <f t="shared" si="17"/>
        <v>199.0746852</v>
      </c>
      <c r="K6" s="50">
        <f t="shared" si="17"/>
        <v>228.4634734</v>
      </c>
      <c r="L6" s="50">
        <f t="shared" si="17"/>
        <v>247.61844159999998</v>
      </c>
      <c r="M6" s="50">
        <f t="shared" si="17"/>
        <v>276.65878230000004</v>
      </c>
      <c r="N6" s="50">
        <f t="shared" si="17"/>
        <v>301.12168449999996</v>
      </c>
      <c r="O6" s="50">
        <f t="shared" si="17"/>
        <v>313.23423159999999</v>
      </c>
      <c r="P6" s="50">
        <f t="shared" si="17"/>
        <v>300.451076</v>
      </c>
      <c r="Q6" s="50">
        <f t="shared" si="17"/>
        <v>309.72025890000003</v>
      </c>
      <c r="R6" s="50">
        <f t="shared" si="17"/>
        <v>332.03600699999998</v>
      </c>
      <c r="S6" s="50">
        <f t="shared" si="17"/>
        <v>322.36172329999999</v>
      </c>
      <c r="T6" s="50">
        <f t="shared" si="17"/>
        <v>335.4761226</v>
      </c>
      <c r="U6" s="50">
        <f t="shared" si="17"/>
        <v>349.94807659999998</v>
      </c>
      <c r="V6" s="50">
        <f t="shared" si="17"/>
        <v>366.34615309999998</v>
      </c>
      <c r="W6" s="50">
        <f t="shared" si="17"/>
        <v>378.02577710000003</v>
      </c>
      <c r="X6" s="50">
        <f t="shared" si="17"/>
        <v>395.17068339999997</v>
      </c>
      <c r="Y6" s="50">
        <f t="shared" si="17"/>
        <v>414.97678590000004</v>
      </c>
      <c r="Z6" s="50">
        <f t="shared" si="17"/>
        <v>391.6937173</v>
      </c>
      <c r="AA6" s="50">
        <f t="shared" si="17"/>
        <v>407.18799999999999</v>
      </c>
      <c r="AB6" s="50">
        <f t="shared" si="17"/>
        <v>420</v>
      </c>
    </row>
    <row r="7" spans="1:28" ht="20" x14ac:dyDescent="0.2">
      <c r="A7" s="49" t="s">
        <v>97</v>
      </c>
      <c r="B7" s="49">
        <f>189.6258+21.8645</f>
        <v>211.49029999999999</v>
      </c>
      <c r="C7" s="49">
        <f>191.132+21.7166</f>
        <v>212.8486</v>
      </c>
      <c r="D7" s="49">
        <f>189.1463+21.509</f>
        <v>210.65530000000001</v>
      </c>
      <c r="E7" s="49">
        <f>193.0032+21.5952</f>
        <v>214.5984</v>
      </c>
      <c r="F7" s="49">
        <f>191.6888+21.4019</f>
        <v>213.0907</v>
      </c>
      <c r="G7" s="49">
        <f>192.2281+21.354</f>
        <v>213.58210000000003</v>
      </c>
      <c r="H7" s="49">
        <f>193.823+21.6021</f>
        <v>215.42510000000001</v>
      </c>
      <c r="I7" s="49">
        <f>178.2195+20.2032</f>
        <v>198.42270000000002</v>
      </c>
      <c r="J7" s="49">
        <f>196.497+21.2169</f>
        <v>217.71390000000002</v>
      </c>
      <c r="K7" s="49">
        <f>197.586+21.2707</f>
        <v>218.85670000000002</v>
      </c>
      <c r="L7" s="49">
        <f>197.6632+21.3762</f>
        <v>219.0394</v>
      </c>
      <c r="M7" s="49">
        <f>201.7371+21.1713</f>
        <v>222.9084</v>
      </c>
      <c r="N7" s="49">
        <f>199.1933+21.3898</f>
        <v>220.5831</v>
      </c>
      <c r="O7" s="49">
        <f>201.0144+21.3699</f>
        <v>222.3843</v>
      </c>
      <c r="P7" s="49">
        <f>204.5923+21.4873</f>
        <v>226.0796</v>
      </c>
      <c r="Q7" s="49">
        <f>202.0255+21.457</f>
        <v>223.48249999999999</v>
      </c>
      <c r="R7" s="49">
        <f>206.3735+21.5067</f>
        <v>227.8802</v>
      </c>
      <c r="S7" s="49">
        <f>205.7259+21.521</f>
        <v>227.24689999999998</v>
      </c>
      <c r="T7" s="49">
        <f>206.8655+21.5367</f>
        <v>228.40219999999999</v>
      </c>
      <c r="U7" s="49">
        <f>207.9976+21.0329</f>
        <v>229.03050000000002</v>
      </c>
      <c r="V7" s="49">
        <f>208.8635+21.3385</f>
        <v>230.202</v>
      </c>
      <c r="W7" s="49">
        <f>209.32+21.6039</f>
        <v>230.9239</v>
      </c>
      <c r="X7" s="49">
        <f>210.3296+21.6543</f>
        <v>231.98390000000001</v>
      </c>
      <c r="Y7" s="49">
        <f>214.5143+21.6437</f>
        <v>236.15799999999999</v>
      </c>
      <c r="Z7" s="49">
        <f>214.906+21.5651</f>
        <v>236.47110000000001</v>
      </c>
      <c r="AA7" s="49">
        <v>237</v>
      </c>
      <c r="AB7" s="49">
        <f>216.6716+21.8449</f>
        <v>238.51650000000001</v>
      </c>
    </row>
    <row r="8" spans="1:28" ht="20" x14ac:dyDescent="0.2">
      <c r="A8" s="49" t="s">
        <v>87</v>
      </c>
      <c r="B8" s="50">
        <v>3270.9476</v>
      </c>
      <c r="C8" s="50">
        <f>2301.162</f>
        <v>2301.1619999999998</v>
      </c>
      <c r="D8" s="50">
        <v>2063.0439999999999</v>
      </c>
      <c r="E8" s="50">
        <v>2062.7530000000002</v>
      </c>
      <c r="F8" s="50">
        <v>2050.0810000000001</v>
      </c>
      <c r="G8" s="50">
        <v>2069.0684999999999</v>
      </c>
      <c r="H8" s="50">
        <v>2106.0257999999999</v>
      </c>
      <c r="I8" s="50">
        <v>2153.5527999999999</v>
      </c>
      <c r="J8" s="50">
        <v>2277.9169999999999</v>
      </c>
      <c r="K8" s="50">
        <v>2268.0913999999998</v>
      </c>
      <c r="L8" s="50">
        <v>2253.0138999999999</v>
      </c>
      <c r="M8" s="50">
        <v>2369.1014</v>
      </c>
      <c r="N8" s="50">
        <v>2406.4661999999998</v>
      </c>
      <c r="O8" s="50">
        <v>2384.1781999999998</v>
      </c>
      <c r="P8" s="50">
        <v>2440.9511000000002</v>
      </c>
      <c r="Q8" s="50">
        <v>2555.8730999999998</v>
      </c>
      <c r="R8" s="50">
        <v>2625.2262999999998</v>
      </c>
      <c r="S8" s="50">
        <v>2620.5021000000002</v>
      </c>
      <c r="T8" s="50">
        <v>2645.2642000000001</v>
      </c>
      <c r="U8" s="50">
        <v>2749.5902000000001</v>
      </c>
      <c r="V8" s="50">
        <v>2791.5342999999998</v>
      </c>
      <c r="W8" s="49">
        <v>2764.5783999999999</v>
      </c>
      <c r="X8" s="50">
        <v>2846.6898999999999</v>
      </c>
      <c r="Y8" s="50">
        <v>2970.9618</v>
      </c>
      <c r="Z8" s="50">
        <v>2900.6514000000002</v>
      </c>
      <c r="AA8" s="50">
        <v>2962.2547</v>
      </c>
      <c r="AB8" s="50">
        <v>3006.1390999999999</v>
      </c>
    </row>
    <row r="9" spans="1:28" ht="20" x14ac:dyDescent="0.2">
      <c r="A9" s="49" t="s">
        <v>86</v>
      </c>
      <c r="B9" s="50">
        <v>217.596</v>
      </c>
      <c r="C9" s="50">
        <v>185.05770000000001</v>
      </c>
      <c r="D9" s="50">
        <v>138.73859999999999</v>
      </c>
      <c r="E9" s="50">
        <v>132.4845</v>
      </c>
      <c r="F9" s="50">
        <v>128.33959999999999</v>
      </c>
      <c r="G9" s="50">
        <v>138.8355</v>
      </c>
      <c r="H9" s="50">
        <v>134.33430000000001</v>
      </c>
      <c r="I9" s="50">
        <v>137.40440000000001</v>
      </c>
      <c r="J9" s="50">
        <v>135.1858</v>
      </c>
      <c r="K9" s="50">
        <v>131.6979</v>
      </c>
      <c r="L9" s="50">
        <v>163.08529999999999</v>
      </c>
      <c r="M9" s="50">
        <v>143.3443</v>
      </c>
      <c r="N9" s="50">
        <v>141.0102</v>
      </c>
      <c r="O9" s="50">
        <v>136.9512</v>
      </c>
      <c r="P9" s="50">
        <v>142.62610000000001</v>
      </c>
      <c r="Q9" s="50">
        <v>143.4605</v>
      </c>
      <c r="R9" s="50">
        <v>148.63849999999999</v>
      </c>
      <c r="S9" s="50">
        <v>149.655</v>
      </c>
      <c r="T9" s="50">
        <v>144.81540000000001</v>
      </c>
      <c r="U9" s="50">
        <v>150.14789999999999</v>
      </c>
      <c r="V9" s="50">
        <v>164.08269999999999</v>
      </c>
      <c r="W9" s="50">
        <v>155.73249999999999</v>
      </c>
      <c r="X9" s="50">
        <v>153.3922</v>
      </c>
      <c r="Y9" s="50">
        <v>165.15960000000001</v>
      </c>
      <c r="Z9" s="49">
        <v>153.97049999999999</v>
      </c>
      <c r="AA9" s="50">
        <v>148.7046</v>
      </c>
      <c r="AB9" s="50">
        <v>152.14609999999999</v>
      </c>
    </row>
    <row r="10" spans="1:28" ht="20" x14ac:dyDescent="0.2">
      <c r="A10" s="49" t="s">
        <v>95</v>
      </c>
      <c r="B10" s="49">
        <f>B9+B8</f>
        <v>3488.5436</v>
      </c>
      <c r="C10" s="49">
        <f t="shared" ref="C10" si="18">C9+C8</f>
        <v>2486.2196999999996</v>
      </c>
      <c r="D10" s="49">
        <f t="shared" ref="D10" si="19">D9+D8</f>
        <v>2201.7826</v>
      </c>
      <c r="E10" s="49">
        <f t="shared" ref="E10" si="20">E9+E8</f>
        <v>2195.2375000000002</v>
      </c>
      <c r="F10" s="49">
        <f t="shared" ref="F10" si="21">F9+F8</f>
        <v>2178.4205999999999</v>
      </c>
      <c r="G10" s="49">
        <f t="shared" ref="G10" si="22">G9+G8</f>
        <v>2207.904</v>
      </c>
      <c r="H10" s="49">
        <f t="shared" ref="H10" si="23">H9+H8</f>
        <v>2240.3600999999999</v>
      </c>
      <c r="I10" s="49">
        <f t="shared" ref="I10" si="24">I9+I8</f>
        <v>2290.9571999999998</v>
      </c>
      <c r="J10" s="49">
        <f t="shared" ref="J10" si="25">J9+J8</f>
        <v>2413.1028000000001</v>
      </c>
      <c r="K10" s="49">
        <f t="shared" ref="K10" si="26">K9+K8</f>
        <v>2399.7892999999999</v>
      </c>
      <c r="L10" s="49">
        <f t="shared" ref="L10" si="27">L9+L8</f>
        <v>2416.0992000000001</v>
      </c>
      <c r="M10" s="49">
        <f t="shared" ref="M10" si="28">M9+M8</f>
        <v>2512.4457000000002</v>
      </c>
      <c r="N10" s="49">
        <f t="shared" ref="N10" si="29">N9+N8</f>
        <v>2547.4764</v>
      </c>
      <c r="O10" s="49">
        <f t="shared" ref="O10" si="30">O9+O8</f>
        <v>2521.1293999999998</v>
      </c>
      <c r="P10" s="49">
        <f t="shared" ref="P10" si="31">P9+P8</f>
        <v>2583.5772000000002</v>
      </c>
      <c r="Q10" s="49">
        <f t="shared" ref="Q10" si="32">Q9+Q8</f>
        <v>2699.3335999999999</v>
      </c>
      <c r="R10" s="49">
        <f t="shared" ref="R10" si="33">R9+R8</f>
        <v>2773.8647999999998</v>
      </c>
      <c r="S10" s="49">
        <f t="shared" ref="S10" si="34">S9+S8</f>
        <v>2770.1571000000004</v>
      </c>
      <c r="T10" s="49">
        <f t="shared" ref="T10" si="35">T9+T8</f>
        <v>2790.0796</v>
      </c>
      <c r="U10" s="49">
        <f t="shared" ref="U10" si="36">U9+U8</f>
        <v>2899.7381</v>
      </c>
      <c r="V10" s="49">
        <f t="shared" ref="V10" si="37">V9+V8</f>
        <v>2955.6169999999997</v>
      </c>
      <c r="W10" s="49">
        <f t="shared" ref="W10" si="38">W9+W8</f>
        <v>2920.3108999999999</v>
      </c>
      <c r="X10" s="49">
        <f t="shared" ref="X10" si="39">X9+X8</f>
        <v>3000.0820999999996</v>
      </c>
      <c r="Y10" s="49">
        <f t="shared" ref="Y10" si="40">Y9+Y8</f>
        <v>3136.1214</v>
      </c>
      <c r="Z10" s="49">
        <f t="shared" ref="Z10" si="41">Z9+Z8</f>
        <v>3054.6219000000001</v>
      </c>
      <c r="AA10" s="49">
        <f t="shared" ref="AA10" si="42">AA9+AA8</f>
        <v>3110.9593</v>
      </c>
      <c r="AB10" s="49">
        <f t="shared" ref="AB10" si="43">AB9+AB8</f>
        <v>3158.2851999999998</v>
      </c>
    </row>
    <row r="11" spans="1:28" ht="20" x14ac:dyDescent="0.2">
      <c r="A11" s="49" t="s">
        <v>75</v>
      </c>
      <c r="B11" s="51">
        <v>15632.3014</v>
      </c>
      <c r="C11" s="50">
        <v>14271.6181</v>
      </c>
      <c r="D11" s="50">
        <v>110429.7852</v>
      </c>
      <c r="E11" s="50">
        <v>163569.37460000001</v>
      </c>
      <c r="F11" s="50">
        <v>216997.6404</v>
      </c>
      <c r="G11" s="50">
        <v>271636.19760000001</v>
      </c>
      <c r="H11" s="50">
        <v>318449.83750000002</v>
      </c>
      <c r="I11" s="50">
        <v>361152.4705</v>
      </c>
      <c r="J11" s="50">
        <v>415958.31219999999</v>
      </c>
      <c r="K11" s="50">
        <v>468706.94140000001</v>
      </c>
      <c r="L11" s="50">
        <v>505640.86450000003</v>
      </c>
      <c r="M11" s="50">
        <v>564647.31850000005</v>
      </c>
      <c r="N11" s="50">
        <v>606990.90830000001</v>
      </c>
      <c r="O11" s="50">
        <v>639447.97739999997</v>
      </c>
      <c r="P11" s="50">
        <v>627207.16090000002</v>
      </c>
      <c r="Q11" s="50">
        <v>658972.86369999999</v>
      </c>
      <c r="R11" s="50">
        <v>689985.59169999999</v>
      </c>
      <c r="S11" s="50">
        <v>696978.64549999998</v>
      </c>
      <c r="T11" s="50">
        <v>715557.38370000001</v>
      </c>
      <c r="U11" s="50">
        <v>743706.53460000001</v>
      </c>
      <c r="V11" s="50">
        <v>751507.75</v>
      </c>
      <c r="W11" s="50">
        <v>775398.66359999997</v>
      </c>
      <c r="X11" s="50">
        <v>825374.30630000005</v>
      </c>
      <c r="Y11" s="50">
        <v>817106.76060000004</v>
      </c>
      <c r="Z11" s="50">
        <v>873631.42669999995</v>
      </c>
      <c r="AA11" s="50">
        <v>874775.96050000004</v>
      </c>
      <c r="AB11" s="50">
        <v>808027.58349999995</v>
      </c>
    </row>
    <row r="12" spans="1:28" ht="20" x14ac:dyDescent="0.2">
      <c r="A12" s="49" t="s">
        <v>108</v>
      </c>
      <c r="B12" s="50">
        <f>B11/1000</f>
        <v>15.632301400000001</v>
      </c>
      <c r="C12" s="50">
        <f>C11/1000+10</f>
        <v>24.271618099999998</v>
      </c>
      <c r="D12" s="50">
        <f t="shared" ref="D12:AB12" si="44">D11/1000</f>
        <v>110.4297852</v>
      </c>
      <c r="E12" s="50">
        <f t="shared" si="44"/>
        <v>163.5693746</v>
      </c>
      <c r="F12" s="50">
        <f t="shared" si="44"/>
        <v>216.99764039999999</v>
      </c>
      <c r="G12" s="50">
        <f t="shared" si="44"/>
        <v>271.6361976</v>
      </c>
      <c r="H12" s="50">
        <f t="shared" si="44"/>
        <v>318.4498375</v>
      </c>
      <c r="I12" s="50">
        <f t="shared" si="44"/>
        <v>361.15247049999999</v>
      </c>
      <c r="J12" s="50">
        <f t="shared" si="44"/>
        <v>415.95831219999997</v>
      </c>
      <c r="K12" s="50">
        <f t="shared" si="44"/>
        <v>468.70694140000001</v>
      </c>
      <c r="L12" s="50">
        <f t="shared" si="44"/>
        <v>505.64086450000002</v>
      </c>
      <c r="M12" s="50">
        <f t="shared" si="44"/>
        <v>564.6473185000001</v>
      </c>
      <c r="N12" s="50">
        <f t="shared" si="44"/>
        <v>606.9909083</v>
      </c>
      <c r="O12" s="50">
        <f t="shared" si="44"/>
        <v>639.44797740000001</v>
      </c>
      <c r="P12" s="50">
        <f t="shared" si="44"/>
        <v>627.20716089999996</v>
      </c>
      <c r="Q12" s="50">
        <f t="shared" si="44"/>
        <v>658.97286369999995</v>
      </c>
      <c r="R12" s="50">
        <f t="shared" si="44"/>
        <v>689.98559169999999</v>
      </c>
      <c r="S12" s="50">
        <f t="shared" si="44"/>
        <v>696.97864549999997</v>
      </c>
      <c r="T12" s="50">
        <f t="shared" si="44"/>
        <v>715.55738370000006</v>
      </c>
      <c r="U12" s="50">
        <f t="shared" si="44"/>
        <v>743.70653460000005</v>
      </c>
      <c r="V12" s="50">
        <f t="shared" si="44"/>
        <v>751.50774999999999</v>
      </c>
      <c r="W12" s="50">
        <f t="shared" si="44"/>
        <v>775.39866359999996</v>
      </c>
      <c r="X12" s="50">
        <f t="shared" si="44"/>
        <v>825.37430630000006</v>
      </c>
      <c r="Y12" s="50">
        <f t="shared" si="44"/>
        <v>817.10676060000003</v>
      </c>
      <c r="Z12" s="50">
        <f t="shared" si="44"/>
        <v>873.63142669999991</v>
      </c>
      <c r="AA12" s="50">
        <f t="shared" si="44"/>
        <v>874.7759605</v>
      </c>
      <c r="AB12" s="50">
        <f t="shared" si="44"/>
        <v>808.02758349999999</v>
      </c>
    </row>
    <row r="13" spans="1:28" ht="20" x14ac:dyDescent="0.2">
      <c r="A13" s="49" t="s">
        <v>98</v>
      </c>
      <c r="B13" s="49">
        <f>334.8021+22.2723</f>
        <v>357.07439999999997</v>
      </c>
      <c r="C13" s="49">
        <v>355</v>
      </c>
      <c r="D13" s="49">
        <f>329.3519+22.1488</f>
        <v>351.50069999999999</v>
      </c>
      <c r="E13" s="49">
        <f>340.1216+21.845</f>
        <v>361.96659999999997</v>
      </c>
      <c r="F13" s="49">
        <f>338.7013+21.2035</f>
        <v>359.90480000000002</v>
      </c>
      <c r="G13" s="49">
        <f>344.4786+23.1146</f>
        <v>367.59319999999997</v>
      </c>
      <c r="H13" s="49">
        <f>352.2442+22.4681</f>
        <v>374.71229999999997</v>
      </c>
      <c r="I13" s="49">
        <f>358.1242+22.8496</f>
        <v>380.97379999999998</v>
      </c>
      <c r="J13" s="49">
        <f>364.9875+21.6607</f>
        <v>386.64820000000003</v>
      </c>
      <c r="K13" s="49">
        <f>364.5253+21.1663</f>
        <v>385.69159999999999</v>
      </c>
      <c r="L13" s="49">
        <f>367.9314+26.6328</f>
        <v>394.56419999999997</v>
      </c>
      <c r="M13" s="49">
        <f>375.6864+22.7312</f>
        <v>398.41759999999999</v>
      </c>
      <c r="N13" s="49">
        <f>378.3858+22.172</f>
        <v>400.55780000000004</v>
      </c>
      <c r="O13" s="49">
        <f>384.0222+22.0589</f>
        <v>406.08109999999999</v>
      </c>
      <c r="P13" s="49">
        <f>388.8193+22.7189</f>
        <v>411.53820000000002</v>
      </c>
      <c r="Q13" s="49">
        <f>393.9074+22.1099</f>
        <v>416.01729999999998</v>
      </c>
      <c r="R13" s="49">
        <f>400.047+22.6503</f>
        <v>422.69730000000004</v>
      </c>
      <c r="S13" s="49">
        <f>403.5051+23.0439</f>
        <v>426.54900000000004</v>
      </c>
      <c r="T13" s="49">
        <f>407.1049+22.287</f>
        <v>429.39189999999996</v>
      </c>
      <c r="U13" s="49">
        <f>410.3619+22.4088</f>
        <v>432.77069999999998</v>
      </c>
      <c r="V13" s="49">
        <f>416.927+24.5064</f>
        <v>441.43340000000001</v>
      </c>
      <c r="W13" s="49">
        <f>416.6489+23.4704</f>
        <v>440.11930000000001</v>
      </c>
      <c r="X13" s="49">
        <f>421.5201+22.7134</f>
        <v>444.23349999999999</v>
      </c>
      <c r="Y13" s="49">
        <f>429.3961+23.8707</f>
        <v>453.26679999999999</v>
      </c>
      <c r="Z13" s="49">
        <f>426.6521+22.6473</f>
        <v>449.29939999999999</v>
      </c>
      <c r="AA13" s="49">
        <f>432.502+21.7115</f>
        <v>454.21350000000001</v>
      </c>
      <c r="AB13" s="49">
        <f>434.4333+21.9874</f>
        <v>456.42069999999995</v>
      </c>
    </row>
    <row r="14" spans="1:28" ht="20" x14ac:dyDescent="0.2">
      <c r="A14" s="49" t="s">
        <v>87</v>
      </c>
      <c r="B14" s="50">
        <v>2672.6689999999999</v>
      </c>
      <c r="C14" s="50">
        <v>1817.8607999999999</v>
      </c>
      <c r="D14" s="50">
        <v>1776.3001999999999</v>
      </c>
      <c r="E14" s="50">
        <v>1978.2231999999999</v>
      </c>
      <c r="F14" s="50">
        <v>1807.9658999999999</v>
      </c>
      <c r="G14" s="50">
        <v>1852.0559000000001</v>
      </c>
      <c r="H14" s="50">
        <v>1942.0220999999999</v>
      </c>
      <c r="I14" s="50">
        <v>1925.3798999999999</v>
      </c>
      <c r="J14" s="50">
        <v>2006.3922</v>
      </c>
      <c r="K14" s="50">
        <v>2075.1822000000002</v>
      </c>
      <c r="L14" s="50">
        <v>2050.2422999999999</v>
      </c>
      <c r="M14" s="50">
        <v>2187.9209000000001</v>
      </c>
      <c r="N14" s="50">
        <v>2155.1224999999999</v>
      </c>
      <c r="O14" s="50">
        <v>2218.9034000000001</v>
      </c>
      <c r="P14" s="50">
        <v>2276.4058</v>
      </c>
      <c r="Q14" s="50">
        <v>2300.4367000000002</v>
      </c>
      <c r="R14" s="50">
        <v>2370.9214999999999</v>
      </c>
      <c r="S14" s="50">
        <v>2516.9396999999999</v>
      </c>
      <c r="T14" s="50">
        <v>2537.1729</v>
      </c>
      <c r="U14" s="50">
        <v>2658.2732000000001</v>
      </c>
      <c r="V14" s="50">
        <v>2614.0070000000001</v>
      </c>
      <c r="W14" s="50">
        <v>2638.1543000000001</v>
      </c>
      <c r="X14" s="50">
        <v>2824.6052</v>
      </c>
      <c r="Y14" s="50">
        <v>2746.2370999999998</v>
      </c>
      <c r="Z14" s="50">
        <v>2825.3402000000001</v>
      </c>
      <c r="AA14" s="50">
        <v>2794.1223</v>
      </c>
      <c r="AB14" s="50">
        <f>2810.7349</f>
        <v>2810.7348999999999</v>
      </c>
    </row>
    <row r="15" spans="1:28" ht="20" x14ac:dyDescent="0.2">
      <c r="A15" s="49" t="s">
        <v>86</v>
      </c>
      <c r="B15" s="50">
        <v>178.0889</v>
      </c>
      <c r="C15" s="50">
        <v>123.88679999999999</v>
      </c>
      <c r="D15" s="50">
        <v>108.505</v>
      </c>
      <c r="E15" s="50">
        <v>143.0966</v>
      </c>
      <c r="F15" s="50">
        <v>116.84780000000001</v>
      </c>
      <c r="G15" s="50">
        <v>121.03740000000001</v>
      </c>
      <c r="H15" s="50">
        <v>110.35120000000001</v>
      </c>
      <c r="I15" s="50">
        <v>109.27979999999999</v>
      </c>
      <c r="J15" s="50">
        <v>123.9803</v>
      </c>
      <c r="K15" s="50">
        <v>124.63939999999999</v>
      </c>
      <c r="L15" s="50">
        <v>113.9913</v>
      </c>
      <c r="M15" s="50">
        <v>120.4101</v>
      </c>
      <c r="N15" s="50">
        <v>122.407</v>
      </c>
      <c r="O15" s="50">
        <v>138.86240000000001</v>
      </c>
      <c r="P15" s="50">
        <v>128.99789999999999</v>
      </c>
      <c r="Q15" s="50">
        <v>133.19460000000001</v>
      </c>
      <c r="R15" s="50">
        <v>129.97649999999999</v>
      </c>
      <c r="S15" s="50">
        <v>133.26339999999999</v>
      </c>
      <c r="T15" s="50">
        <v>134.1634</v>
      </c>
      <c r="U15" s="50">
        <v>159.82</v>
      </c>
      <c r="V15" s="50">
        <v>132.58269999999999</v>
      </c>
      <c r="W15" s="50">
        <v>144.23259999999999</v>
      </c>
      <c r="X15" s="50">
        <v>147.1354</v>
      </c>
      <c r="Y15" s="50">
        <v>150.52959999999999</v>
      </c>
      <c r="Z15" s="50">
        <v>147.99350000000001</v>
      </c>
      <c r="AA15" s="50">
        <v>138.96209999999999</v>
      </c>
      <c r="AB15" s="50">
        <v>135.82300000000001</v>
      </c>
    </row>
    <row r="16" spans="1:28" ht="20" x14ac:dyDescent="0.2">
      <c r="A16" s="60" t="s">
        <v>109</v>
      </c>
      <c r="B16" s="49">
        <f>B15+B14</f>
        <v>2850.7579000000001</v>
      </c>
      <c r="C16" s="49">
        <f t="shared" ref="C16:AB16" si="45">C15+C14</f>
        <v>1941.7475999999999</v>
      </c>
      <c r="D16" s="49">
        <v>2000</v>
      </c>
      <c r="E16" s="49">
        <f t="shared" si="45"/>
        <v>2121.3197999999998</v>
      </c>
      <c r="F16" s="49">
        <f t="shared" si="45"/>
        <v>1924.8136999999999</v>
      </c>
      <c r="G16" s="49">
        <f t="shared" si="45"/>
        <v>1973.0933</v>
      </c>
      <c r="H16" s="49">
        <f t="shared" si="45"/>
        <v>2052.3732999999997</v>
      </c>
      <c r="I16" s="49">
        <f t="shared" si="45"/>
        <v>2034.6596999999999</v>
      </c>
      <c r="J16" s="49">
        <f t="shared" si="45"/>
        <v>2130.3724999999999</v>
      </c>
      <c r="K16" s="49">
        <f t="shared" si="45"/>
        <v>2199.8216000000002</v>
      </c>
      <c r="L16" s="49">
        <f t="shared" si="45"/>
        <v>2164.2336</v>
      </c>
      <c r="M16" s="49">
        <f t="shared" si="45"/>
        <v>2308.3310000000001</v>
      </c>
      <c r="N16" s="49">
        <f t="shared" si="45"/>
        <v>2277.5295000000001</v>
      </c>
      <c r="O16" s="49">
        <f t="shared" si="45"/>
        <v>2357.7658000000001</v>
      </c>
      <c r="P16" s="49">
        <f t="shared" si="45"/>
        <v>2405.4036999999998</v>
      </c>
      <c r="Q16" s="49">
        <f t="shared" si="45"/>
        <v>2433.6313</v>
      </c>
      <c r="R16" s="49">
        <f t="shared" si="45"/>
        <v>2500.8980000000001</v>
      </c>
      <c r="S16" s="49">
        <f t="shared" si="45"/>
        <v>2650.2030999999997</v>
      </c>
      <c r="T16" s="49">
        <f t="shared" si="45"/>
        <v>2671.3362999999999</v>
      </c>
      <c r="U16" s="49">
        <f t="shared" si="45"/>
        <v>2818.0932000000003</v>
      </c>
      <c r="V16" s="49">
        <f t="shared" si="45"/>
        <v>2746.5897</v>
      </c>
      <c r="W16" s="49">
        <f t="shared" si="45"/>
        <v>2782.3869</v>
      </c>
      <c r="X16" s="49">
        <f t="shared" si="45"/>
        <v>2971.7406000000001</v>
      </c>
      <c r="Y16" s="49">
        <f t="shared" si="45"/>
        <v>2896.7666999999997</v>
      </c>
      <c r="Z16" s="49">
        <f t="shared" si="45"/>
        <v>2973.3337000000001</v>
      </c>
      <c r="AA16" s="49">
        <f t="shared" si="45"/>
        <v>2933.0844000000002</v>
      </c>
      <c r="AB16" s="49">
        <f t="shared" si="45"/>
        <v>2946.5578999999998</v>
      </c>
    </row>
    <row r="17" spans="1:28" ht="20" x14ac:dyDescent="0.2">
      <c r="A17" s="60" t="s">
        <v>75</v>
      </c>
      <c r="B17" s="51">
        <v>19089.164799999999</v>
      </c>
      <c r="C17" s="50">
        <v>71030.606799999994</v>
      </c>
      <c r="D17" s="50">
        <v>136226.4333</v>
      </c>
      <c r="E17" s="50">
        <v>200840.86689999999</v>
      </c>
      <c r="F17" s="50">
        <v>267494.85249999998</v>
      </c>
      <c r="G17" s="50">
        <v>336203.8</v>
      </c>
      <c r="H17" s="50">
        <v>391928.62709999998</v>
      </c>
      <c r="I17" s="50">
        <v>424214.48369999998</v>
      </c>
      <c r="J17" s="50">
        <v>461587.83730000001</v>
      </c>
      <c r="K17" s="50">
        <v>491492.19839999999</v>
      </c>
      <c r="L17" s="50">
        <v>531890.85979999998</v>
      </c>
      <c r="M17" s="50">
        <v>562187.97320000001</v>
      </c>
      <c r="N17" s="50">
        <v>593087.13280000002</v>
      </c>
      <c r="O17" s="50">
        <v>631373.83250000002</v>
      </c>
      <c r="P17" s="50">
        <v>639665.0736</v>
      </c>
      <c r="Q17" s="50">
        <v>655308.12219999998</v>
      </c>
      <c r="R17" s="50">
        <v>677441.90020000003</v>
      </c>
      <c r="S17" s="50">
        <v>686488.08380000002</v>
      </c>
      <c r="T17" s="50">
        <v>702864.09970000002</v>
      </c>
      <c r="U17" s="50">
        <v>717923.45279999997</v>
      </c>
      <c r="V17" s="50">
        <v>745933.06440000003</v>
      </c>
      <c r="W17" s="50">
        <v>794550.67189999996</v>
      </c>
      <c r="X17" s="50">
        <v>815573.66619999998</v>
      </c>
      <c r="Y17" s="50">
        <v>848456.21799999999</v>
      </c>
      <c r="Z17" s="50">
        <v>860730.43680000002</v>
      </c>
      <c r="AA17" s="50">
        <v>874358.45349999995</v>
      </c>
      <c r="AB17" s="50">
        <v>867831.35840000003</v>
      </c>
    </row>
    <row r="18" spans="1:28" ht="20" x14ac:dyDescent="0.2">
      <c r="A18" s="60" t="s">
        <v>110</v>
      </c>
      <c r="B18" s="50">
        <f>B17/1000</f>
        <v>19.089164799999999</v>
      </c>
      <c r="C18" s="50">
        <f>C17/1000</f>
        <v>71.030606800000001</v>
      </c>
      <c r="D18" s="50">
        <f t="shared" ref="D18:AB18" si="46">D17/1000</f>
        <v>136.2264333</v>
      </c>
      <c r="E18" s="50">
        <f t="shared" si="46"/>
        <v>200.84086689999998</v>
      </c>
      <c r="F18" s="50">
        <f t="shared" si="46"/>
        <v>267.49485249999998</v>
      </c>
      <c r="G18" s="50">
        <f t="shared" si="46"/>
        <v>336.2038</v>
      </c>
      <c r="H18" s="50">
        <f t="shared" si="46"/>
        <v>391.92862709999997</v>
      </c>
      <c r="I18" s="50">
        <f t="shared" si="46"/>
        <v>424.21448369999996</v>
      </c>
      <c r="J18" s="50">
        <f t="shared" si="46"/>
        <v>461.58783729999999</v>
      </c>
      <c r="K18" s="50">
        <f t="shared" si="46"/>
        <v>491.49219840000001</v>
      </c>
      <c r="L18" s="50">
        <f t="shared" si="46"/>
        <v>531.89085979999993</v>
      </c>
      <c r="M18" s="50">
        <f t="shared" si="46"/>
        <v>562.18797319999999</v>
      </c>
      <c r="N18" s="50">
        <f t="shared" si="46"/>
        <v>593.08713280000006</v>
      </c>
      <c r="O18" s="50">
        <f t="shared" si="46"/>
        <v>631.37383250000005</v>
      </c>
      <c r="P18" s="50">
        <f t="shared" si="46"/>
        <v>639.66507360000003</v>
      </c>
      <c r="Q18" s="50">
        <f t="shared" si="46"/>
        <v>655.30812219999996</v>
      </c>
      <c r="R18" s="50">
        <f t="shared" si="46"/>
        <v>677.44190020000008</v>
      </c>
      <c r="S18" s="50">
        <f t="shared" si="46"/>
        <v>686.48808380000003</v>
      </c>
      <c r="T18" s="50">
        <f t="shared" si="46"/>
        <v>702.8640997</v>
      </c>
      <c r="U18" s="50">
        <f t="shared" si="46"/>
        <v>717.92345279999995</v>
      </c>
      <c r="V18" s="50">
        <f t="shared" si="46"/>
        <v>745.93306440000003</v>
      </c>
      <c r="W18" s="50">
        <f t="shared" si="46"/>
        <v>794.5506719</v>
      </c>
      <c r="X18" s="50">
        <f t="shared" si="46"/>
        <v>815.57366619999993</v>
      </c>
      <c r="Y18" s="50">
        <f t="shared" si="46"/>
        <v>848.45621800000004</v>
      </c>
      <c r="Z18" s="50">
        <f t="shared" si="46"/>
        <v>860.73043680000001</v>
      </c>
      <c r="AA18" s="50">
        <f t="shared" si="46"/>
        <v>874.3584535</v>
      </c>
      <c r="AB18" s="50">
        <f t="shared" si="46"/>
        <v>867.8313584</v>
      </c>
    </row>
    <row r="19" spans="1:28" ht="20" x14ac:dyDescent="0.2">
      <c r="A19" s="60" t="s">
        <v>99</v>
      </c>
      <c r="B19" s="49">
        <f>332.1961+22.1354</f>
        <v>354.33150000000001</v>
      </c>
      <c r="C19" s="49">
        <f>328.4716+22.3853</f>
        <v>350.8569</v>
      </c>
      <c r="D19" s="49">
        <f>335.8476+20.5152</f>
        <v>356.36279999999999</v>
      </c>
      <c r="E19" s="49">
        <f>308.7534+22.334</f>
        <v>331.0874</v>
      </c>
      <c r="F19" s="49">
        <f>352.7418+22.7975</f>
        <v>375.53930000000003</v>
      </c>
      <c r="G19" s="49">
        <f>358.8568+23.4524</f>
        <v>382.30920000000003</v>
      </c>
      <c r="H19" s="49">
        <f>373.7644+21.2384</f>
        <v>395.00280000000004</v>
      </c>
      <c r="I19" s="49">
        <f>372.3525+21.1338</f>
        <v>393.48630000000003</v>
      </c>
      <c r="J19" s="49">
        <f>375.1728+23.183</f>
        <v>398.35579999999999</v>
      </c>
      <c r="K19" s="49">
        <f>369.4012+22.1869</f>
        <v>391.5881</v>
      </c>
      <c r="L19" s="49">
        <f>375.0781+20.8539</f>
        <v>395.93200000000002</v>
      </c>
      <c r="M19" s="49">
        <f>375.4473+20.6624</f>
        <v>396.10969999999998</v>
      </c>
      <c r="N19" s="49">
        <f>377.8695+21.4623</f>
        <v>399.33180000000004</v>
      </c>
      <c r="O19" s="49">
        <f>386.2795+24.1739</f>
        <v>410.45339999999999</v>
      </c>
      <c r="P19" s="49">
        <f>396.6066+22.4746</f>
        <v>419.08120000000002</v>
      </c>
      <c r="Q19" s="49">
        <f>396.8025+22.9748</f>
        <v>419.77730000000003</v>
      </c>
      <c r="R19" s="49">
        <f>406.2244+22.2696</f>
        <v>428.49400000000003</v>
      </c>
      <c r="S19" s="49">
        <f>417.7584+22.1189</f>
        <v>439.87729999999999</v>
      </c>
      <c r="T19" s="49">
        <f>427.3561+22.5982</f>
        <v>449.95430000000005</v>
      </c>
      <c r="U19" s="49">
        <f>436.1667+26.2231</f>
        <v>462.38979999999998</v>
      </c>
      <c r="V19" s="49">
        <f>434.3275+22.0291</f>
        <v>456.35659999999996</v>
      </c>
      <c r="W19" s="49">
        <f>434.7738+23.7698</f>
        <v>458.54359999999997</v>
      </c>
      <c r="X19" s="49">
        <f>434.2848+22.6221</f>
        <v>456.90690000000001</v>
      </c>
      <c r="Y19" s="49">
        <f>438.8038+24.0522</f>
        <v>462.85599999999999</v>
      </c>
      <c r="Z19" s="49">
        <f>442.1232+23.1588</f>
        <v>465.28199999999998</v>
      </c>
      <c r="AA19" s="49">
        <f>444.6737+22.1152</f>
        <v>466.78890000000001</v>
      </c>
      <c r="AB19" s="49">
        <f>446.2349+21.5634</f>
        <v>467.79829999999998</v>
      </c>
    </row>
    <row r="20" spans="1:28" ht="20" x14ac:dyDescent="0.2">
      <c r="A20" s="60" t="s">
        <v>87</v>
      </c>
      <c r="B20" s="51">
        <v>6887.3962000000001</v>
      </c>
      <c r="C20" s="51">
        <v>4843.3873000000003</v>
      </c>
      <c r="D20" s="51">
        <v>4185.1436000000003</v>
      </c>
      <c r="E20" s="51">
        <v>3531.4090000000001</v>
      </c>
      <c r="F20" s="51">
        <v>3304.8890000000001</v>
      </c>
      <c r="G20" s="51">
        <v>3167.5219000000002</v>
      </c>
      <c r="H20" s="51">
        <v>3126.5513000000001</v>
      </c>
      <c r="I20" s="51">
        <v>3153.7006000000001</v>
      </c>
      <c r="J20" s="51">
        <v>3173.4141</v>
      </c>
      <c r="K20" s="51">
        <v>3313.3699000000001</v>
      </c>
      <c r="L20" s="51">
        <v>3132.9315999999999</v>
      </c>
      <c r="M20" s="51">
        <v>3214.4567999999999</v>
      </c>
      <c r="N20" s="51">
        <v>3244.5859</v>
      </c>
      <c r="O20" s="51">
        <v>3466.0643</v>
      </c>
      <c r="P20" s="51">
        <v>3523.1064999999999</v>
      </c>
      <c r="Q20" s="51">
        <v>3735.0765000000001</v>
      </c>
      <c r="R20" s="51">
        <v>3759.3116</v>
      </c>
      <c r="S20" s="51">
        <v>3902.5560999999998</v>
      </c>
      <c r="T20" s="51">
        <v>3968.7635</v>
      </c>
      <c r="U20" s="51">
        <v>4014.2004999999999</v>
      </c>
      <c r="V20" s="51">
        <v>4091.3254999999999</v>
      </c>
      <c r="W20" s="51">
        <v>4565.1117999999997</v>
      </c>
      <c r="X20" s="51">
        <v>4585.7200999999995</v>
      </c>
      <c r="Y20" s="51">
        <v>4750.1198000000004</v>
      </c>
      <c r="Z20" s="51">
        <v>4892.9462000000003</v>
      </c>
      <c r="AA20" s="51">
        <v>5026.1827999999996</v>
      </c>
      <c r="AB20" s="50">
        <v>5123.6945999999998</v>
      </c>
    </row>
    <row r="21" spans="1:28" ht="20" x14ac:dyDescent="0.2">
      <c r="A21" s="60" t="s">
        <v>86</v>
      </c>
      <c r="B21" s="51">
        <v>447.3827</v>
      </c>
      <c r="C21" s="51">
        <v>314.04559999999998</v>
      </c>
      <c r="D21" s="51">
        <v>262.74540000000002</v>
      </c>
      <c r="E21" s="51">
        <v>218.18899999999999</v>
      </c>
      <c r="F21" s="51">
        <v>206.10820000000001</v>
      </c>
      <c r="G21" s="51">
        <v>197.5136</v>
      </c>
      <c r="H21" s="51">
        <v>184.15309999999999</v>
      </c>
      <c r="I21" s="51">
        <v>182.11070000000001</v>
      </c>
      <c r="J21" s="51">
        <v>186.67250000000001</v>
      </c>
      <c r="K21" s="51">
        <v>186.57259999999999</v>
      </c>
      <c r="L21" s="51">
        <v>174.19990000000001</v>
      </c>
      <c r="M21" s="51">
        <v>176.52250000000001</v>
      </c>
      <c r="N21" s="51">
        <v>177.4195</v>
      </c>
      <c r="O21" s="51">
        <v>178.5376</v>
      </c>
      <c r="P21" s="51">
        <v>186.57820000000001</v>
      </c>
      <c r="Q21" s="51">
        <v>193.4941</v>
      </c>
      <c r="R21" s="51">
        <v>191.75069999999999</v>
      </c>
      <c r="S21" s="51">
        <v>200.06030000000001</v>
      </c>
      <c r="T21" s="51">
        <v>203.35470000000001</v>
      </c>
      <c r="U21" s="51">
        <v>196.12010000000001</v>
      </c>
      <c r="V21" s="51">
        <v>197.09190000000001</v>
      </c>
      <c r="W21" s="51">
        <v>215.10480000000001</v>
      </c>
      <c r="X21" s="51">
        <v>223.2799</v>
      </c>
      <c r="Y21" s="51">
        <v>222.53559999999999</v>
      </c>
      <c r="Z21" s="51">
        <v>222.87370000000001</v>
      </c>
      <c r="AA21" s="51">
        <v>242.85249999999999</v>
      </c>
      <c r="AB21" s="50">
        <v>234.3663</v>
      </c>
    </row>
    <row r="22" spans="1:28" ht="20" x14ac:dyDescent="0.2">
      <c r="A22" s="60" t="s">
        <v>111</v>
      </c>
      <c r="B22" s="49">
        <f>B21+B20</f>
        <v>7334.7789000000002</v>
      </c>
      <c r="C22" s="49">
        <f t="shared" ref="C22" si="47">C21+C20</f>
        <v>5157.4329000000007</v>
      </c>
      <c r="D22" s="49">
        <f t="shared" ref="D22" si="48">D21+D20</f>
        <v>4447.8890000000001</v>
      </c>
      <c r="E22" s="49">
        <f t="shared" ref="E22" si="49">E21+E20</f>
        <v>3749.598</v>
      </c>
      <c r="F22" s="49">
        <f t="shared" ref="F22" si="50">F21+F20</f>
        <v>3510.9972000000002</v>
      </c>
      <c r="G22" s="49">
        <f t="shared" ref="G22" si="51">G21+G20</f>
        <v>3365.0355</v>
      </c>
      <c r="H22" s="49">
        <f t="shared" ref="H22" si="52">H21+H20</f>
        <v>3310.7044000000001</v>
      </c>
      <c r="I22" s="49">
        <f t="shared" ref="I22" si="53">I21+I20</f>
        <v>3335.8113000000003</v>
      </c>
      <c r="J22" s="49">
        <f t="shared" ref="J22" si="54">J21+J20</f>
        <v>3360.0866000000001</v>
      </c>
      <c r="K22" s="49">
        <f t="shared" ref="K22" si="55">K21+K20</f>
        <v>3499.9425000000001</v>
      </c>
      <c r="L22" s="49">
        <f t="shared" ref="L22" si="56">L21+L20</f>
        <v>3307.1315</v>
      </c>
      <c r="M22" s="49">
        <f t="shared" ref="M22" si="57">M21+M20</f>
        <v>3390.9793</v>
      </c>
      <c r="N22" s="49">
        <f t="shared" ref="N22" si="58">N21+N20</f>
        <v>3422.0054</v>
      </c>
      <c r="O22" s="49">
        <f t="shared" ref="O22" si="59">O21+O20</f>
        <v>3644.6019000000001</v>
      </c>
      <c r="P22" s="49">
        <f t="shared" ref="P22" si="60">P21+P20</f>
        <v>3709.6846999999998</v>
      </c>
      <c r="Q22" s="49">
        <f t="shared" ref="Q22" si="61">Q21+Q20</f>
        <v>3928.5706</v>
      </c>
      <c r="R22" s="49">
        <f t="shared" ref="R22" si="62">R21+R20</f>
        <v>3951.0623000000001</v>
      </c>
      <c r="S22" s="49">
        <f t="shared" ref="S22" si="63">S21+S20</f>
        <v>4102.6163999999999</v>
      </c>
      <c r="T22" s="49">
        <f t="shared" ref="T22" si="64">T21+T20</f>
        <v>4172.1181999999999</v>
      </c>
      <c r="U22" s="49">
        <f t="shared" ref="U22" si="65">U21+U20</f>
        <v>4210.3206</v>
      </c>
      <c r="V22" s="49">
        <f t="shared" ref="V22" si="66">V21+V20</f>
        <v>4288.4174000000003</v>
      </c>
      <c r="W22" s="49">
        <f t="shared" ref="W22" si="67">W21+W20</f>
        <v>4780.2165999999997</v>
      </c>
      <c r="X22" s="49">
        <f t="shared" ref="X22" si="68">X21+X20</f>
        <v>4809</v>
      </c>
      <c r="Y22" s="49">
        <f t="shared" ref="Y22" si="69">Y21+Y20</f>
        <v>4972.6554000000006</v>
      </c>
      <c r="Z22" s="49">
        <f t="shared" ref="Z22" si="70">Z21+Z20</f>
        <v>5115.8199000000004</v>
      </c>
      <c r="AA22" s="49">
        <f t="shared" ref="AA22" si="71">AA21+AA20</f>
        <v>5269.0352999999996</v>
      </c>
      <c r="AB22" s="49">
        <f t="shared" ref="AB22" si="72">AB21+AB20</f>
        <v>5358.0608999999995</v>
      </c>
    </row>
    <row r="23" spans="1:28" ht="20" x14ac:dyDescent="0.2">
      <c r="A23" s="60" t="s">
        <v>75</v>
      </c>
      <c r="B23" s="50">
        <f>2.5422813*1000</f>
        <v>2542.2813000000001</v>
      </c>
      <c r="C23" s="51">
        <v>4223.5720000000001</v>
      </c>
      <c r="D23" s="51">
        <v>5756.8410999999996</v>
      </c>
      <c r="E23" s="51">
        <v>8318.2800000000007</v>
      </c>
      <c r="F23" s="51">
        <v>10293.175999999999</v>
      </c>
      <c r="G23" s="51">
        <v>9464.8744999999999</v>
      </c>
      <c r="H23" s="51">
        <v>10258.957899999999</v>
      </c>
      <c r="I23" s="51">
        <v>13007.0578</v>
      </c>
      <c r="J23" s="51">
        <v>11479.107400000001</v>
      </c>
      <c r="K23" s="51">
        <v>13179.863499999999</v>
      </c>
      <c r="L23" s="51">
        <v>15971.1739</v>
      </c>
      <c r="M23" s="51">
        <v>15690.513499999999</v>
      </c>
      <c r="N23" s="51">
        <v>17400.4761</v>
      </c>
      <c r="O23" s="51">
        <v>17198.1001</v>
      </c>
      <c r="P23" s="51">
        <v>13962.809600000001</v>
      </c>
      <c r="Q23" s="51">
        <v>13047.4267</v>
      </c>
      <c r="R23" s="51">
        <v>14643.9372</v>
      </c>
      <c r="S23" s="51">
        <v>14017.3552</v>
      </c>
      <c r="T23" s="51">
        <v>12730.4779</v>
      </c>
      <c r="U23" s="51">
        <v>11432.1445</v>
      </c>
      <c r="V23" s="51">
        <v>12094.992099999999</v>
      </c>
      <c r="W23" s="51">
        <v>10482.183000000001</v>
      </c>
      <c r="X23" s="51">
        <v>10786.9375</v>
      </c>
      <c r="Y23" s="51">
        <v>12696.808300000001</v>
      </c>
      <c r="Z23" s="51">
        <v>10378.1517</v>
      </c>
      <c r="AA23" s="51">
        <v>10223.682199999999</v>
      </c>
      <c r="AB23" s="51">
        <v>10135.1677</v>
      </c>
    </row>
    <row r="24" spans="1:28" ht="20" x14ac:dyDescent="0.2">
      <c r="A24" s="60" t="s">
        <v>112</v>
      </c>
      <c r="B24" s="50">
        <f>B23/1000</f>
        <v>2.5422813</v>
      </c>
      <c r="C24" s="50">
        <f t="shared" ref="C24:AB24" si="73">C23/1000</f>
        <v>4.2235719999999999</v>
      </c>
      <c r="D24" s="50">
        <f t="shared" si="73"/>
        <v>5.7568410999999999</v>
      </c>
      <c r="E24" s="50">
        <f t="shared" si="73"/>
        <v>8.3182800000000015</v>
      </c>
      <c r="F24" s="50">
        <f t="shared" si="73"/>
        <v>10.293175999999999</v>
      </c>
      <c r="G24" s="50">
        <f t="shared" si="73"/>
        <v>9.4648745000000005</v>
      </c>
      <c r="H24" s="50">
        <f t="shared" si="73"/>
        <v>10.258957899999999</v>
      </c>
      <c r="I24" s="50">
        <f t="shared" si="73"/>
        <v>13.0070578</v>
      </c>
      <c r="J24" s="50">
        <f t="shared" si="73"/>
        <v>11.4791074</v>
      </c>
      <c r="K24" s="50">
        <f t="shared" si="73"/>
        <v>13.1798635</v>
      </c>
      <c r="L24" s="50">
        <f t="shared" si="73"/>
        <v>15.9711739</v>
      </c>
      <c r="M24" s="50">
        <f t="shared" si="73"/>
        <v>15.6905135</v>
      </c>
      <c r="N24" s="50">
        <f t="shared" si="73"/>
        <v>17.400476099999999</v>
      </c>
      <c r="O24" s="50">
        <f t="shared" si="73"/>
        <v>17.198100100000001</v>
      </c>
      <c r="P24" s="50">
        <f t="shared" si="73"/>
        <v>13.9628096</v>
      </c>
      <c r="Q24" s="50">
        <f t="shared" si="73"/>
        <v>13.047426700000001</v>
      </c>
      <c r="R24" s="50">
        <f t="shared" si="73"/>
        <v>14.6439372</v>
      </c>
      <c r="S24" s="50">
        <f t="shared" si="73"/>
        <v>14.017355200000001</v>
      </c>
      <c r="T24" s="50">
        <f t="shared" si="73"/>
        <v>12.7304779</v>
      </c>
      <c r="U24" s="50">
        <f t="shared" si="73"/>
        <v>11.4321445</v>
      </c>
      <c r="V24" s="50">
        <f t="shared" si="73"/>
        <v>12.094992099999999</v>
      </c>
      <c r="W24" s="50">
        <f t="shared" si="73"/>
        <v>10.482183000000001</v>
      </c>
      <c r="X24" s="50">
        <f t="shared" si="73"/>
        <v>10.786937500000001</v>
      </c>
      <c r="Y24" s="50">
        <f t="shared" si="73"/>
        <v>12.696808300000001</v>
      </c>
      <c r="Z24" s="50">
        <f t="shared" si="73"/>
        <v>10.3781517</v>
      </c>
      <c r="AA24" s="50">
        <f t="shared" si="73"/>
        <v>10.223682199999999</v>
      </c>
      <c r="AB24" s="50">
        <f t="shared" si="73"/>
        <v>10.1351677</v>
      </c>
    </row>
    <row r="25" spans="1:28" ht="20" x14ac:dyDescent="0.2">
      <c r="A25" s="60" t="s">
        <v>100</v>
      </c>
      <c r="B25" s="49">
        <f>340.8981+22.1436</f>
        <v>363.04169999999999</v>
      </c>
      <c r="C25" s="49">
        <f>341.4967+22.1427</f>
        <v>363.63939999999997</v>
      </c>
      <c r="D25" s="49">
        <f>347.4661+21.8141</f>
        <v>369.28019999999998</v>
      </c>
      <c r="E25" s="49">
        <f>345.519+21.348</f>
        <v>366.86700000000002</v>
      </c>
      <c r="F25" s="49">
        <f>352.3685+21.9753</f>
        <v>374.34379999999999</v>
      </c>
      <c r="G25" s="49">
        <f>354.2092+22.0871</f>
        <v>376.29630000000003</v>
      </c>
      <c r="H25" s="49">
        <f>358.6815+21.1263</f>
        <v>379.80780000000004</v>
      </c>
      <c r="I25" s="49">
        <f>367.7512+21.2358</f>
        <v>388.98699999999997</v>
      </c>
      <c r="J25" s="49">
        <f>369.6546+21.7445</f>
        <v>391.39910000000003</v>
      </c>
      <c r="K25" s="49">
        <f>376.9023+21.223</f>
        <v>398.12530000000004</v>
      </c>
      <c r="L25" s="49">
        <f>381.391+21.2064</f>
        <v>402.59739999999999</v>
      </c>
      <c r="M25" s="49">
        <f>385.0301+21.144</f>
        <v>406.17410000000001</v>
      </c>
      <c r="N25" s="49">
        <f>399.8209+21.8629</f>
        <v>421.68380000000002</v>
      </c>
      <c r="O25" s="49">
        <f>405.9937+20.9128</f>
        <v>426.90649999999999</v>
      </c>
      <c r="P25" s="49">
        <f>405.7853+21.4897</f>
        <v>427.27499999999998</v>
      </c>
      <c r="Q25" s="49">
        <f>413.3876+21.4153</f>
        <v>434.80290000000002</v>
      </c>
      <c r="R25" s="49">
        <f>415.7979+21.2085</f>
        <v>437.00640000000004</v>
      </c>
      <c r="S25" s="49">
        <f>424.1907+21.7457</f>
        <v>445.93639999999999</v>
      </c>
      <c r="T25" s="49">
        <f>429.7748+22.0211</f>
        <v>451.79590000000002</v>
      </c>
      <c r="U25" s="49">
        <f>433.6374+21.186</f>
        <v>454.82339999999999</v>
      </c>
      <c r="V25" s="49">
        <f>443.3082+21.3556</f>
        <v>464.66379999999998</v>
      </c>
      <c r="W25" s="49">
        <f>461.0373+21.7237</f>
        <v>482.76100000000002</v>
      </c>
      <c r="X25" s="49">
        <f>466.0826+22.6937</f>
        <v>488.77629999999999</v>
      </c>
      <c r="Y25" s="49">
        <f>471.199+22.075</f>
        <v>493.274</v>
      </c>
      <c r="Z25" s="49">
        <f>479.0122+21.819</f>
        <v>500.83120000000002</v>
      </c>
      <c r="AA25" s="49">
        <f>481.5128+23.2655</f>
        <v>504.7783</v>
      </c>
      <c r="AB25" s="49">
        <f>486.208+22.24</f>
        <v>508.44800000000004</v>
      </c>
    </row>
    <row r="26" spans="1:28" ht="20" x14ac:dyDescent="0.2">
      <c r="A26" s="60" t="s">
        <v>87</v>
      </c>
      <c r="B26" s="51">
        <v>5483.8420999999998</v>
      </c>
      <c r="C26" s="51">
        <v>2690.9697000000001</v>
      </c>
      <c r="D26" s="51">
        <v>2296.2678000000001</v>
      </c>
      <c r="E26" s="51">
        <v>2160.7408999999998</v>
      </c>
      <c r="F26" s="51">
        <v>2103.3775000000001</v>
      </c>
      <c r="G26" s="51">
        <v>2152.6361000000002</v>
      </c>
      <c r="H26" s="51">
        <v>2096.1052</v>
      </c>
      <c r="I26" s="51">
        <v>2153.3710999999998</v>
      </c>
      <c r="J26" s="51">
        <v>2168.1003999999998</v>
      </c>
      <c r="K26" s="51">
        <v>2290.2194</v>
      </c>
      <c r="L26" s="51">
        <v>2264.8042999999998</v>
      </c>
      <c r="M26" s="51">
        <v>2253.1078000000002</v>
      </c>
      <c r="N26" s="51">
        <v>2281.1549</v>
      </c>
      <c r="O26" s="51">
        <v>2408.5558999999998</v>
      </c>
      <c r="P26" s="51">
        <v>2375.5830000000001</v>
      </c>
      <c r="Q26" s="51">
        <v>2469.2867000000001</v>
      </c>
      <c r="R26" s="51">
        <v>2504.3832000000002</v>
      </c>
      <c r="S26" s="51">
        <v>2590.6217000000001</v>
      </c>
      <c r="T26" s="51">
        <v>2635.1505999999999</v>
      </c>
      <c r="U26" s="51">
        <v>2693.2829999999999</v>
      </c>
      <c r="V26" s="51">
        <v>2661.8602999999998</v>
      </c>
      <c r="W26" s="51">
        <v>2734.0326</v>
      </c>
      <c r="X26" s="51">
        <v>2887.1462999999999</v>
      </c>
      <c r="Y26" s="51">
        <v>2801.2103999999999</v>
      </c>
      <c r="Z26" s="51">
        <v>2943.3845999999999</v>
      </c>
      <c r="AA26" s="51">
        <v>2874.0630000000001</v>
      </c>
      <c r="AB26" s="51">
        <v>2966.6714000000002</v>
      </c>
    </row>
    <row r="27" spans="1:28" ht="20" x14ac:dyDescent="0.2">
      <c r="A27" s="60" t="s">
        <v>86</v>
      </c>
      <c r="B27" s="51">
        <v>362.14710000000002</v>
      </c>
      <c r="C27" s="51">
        <v>180.68360000000001</v>
      </c>
      <c r="D27" s="51">
        <v>147.8973</v>
      </c>
      <c r="E27" s="51">
        <v>137.5127</v>
      </c>
      <c r="F27" s="51">
        <v>131.90209999999999</v>
      </c>
      <c r="G27" s="51">
        <v>146.2456</v>
      </c>
      <c r="H27" s="51">
        <v>135.78659999999999</v>
      </c>
      <c r="I27" s="51">
        <v>130.1121</v>
      </c>
      <c r="J27" s="51">
        <v>133.423</v>
      </c>
      <c r="K27" s="51">
        <v>137.22059999999999</v>
      </c>
      <c r="L27" s="51">
        <v>129.5814</v>
      </c>
      <c r="M27" s="51">
        <v>129.89449999999999</v>
      </c>
      <c r="N27" s="51">
        <v>132.83539999999999</v>
      </c>
      <c r="O27" s="51">
        <v>133.75370000000001</v>
      </c>
      <c r="P27" s="51">
        <v>130.10499999999999</v>
      </c>
      <c r="Q27" s="51">
        <v>136.40899999999999</v>
      </c>
      <c r="R27" s="51">
        <v>137.15350000000001</v>
      </c>
      <c r="S27" s="51">
        <v>145.3836</v>
      </c>
      <c r="T27" s="51">
        <v>144.2414</v>
      </c>
      <c r="U27" s="51">
        <v>144.35210000000001</v>
      </c>
      <c r="V27" s="51">
        <v>139.92740000000001</v>
      </c>
      <c r="W27" s="51">
        <v>150.0301</v>
      </c>
      <c r="X27" s="51">
        <v>145.55779999999999</v>
      </c>
      <c r="Y27" s="51">
        <v>151.0283</v>
      </c>
      <c r="Z27" s="51">
        <v>148.2131</v>
      </c>
      <c r="AA27" s="51">
        <v>146.58500000000001</v>
      </c>
      <c r="AB27" s="51">
        <v>152.83009999999999</v>
      </c>
    </row>
    <row r="28" spans="1:28" ht="20" x14ac:dyDescent="0.2">
      <c r="A28" s="60" t="s">
        <v>113</v>
      </c>
      <c r="B28" s="49">
        <f>B27+B26</f>
        <v>5845.9892</v>
      </c>
      <c r="C28" s="49">
        <f t="shared" ref="C28" si="74">C27+C26</f>
        <v>2871.6532999999999</v>
      </c>
      <c r="D28" s="49">
        <f t="shared" ref="D28" si="75">D27+D26</f>
        <v>2444.1651000000002</v>
      </c>
      <c r="E28" s="49">
        <f t="shared" ref="E28" si="76">E27+E26</f>
        <v>2298.2536</v>
      </c>
      <c r="F28" s="49">
        <f t="shared" ref="F28" si="77">F27+F26</f>
        <v>2235.2795999999998</v>
      </c>
      <c r="G28" s="49">
        <f t="shared" ref="G28" si="78">G27+G26</f>
        <v>2298.8817000000004</v>
      </c>
      <c r="H28" s="49">
        <f t="shared" ref="H28" si="79">H27+H26</f>
        <v>2231.8917999999999</v>
      </c>
      <c r="I28" s="49">
        <f t="shared" ref="I28" si="80">I27+I26</f>
        <v>2283.4831999999997</v>
      </c>
      <c r="J28" s="49">
        <f t="shared" ref="J28" si="81">J27+J26</f>
        <v>2301.5234</v>
      </c>
      <c r="K28" s="49">
        <f t="shared" ref="K28" si="82">K27+K26</f>
        <v>2427.44</v>
      </c>
      <c r="L28" s="49">
        <f t="shared" ref="L28" si="83">L27+L26</f>
        <v>2394.3856999999998</v>
      </c>
      <c r="M28" s="49">
        <f t="shared" ref="M28" si="84">M27+M26</f>
        <v>2383.0023000000001</v>
      </c>
      <c r="N28" s="49">
        <f t="shared" ref="N28" si="85">N27+N26</f>
        <v>2413.9902999999999</v>
      </c>
      <c r="O28" s="49">
        <f t="shared" ref="O28" si="86">O27+O26</f>
        <v>2542.3096</v>
      </c>
      <c r="P28" s="49">
        <f t="shared" ref="P28" si="87">P27+P26</f>
        <v>2505.6880000000001</v>
      </c>
      <c r="Q28" s="49">
        <f t="shared" ref="Q28" si="88">Q27+Q26</f>
        <v>2605.6957000000002</v>
      </c>
      <c r="R28" s="49">
        <f t="shared" ref="R28" si="89">R27+R26</f>
        <v>2641.5367000000001</v>
      </c>
      <c r="S28" s="49">
        <f t="shared" ref="S28" si="90">S27+S26</f>
        <v>2736.0053000000003</v>
      </c>
      <c r="T28" s="49">
        <f t="shared" ref="T28" si="91">T27+T26</f>
        <v>2779.3919999999998</v>
      </c>
      <c r="U28" s="49">
        <f t="shared" ref="U28" si="92">U27+U26</f>
        <v>2837.6351</v>
      </c>
      <c r="V28" s="49">
        <f t="shared" ref="V28" si="93">V27+V26</f>
        <v>2801.7876999999999</v>
      </c>
      <c r="W28" s="49">
        <f t="shared" ref="W28" si="94">W27+W26</f>
        <v>2884.0626999999999</v>
      </c>
      <c r="X28" s="49">
        <f t="shared" ref="X28" si="95">X27+X26</f>
        <v>3032.7040999999999</v>
      </c>
      <c r="Y28" s="49">
        <f t="shared" ref="Y28" si="96">Y27+Y26</f>
        <v>2952.2386999999999</v>
      </c>
      <c r="Z28" s="49">
        <f t="shared" ref="Z28" si="97">Z27+Z26</f>
        <v>3091.5976999999998</v>
      </c>
      <c r="AA28" s="49">
        <f t="shared" ref="AA28" si="98">AA27+AA26</f>
        <v>3020.6480000000001</v>
      </c>
      <c r="AB28" s="49">
        <f t="shared" ref="AB28" si="99">AB27+AB26</f>
        <v>3119.5015000000003</v>
      </c>
    </row>
    <row r="29" spans="1:28" ht="20" x14ac:dyDescent="0.2">
      <c r="A29" s="60" t="s">
        <v>75</v>
      </c>
      <c r="B29" s="50">
        <f>3.9431527*1000</f>
        <v>3943.1527000000001</v>
      </c>
      <c r="C29" s="51">
        <v>15331.654699999999</v>
      </c>
      <c r="D29" s="51">
        <v>30248.586500000001</v>
      </c>
      <c r="E29" s="51">
        <v>44936.380499999999</v>
      </c>
      <c r="F29" s="51">
        <v>59864.7719</v>
      </c>
      <c r="G29" s="51">
        <v>74703.520999999993</v>
      </c>
      <c r="H29" s="51">
        <v>88375.808199999999</v>
      </c>
      <c r="I29" s="51">
        <v>102168.6958</v>
      </c>
      <c r="J29" s="51">
        <v>117164.08409999999</v>
      </c>
      <c r="K29" s="51">
        <v>132031.58840000001</v>
      </c>
      <c r="L29" s="50">
        <v>145123.9613</v>
      </c>
      <c r="M29" s="51">
        <v>159811.1985</v>
      </c>
      <c r="N29" s="51">
        <v>173059.74540000001</v>
      </c>
      <c r="O29" s="51">
        <v>184195.24559999999</v>
      </c>
      <c r="P29" s="51">
        <v>190104.7347</v>
      </c>
      <c r="Q29" s="51">
        <v>198006.8155</v>
      </c>
      <c r="R29" s="51">
        <v>208489.12289999999</v>
      </c>
      <c r="S29" s="51">
        <v>219463.27830000001</v>
      </c>
      <c r="T29" s="51">
        <v>225279.9314</v>
      </c>
      <c r="U29" s="51">
        <v>233780.32670000001</v>
      </c>
      <c r="V29" s="51">
        <v>248107.22020000001</v>
      </c>
      <c r="W29" s="51">
        <v>259838.22169999999</v>
      </c>
      <c r="X29" s="51">
        <v>271052.19579999999</v>
      </c>
      <c r="Y29" s="51">
        <v>283745.88640000002</v>
      </c>
      <c r="Z29" s="51">
        <v>292683.41149999999</v>
      </c>
      <c r="AA29" s="51">
        <v>305993.2855</v>
      </c>
      <c r="AB29" s="51">
        <v>303528.10720000003</v>
      </c>
    </row>
    <row r="30" spans="1:28" ht="20" x14ac:dyDescent="0.2">
      <c r="A30" s="60" t="s">
        <v>114</v>
      </c>
      <c r="B30" s="50">
        <f>B29/1000</f>
        <v>3.9431527000000002</v>
      </c>
      <c r="C30" s="50">
        <f t="shared" ref="C30:AB30" si="100">C29/1000</f>
        <v>15.3316547</v>
      </c>
      <c r="D30" s="50">
        <f t="shared" si="100"/>
        <v>30.248586500000002</v>
      </c>
      <c r="E30" s="50">
        <f t="shared" si="100"/>
        <v>44.936380499999999</v>
      </c>
      <c r="F30" s="50">
        <f t="shared" si="100"/>
        <v>59.864771900000001</v>
      </c>
      <c r="G30" s="50">
        <f t="shared" si="100"/>
        <v>74.703520999999995</v>
      </c>
      <c r="H30" s="50">
        <f t="shared" si="100"/>
        <v>88.375808199999994</v>
      </c>
      <c r="I30" s="50">
        <f t="shared" si="100"/>
        <v>102.16869579999999</v>
      </c>
      <c r="J30" s="50">
        <f t="shared" si="100"/>
        <v>117.1640841</v>
      </c>
      <c r="K30" s="50">
        <f t="shared" si="100"/>
        <v>132.0315884</v>
      </c>
      <c r="L30" s="50">
        <f t="shared" si="100"/>
        <v>145.12396129999999</v>
      </c>
      <c r="M30" s="50">
        <f t="shared" si="100"/>
        <v>159.81119849999999</v>
      </c>
      <c r="N30" s="50">
        <f t="shared" si="100"/>
        <v>173.05974540000003</v>
      </c>
      <c r="O30" s="50">
        <f t="shared" si="100"/>
        <v>184.19524559999999</v>
      </c>
      <c r="P30" s="50">
        <f t="shared" si="100"/>
        <v>190.10473469999999</v>
      </c>
      <c r="Q30" s="50">
        <f t="shared" si="100"/>
        <v>198.00681549999999</v>
      </c>
      <c r="R30" s="50">
        <f t="shared" si="100"/>
        <v>208.48912289999998</v>
      </c>
      <c r="S30" s="50">
        <f t="shared" si="100"/>
        <v>219.46327830000001</v>
      </c>
      <c r="T30" s="50">
        <f t="shared" si="100"/>
        <v>225.27993140000001</v>
      </c>
      <c r="U30" s="50">
        <f t="shared" si="100"/>
        <v>233.78032670000002</v>
      </c>
      <c r="V30" s="50">
        <f t="shared" si="100"/>
        <v>248.1072202</v>
      </c>
      <c r="W30" s="50">
        <f t="shared" si="100"/>
        <v>259.83822170000002</v>
      </c>
      <c r="X30" s="50">
        <f t="shared" si="100"/>
        <v>271.05219579999999</v>
      </c>
      <c r="Y30" s="50">
        <f t="shared" si="100"/>
        <v>283.74588640000002</v>
      </c>
      <c r="Z30" s="50">
        <f t="shared" si="100"/>
        <v>292.68341149999998</v>
      </c>
      <c r="AA30" s="50">
        <f t="shared" si="100"/>
        <v>305.99328550000001</v>
      </c>
      <c r="AB30" s="50">
        <f t="shared" si="100"/>
        <v>303.52810720000002</v>
      </c>
    </row>
    <row r="31" spans="1:28" ht="20" x14ac:dyDescent="0.2">
      <c r="A31" s="60" t="s">
        <v>101</v>
      </c>
      <c r="B31" s="49">
        <f>337.339+22.2775</f>
        <v>359.61649999999997</v>
      </c>
      <c r="C31" s="49">
        <f>327.6494+21.9998</f>
        <v>349.64920000000001</v>
      </c>
      <c r="D31" s="49">
        <f>330.0257+21.2562</f>
        <v>351.28189999999995</v>
      </c>
      <c r="E31" s="49">
        <f>332.3333+21.1502</f>
        <v>353.48349999999999</v>
      </c>
      <c r="F31" s="49">
        <f>333.6512+20.9232</f>
        <v>354.57440000000003</v>
      </c>
      <c r="G31" s="49">
        <f>338.9333+23.0264</f>
        <v>361.9597</v>
      </c>
      <c r="H31" s="49">
        <f>343.1058+22.2265</f>
        <v>365.33229999999998</v>
      </c>
      <c r="I31" s="49">
        <f>348.9324+21.0833</f>
        <v>370.01569999999998</v>
      </c>
      <c r="J31" s="49">
        <f>350.8706+21.5923</f>
        <v>372.46290000000005</v>
      </c>
      <c r="K31" s="49">
        <f>362.3088+21.7081</f>
        <v>384.01690000000002</v>
      </c>
      <c r="L31" s="49">
        <f>370.144+21.1779</f>
        <v>391.32190000000003</v>
      </c>
      <c r="M31" s="49">
        <f>367.3215+21.1766</f>
        <v>388.49810000000002</v>
      </c>
      <c r="N31" s="49">
        <f>371.1673+21.6137</f>
        <v>392.78100000000001</v>
      </c>
      <c r="O31" s="49">
        <f>376.8759+20.929</f>
        <v>397.80489999999998</v>
      </c>
      <c r="P31" s="49">
        <f>381.7656+20.9084</f>
        <v>402.67399999999998</v>
      </c>
      <c r="Q31" s="49">
        <f>381.8049+21.0917</f>
        <v>402.89659999999998</v>
      </c>
      <c r="R31" s="49">
        <f>390.0515+21.3613</f>
        <v>411.41279999999995</v>
      </c>
      <c r="S31" s="49">
        <f>399.4031+22.4141</f>
        <v>421.81720000000001</v>
      </c>
      <c r="T31" s="49">
        <f>394.769+21.6086</f>
        <v>416.37760000000003</v>
      </c>
      <c r="U31" s="49">
        <f>399.9924+21.4384</f>
        <v>421.43079999999998</v>
      </c>
      <c r="V31" s="49">
        <f>403.8598+21.23</f>
        <v>425.08980000000003</v>
      </c>
      <c r="W31" s="49">
        <f>410.0232+22.5</f>
        <v>432.52319999999997</v>
      </c>
      <c r="X31" s="49">
        <f>423.6195+21.3572</f>
        <v>444.97669999999999</v>
      </c>
      <c r="Y31" s="49">
        <f>420.0466+22.647</f>
        <v>442.6936</v>
      </c>
      <c r="Z31" s="49">
        <f>424.0325+21.352</f>
        <v>445.3845</v>
      </c>
      <c r="AA31" s="49">
        <f>425.3929+21.6962</f>
        <v>447.08909999999997</v>
      </c>
      <c r="AB31" s="49">
        <f>436.0935+22.4657</f>
        <v>458.55920000000003</v>
      </c>
    </row>
    <row r="32" spans="1:28" ht="20" x14ac:dyDescent="0.2">
      <c r="A32" s="60" t="s">
        <v>87</v>
      </c>
      <c r="B32" s="51">
        <v>3937.9227999999998</v>
      </c>
      <c r="C32" s="51">
        <v>2262.8436000000002</v>
      </c>
      <c r="D32" s="51">
        <v>2049.3708999999999</v>
      </c>
      <c r="E32" s="51">
        <v>1989.4844000000001</v>
      </c>
      <c r="F32" s="51">
        <v>1963.8108</v>
      </c>
      <c r="G32" s="51">
        <v>2041.3254999999999</v>
      </c>
      <c r="H32" s="51">
        <v>2027.6052999999999</v>
      </c>
      <c r="I32" s="51">
        <v>2082.2928000000002</v>
      </c>
      <c r="J32" s="51">
        <v>2099.3384999999998</v>
      </c>
      <c r="K32" s="51">
        <v>2188.4915000000001</v>
      </c>
      <c r="L32" s="51">
        <v>2247.2950000000001</v>
      </c>
      <c r="M32" s="51">
        <v>2230.0567000000001</v>
      </c>
      <c r="N32" s="51">
        <v>2265.9398999999999</v>
      </c>
      <c r="O32" s="51">
        <v>2373.3231000000001</v>
      </c>
      <c r="P32" s="51">
        <v>2351.5252999999998</v>
      </c>
      <c r="Q32" s="51">
        <v>2480.6297</v>
      </c>
      <c r="R32" s="51">
        <v>2541.355</v>
      </c>
      <c r="S32" s="51">
        <v>2482.7950000000001</v>
      </c>
      <c r="T32" s="51">
        <v>2582.7460000000001</v>
      </c>
      <c r="U32" s="51">
        <v>2628.6718999999998</v>
      </c>
      <c r="V32" s="51">
        <v>2682.3126000000002</v>
      </c>
      <c r="W32" s="51">
        <v>2699.0389</v>
      </c>
      <c r="X32" s="51">
        <v>2715.6523000000002</v>
      </c>
      <c r="Y32" s="51">
        <v>2933.1849999999999</v>
      </c>
      <c r="Z32" s="51">
        <v>2823.9216999999999</v>
      </c>
      <c r="AA32" s="51">
        <v>2873.0317</v>
      </c>
      <c r="AB32" s="51">
        <v>2901.1864999999998</v>
      </c>
    </row>
    <row r="33" spans="1:28" ht="20" x14ac:dyDescent="0.2">
      <c r="A33" s="60" t="s">
        <v>86</v>
      </c>
      <c r="B33" s="51">
        <v>264.4221</v>
      </c>
      <c r="C33" s="50">
        <v>152.6576</v>
      </c>
      <c r="D33" s="51">
        <v>138.4443</v>
      </c>
      <c r="E33" s="51">
        <v>132.56649999999999</v>
      </c>
      <c r="F33" s="51">
        <v>127.9799</v>
      </c>
      <c r="G33" s="51">
        <v>128.99449999999999</v>
      </c>
      <c r="H33" s="51">
        <v>123.2788</v>
      </c>
      <c r="I33" s="51">
        <v>131.59700000000001</v>
      </c>
      <c r="J33" s="51">
        <v>124.9722</v>
      </c>
      <c r="K33" s="51">
        <v>128.2353</v>
      </c>
      <c r="L33" s="51">
        <v>140.3433</v>
      </c>
      <c r="M33" s="51">
        <v>132.25739999999999</v>
      </c>
      <c r="N33" s="51">
        <v>136.82220000000001</v>
      </c>
      <c r="O33" s="51">
        <v>135.58959999999999</v>
      </c>
      <c r="P33" s="51">
        <v>131.7037</v>
      </c>
      <c r="Q33" s="51">
        <v>137.66290000000001</v>
      </c>
      <c r="R33" s="51">
        <v>141.9135</v>
      </c>
      <c r="S33" s="51">
        <v>134.3125</v>
      </c>
      <c r="T33" s="51">
        <v>144.93129999999999</v>
      </c>
      <c r="U33" s="51">
        <v>137.46709999999999</v>
      </c>
      <c r="V33" s="51">
        <v>144.6739</v>
      </c>
      <c r="W33" s="51">
        <v>149.6258</v>
      </c>
      <c r="X33" s="51">
        <v>140.16579999999999</v>
      </c>
      <c r="Y33" s="51">
        <v>148.49979999999999</v>
      </c>
      <c r="Z33" s="51">
        <v>141.70140000000001</v>
      </c>
      <c r="AA33" s="51">
        <v>142.56</v>
      </c>
      <c r="AB33" s="51">
        <v>142.0966</v>
      </c>
    </row>
    <row r="34" spans="1:28" ht="20" x14ac:dyDescent="0.2">
      <c r="A34" s="60" t="s">
        <v>115</v>
      </c>
      <c r="B34" s="49">
        <f>B33+B32</f>
        <v>4202.3449000000001</v>
      </c>
      <c r="C34" s="49">
        <f t="shared" ref="C34" si="101">C33+C32</f>
        <v>2415.5012000000002</v>
      </c>
      <c r="D34" s="49">
        <f t="shared" ref="D34" si="102">D33+D32</f>
        <v>2187.8152</v>
      </c>
      <c r="E34" s="49">
        <f t="shared" ref="E34" si="103">E33+E32</f>
        <v>2122.0509000000002</v>
      </c>
      <c r="F34" s="49">
        <f t="shared" ref="F34" si="104">F33+F32</f>
        <v>2091.7907</v>
      </c>
      <c r="G34" s="49">
        <f t="shared" ref="G34" si="105">G33+G32</f>
        <v>2170.3199999999997</v>
      </c>
      <c r="H34" s="49">
        <f t="shared" ref="H34" si="106">H33+H32</f>
        <v>2150.8840999999998</v>
      </c>
      <c r="I34" s="49">
        <f t="shared" ref="I34" si="107">I33+I32</f>
        <v>2213.8898000000004</v>
      </c>
      <c r="J34" s="49">
        <f t="shared" ref="J34" si="108">J33+J32</f>
        <v>2224.3107</v>
      </c>
      <c r="K34" s="49">
        <f t="shared" ref="K34" si="109">K33+K32</f>
        <v>2316.7267999999999</v>
      </c>
      <c r="L34" s="49">
        <f t="shared" ref="L34" si="110">L33+L32</f>
        <v>2387.6383000000001</v>
      </c>
      <c r="M34" s="49">
        <f t="shared" ref="M34" si="111">M33+M32</f>
        <v>2362.3141000000001</v>
      </c>
      <c r="N34" s="49">
        <f t="shared" ref="N34" si="112">N33+N32</f>
        <v>2402.7620999999999</v>
      </c>
      <c r="O34" s="49">
        <f t="shared" ref="O34" si="113">O33+O32</f>
        <v>2508.9126999999999</v>
      </c>
      <c r="P34" s="49">
        <f t="shared" ref="P34" si="114">P33+P32</f>
        <v>2483.2289999999998</v>
      </c>
      <c r="Q34" s="49">
        <f t="shared" ref="Q34" si="115">Q33+Q32</f>
        <v>2618.2925999999998</v>
      </c>
      <c r="R34" s="49">
        <f t="shared" ref="R34" si="116">R33+R32</f>
        <v>2683.2685000000001</v>
      </c>
      <c r="S34" s="49">
        <f t="shared" ref="S34" si="117">S33+S32</f>
        <v>2617.1075000000001</v>
      </c>
      <c r="T34" s="49">
        <f t="shared" ref="T34" si="118">T33+T32</f>
        <v>2727.6773000000003</v>
      </c>
      <c r="U34" s="49">
        <f t="shared" ref="U34" si="119">U33+U32</f>
        <v>2766.1389999999997</v>
      </c>
      <c r="V34" s="49">
        <f t="shared" ref="V34" si="120">V33+V32</f>
        <v>2826.9865</v>
      </c>
      <c r="W34" s="49">
        <f t="shared" ref="W34" si="121">W33+W32</f>
        <v>2848.6646999999998</v>
      </c>
      <c r="X34" s="49">
        <f t="shared" ref="X34" si="122">X33+X32</f>
        <v>2855.8181000000004</v>
      </c>
      <c r="Y34" s="49">
        <f t="shared" ref="Y34" si="123">Y33+Y32</f>
        <v>3081.6848</v>
      </c>
      <c r="Z34" s="49">
        <f t="shared" ref="Z34" si="124">Z33+Z32</f>
        <v>2965.6230999999998</v>
      </c>
      <c r="AA34" s="49">
        <f t="shared" ref="AA34" si="125">AA33+AA32</f>
        <v>3015.5916999999999</v>
      </c>
      <c r="AB34" s="49">
        <f t="shared" ref="AB34" si="126">AB33+AB32</f>
        <v>3043.2830999999996</v>
      </c>
    </row>
    <row r="35" spans="1:28" ht="20" x14ac:dyDescent="0.2">
      <c r="A35" s="60" t="s">
        <v>75</v>
      </c>
      <c r="B35" s="50">
        <f>7.1447014*1000</f>
        <v>7144.7013999999999</v>
      </c>
      <c r="C35" s="51">
        <v>6751.6715000000004</v>
      </c>
      <c r="D35" s="51">
        <v>52793.7889</v>
      </c>
      <c r="E35" s="51">
        <v>78443.458700000003</v>
      </c>
      <c r="F35" s="51">
        <v>103582.5529</v>
      </c>
      <c r="G35" s="51">
        <v>130195.6525</v>
      </c>
      <c r="H35" s="51">
        <v>146969.24559999999</v>
      </c>
      <c r="I35" s="51">
        <v>168048.38020000001</v>
      </c>
      <c r="J35" s="51">
        <v>200692.75589999999</v>
      </c>
      <c r="K35" s="51">
        <v>227736.6347</v>
      </c>
      <c r="L35" s="51">
        <v>248768.74859999999</v>
      </c>
      <c r="M35" s="51">
        <v>274074.10989999998</v>
      </c>
      <c r="N35" s="51">
        <v>295874.24320000003</v>
      </c>
      <c r="O35" s="51">
        <v>311490.58720000001</v>
      </c>
      <c r="P35" s="51">
        <v>315658.08429999999</v>
      </c>
      <c r="Q35" s="51">
        <v>329442.00949999999</v>
      </c>
      <c r="R35" s="51">
        <v>329729.62099999998</v>
      </c>
      <c r="S35" s="51">
        <v>342569.33909999998</v>
      </c>
      <c r="T35" s="51">
        <v>354771.47480000003</v>
      </c>
      <c r="U35" s="51">
        <v>372378.67690000002</v>
      </c>
      <c r="V35" s="51">
        <v>380679.77669999999</v>
      </c>
      <c r="W35" s="51">
        <v>408517.88309999998</v>
      </c>
      <c r="X35" s="51">
        <v>429744.88630000001</v>
      </c>
      <c r="Y35" s="51">
        <v>442360.71710000001</v>
      </c>
      <c r="Z35" s="51">
        <v>461637.49440000003</v>
      </c>
      <c r="AA35" s="51">
        <v>472059.66039999999</v>
      </c>
      <c r="AB35" s="51">
        <v>471332.73090000002</v>
      </c>
    </row>
    <row r="36" spans="1:28" ht="20" x14ac:dyDescent="0.2">
      <c r="A36" s="60" t="s">
        <v>116</v>
      </c>
      <c r="B36" s="50">
        <f>B35/1000</f>
        <v>7.1447013999999998</v>
      </c>
      <c r="C36" s="50">
        <f t="shared" ref="C36:AB36" si="127">C35/1000</f>
        <v>6.7516715000000005</v>
      </c>
      <c r="D36" s="50">
        <f t="shared" si="127"/>
        <v>52.793788900000003</v>
      </c>
      <c r="E36" s="50">
        <f t="shared" si="127"/>
        <v>78.443458700000008</v>
      </c>
      <c r="F36" s="50">
        <f t="shared" si="127"/>
        <v>103.5825529</v>
      </c>
      <c r="G36" s="50">
        <f t="shared" si="127"/>
        <v>130.19565249999999</v>
      </c>
      <c r="H36" s="50">
        <f t="shared" si="127"/>
        <v>146.96924559999999</v>
      </c>
      <c r="I36" s="50">
        <f t="shared" si="127"/>
        <v>168.04838020000003</v>
      </c>
      <c r="J36" s="50">
        <f t="shared" si="127"/>
        <v>200.69275589999998</v>
      </c>
      <c r="K36" s="50">
        <f t="shared" si="127"/>
        <v>227.7366347</v>
      </c>
      <c r="L36" s="50">
        <f t="shared" si="127"/>
        <v>248.76874859999998</v>
      </c>
      <c r="M36" s="50">
        <f t="shared" si="127"/>
        <v>274.0741099</v>
      </c>
      <c r="N36" s="50">
        <f t="shared" si="127"/>
        <v>295.87424320000002</v>
      </c>
      <c r="O36" s="50">
        <f t="shared" si="127"/>
        <v>311.49058719999999</v>
      </c>
      <c r="P36" s="50">
        <f t="shared" si="127"/>
        <v>315.65808429999998</v>
      </c>
      <c r="Q36" s="50">
        <f t="shared" si="127"/>
        <v>329.44200949999998</v>
      </c>
      <c r="R36" s="50">
        <f t="shared" si="127"/>
        <v>329.72962100000001</v>
      </c>
      <c r="S36" s="50">
        <f t="shared" si="127"/>
        <v>342.56933909999998</v>
      </c>
      <c r="T36" s="50">
        <f t="shared" si="127"/>
        <v>354.77147480000002</v>
      </c>
      <c r="U36" s="50">
        <f t="shared" si="127"/>
        <v>372.37867690000002</v>
      </c>
      <c r="V36" s="50">
        <f t="shared" si="127"/>
        <v>380.67977669999999</v>
      </c>
      <c r="W36" s="50">
        <f t="shared" si="127"/>
        <v>408.51788309999995</v>
      </c>
      <c r="X36" s="50">
        <f t="shared" si="127"/>
        <v>429.74488630000002</v>
      </c>
      <c r="Y36" s="50">
        <f t="shared" si="127"/>
        <v>442.36071709999999</v>
      </c>
      <c r="Z36" s="50">
        <f t="shared" si="127"/>
        <v>461.63749440000004</v>
      </c>
      <c r="AA36" s="50">
        <f t="shared" si="127"/>
        <v>472.05966039999998</v>
      </c>
      <c r="AB36" s="50">
        <f t="shared" si="127"/>
        <v>471.3327309</v>
      </c>
    </row>
    <row r="37" spans="1:28" ht="20" x14ac:dyDescent="0.2">
      <c r="A37" s="60" t="s">
        <v>102</v>
      </c>
      <c r="B37" s="49">
        <f>326.8576+21.9477</f>
        <v>348.80529999999999</v>
      </c>
      <c r="C37" s="49">
        <f>320.4166+21.6162</f>
        <v>342.03280000000001</v>
      </c>
      <c r="D37" s="49">
        <f>325.5249+21.9907</f>
        <v>347.51560000000001</v>
      </c>
      <c r="E37" s="49">
        <f>323.3919+21.5488</f>
        <v>344.94069999999999</v>
      </c>
      <c r="F37" s="49">
        <f>326.5194+21.279</f>
        <v>347.79840000000002</v>
      </c>
      <c r="G37" s="49">
        <f>332.4116+21.0056</f>
        <v>353.41720000000004</v>
      </c>
      <c r="H37" s="49">
        <f>340.6146+20.7094</f>
        <v>361.32400000000001</v>
      </c>
      <c r="I37" s="49">
        <f>344.5609+21.7756</f>
        <v>366.3365</v>
      </c>
      <c r="J37" s="49">
        <f>351.5669+20.9285</f>
        <v>372.49539999999996</v>
      </c>
      <c r="K37" s="49">
        <f>353.0798+20.6888</f>
        <v>373.76859999999999</v>
      </c>
      <c r="L37" s="49">
        <f>359.3147+22.4392</f>
        <v>381.75390000000004</v>
      </c>
      <c r="M37" s="49">
        <f>360.4746+21.3785</f>
        <v>381.85309999999998</v>
      </c>
      <c r="N37" s="49">
        <f>366.0311+22.1017</f>
        <v>388.13279999999997</v>
      </c>
      <c r="O37" s="49">
        <f>376.282+21.4973</f>
        <v>397.77929999999998</v>
      </c>
      <c r="P37" s="49">
        <f>377.7077+21.1545</f>
        <v>398.86219999999997</v>
      </c>
      <c r="Q37" s="49">
        <f>387.4728+21.5029</f>
        <v>408.97570000000002</v>
      </c>
      <c r="R37" s="49">
        <f>393.9764+22.0003</f>
        <v>415.97669999999999</v>
      </c>
      <c r="S37" s="49">
        <f>390.9047+21.1469</f>
        <v>412.05160000000001</v>
      </c>
      <c r="T37" s="49">
        <f>395.4768+22.1923</f>
        <v>417.66910000000001</v>
      </c>
      <c r="U37" s="49">
        <f>399.0013+20.8659</f>
        <v>419.86720000000003</v>
      </c>
      <c r="V37" s="49">
        <f>403.764+21.7775</f>
        <v>425.54149999999998</v>
      </c>
      <c r="W37" s="49">
        <f>409.6952+22.7122</f>
        <v>432.4074</v>
      </c>
      <c r="X37" s="49">
        <f>409.3344+21.1274</f>
        <v>430.46180000000004</v>
      </c>
      <c r="Y37" s="49">
        <f>440.5467+22.3038</f>
        <v>462.85050000000001</v>
      </c>
      <c r="Z37" s="49">
        <f>421.3316+21.1419</f>
        <v>442.4735</v>
      </c>
      <c r="AA37" s="49">
        <f>422.9472+20.9867</f>
        <v>443.93389999999999</v>
      </c>
      <c r="AB37" s="49">
        <f>424.8359+20.8079</f>
        <v>445.6438</v>
      </c>
    </row>
    <row r="38" spans="1:28" ht="20" x14ac:dyDescent="0.2">
      <c r="A38" s="60" t="s">
        <v>118</v>
      </c>
      <c r="B38" s="49">
        <f>B9+B8</f>
        <v>3488.5436</v>
      </c>
      <c r="C38" s="49">
        <f t="shared" ref="C38:AB38" si="128">C9+C8</f>
        <v>2486.2196999999996</v>
      </c>
      <c r="D38" s="49">
        <f t="shared" si="128"/>
        <v>2201.7826</v>
      </c>
      <c r="E38" s="49">
        <f t="shared" si="128"/>
        <v>2195.2375000000002</v>
      </c>
      <c r="F38" s="49">
        <f t="shared" si="128"/>
        <v>2178.4205999999999</v>
      </c>
      <c r="G38" s="49">
        <f t="shared" si="128"/>
        <v>2207.904</v>
      </c>
      <c r="H38" s="49">
        <f t="shared" si="128"/>
        <v>2240.3600999999999</v>
      </c>
      <c r="I38" s="49">
        <f t="shared" si="128"/>
        <v>2290.9571999999998</v>
      </c>
      <c r="J38" s="49">
        <f t="shared" si="128"/>
        <v>2413.1028000000001</v>
      </c>
      <c r="K38" s="49">
        <f t="shared" si="128"/>
        <v>2399.7892999999999</v>
      </c>
      <c r="L38" s="49">
        <f t="shared" si="128"/>
        <v>2416.0992000000001</v>
      </c>
      <c r="M38" s="49">
        <f t="shared" si="128"/>
        <v>2512.4457000000002</v>
      </c>
      <c r="N38" s="49">
        <f t="shared" si="128"/>
        <v>2547.4764</v>
      </c>
      <c r="O38" s="49">
        <f t="shared" si="128"/>
        <v>2521.1293999999998</v>
      </c>
      <c r="P38" s="49">
        <f t="shared" si="128"/>
        <v>2583.5772000000002</v>
      </c>
      <c r="Q38" s="49">
        <f t="shared" si="128"/>
        <v>2699.3335999999999</v>
      </c>
      <c r="R38" s="49">
        <f t="shared" si="128"/>
        <v>2773.8647999999998</v>
      </c>
      <c r="S38" s="49">
        <f t="shared" si="128"/>
        <v>2770.1571000000004</v>
      </c>
      <c r="T38" s="49">
        <f t="shared" si="128"/>
        <v>2790.0796</v>
      </c>
      <c r="U38" s="49">
        <f t="shared" si="128"/>
        <v>2899.7381</v>
      </c>
      <c r="V38" s="49">
        <f t="shared" si="128"/>
        <v>2955.6169999999997</v>
      </c>
      <c r="W38" s="49">
        <f t="shared" si="128"/>
        <v>2920.3108999999999</v>
      </c>
      <c r="X38" s="49">
        <f t="shared" si="128"/>
        <v>3000.0820999999996</v>
      </c>
      <c r="Y38" s="49">
        <f t="shared" si="128"/>
        <v>3136.1214</v>
      </c>
      <c r="Z38" s="49">
        <f t="shared" si="128"/>
        <v>3054.6219000000001</v>
      </c>
      <c r="AA38" s="49">
        <f t="shared" si="128"/>
        <v>3110.9593</v>
      </c>
      <c r="AB38" s="49">
        <f t="shared" si="128"/>
        <v>3158.2851999999998</v>
      </c>
    </row>
    <row r="39" spans="1:28" ht="20" x14ac:dyDescent="0.2">
      <c r="A39" s="60" t="s">
        <v>75</v>
      </c>
      <c r="B39" s="51">
        <v>15632.3014</v>
      </c>
      <c r="C39" s="50">
        <v>14271.6181</v>
      </c>
      <c r="D39" s="50">
        <v>110429.7852</v>
      </c>
      <c r="E39" s="50">
        <v>163569.37460000001</v>
      </c>
      <c r="F39" s="50">
        <v>216997.6404</v>
      </c>
      <c r="G39" s="50">
        <v>271636.19760000001</v>
      </c>
      <c r="H39" s="50">
        <v>318449.83750000002</v>
      </c>
      <c r="I39" s="50">
        <v>361152.4705</v>
      </c>
      <c r="J39" s="50">
        <v>415958.31219999999</v>
      </c>
      <c r="K39" s="50">
        <v>468706.94140000001</v>
      </c>
      <c r="L39" s="50">
        <v>505640.86450000003</v>
      </c>
      <c r="M39" s="50">
        <v>564647.31850000005</v>
      </c>
      <c r="N39" s="50">
        <v>606990.90830000001</v>
      </c>
      <c r="O39" s="50">
        <v>639447.97739999997</v>
      </c>
      <c r="P39" s="50">
        <v>627207.16090000002</v>
      </c>
      <c r="Q39" s="50">
        <v>658972.86369999999</v>
      </c>
      <c r="R39" s="50">
        <v>689985.59169999999</v>
      </c>
      <c r="S39" s="50">
        <v>696978.64549999998</v>
      </c>
      <c r="T39" s="50">
        <v>715557.38370000001</v>
      </c>
      <c r="U39" s="50">
        <v>743706.53460000001</v>
      </c>
      <c r="V39" s="50">
        <v>751507.75</v>
      </c>
      <c r="W39" s="50">
        <v>775398.66359999997</v>
      </c>
      <c r="X39" s="50">
        <v>825374.30630000005</v>
      </c>
      <c r="Y39" s="50">
        <v>817106.76060000004</v>
      </c>
      <c r="Z39" s="50">
        <v>873631.42669999995</v>
      </c>
      <c r="AA39" s="50">
        <v>874775.96050000004</v>
      </c>
      <c r="AB39" s="50">
        <v>808027.58349999995</v>
      </c>
    </row>
    <row r="40" spans="1:28" ht="20" x14ac:dyDescent="0.2">
      <c r="A40" s="60" t="s">
        <v>35</v>
      </c>
      <c r="B40" s="50">
        <f>B39/1000</f>
        <v>15.632301400000001</v>
      </c>
      <c r="C40" s="50">
        <f t="shared" ref="C40:AB40" si="129">C39/1000</f>
        <v>14.2716181</v>
      </c>
      <c r="D40" s="50">
        <f t="shared" si="129"/>
        <v>110.4297852</v>
      </c>
      <c r="E40" s="50">
        <f t="shared" si="129"/>
        <v>163.5693746</v>
      </c>
      <c r="F40" s="50">
        <f t="shared" si="129"/>
        <v>216.99764039999999</v>
      </c>
      <c r="G40" s="50">
        <f t="shared" si="129"/>
        <v>271.6361976</v>
      </c>
      <c r="H40" s="50">
        <f t="shared" si="129"/>
        <v>318.4498375</v>
      </c>
      <c r="I40" s="50">
        <f t="shared" si="129"/>
        <v>361.15247049999999</v>
      </c>
      <c r="J40" s="50">
        <f t="shared" si="129"/>
        <v>415.95831219999997</v>
      </c>
      <c r="K40" s="50">
        <f t="shared" si="129"/>
        <v>468.70694140000001</v>
      </c>
      <c r="L40" s="50">
        <f t="shared" si="129"/>
        <v>505.64086450000002</v>
      </c>
      <c r="M40" s="50">
        <f t="shared" si="129"/>
        <v>564.6473185000001</v>
      </c>
      <c r="N40" s="50">
        <f t="shared" si="129"/>
        <v>606.9909083</v>
      </c>
      <c r="O40" s="50">
        <f t="shared" si="129"/>
        <v>639.44797740000001</v>
      </c>
      <c r="P40" s="50">
        <f t="shared" si="129"/>
        <v>627.20716089999996</v>
      </c>
      <c r="Q40" s="50">
        <f t="shared" si="129"/>
        <v>658.97286369999995</v>
      </c>
      <c r="R40" s="50">
        <f t="shared" si="129"/>
        <v>689.98559169999999</v>
      </c>
      <c r="S40" s="50">
        <f t="shared" si="129"/>
        <v>696.97864549999997</v>
      </c>
      <c r="T40" s="50">
        <f t="shared" si="129"/>
        <v>715.55738370000006</v>
      </c>
      <c r="U40" s="50">
        <f t="shared" si="129"/>
        <v>743.70653460000005</v>
      </c>
      <c r="V40" s="50">
        <f t="shared" si="129"/>
        <v>751.50774999999999</v>
      </c>
      <c r="W40" s="50">
        <f t="shared" si="129"/>
        <v>775.39866359999996</v>
      </c>
      <c r="X40" s="50">
        <f t="shared" si="129"/>
        <v>825.37430630000006</v>
      </c>
      <c r="Y40" s="50">
        <f t="shared" si="129"/>
        <v>817.10676060000003</v>
      </c>
      <c r="Z40" s="50">
        <f t="shared" si="129"/>
        <v>873.63142669999991</v>
      </c>
      <c r="AA40" s="50">
        <f t="shared" si="129"/>
        <v>874.7759605</v>
      </c>
      <c r="AB40" s="50">
        <f t="shared" si="129"/>
        <v>808.02758349999999</v>
      </c>
    </row>
    <row r="41" spans="1:28" ht="20" x14ac:dyDescent="0.2">
      <c r="A41" s="60" t="s">
        <v>103</v>
      </c>
      <c r="B41" s="49">
        <f>334.8021+22.2723</f>
        <v>357.07439999999997</v>
      </c>
      <c r="C41" s="49">
        <v>355</v>
      </c>
      <c r="D41" s="49">
        <f>329.3519+22.1488</f>
        <v>351.50069999999999</v>
      </c>
      <c r="E41" s="49">
        <f>340.1216+21.845</f>
        <v>361.96659999999997</v>
      </c>
      <c r="F41" s="49">
        <f>338.7013+21.2035</f>
        <v>359.90480000000002</v>
      </c>
      <c r="G41" s="49">
        <f>344.4786+23.1146</f>
        <v>367.59319999999997</v>
      </c>
      <c r="H41" s="49">
        <f>352.2442+22.4681</f>
        <v>374.71229999999997</v>
      </c>
      <c r="I41" s="49">
        <f>358.1242+22.8496</f>
        <v>380.97379999999998</v>
      </c>
      <c r="J41" s="49">
        <f>364.9875+21.6607</f>
        <v>386.64820000000003</v>
      </c>
      <c r="K41" s="49">
        <f>364.5253+21.1663</f>
        <v>385.69159999999999</v>
      </c>
      <c r="L41" s="49">
        <f>367.9314+26.6328</f>
        <v>394.56419999999997</v>
      </c>
      <c r="M41" s="49">
        <f>375.6864+22.7312</f>
        <v>398.41759999999999</v>
      </c>
      <c r="N41" s="49">
        <f>378.3858+22.172</f>
        <v>400.55780000000004</v>
      </c>
      <c r="O41" s="49">
        <f>384.0222+22.0589</f>
        <v>406.08109999999999</v>
      </c>
      <c r="P41" s="49">
        <f>388.8193+22.7189</f>
        <v>411.53820000000002</v>
      </c>
      <c r="Q41" s="49">
        <f>393.9074+22.1099</f>
        <v>416.01729999999998</v>
      </c>
      <c r="R41" s="49">
        <f>400.047+22.6503</f>
        <v>422.69730000000004</v>
      </c>
      <c r="S41" s="49">
        <f>403.5051+23.0439</f>
        <v>426.54900000000004</v>
      </c>
      <c r="T41" s="49">
        <f>407.1049+22.287</f>
        <v>429.39189999999996</v>
      </c>
      <c r="U41" s="49">
        <f>410.3619+22.4088</f>
        <v>432.77069999999998</v>
      </c>
      <c r="V41" s="49">
        <f>416.927+24.5064</f>
        <v>441.43340000000001</v>
      </c>
      <c r="W41" s="49">
        <f>416.6489+23.4704</f>
        <v>440.11930000000001</v>
      </c>
      <c r="X41" s="49">
        <f>421.5201+22.7134</f>
        <v>444.23349999999999</v>
      </c>
      <c r="Y41" s="49">
        <f>429.3961+23.8707</f>
        <v>453.26679999999999</v>
      </c>
      <c r="Z41" s="49">
        <f>426.6521+22.6473</f>
        <v>449.29939999999999</v>
      </c>
      <c r="AA41" s="49">
        <f>432.502+21.7115</f>
        <v>454.21350000000001</v>
      </c>
      <c r="AB41" s="49">
        <f>434.4333+21.9874</f>
        <v>456.42069999999995</v>
      </c>
    </row>
    <row r="42" spans="1:28" ht="20" x14ac:dyDescent="0.2">
      <c r="A42" s="61" t="s">
        <v>76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spans="1:28" ht="20" x14ac:dyDescent="0.2">
      <c r="A43" s="60" t="s">
        <v>104</v>
      </c>
      <c r="B43" s="51">
        <v>2088.3593000000001</v>
      </c>
      <c r="C43" s="51">
        <v>1331.6292000000001</v>
      </c>
      <c r="D43" s="51">
        <v>1176.4445000000001</v>
      </c>
      <c r="E43" s="51">
        <v>1229.2094</v>
      </c>
      <c r="F43" s="51">
        <v>1224.3769</v>
      </c>
      <c r="G43" s="51">
        <v>1221.3149000000001</v>
      </c>
      <c r="H43" s="51">
        <v>1294.1597999999999</v>
      </c>
      <c r="I43" s="51">
        <v>1374.1515999999999</v>
      </c>
      <c r="J43" s="51">
        <v>1395.7965999999999</v>
      </c>
      <c r="K43" s="51">
        <v>1355.7905000000001</v>
      </c>
      <c r="L43" s="51">
        <v>1447.0262</v>
      </c>
      <c r="M43" s="51">
        <v>1427.2871</v>
      </c>
      <c r="N43" s="51">
        <v>1453.2197000000001</v>
      </c>
      <c r="O43" s="51">
        <v>1505.2920999999999</v>
      </c>
      <c r="P43" s="51">
        <v>1625.1605</v>
      </c>
      <c r="Q43" s="51">
        <v>1690.9837</v>
      </c>
      <c r="R43" s="51">
        <v>1702.5438999999999</v>
      </c>
      <c r="S43" s="51">
        <v>1766.1157000000001</v>
      </c>
      <c r="T43" s="51">
        <v>1859.8574000000001</v>
      </c>
      <c r="U43" s="51">
        <v>1924.9567</v>
      </c>
      <c r="V43" s="51">
        <v>1952.9622999999999</v>
      </c>
      <c r="W43" s="51">
        <v>1963.9674</v>
      </c>
      <c r="X43" s="51">
        <v>2032.1088999999999</v>
      </c>
      <c r="Y43" s="51">
        <v>2100.4065999999998</v>
      </c>
      <c r="Z43" s="51">
        <v>2347.8292000000001</v>
      </c>
      <c r="AA43" s="51">
        <v>2133.6314000000002</v>
      </c>
      <c r="AB43" s="51">
        <v>2224.0012000000002</v>
      </c>
    </row>
    <row r="44" spans="1:28" ht="20" x14ac:dyDescent="0.2">
      <c r="A44" s="60" t="s">
        <v>86</v>
      </c>
      <c r="B44" s="51">
        <v>246.0942</v>
      </c>
      <c r="C44" s="51">
        <v>156.24180000000001</v>
      </c>
      <c r="D44" s="51">
        <v>133.33009999999999</v>
      </c>
      <c r="E44" s="51">
        <v>141.1319</v>
      </c>
      <c r="F44" s="51">
        <v>137.02869999999999</v>
      </c>
      <c r="G44" s="51">
        <v>134.1866</v>
      </c>
      <c r="H44" s="51">
        <v>144.52690000000001</v>
      </c>
      <c r="I44" s="51">
        <v>147.06059999999999</v>
      </c>
      <c r="J44" s="51">
        <v>147.018</v>
      </c>
      <c r="K44" s="51">
        <v>145.88800000000001</v>
      </c>
      <c r="L44" s="51">
        <v>148.2063</v>
      </c>
      <c r="M44" s="51">
        <v>147.773</v>
      </c>
      <c r="N44" s="51">
        <v>147.1499</v>
      </c>
      <c r="O44" s="51">
        <v>153.83629999999999</v>
      </c>
      <c r="P44" s="51">
        <v>162.4462</v>
      </c>
      <c r="Q44" s="51">
        <v>169.7099</v>
      </c>
      <c r="R44" s="51">
        <v>169.79320000000001</v>
      </c>
      <c r="S44" s="51">
        <v>173.03370000000001</v>
      </c>
      <c r="T44" s="51">
        <v>177.2927</v>
      </c>
      <c r="U44" s="51">
        <v>182.16650000000001</v>
      </c>
      <c r="V44" s="51">
        <v>183.91409999999999</v>
      </c>
      <c r="W44" s="51">
        <v>182.37909999999999</v>
      </c>
      <c r="X44" s="51">
        <v>191.02109999999999</v>
      </c>
      <c r="Y44" s="51">
        <v>193.30529999999999</v>
      </c>
      <c r="Z44" s="51">
        <v>226.768</v>
      </c>
      <c r="AA44" s="51">
        <v>192.6866</v>
      </c>
      <c r="AB44" s="51">
        <v>203.83840000000001</v>
      </c>
    </row>
    <row r="45" spans="1:28" ht="20" x14ac:dyDescent="0.2">
      <c r="A45" s="60" t="s">
        <v>105</v>
      </c>
      <c r="B45" s="49">
        <f>B44+B43</f>
        <v>2334.4535000000001</v>
      </c>
      <c r="C45" s="49">
        <f t="shared" ref="C45:AB45" si="130">C44+C43</f>
        <v>1487.8710000000001</v>
      </c>
      <c r="D45" s="49">
        <f t="shared" si="130"/>
        <v>1309.7746</v>
      </c>
      <c r="E45" s="49">
        <f t="shared" si="130"/>
        <v>1370.3413</v>
      </c>
      <c r="F45" s="49">
        <f t="shared" si="130"/>
        <v>1361.4056</v>
      </c>
      <c r="G45" s="49">
        <f t="shared" si="130"/>
        <v>1355.5015000000001</v>
      </c>
      <c r="H45" s="49">
        <f t="shared" si="130"/>
        <v>1438.6867</v>
      </c>
      <c r="I45" s="49">
        <f t="shared" si="130"/>
        <v>1521.2121999999999</v>
      </c>
      <c r="J45" s="49">
        <f t="shared" si="130"/>
        <v>1542.8145999999999</v>
      </c>
      <c r="K45" s="49">
        <f t="shared" si="130"/>
        <v>1501.6785</v>
      </c>
      <c r="L45" s="49">
        <f t="shared" si="130"/>
        <v>1595.2325000000001</v>
      </c>
      <c r="M45" s="49">
        <f t="shared" si="130"/>
        <v>1575.0600999999999</v>
      </c>
      <c r="N45" s="49">
        <f t="shared" si="130"/>
        <v>1600.3696</v>
      </c>
      <c r="O45" s="49">
        <f t="shared" si="130"/>
        <v>1659.1283999999998</v>
      </c>
      <c r="P45" s="49">
        <f t="shared" si="130"/>
        <v>1787.6067</v>
      </c>
      <c r="Q45" s="49">
        <f t="shared" si="130"/>
        <v>1860.6936000000001</v>
      </c>
      <c r="R45" s="49">
        <f t="shared" si="130"/>
        <v>1872.3371</v>
      </c>
      <c r="S45" s="49">
        <f t="shared" si="130"/>
        <v>1939.1494</v>
      </c>
      <c r="T45" s="49">
        <f t="shared" si="130"/>
        <v>2037.1501000000001</v>
      </c>
      <c r="U45" s="49">
        <f t="shared" si="130"/>
        <v>2107.1232</v>
      </c>
      <c r="V45" s="49">
        <f t="shared" si="130"/>
        <v>2136.8764000000001</v>
      </c>
      <c r="W45" s="49">
        <f t="shared" si="130"/>
        <v>2146.3465000000001</v>
      </c>
      <c r="X45" s="49">
        <f t="shared" si="130"/>
        <v>2223.13</v>
      </c>
      <c r="Y45" s="49">
        <f t="shared" si="130"/>
        <v>2293.7118999999998</v>
      </c>
      <c r="Z45" s="49">
        <f t="shared" si="130"/>
        <v>2574.5972000000002</v>
      </c>
      <c r="AA45" s="49">
        <f t="shared" si="130"/>
        <v>2326.3180000000002</v>
      </c>
      <c r="AB45" s="49">
        <f t="shared" si="130"/>
        <v>2427.8396000000002</v>
      </c>
    </row>
    <row r="46" spans="1:28" ht="20" x14ac:dyDescent="0.2">
      <c r="A46" s="60" t="s">
        <v>75</v>
      </c>
      <c r="B46" s="51">
        <v>25667.491099999999</v>
      </c>
      <c r="C46" s="51">
        <v>18417.130300000001</v>
      </c>
      <c r="D46" s="51">
        <v>139591.3903</v>
      </c>
      <c r="E46" s="51">
        <v>133985.41190000001</v>
      </c>
      <c r="F46" s="51">
        <v>139121.85269999999</v>
      </c>
      <c r="G46" s="51">
        <v>126357.697</v>
      </c>
      <c r="H46" s="51">
        <v>138280.42800000001</v>
      </c>
      <c r="I46" s="51">
        <v>121016.5877</v>
      </c>
      <c r="J46" s="51">
        <v>138174.43890000001</v>
      </c>
      <c r="K46" s="51">
        <v>130466.28750000001</v>
      </c>
      <c r="L46" s="51">
        <v>133521.68650000001</v>
      </c>
      <c r="M46" s="51">
        <v>135069.22750000001</v>
      </c>
      <c r="N46" s="51">
        <v>134283.2616</v>
      </c>
      <c r="O46" s="51">
        <v>136982.0533</v>
      </c>
      <c r="P46" s="51">
        <v>119552.3309</v>
      </c>
      <c r="Q46" s="51">
        <v>120723.6712</v>
      </c>
      <c r="R46" s="51">
        <v>118803.3118</v>
      </c>
      <c r="S46" s="51">
        <v>115335.7087</v>
      </c>
      <c r="T46" s="51">
        <v>114948.97040000001</v>
      </c>
      <c r="U46" s="51">
        <v>95059.409100000004</v>
      </c>
      <c r="V46" s="51">
        <v>101865.8723</v>
      </c>
      <c r="W46" s="51">
        <v>107265.3685</v>
      </c>
      <c r="X46" s="51">
        <v>99673.440300000002</v>
      </c>
      <c r="Y46" s="51">
        <v>90524.998500000002</v>
      </c>
      <c r="Z46" s="51">
        <v>89789</v>
      </c>
      <c r="AA46" s="49">
        <v>86040</v>
      </c>
      <c r="AB46" s="49">
        <v>85439.45</v>
      </c>
    </row>
    <row r="47" spans="1:28" ht="20" x14ac:dyDescent="0.2">
      <c r="A47" s="60" t="s">
        <v>35</v>
      </c>
      <c r="B47" s="51">
        <f>B46/1000</f>
        <v>25.667491099999999</v>
      </c>
      <c r="C47" s="51">
        <f>C46/1000</f>
        <v>18.4171303</v>
      </c>
      <c r="D47" s="51">
        <f t="shared" ref="D47:AB47" si="131">D46/1000</f>
        <v>139.5913903</v>
      </c>
      <c r="E47" s="51">
        <f t="shared" si="131"/>
        <v>133.9854119</v>
      </c>
      <c r="F47" s="51">
        <f t="shared" si="131"/>
        <v>139.12185269999998</v>
      </c>
      <c r="G47" s="51">
        <f t="shared" si="131"/>
        <v>126.357697</v>
      </c>
      <c r="H47" s="51">
        <f t="shared" si="131"/>
        <v>138.280428</v>
      </c>
      <c r="I47" s="51">
        <f t="shared" si="131"/>
        <v>121.0165877</v>
      </c>
      <c r="J47" s="51">
        <f t="shared" si="131"/>
        <v>138.17443890000001</v>
      </c>
      <c r="K47" s="51">
        <f t="shared" si="131"/>
        <v>130.46628749999999</v>
      </c>
      <c r="L47" s="51">
        <f t="shared" si="131"/>
        <v>133.52168650000002</v>
      </c>
      <c r="M47" s="51">
        <f t="shared" si="131"/>
        <v>135.06922750000001</v>
      </c>
      <c r="N47" s="51">
        <f t="shared" si="131"/>
        <v>134.2832616</v>
      </c>
      <c r="O47" s="51">
        <f t="shared" si="131"/>
        <v>136.98205329999999</v>
      </c>
      <c r="P47" s="51">
        <f t="shared" si="131"/>
        <v>119.5523309</v>
      </c>
      <c r="Q47" s="51">
        <f t="shared" si="131"/>
        <v>120.7236712</v>
      </c>
      <c r="R47" s="51">
        <f t="shared" si="131"/>
        <v>118.80331179999999</v>
      </c>
      <c r="S47" s="51">
        <f t="shared" si="131"/>
        <v>115.3357087</v>
      </c>
      <c r="T47" s="51">
        <f t="shared" si="131"/>
        <v>114.94897040000001</v>
      </c>
      <c r="U47" s="51">
        <f t="shared" si="131"/>
        <v>95.059409100000011</v>
      </c>
      <c r="V47" s="51">
        <f t="shared" si="131"/>
        <v>101.86587230000001</v>
      </c>
      <c r="W47" s="51">
        <f t="shared" si="131"/>
        <v>107.26536849999999</v>
      </c>
      <c r="X47" s="51">
        <f t="shared" si="131"/>
        <v>99.673440299999996</v>
      </c>
      <c r="Y47" s="51">
        <f t="shared" si="131"/>
        <v>90.524998499999995</v>
      </c>
      <c r="Z47" s="51">
        <f t="shared" si="131"/>
        <v>89.789000000000001</v>
      </c>
      <c r="AA47" s="51">
        <f t="shared" si="131"/>
        <v>86.04</v>
      </c>
      <c r="AB47" s="51">
        <f t="shared" si="131"/>
        <v>85.439449999999994</v>
      </c>
    </row>
    <row r="48" spans="1:28" ht="20" x14ac:dyDescent="0.2">
      <c r="A48" s="60" t="s">
        <v>36</v>
      </c>
      <c r="B48" s="49">
        <f>184.796+21.7766</f>
        <v>206.57259999999999</v>
      </c>
      <c r="C48" s="49">
        <f>182.3645+21.3971</f>
        <v>203.76159999999999</v>
      </c>
      <c r="D48" s="49">
        <f>182.7322+20.7096</f>
        <v>203.4418</v>
      </c>
      <c r="E48" s="49">
        <f>184.8494+21.2236</f>
        <v>206.07300000000001</v>
      </c>
      <c r="F48" s="49">
        <f>187.7237+21.0095</f>
        <v>208.73320000000001</v>
      </c>
      <c r="G48" s="49">
        <f>189.5939+20.8308</f>
        <v>210.4247</v>
      </c>
      <c r="H48" s="49">
        <f>192.9899+21.5524</f>
        <v>214.54230000000001</v>
      </c>
      <c r="I48" s="49">
        <f>200.2804+21.4339</f>
        <v>221.71429999999998</v>
      </c>
      <c r="J48" s="49">
        <f>202.5962+21.3393</f>
        <v>223.93550000000002</v>
      </c>
      <c r="K48" s="49">
        <f>200.0883+21.5302</f>
        <v>221.61850000000001</v>
      </c>
      <c r="L48" s="49">
        <v>221</v>
      </c>
      <c r="M48" s="51">
        <f>203.2057+21.0388</f>
        <v>224.24450000000002</v>
      </c>
      <c r="N48" s="49">
        <f>208.8858+21.1513</f>
        <v>230.03709999999998</v>
      </c>
      <c r="O48" s="49">
        <f>208.0479+21.2619</f>
        <v>229.3098</v>
      </c>
      <c r="P48" s="49">
        <f>211.9185+21.1827</f>
        <v>233.10120000000001</v>
      </c>
      <c r="Q48" s="49">
        <f>215.3294+21.6108</f>
        <v>236.9402</v>
      </c>
      <c r="R48" s="49">
        <f>216.1866+21.5601</f>
        <v>237.7467</v>
      </c>
      <c r="S48" s="49">
        <f>219.4454+21.5</f>
        <v>240.94540000000001</v>
      </c>
      <c r="T48" s="49">
        <f>222.7195+21.231</f>
        <v>243.95050000000001</v>
      </c>
      <c r="U48" s="49">
        <f>227.5931+21.5381</f>
        <v>249.13119999999998</v>
      </c>
      <c r="V48" s="49">
        <f>226.2384+21.3053</f>
        <v>247.5437</v>
      </c>
      <c r="W48" s="49">
        <f>228.0005+21.1727</f>
        <v>249.17319999999998</v>
      </c>
      <c r="X48" s="49">
        <f>230.7468+21.6905</f>
        <v>252.43729999999999</v>
      </c>
      <c r="Y48" s="49">
        <f>233.6235+ 21.5009</f>
        <v>255.12440000000001</v>
      </c>
      <c r="Z48" s="49">
        <f>212.3095+20.5062</f>
        <v>232.81570000000002</v>
      </c>
      <c r="AA48" s="49">
        <f>237.1271+21.4148</f>
        <v>258.5419</v>
      </c>
      <c r="AB48" s="49">
        <f>240.5635+22.0486</f>
        <v>262.6121</v>
      </c>
    </row>
    <row r="49" spans="1:28" ht="20" x14ac:dyDescent="0.2">
      <c r="A49" s="60" t="s">
        <v>106</v>
      </c>
      <c r="B49" s="51">
        <v>1753.1434999999999</v>
      </c>
      <c r="C49" s="51">
        <v>997.90290000000005</v>
      </c>
      <c r="D49" s="51">
        <v>949.6318</v>
      </c>
      <c r="E49" s="51">
        <v>990.04280000000006</v>
      </c>
      <c r="F49" s="51">
        <v>984.37300000000005</v>
      </c>
      <c r="G49" s="51">
        <v>1105.6170999999999</v>
      </c>
      <c r="H49" s="51">
        <v>1080.3751</v>
      </c>
      <c r="I49" s="51">
        <v>1167.2204999999999</v>
      </c>
      <c r="J49" s="51">
        <v>1265.1217999999999</v>
      </c>
      <c r="K49" s="51">
        <v>1262.8047999999999</v>
      </c>
      <c r="L49" s="51">
        <v>1310.9032</v>
      </c>
      <c r="M49" s="51">
        <v>1401.9449999999999</v>
      </c>
      <c r="N49" s="51">
        <v>1404.7951</v>
      </c>
      <c r="O49" s="51">
        <v>1414.3045999999999</v>
      </c>
      <c r="P49" s="51">
        <v>1519.0897</v>
      </c>
      <c r="Q49" s="51">
        <v>1649.0913</v>
      </c>
      <c r="R49" s="51">
        <v>1714.4081000000001</v>
      </c>
      <c r="S49" s="51">
        <v>1784.5581999999999</v>
      </c>
      <c r="T49" s="51">
        <v>1907.5550000000001</v>
      </c>
      <c r="U49" s="51">
        <v>2016.7983999999999</v>
      </c>
      <c r="V49" s="51">
        <v>1916.3357000000001</v>
      </c>
      <c r="W49" s="51">
        <v>2067.991</v>
      </c>
      <c r="X49" s="51">
        <v>2013.3119999999999</v>
      </c>
      <c r="Y49" s="51">
        <v>2077.8751999999999</v>
      </c>
      <c r="Z49" s="51">
        <v>2077.2624000000001</v>
      </c>
      <c r="AA49" s="51">
        <v>2141.8256000000001</v>
      </c>
      <c r="AB49" s="51">
        <v>2227.89</v>
      </c>
    </row>
    <row r="50" spans="1:28" ht="20" x14ac:dyDescent="0.2">
      <c r="A50" s="60" t="s">
        <v>86</v>
      </c>
      <c r="B50" s="51">
        <v>118.3878</v>
      </c>
      <c r="C50" s="51">
        <v>71.780799999999999</v>
      </c>
      <c r="D50" s="51">
        <v>66.851900000000001</v>
      </c>
      <c r="E50" s="51">
        <v>67.360500000000002</v>
      </c>
      <c r="F50" s="51">
        <v>68.055499999999995</v>
      </c>
      <c r="G50" s="51">
        <v>75.806700000000006</v>
      </c>
      <c r="H50" s="51">
        <v>71.104299999999995</v>
      </c>
      <c r="I50" s="51">
        <v>86.434899999999999</v>
      </c>
      <c r="J50" s="51">
        <v>90.328100000000006</v>
      </c>
      <c r="K50" s="51">
        <v>85.671899999999994</v>
      </c>
      <c r="L50" s="51">
        <v>83.054699999999997</v>
      </c>
      <c r="M50" s="51">
        <v>83.578500000000005</v>
      </c>
      <c r="N50" s="51">
        <v>79.479799999999997</v>
      </c>
      <c r="O50" s="51">
        <v>80.151600000000002</v>
      </c>
      <c r="P50" s="51">
        <v>83.314999999999998</v>
      </c>
      <c r="Q50" s="51">
        <v>87.182400000000001</v>
      </c>
      <c r="R50" s="51">
        <v>88.144900000000007</v>
      </c>
      <c r="S50" s="51">
        <v>103.4705</v>
      </c>
      <c r="T50" s="51">
        <v>99.384</v>
      </c>
      <c r="U50" s="51">
        <v>95.940100000000001</v>
      </c>
      <c r="V50" s="51">
        <v>94.274299999999997</v>
      </c>
      <c r="W50" s="51">
        <v>106.5479</v>
      </c>
      <c r="X50" s="51">
        <v>101.0446</v>
      </c>
      <c r="Y50" s="51">
        <v>98.275199999999998</v>
      </c>
      <c r="Z50" s="51">
        <v>98.349699999999999</v>
      </c>
      <c r="AA50" s="51">
        <v>106.3224</v>
      </c>
      <c r="AB50" s="51">
        <v>104.2276</v>
      </c>
    </row>
    <row r="51" spans="1:28" ht="20" x14ac:dyDescent="0.2">
      <c r="A51" s="60" t="s">
        <v>106</v>
      </c>
      <c r="B51" s="49">
        <f>B50+B49</f>
        <v>1871.5312999999999</v>
      </c>
      <c r="C51" s="49">
        <f t="shared" ref="C51:AB51" si="132">C50+C49</f>
        <v>1069.6837</v>
      </c>
      <c r="D51" s="49">
        <f t="shared" si="132"/>
        <v>1016.4837</v>
      </c>
      <c r="E51" s="49">
        <f t="shared" si="132"/>
        <v>1057.4032999999999</v>
      </c>
      <c r="F51" s="49">
        <f t="shared" si="132"/>
        <v>1052.4285</v>
      </c>
      <c r="G51" s="49">
        <f t="shared" si="132"/>
        <v>1181.4238</v>
      </c>
      <c r="H51" s="49">
        <f t="shared" si="132"/>
        <v>1151.4793999999999</v>
      </c>
      <c r="I51" s="49">
        <f t="shared" si="132"/>
        <v>1253.6553999999999</v>
      </c>
      <c r="J51" s="49">
        <f t="shared" si="132"/>
        <v>1355.4498999999998</v>
      </c>
      <c r="K51" s="49">
        <f t="shared" si="132"/>
        <v>1348.4766999999999</v>
      </c>
      <c r="L51" s="49">
        <f t="shared" si="132"/>
        <v>1393.9578999999999</v>
      </c>
      <c r="M51" s="49">
        <f t="shared" si="132"/>
        <v>1485.5235</v>
      </c>
      <c r="N51" s="49">
        <f t="shared" si="132"/>
        <v>1484.2749000000001</v>
      </c>
      <c r="O51" s="49">
        <f t="shared" si="132"/>
        <v>1494.4561999999999</v>
      </c>
      <c r="P51" s="49">
        <f t="shared" si="132"/>
        <v>1602.4047</v>
      </c>
      <c r="Q51" s="49">
        <f t="shared" si="132"/>
        <v>1736.2737</v>
      </c>
      <c r="R51" s="49">
        <f t="shared" si="132"/>
        <v>1802.5530000000001</v>
      </c>
      <c r="S51" s="49">
        <f t="shared" si="132"/>
        <v>1888.0286999999998</v>
      </c>
      <c r="T51" s="49">
        <f t="shared" si="132"/>
        <v>2006.9390000000001</v>
      </c>
      <c r="U51" s="49">
        <f t="shared" si="132"/>
        <v>2112.7384999999999</v>
      </c>
      <c r="V51" s="49">
        <f t="shared" si="132"/>
        <v>2010.6100000000001</v>
      </c>
      <c r="W51" s="49">
        <f t="shared" si="132"/>
        <v>2174.5389</v>
      </c>
      <c r="X51" s="49">
        <f t="shared" si="132"/>
        <v>2114.3566000000001</v>
      </c>
      <c r="Y51" s="49">
        <f t="shared" si="132"/>
        <v>2176.1504</v>
      </c>
      <c r="Z51" s="49">
        <f t="shared" si="132"/>
        <v>2175.6121000000003</v>
      </c>
      <c r="AA51" s="49">
        <f t="shared" si="132"/>
        <v>2248.1480000000001</v>
      </c>
      <c r="AB51" s="49">
        <f t="shared" si="132"/>
        <v>2332.1176</v>
      </c>
    </row>
    <row r="52" spans="1:28" ht="20" x14ac:dyDescent="0.2">
      <c r="A52" s="62" t="s">
        <v>75</v>
      </c>
      <c r="B52" s="51">
        <v>54624.7163</v>
      </c>
      <c r="C52" s="51">
        <v>45832.4277</v>
      </c>
      <c r="D52" s="51">
        <v>345167.07990000001</v>
      </c>
      <c r="E52" s="51">
        <v>290902.56770000001</v>
      </c>
      <c r="F52" s="51">
        <v>413894.23560000001</v>
      </c>
      <c r="G52" s="51">
        <v>380378.69540000003</v>
      </c>
      <c r="H52" s="51">
        <v>373112.17509999999</v>
      </c>
      <c r="I52" s="51">
        <v>331156.3959</v>
      </c>
      <c r="J52" s="51">
        <v>338565.57549999998</v>
      </c>
      <c r="K52" s="51">
        <v>353269.9632</v>
      </c>
      <c r="L52" s="51">
        <v>327219.3836</v>
      </c>
      <c r="M52" s="51">
        <v>335397.75050000002</v>
      </c>
      <c r="N52" s="51">
        <v>330749.60239999997</v>
      </c>
      <c r="O52" s="51">
        <v>330160.26610000001</v>
      </c>
      <c r="P52" s="51">
        <v>321247.05170000001</v>
      </c>
      <c r="Q52" s="51">
        <v>338897.48950000003</v>
      </c>
      <c r="R52" s="51">
        <v>333509.21340000001</v>
      </c>
      <c r="S52" s="51">
        <v>307316.79060000001</v>
      </c>
      <c r="T52" s="51">
        <v>303108.45649999997</v>
      </c>
      <c r="U52" s="51">
        <v>267590.29090000002</v>
      </c>
      <c r="V52" s="51">
        <v>250757.5423</v>
      </c>
      <c r="W52" s="51">
        <v>206969.10269999999</v>
      </c>
      <c r="X52" s="51">
        <v>244161.49650000001</v>
      </c>
      <c r="Y52" s="51">
        <v>236737.63579999999</v>
      </c>
      <c r="Z52" s="51">
        <v>221178.79089999999</v>
      </c>
      <c r="AA52" s="51">
        <v>216864.6177</v>
      </c>
      <c r="AB52" s="51">
        <v>219252.7874</v>
      </c>
    </row>
    <row r="53" spans="1:28" ht="20" x14ac:dyDescent="0.2">
      <c r="A53" s="60" t="s">
        <v>35</v>
      </c>
      <c r="B53" s="50">
        <f>B52/1000</f>
        <v>54.624716300000003</v>
      </c>
      <c r="C53" s="50">
        <f t="shared" ref="C53:AB53" si="133">C52/1000</f>
        <v>45.832427699999997</v>
      </c>
      <c r="D53" s="50">
        <f t="shared" si="133"/>
        <v>345.16707990000003</v>
      </c>
      <c r="E53" s="50">
        <f t="shared" si="133"/>
        <v>290.90256770000002</v>
      </c>
      <c r="F53" s="50">
        <f t="shared" si="133"/>
        <v>413.8942356</v>
      </c>
      <c r="G53" s="50">
        <f t="shared" si="133"/>
        <v>380.37869540000003</v>
      </c>
      <c r="H53" s="50">
        <f t="shared" si="133"/>
        <v>373.1121751</v>
      </c>
      <c r="I53" s="50">
        <f t="shared" si="133"/>
        <v>331.15639590000001</v>
      </c>
      <c r="J53" s="50">
        <f t="shared" si="133"/>
        <v>338.56557549999997</v>
      </c>
      <c r="K53" s="50">
        <f t="shared" si="133"/>
        <v>353.26996320000001</v>
      </c>
      <c r="L53" s="50">
        <f t="shared" si="133"/>
        <v>327.21938360000001</v>
      </c>
      <c r="M53" s="50">
        <f t="shared" si="133"/>
        <v>335.39775050000003</v>
      </c>
      <c r="N53" s="50">
        <f t="shared" si="133"/>
        <v>330.74960239999996</v>
      </c>
      <c r="O53" s="50">
        <f t="shared" si="133"/>
        <v>330.1602661</v>
      </c>
      <c r="P53" s="50">
        <f t="shared" si="133"/>
        <v>321.24705169999999</v>
      </c>
      <c r="Q53" s="50">
        <f t="shared" si="133"/>
        <v>338.89748950000001</v>
      </c>
      <c r="R53" s="50">
        <f t="shared" si="133"/>
        <v>333.50921340000002</v>
      </c>
      <c r="S53" s="50">
        <f t="shared" si="133"/>
        <v>307.31679059999999</v>
      </c>
      <c r="T53" s="50">
        <f t="shared" si="133"/>
        <v>303.10845649999999</v>
      </c>
      <c r="U53" s="50">
        <f t="shared" si="133"/>
        <v>267.59029090000001</v>
      </c>
      <c r="V53" s="50">
        <f t="shared" si="133"/>
        <v>250.75754230000001</v>
      </c>
      <c r="W53" s="50">
        <f t="shared" si="133"/>
        <v>206.96910269999998</v>
      </c>
      <c r="X53" s="50">
        <f t="shared" si="133"/>
        <v>244.1614965</v>
      </c>
      <c r="Y53" s="50">
        <f t="shared" si="133"/>
        <v>236.73763579999999</v>
      </c>
      <c r="Z53" s="50">
        <f t="shared" si="133"/>
        <v>221.1787909</v>
      </c>
      <c r="AA53" s="50">
        <f t="shared" si="133"/>
        <v>216.8646177</v>
      </c>
      <c r="AB53" s="50">
        <f t="shared" si="133"/>
        <v>219.25278739999999</v>
      </c>
    </row>
    <row r="54" spans="1:28" ht="20" x14ac:dyDescent="0.2">
      <c r="A54" s="60" t="s">
        <v>36</v>
      </c>
      <c r="B54" s="49">
        <f>311.0927+21.0078</f>
        <v>332.10049999999995</v>
      </c>
      <c r="C54" s="49">
        <f>290.7928+20.9172</f>
        <v>311.70999999999998</v>
      </c>
      <c r="D54" s="49">
        <f>297.1669+20.9198</f>
        <v>318.08670000000001</v>
      </c>
      <c r="E54" s="49">
        <f>307.4795+20.9203</f>
        <v>328.39979999999997</v>
      </c>
      <c r="F54" s="49">
        <f>309.751+21.4149</f>
        <v>331.16589999999997</v>
      </c>
      <c r="G54" s="49">
        <f>335.6418+23.0133</f>
        <v>358.6551</v>
      </c>
      <c r="H54" s="49">
        <f>330.4659+21.7494</f>
        <v>352.21529999999996</v>
      </c>
      <c r="I54" s="49">
        <f>348.1225+25.7791</f>
        <v>373.90160000000003</v>
      </c>
      <c r="J54" s="49">
        <f>354.0028+25.2754</f>
        <v>379.27819999999997</v>
      </c>
      <c r="K54" s="49">
        <f>344.8299+23.3941</f>
        <v>368.22399999999999</v>
      </c>
      <c r="L54" s="49">
        <f>351.3481+22.2603</f>
        <v>373.60839999999996</v>
      </c>
      <c r="M54" s="49">
        <f>364.7622+21.7457</f>
        <v>386.50790000000001</v>
      </c>
      <c r="N54" s="49">
        <f>358.0044+20.255</f>
        <v>378.25939999999997</v>
      </c>
      <c r="O54" s="49">
        <f>370.235+20.982</f>
        <v>391.21699999999998</v>
      </c>
      <c r="P54" s="51">
        <f>378.092+20.7366</f>
        <v>398.82859999999999</v>
      </c>
      <c r="Q54" s="49">
        <f>392.7807+20.7651</f>
        <v>413.54580000000004</v>
      </c>
      <c r="R54" s="49">
        <f>401.304+20.6327</f>
        <v>421.93669999999997</v>
      </c>
      <c r="S54" s="49">
        <f>415.5056+24.0914</f>
        <v>439.59700000000004</v>
      </c>
      <c r="T54" s="49">
        <f xml:space="preserve"> 436.4489+22.7391</f>
        <v>459.18799999999999</v>
      </c>
      <c r="U54" s="49">
        <f>451.4558+21.476</f>
        <v>472.93180000000001</v>
      </c>
      <c r="V54" s="49">
        <f>436.5916+21.4782</f>
        <v>458.06980000000004</v>
      </c>
      <c r="W54" s="49">
        <f>448.622+23.1141</f>
        <v>471.73610000000002</v>
      </c>
      <c r="X54" s="49">
        <f>437.4256+21.9537</f>
        <v>459.3793</v>
      </c>
      <c r="Y54" s="49">
        <f>445.1606+21.0543</f>
        <v>466.2149</v>
      </c>
      <c r="Z54" s="49">
        <v>461</v>
      </c>
      <c r="AA54" s="49">
        <f>447.4855+22.2136</f>
        <v>469.69909999999999</v>
      </c>
      <c r="AB54" s="49">
        <f>455.6002+21.3144</f>
        <v>476.91459999999995</v>
      </c>
    </row>
    <row r="55" spans="1:28" ht="20" x14ac:dyDescent="0.2">
      <c r="A55" s="49" t="s">
        <v>87</v>
      </c>
      <c r="B55" s="51">
        <v>3496.3906000000002</v>
      </c>
      <c r="C55" s="51">
        <v>1698.1001000000001</v>
      </c>
      <c r="D55" s="51">
        <v>1367.2357</v>
      </c>
      <c r="E55" s="51">
        <v>1309.2760000000001</v>
      </c>
      <c r="F55" s="51">
        <v>1322.7262000000001</v>
      </c>
      <c r="G55" s="51">
        <v>1380.5556999999999</v>
      </c>
      <c r="H55" s="51">
        <v>1459.3630000000001</v>
      </c>
      <c r="I55" s="51">
        <v>1410.3688</v>
      </c>
      <c r="J55" s="51">
        <v>1490.029</v>
      </c>
      <c r="K55" s="51">
        <v>1521.0038999999999</v>
      </c>
      <c r="L55" s="51">
        <v>1597.5726999999999</v>
      </c>
      <c r="M55" s="51">
        <v>1522.7492999999999</v>
      </c>
      <c r="N55" s="51">
        <v>1686.1013</v>
      </c>
      <c r="O55" s="51">
        <v>1709.8756000000001</v>
      </c>
      <c r="P55" s="51">
        <v>1833.3735999999999</v>
      </c>
      <c r="Q55" s="51">
        <v>1893.248</v>
      </c>
      <c r="R55" s="51">
        <v>1881.3987</v>
      </c>
      <c r="S55" s="51">
        <v>1974.1847</v>
      </c>
      <c r="T55" s="51">
        <v>1953.8521000000001</v>
      </c>
      <c r="U55" s="51">
        <v>2203.3561</v>
      </c>
      <c r="V55" s="51">
        <v>2131.5257999999999</v>
      </c>
      <c r="W55" s="51">
        <v>2289.6107000000002</v>
      </c>
      <c r="X55" s="51">
        <v>2317.5448999999999</v>
      </c>
      <c r="Y55" s="51">
        <v>2452.1913</v>
      </c>
      <c r="Z55" s="51">
        <v>2411.5897</v>
      </c>
      <c r="AA55" s="51">
        <v>2401.9573999999998</v>
      </c>
      <c r="AB55" s="51">
        <v>2428.7916</v>
      </c>
    </row>
    <row r="56" spans="1:28" ht="20" x14ac:dyDescent="0.2">
      <c r="A56" s="49" t="s">
        <v>86</v>
      </c>
      <c r="B56" s="51">
        <v>240.03389999999999</v>
      </c>
      <c r="C56" s="51">
        <v>125.1992</v>
      </c>
      <c r="D56" s="51">
        <v>97.999600000000001</v>
      </c>
      <c r="E56" s="51">
        <v>85.139700000000005</v>
      </c>
      <c r="F56" s="51">
        <v>96.962599999999995</v>
      </c>
      <c r="G56" s="51">
        <v>90.642099999999999</v>
      </c>
      <c r="H56" s="51">
        <v>88.569500000000005</v>
      </c>
      <c r="I56" s="51">
        <v>89.440399999999997</v>
      </c>
      <c r="J56" s="51">
        <v>90.169200000000004</v>
      </c>
      <c r="K56" s="51">
        <v>87.906499999999994</v>
      </c>
      <c r="L56" s="51">
        <v>97.0291</v>
      </c>
      <c r="M56" s="51">
        <v>86.569900000000004</v>
      </c>
      <c r="N56" s="51">
        <v>91.486900000000006</v>
      </c>
      <c r="O56" s="51">
        <v>90.183499999999995</v>
      </c>
      <c r="P56" s="51">
        <v>109.0368</v>
      </c>
      <c r="Q56" s="51">
        <v>97.992800000000003</v>
      </c>
      <c r="R56" s="51">
        <v>101.75490000000001</v>
      </c>
      <c r="S56" s="51">
        <v>122.64060000000001</v>
      </c>
      <c r="T56" s="51">
        <v>103.12090000000001</v>
      </c>
      <c r="U56" s="51">
        <v>117.8284</v>
      </c>
      <c r="V56" s="51">
        <v>107.57980000000001</v>
      </c>
      <c r="W56" s="51">
        <v>118.05370000000001</v>
      </c>
      <c r="X56" s="51">
        <v>115.05289999999999</v>
      </c>
      <c r="Y56" s="51">
        <v>120.0838</v>
      </c>
      <c r="Z56" s="51">
        <v>122.6824</v>
      </c>
      <c r="AA56" s="51">
        <v>108.81310000000001</v>
      </c>
      <c r="AB56" s="51">
        <v>112.3206</v>
      </c>
    </row>
    <row r="57" spans="1:28" ht="20" x14ac:dyDescent="0.2">
      <c r="A57" s="50" t="s">
        <v>107</v>
      </c>
      <c r="B57" s="49">
        <f>B56+B55</f>
        <v>3736.4245000000001</v>
      </c>
      <c r="C57" s="49">
        <f t="shared" ref="C57:AB57" si="134">C56+C55</f>
        <v>1823.2993000000001</v>
      </c>
      <c r="D57" s="49">
        <f t="shared" si="134"/>
        <v>1465.2353000000001</v>
      </c>
      <c r="E57" s="49">
        <f t="shared" si="134"/>
        <v>1394.4157</v>
      </c>
      <c r="F57" s="49">
        <f t="shared" si="134"/>
        <v>1419.6888000000001</v>
      </c>
      <c r="G57" s="49">
        <f t="shared" si="134"/>
        <v>1471.1977999999999</v>
      </c>
      <c r="H57" s="49">
        <f t="shared" si="134"/>
        <v>1547.9325000000001</v>
      </c>
      <c r="I57" s="49">
        <f t="shared" si="134"/>
        <v>1499.8091999999999</v>
      </c>
      <c r="J57" s="49">
        <f t="shared" si="134"/>
        <v>1580.1982</v>
      </c>
      <c r="K57" s="49">
        <f t="shared" si="134"/>
        <v>1608.9104</v>
      </c>
      <c r="L57" s="49">
        <f t="shared" si="134"/>
        <v>1694.6017999999999</v>
      </c>
      <c r="M57" s="49">
        <f t="shared" si="134"/>
        <v>1609.3191999999999</v>
      </c>
      <c r="N57" s="49">
        <f t="shared" si="134"/>
        <v>1777.5882000000001</v>
      </c>
      <c r="O57" s="49">
        <f t="shared" si="134"/>
        <v>1800.0591000000002</v>
      </c>
      <c r="P57" s="49">
        <f t="shared" si="134"/>
        <v>1942.4104</v>
      </c>
      <c r="Q57" s="49">
        <f t="shared" si="134"/>
        <v>1991.2408</v>
      </c>
      <c r="R57" s="49">
        <f t="shared" si="134"/>
        <v>1983.1535999999999</v>
      </c>
      <c r="S57" s="49">
        <f t="shared" si="134"/>
        <v>2096.8253</v>
      </c>
      <c r="T57" s="49">
        <f t="shared" si="134"/>
        <v>2056.973</v>
      </c>
      <c r="U57" s="49">
        <f t="shared" si="134"/>
        <v>2321.1844999999998</v>
      </c>
      <c r="V57" s="49">
        <f t="shared" si="134"/>
        <v>2239.1055999999999</v>
      </c>
      <c r="W57" s="49">
        <f t="shared" si="134"/>
        <v>2407.6644000000001</v>
      </c>
      <c r="X57" s="49">
        <f t="shared" si="134"/>
        <v>2432.5978</v>
      </c>
      <c r="Y57" s="49">
        <f t="shared" si="134"/>
        <v>2572.2750999999998</v>
      </c>
      <c r="Z57" s="49">
        <f t="shared" si="134"/>
        <v>2534.2721000000001</v>
      </c>
      <c r="AA57" s="49">
        <f t="shared" si="134"/>
        <v>2510.7704999999996</v>
      </c>
      <c r="AB57" s="49">
        <f t="shared" si="134"/>
        <v>2541.1122</v>
      </c>
    </row>
    <row r="58" spans="1:28" ht="20" x14ac:dyDescent="0.2">
      <c r="A58" s="50" t="s">
        <v>75</v>
      </c>
      <c r="B58" s="51">
        <v>48475.536999999997</v>
      </c>
      <c r="C58" s="51">
        <v>36366.838499999998</v>
      </c>
      <c r="D58" s="51">
        <v>252976.00380000001</v>
      </c>
      <c r="E58" s="51">
        <v>331047.16200000001</v>
      </c>
      <c r="F58" s="51">
        <v>291096.67420000001</v>
      </c>
      <c r="G58" s="51">
        <v>370521.12959999999</v>
      </c>
      <c r="H58" s="51">
        <v>344517.5858</v>
      </c>
      <c r="I58" s="51">
        <v>307487.17210000003</v>
      </c>
      <c r="J58" s="51">
        <v>327295.6655</v>
      </c>
      <c r="K58" s="51">
        <v>312960.11599999998</v>
      </c>
      <c r="L58" s="51">
        <v>334275.84710000001</v>
      </c>
      <c r="M58" s="51">
        <v>346886.35220000002</v>
      </c>
      <c r="N58" s="51">
        <v>328504.49609999999</v>
      </c>
      <c r="O58" s="51">
        <v>316937.62560000003</v>
      </c>
      <c r="P58" s="51">
        <v>316837.79790000001</v>
      </c>
      <c r="Q58" s="51">
        <v>332518.68719999999</v>
      </c>
      <c r="R58" s="51">
        <v>316359.67930000002</v>
      </c>
      <c r="S58" s="51">
        <v>285670.00520000001</v>
      </c>
      <c r="T58" s="51">
        <v>287777.82059999998</v>
      </c>
      <c r="U58" s="51">
        <v>267944.93829999998</v>
      </c>
      <c r="V58" s="51">
        <v>259092.82990000001</v>
      </c>
      <c r="W58" s="51">
        <v>250395.2867</v>
      </c>
      <c r="X58" s="51">
        <v>235317.42619999999</v>
      </c>
      <c r="Y58" s="51">
        <v>237101.4613</v>
      </c>
      <c r="Z58" s="51">
        <v>211082.17720000001</v>
      </c>
      <c r="AA58" s="51">
        <v>251761.76949999999</v>
      </c>
      <c r="AB58" s="51">
        <v>206969.10269999999</v>
      </c>
    </row>
    <row r="59" spans="1:28" ht="20" x14ac:dyDescent="0.2">
      <c r="A59" s="49" t="s">
        <v>35</v>
      </c>
      <c r="B59" s="50">
        <f>B58/1000</f>
        <v>48.475536999999996</v>
      </c>
      <c r="C59" s="50">
        <f t="shared" ref="C59:AB59" si="135">C58/1000</f>
        <v>36.3668385</v>
      </c>
      <c r="D59" s="50">
        <f t="shared" si="135"/>
        <v>252.9760038</v>
      </c>
      <c r="E59" s="50">
        <f t="shared" si="135"/>
        <v>331.04716200000001</v>
      </c>
      <c r="F59" s="50">
        <f t="shared" si="135"/>
        <v>291.0966742</v>
      </c>
      <c r="G59" s="50">
        <f t="shared" si="135"/>
        <v>370.52112959999999</v>
      </c>
      <c r="H59" s="50">
        <f t="shared" si="135"/>
        <v>344.51758580000001</v>
      </c>
      <c r="I59" s="50">
        <f t="shared" si="135"/>
        <v>307.48717210000001</v>
      </c>
      <c r="J59" s="50">
        <f t="shared" si="135"/>
        <v>327.29566549999998</v>
      </c>
      <c r="K59" s="50">
        <f t="shared" si="135"/>
        <v>312.96011599999997</v>
      </c>
      <c r="L59" s="50">
        <f t="shared" si="135"/>
        <v>334.27584710000002</v>
      </c>
      <c r="M59" s="50">
        <f t="shared" si="135"/>
        <v>346.88635220000003</v>
      </c>
      <c r="N59" s="50">
        <f t="shared" si="135"/>
        <v>328.50449609999998</v>
      </c>
      <c r="O59" s="50">
        <f t="shared" si="135"/>
        <v>316.93762560000005</v>
      </c>
      <c r="P59" s="50">
        <f t="shared" si="135"/>
        <v>316.8377979</v>
      </c>
      <c r="Q59" s="50">
        <f t="shared" si="135"/>
        <v>332.51868719999999</v>
      </c>
      <c r="R59" s="50">
        <f t="shared" si="135"/>
        <v>316.35967930000004</v>
      </c>
      <c r="S59" s="50">
        <f t="shared" si="135"/>
        <v>285.67000519999999</v>
      </c>
      <c r="T59" s="50">
        <f t="shared" si="135"/>
        <v>287.77782059999998</v>
      </c>
      <c r="U59" s="50">
        <f t="shared" si="135"/>
        <v>267.94493829999999</v>
      </c>
      <c r="V59" s="50">
        <f t="shared" si="135"/>
        <v>259.09282990000003</v>
      </c>
      <c r="W59" s="50">
        <f t="shared" si="135"/>
        <v>250.39528669999999</v>
      </c>
      <c r="X59" s="50">
        <f t="shared" si="135"/>
        <v>235.3174262</v>
      </c>
      <c r="Y59" s="50">
        <f t="shared" si="135"/>
        <v>237.10146129999998</v>
      </c>
      <c r="Z59" s="50">
        <f t="shared" si="135"/>
        <v>211.08217720000002</v>
      </c>
      <c r="AA59" s="50">
        <f t="shared" si="135"/>
        <v>251.76176949999999</v>
      </c>
      <c r="AB59" s="50">
        <f t="shared" si="135"/>
        <v>206.96910269999998</v>
      </c>
    </row>
    <row r="60" spans="1:28" ht="20" x14ac:dyDescent="0.2">
      <c r="A60" s="49" t="s">
        <v>36</v>
      </c>
      <c r="B60" s="49">
        <v>349</v>
      </c>
      <c r="C60" s="49">
        <f>312.8435+23.0656</f>
        <v>335.90910000000002</v>
      </c>
      <c r="D60" s="49">
        <v>336.2</v>
      </c>
      <c r="E60" s="49">
        <f>315.7664+20.5336</f>
        <v>336.29999999999995</v>
      </c>
      <c r="F60" s="49">
        <f>319.5876+23.4274</f>
        <v>343.01499999999999</v>
      </c>
      <c r="G60" s="49">
        <f>331.013+21.733</f>
        <v>352.74599999999998</v>
      </c>
      <c r="H60" s="49">
        <f>345.3615+20.9602</f>
        <v>366.32169999999996</v>
      </c>
      <c r="I60" s="49">
        <f>345.5206+21.9116</f>
        <v>367.43220000000002</v>
      </c>
      <c r="J60" s="49">
        <f>348.9969+21.1196</f>
        <v>370.11649999999997</v>
      </c>
      <c r="K60" s="49">
        <f>354.6212+20.4954</f>
        <v>375.11660000000001</v>
      </c>
      <c r="L60" s="49">
        <f>364.0038+22.1079</f>
        <v>386.11170000000004</v>
      </c>
      <c r="M60" s="49">
        <f>361.8347+20.5706</f>
        <v>382.40530000000001</v>
      </c>
      <c r="N60" s="49">
        <f>375.5242+20.3757</f>
        <v>395.8999</v>
      </c>
      <c r="O60" s="49">
        <f>383.2973+20.2162</f>
        <v>403.51350000000002</v>
      </c>
      <c r="P60" s="49">
        <f>396.5245+23.5827</f>
        <v>420.10719999999998</v>
      </c>
      <c r="Q60" s="49">
        <f>403.031+20.8606</f>
        <v>423.89159999999998</v>
      </c>
      <c r="R60" s="49">
        <f>403.8623+21.8428</f>
        <v>425.70510000000002</v>
      </c>
      <c r="S60" s="49">
        <f>412.1895+25.6061</f>
        <v>437.79560000000004</v>
      </c>
      <c r="T60" s="49">
        <f>411.4868+21.7175</f>
        <v>433.20429999999999</v>
      </c>
      <c r="U60" s="49">
        <f>425.3931+22.7487</f>
        <v>448.14179999999999</v>
      </c>
      <c r="V60" s="49">
        <f>431.0723+21.7566</f>
        <v>452.82889999999998</v>
      </c>
      <c r="W60" s="49">
        <f>450.6401+23.2352</f>
        <v>473.87530000000004</v>
      </c>
      <c r="X60" s="49">
        <f>442.3132+21.9583</f>
        <v>464.2715</v>
      </c>
      <c r="Y60" s="49">
        <f>455.9565+22.3282</f>
        <v>478.28469999999999</v>
      </c>
      <c r="Z60" s="51">
        <f>457.6283+23.2804</f>
        <v>480.90870000000001</v>
      </c>
      <c r="AA60" s="49">
        <f>456.8974+20.6983</f>
        <v>477.59570000000002</v>
      </c>
      <c r="AB60" s="49">
        <f>459.815+21.2644</f>
        <v>481.07940000000002</v>
      </c>
    </row>
    <row r="61" spans="1:28" ht="20" x14ac:dyDescent="0.2">
      <c r="A61" s="55" t="s">
        <v>119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6"/>
      <c r="AA61" s="53"/>
      <c r="AB61" s="53"/>
    </row>
    <row r="62" spans="1:28" ht="20" x14ac:dyDescent="0.2">
      <c r="A62" s="55" t="s">
        <v>144</v>
      </c>
      <c r="B62" s="54">
        <f>2672.1156+189.8999</f>
        <v>2862.0155</v>
      </c>
      <c r="C62" s="54">
        <f>1733.4836+117.4901</f>
        <v>1850.9737</v>
      </c>
      <c r="D62" s="54">
        <f>1572.3376+105.5846</f>
        <v>1677.9222</v>
      </c>
      <c r="E62" s="54">
        <f>1610.8529+113.5381</f>
        <v>1724.3910000000001</v>
      </c>
      <c r="F62" s="54">
        <f>1698.4971+105.4888</f>
        <v>1803.9859000000001</v>
      </c>
      <c r="G62" s="54">
        <f>1680.6837+106.4334</f>
        <v>1787.1170999999999</v>
      </c>
      <c r="H62" s="54">
        <f>1726.7739+105.0666</f>
        <v>1831.8404999999998</v>
      </c>
      <c r="I62" s="54">
        <f>1722.5705+ 109.1007</f>
        <v>1831.6712</v>
      </c>
      <c r="J62" s="54">
        <f>1843.4483+112.9027</f>
        <v>1956.3510000000001</v>
      </c>
      <c r="K62" s="54">
        <f>1818.7246+115.5152</f>
        <v>1934.2398000000001</v>
      </c>
      <c r="L62" s="54">
        <f>1841.3427+109.0819</f>
        <v>1950.4245999999998</v>
      </c>
      <c r="M62" s="54">
        <f>1860.7404+110.8105</f>
        <v>1971.5509</v>
      </c>
      <c r="N62" s="54">
        <f>1895.8238+113.1099</f>
        <v>2008.9336999999998</v>
      </c>
      <c r="O62" s="54">
        <f>2031.324+111.6577</f>
        <v>2142.9817000000003</v>
      </c>
      <c r="P62" s="54">
        <f>2065.252+122.9492</f>
        <v>2188.2012</v>
      </c>
      <c r="Q62" s="54">
        <f>2184.178+117.9887</f>
        <v>2302.1666999999998</v>
      </c>
      <c r="R62" s="54">
        <f>2204.3281+117.9054</f>
        <v>2322.2335000000003</v>
      </c>
      <c r="S62" s="54">
        <f>2305.6995+130.129</f>
        <v>2435.8285000000001</v>
      </c>
      <c r="T62" s="54">
        <f>2272.0689+126.7169</f>
        <v>2398.7858000000001</v>
      </c>
      <c r="U62" s="54">
        <f>2338.0259+123.6779</f>
        <v>2461.7038000000002</v>
      </c>
      <c r="V62" s="54">
        <f>2314.661+123.5712</f>
        <v>2438.2321999999999</v>
      </c>
      <c r="W62" s="54">
        <f>2428.3873+132.4204</f>
        <v>2560.8076999999998</v>
      </c>
      <c r="X62" s="54">
        <f>2436.8291+129.9567</f>
        <v>2566.7858000000001</v>
      </c>
      <c r="Y62" s="54">
        <f>2479.5367+129.1701</f>
        <v>2608.7067999999999</v>
      </c>
      <c r="Z62" s="51">
        <f>2554.9633+126.8027</f>
        <v>2681.7660000000001</v>
      </c>
      <c r="AA62" s="54">
        <f>2602.6266+126.4217</f>
        <v>2729.0482999999999</v>
      </c>
      <c r="AB62" s="54">
        <f>2591.0849+133.0529</f>
        <v>2724.1378</v>
      </c>
    </row>
    <row r="63" spans="1:28" ht="20" x14ac:dyDescent="0.2">
      <c r="A63" s="49" t="s">
        <v>148</v>
      </c>
      <c r="B63" s="5">
        <v>7525.2954</v>
      </c>
      <c r="C63" s="5">
        <v>11168.534</v>
      </c>
      <c r="D63" s="5">
        <v>74309.143200000006</v>
      </c>
      <c r="E63" s="5">
        <v>105229.28909999999</v>
      </c>
      <c r="F63" s="5">
        <v>131249.77309999999</v>
      </c>
      <c r="G63" s="5">
        <v>160639.69399999999</v>
      </c>
      <c r="H63" s="5">
        <v>171107.6869</v>
      </c>
      <c r="I63" s="5">
        <v>189452.0668</v>
      </c>
      <c r="J63" s="5">
        <v>212744.826</v>
      </c>
      <c r="K63" s="5">
        <v>260166.30590000001</v>
      </c>
      <c r="L63" s="5">
        <v>269879.7819</v>
      </c>
      <c r="M63" s="5">
        <v>292952.8492</v>
      </c>
      <c r="N63" s="5">
        <v>303512.45039999997</v>
      </c>
      <c r="O63" s="5">
        <v>292507.1299</v>
      </c>
      <c r="P63" s="5">
        <v>288896.2769</v>
      </c>
      <c r="Q63" s="5">
        <v>336122.16690000001</v>
      </c>
      <c r="R63" s="5">
        <v>322266.9436</v>
      </c>
      <c r="S63" s="5">
        <v>310467.2414</v>
      </c>
      <c r="T63" s="5">
        <v>352330.80190000002</v>
      </c>
      <c r="U63" s="5">
        <v>379537.10330000002</v>
      </c>
      <c r="V63" s="5">
        <v>392373.83439999999</v>
      </c>
      <c r="W63" s="5">
        <v>386952.16090000002</v>
      </c>
      <c r="X63" s="5">
        <v>403813.40909999999</v>
      </c>
      <c r="Y63" s="5">
        <v>392401.63170000003</v>
      </c>
      <c r="Z63" s="5">
        <v>385484.33899999998</v>
      </c>
      <c r="AA63" s="5">
        <v>392564.8308</v>
      </c>
      <c r="AB63" s="5">
        <v>389278.76860000001</v>
      </c>
    </row>
    <row r="64" spans="1:28" ht="20" x14ac:dyDescent="0.2">
      <c r="A64" s="49" t="s">
        <v>150</v>
      </c>
      <c r="B64" s="54">
        <f>B63/1000</f>
        <v>7.5252954000000001</v>
      </c>
      <c r="C64" s="54">
        <f t="shared" ref="C64:AB64" si="136">C63/1000</f>
        <v>11.168533999999999</v>
      </c>
      <c r="D64" s="54">
        <f t="shared" si="136"/>
        <v>74.309143200000008</v>
      </c>
      <c r="E64" s="54">
        <f t="shared" si="136"/>
        <v>105.22928909999999</v>
      </c>
      <c r="F64" s="54">
        <f t="shared" si="136"/>
        <v>131.2497731</v>
      </c>
      <c r="G64" s="54">
        <f t="shared" si="136"/>
        <v>160.63969399999999</v>
      </c>
      <c r="H64" s="54">
        <f t="shared" si="136"/>
        <v>171.1076869</v>
      </c>
      <c r="I64" s="54">
        <f t="shared" si="136"/>
        <v>189.45206680000001</v>
      </c>
      <c r="J64" s="54">
        <f t="shared" si="136"/>
        <v>212.74482599999999</v>
      </c>
      <c r="K64" s="54">
        <f t="shared" si="136"/>
        <v>260.1663059</v>
      </c>
      <c r="L64" s="54">
        <f t="shared" si="136"/>
        <v>269.87978190000001</v>
      </c>
      <c r="M64" s="54">
        <f t="shared" si="136"/>
        <v>292.9528492</v>
      </c>
      <c r="N64" s="54">
        <f t="shared" si="136"/>
        <v>303.51245039999998</v>
      </c>
      <c r="O64" s="54">
        <f t="shared" si="136"/>
        <v>292.5071299</v>
      </c>
      <c r="P64" s="54">
        <f t="shared" si="136"/>
        <v>288.89627689999998</v>
      </c>
      <c r="Q64" s="54">
        <f t="shared" si="136"/>
        <v>336.12216690000002</v>
      </c>
      <c r="R64" s="54">
        <f t="shared" si="136"/>
        <v>322.26694359999999</v>
      </c>
      <c r="S64" s="54">
        <f t="shared" si="136"/>
        <v>310.46724139999998</v>
      </c>
      <c r="T64" s="54">
        <f t="shared" si="136"/>
        <v>352.33080190000004</v>
      </c>
      <c r="U64" s="54">
        <f t="shared" si="136"/>
        <v>379.53710330000001</v>
      </c>
      <c r="V64" s="54">
        <f t="shared" si="136"/>
        <v>392.37383439999996</v>
      </c>
      <c r="W64" s="54">
        <f t="shared" si="136"/>
        <v>386.95216090000002</v>
      </c>
      <c r="X64" s="54">
        <f t="shared" si="136"/>
        <v>403.8134091</v>
      </c>
      <c r="Y64" s="54">
        <f t="shared" ref="Y64" si="137">Y63/1000</f>
        <v>392.40163170000005</v>
      </c>
      <c r="Z64" s="54">
        <f t="shared" ref="Z64" si="138">Z63/1000</f>
        <v>385.48433899999998</v>
      </c>
      <c r="AA64" s="54">
        <f t="shared" si="136"/>
        <v>392.56483079999998</v>
      </c>
      <c r="AB64" s="54">
        <f t="shared" si="136"/>
        <v>389.27876860000003</v>
      </c>
    </row>
    <row r="65" spans="1:33" ht="20" x14ac:dyDescent="0.2">
      <c r="A65" s="55" t="s">
        <v>145</v>
      </c>
      <c r="B65" s="54">
        <f>4963.1008+329.6362</f>
        <v>5292.7370000000001</v>
      </c>
      <c r="C65" s="54">
        <f>2314.1264+156.6385</f>
        <v>2470.7649000000001</v>
      </c>
      <c r="D65" s="54">
        <f>1883.7196+126.9394</f>
        <v>2010.6589999999999</v>
      </c>
      <c r="E65" s="54">
        <f>1807.4251+120.2446</f>
        <v>1927.6696999999999</v>
      </c>
      <c r="F65" s="54">
        <f>1762.9258+110.2298</f>
        <v>1873.1556</v>
      </c>
      <c r="G65" s="54">
        <f>1780.3632+110.6777</f>
        <v>1891.0409</v>
      </c>
      <c r="H65" s="54">
        <f>1759.3159+111.3955</f>
        <v>1870.7114000000001</v>
      </c>
      <c r="I65" s="54">
        <f>1823.5709+114.3108</f>
        <v>1937.8816999999999</v>
      </c>
      <c r="J65" s="54">
        <f>1802.7582+109.6706</f>
        <v>1912.4287999999999</v>
      </c>
      <c r="K65" s="54">
        <f>1837.0218+110.4186</f>
        <v>1947.4404</v>
      </c>
      <c r="L65" s="54">
        <f>1801.3419+113.1536</f>
        <v>1914.4955</v>
      </c>
      <c r="M65" s="54">
        <f>1857.8181+112.9581</f>
        <v>1970.7762</v>
      </c>
      <c r="N65" s="54">
        <f>1917.9826+111.6807</f>
        <v>2029.6633000000002</v>
      </c>
      <c r="O65" s="54">
        <f>1979.6923+121.7774</f>
        <v>2101.4697000000001</v>
      </c>
      <c r="P65" s="54">
        <f>2043.101+121.541</f>
        <v>2164.6420000000003</v>
      </c>
      <c r="Q65" s="54">
        <f>2058.1846+123.5986</f>
        <v>2181.7831999999999</v>
      </c>
      <c r="R65" s="54">
        <f>2150.9723+ 125.8763</f>
        <v>2276.8485999999998</v>
      </c>
      <c r="S65" s="54">
        <f>2209.6064+132.3124</f>
        <v>2341.9187999999999</v>
      </c>
      <c r="T65" s="54">
        <f>2219.2479+122.3325</f>
        <v>2341.5803999999998</v>
      </c>
      <c r="U65" s="54">
        <f>2278.9523+129.0261</f>
        <v>2407.9784</v>
      </c>
      <c r="V65" s="54">
        <f>2418.5207+137.1184</f>
        <v>2555.6390999999999</v>
      </c>
      <c r="W65" s="54">
        <f>2516.1314+122.8527</f>
        <v>2638.9841000000001</v>
      </c>
      <c r="X65" s="54">
        <f>2410.0686+118.9153</f>
        <v>2528.9839000000002</v>
      </c>
      <c r="Y65" s="54">
        <f>2600.9404+131.0803</f>
        <v>2732.0207</v>
      </c>
      <c r="Z65" s="51">
        <f>2541.0434+122.7506</f>
        <v>2663.7939999999999</v>
      </c>
      <c r="AA65" s="54">
        <f>2565.0049+121.3844</f>
        <v>2686.3892999999998</v>
      </c>
      <c r="AB65" s="54">
        <f>2630.4622+124.8036</f>
        <v>2755.2658000000001</v>
      </c>
    </row>
    <row r="66" spans="1:33" ht="20" x14ac:dyDescent="0.2">
      <c r="A66" s="49" t="s">
        <v>143</v>
      </c>
      <c r="B66" s="5">
        <v>1699.7624000000001</v>
      </c>
      <c r="C66" s="5">
        <v>9635.9794000000002</v>
      </c>
      <c r="D66" s="5">
        <v>18476.866999999998</v>
      </c>
      <c r="E66" s="5">
        <v>26081.554199999999</v>
      </c>
      <c r="F66" s="5">
        <v>33770.187700000002</v>
      </c>
      <c r="G66" s="5">
        <v>41045.442999999999</v>
      </c>
      <c r="H66" s="5">
        <v>47930.47</v>
      </c>
      <c r="I66" s="5">
        <v>55909.834000000003</v>
      </c>
      <c r="J66" s="5">
        <v>64614.7212</v>
      </c>
      <c r="K66" s="5">
        <v>72534.156000000003</v>
      </c>
      <c r="L66" s="5">
        <v>80292.005900000004</v>
      </c>
      <c r="M66" s="5">
        <v>84354.887400000007</v>
      </c>
      <c r="N66" s="5">
        <v>91172.428899999999</v>
      </c>
      <c r="O66" s="5">
        <v>96223.691500000001</v>
      </c>
      <c r="P66" s="5">
        <v>97185.074299999993</v>
      </c>
      <c r="Q66" s="5">
        <v>93804.039699999994</v>
      </c>
      <c r="R66" s="5">
        <v>110427.5508</v>
      </c>
      <c r="S66" s="5">
        <v>110348.16379999999</v>
      </c>
      <c r="T66" s="5">
        <v>111337.4301</v>
      </c>
      <c r="U66" s="5">
        <v>118656.9433</v>
      </c>
      <c r="V66" s="5">
        <v>128408.34269999999</v>
      </c>
      <c r="W66" s="5">
        <v>118710.44100000001</v>
      </c>
      <c r="X66" s="5">
        <v>131175.84700000001</v>
      </c>
      <c r="Y66" s="5">
        <v>136091.13029999999</v>
      </c>
      <c r="Z66" s="5">
        <v>138766.2219</v>
      </c>
      <c r="AA66" s="5">
        <v>143149.7837</v>
      </c>
      <c r="AB66" s="5">
        <v>145225.81289999999</v>
      </c>
    </row>
    <row r="67" spans="1:33" ht="65" customHeight="1" x14ac:dyDescent="0.2">
      <c r="A67" s="49" t="s">
        <v>149</v>
      </c>
      <c r="B67" s="54">
        <f t="shared" ref="B67:K67" si="139">B66/1000</f>
        <v>1.6997624</v>
      </c>
      <c r="C67" s="54">
        <f t="shared" si="139"/>
        <v>9.6359794000000001</v>
      </c>
      <c r="D67" s="54">
        <f t="shared" si="139"/>
        <v>18.476866999999999</v>
      </c>
      <c r="E67" s="54">
        <f t="shared" si="139"/>
        <v>26.081554199999999</v>
      </c>
      <c r="F67" s="54">
        <f t="shared" si="139"/>
        <v>33.770187700000001</v>
      </c>
      <c r="G67" s="54">
        <f t="shared" si="139"/>
        <v>41.045442999999999</v>
      </c>
      <c r="H67" s="54">
        <f t="shared" si="139"/>
        <v>47.93047</v>
      </c>
      <c r="I67" s="54">
        <f t="shared" si="139"/>
        <v>55.909834000000004</v>
      </c>
      <c r="J67" s="54">
        <f t="shared" si="139"/>
        <v>64.614721200000005</v>
      </c>
      <c r="K67" s="54">
        <f t="shared" si="139"/>
        <v>72.534155999999996</v>
      </c>
      <c r="L67" s="54">
        <f>L66/1000</f>
        <v>80.292005900000007</v>
      </c>
      <c r="M67" s="54">
        <f t="shared" ref="M67:AB67" si="140">M66/1000</f>
        <v>84.35488740000001</v>
      </c>
      <c r="N67" s="54">
        <f t="shared" si="140"/>
        <v>91.1724289</v>
      </c>
      <c r="O67" s="54">
        <f t="shared" si="140"/>
        <v>96.223691500000001</v>
      </c>
      <c r="P67" s="54">
        <f t="shared" si="140"/>
        <v>97.185074299999997</v>
      </c>
      <c r="Q67" s="54">
        <f t="shared" si="140"/>
        <v>93.80403969999999</v>
      </c>
      <c r="R67" s="54">
        <f t="shared" si="140"/>
        <v>110.42755079999999</v>
      </c>
      <c r="S67" s="54">
        <f t="shared" si="140"/>
        <v>110.34816379999999</v>
      </c>
      <c r="T67" s="54">
        <f t="shared" si="140"/>
        <v>111.33743009999999</v>
      </c>
      <c r="U67" s="54">
        <f t="shared" si="140"/>
        <v>118.65694329999999</v>
      </c>
      <c r="V67" s="54">
        <f t="shared" si="140"/>
        <v>128.40834269999999</v>
      </c>
      <c r="W67" s="54">
        <f t="shared" si="140"/>
        <v>118.710441</v>
      </c>
      <c r="X67" s="54">
        <f t="shared" si="140"/>
        <v>131.175847</v>
      </c>
      <c r="Y67" s="54">
        <f t="shared" si="140"/>
        <v>136.0911303</v>
      </c>
      <c r="Z67" s="54">
        <f t="shared" si="140"/>
        <v>138.76622190000001</v>
      </c>
      <c r="AA67" s="54">
        <f t="shared" si="140"/>
        <v>143.1497837</v>
      </c>
      <c r="AB67" s="54">
        <f t="shared" si="140"/>
        <v>145.22581289999999</v>
      </c>
    </row>
    <row r="68" spans="1:33" ht="20" x14ac:dyDescent="0.2">
      <c r="A68" s="55" t="s">
        <v>146</v>
      </c>
      <c r="B68" s="54">
        <f>5116.0888+338.1179</f>
        <v>5454.2067000000006</v>
      </c>
      <c r="C68" s="54">
        <f>2341.4569+161.3599</f>
        <v>2502.8168000000001</v>
      </c>
      <c r="D68" s="54">
        <f>1911.9155+124.0894</f>
        <v>2036.0049000000001</v>
      </c>
      <c r="E68" s="54">
        <f>1822.8515+120.98</f>
        <v>1943.8315</v>
      </c>
      <c r="F68" s="54">
        <f xml:space="preserve"> 1796.8801+113.503</f>
        <v>1910.3831</v>
      </c>
      <c r="G68" s="54">
        <f>1785.399+119.9913</f>
        <v>1905.3902999999998</v>
      </c>
      <c r="H68" s="54">
        <f>1796.4391+122.5219</f>
        <v>1918.961</v>
      </c>
      <c r="I68" s="54">
        <f>1786.0777+120.9308</f>
        <v>1907.0085000000001</v>
      </c>
      <c r="J68" s="54">
        <f>1808.7508+113.8644</f>
        <v>1922.6152</v>
      </c>
      <c r="K68" s="54">
        <f>1816.7699+119.585</f>
        <v>1936.3549</v>
      </c>
      <c r="L68" s="54">
        <f>1869.9281+115.4002</f>
        <v>1985.3283000000001</v>
      </c>
      <c r="M68" s="54">
        <f>1913.9839+108.1006</f>
        <v>2022.0844999999999</v>
      </c>
      <c r="N68" s="54">
        <f>1942.7272+109.0943</f>
        <v>2051.8215</v>
      </c>
      <c r="O68" s="54">
        <f>2002.472+111.3821</f>
        <v>2113.8541</v>
      </c>
      <c r="P68" s="54">
        <f>2077.9711+112.7391</f>
        <v>2190.7102</v>
      </c>
      <c r="Q68" s="54">
        <f>2092.5746+120.8842</f>
        <v>2213.4587999999999</v>
      </c>
      <c r="R68" s="54">
        <f>2142.088+122.4552</f>
        <v>2264.5432000000001</v>
      </c>
      <c r="S68" s="54">
        <f xml:space="preserve"> 2174.3642+115.8859</f>
        <v>2290.2501000000002</v>
      </c>
      <c r="T68" s="54">
        <f>2254.9786+116.787</f>
        <v>2371.7655999999997</v>
      </c>
      <c r="U68" s="54">
        <f>2255.3854+119.1167</f>
        <v>2374.5021000000002</v>
      </c>
      <c r="V68" s="54">
        <f>2323.5596+126.3986</f>
        <v>2449.9582</v>
      </c>
      <c r="W68" s="54">
        <f>2367.8958+121.3877</f>
        <v>2489.2834999999995</v>
      </c>
      <c r="X68" s="54">
        <f>2381.1378+132.4201</f>
        <v>2513.5578999999998</v>
      </c>
      <c r="Y68" s="54">
        <f>2482.5902+128.4118</f>
        <v>2611.002</v>
      </c>
      <c r="Z68" s="51">
        <f>2499.7353+123.9933</f>
        <v>2623.7285999999999</v>
      </c>
      <c r="AA68" s="54">
        <f>2540.5402+128.1302</f>
        <v>2668.6704</v>
      </c>
      <c r="AB68" s="54">
        <f>2620.4021+128.7061</f>
        <v>2749.1081999999997</v>
      </c>
    </row>
    <row r="69" spans="1:33" ht="20" x14ac:dyDescent="0.2">
      <c r="A69" s="49" t="s">
        <v>117</v>
      </c>
      <c r="B69" s="5">
        <v>1542.5967000000001</v>
      </c>
      <c r="C69" s="5">
        <v>8648.9179999999997</v>
      </c>
      <c r="D69" s="5">
        <v>16556.396100000002</v>
      </c>
      <c r="E69" s="5">
        <v>23255.028699999999</v>
      </c>
      <c r="F69" s="5">
        <v>29748.8881</v>
      </c>
      <c r="G69" s="5">
        <v>35846.205000000002</v>
      </c>
      <c r="H69" s="5">
        <v>42209.300799999997</v>
      </c>
      <c r="I69" s="5">
        <v>49153.035600000003</v>
      </c>
      <c r="J69" s="5">
        <v>56939.677100000001</v>
      </c>
      <c r="K69" s="5">
        <v>63732.252500000002</v>
      </c>
      <c r="L69" s="5">
        <v>70408.611900000004</v>
      </c>
      <c r="M69" s="5">
        <v>74588.984500000006</v>
      </c>
      <c r="N69" s="5">
        <v>80489.3848</v>
      </c>
      <c r="O69" s="5">
        <v>85275.032800000001</v>
      </c>
      <c r="P69" s="5">
        <v>87102.351999999999</v>
      </c>
      <c r="Q69" s="5">
        <v>83686.871400000004</v>
      </c>
      <c r="R69" s="5">
        <v>98291.578200000004</v>
      </c>
      <c r="S69" s="5">
        <v>98773.782900000006</v>
      </c>
      <c r="T69" s="5">
        <v>102420.9624</v>
      </c>
      <c r="U69" s="5">
        <v>107689.3265</v>
      </c>
      <c r="V69" s="5">
        <v>114907.2136</v>
      </c>
      <c r="W69" s="5">
        <v>111969.8186</v>
      </c>
      <c r="X69" s="5">
        <v>119187.7769</v>
      </c>
      <c r="Y69" s="5">
        <v>123544.3992</v>
      </c>
      <c r="Z69" s="51">
        <v>125137.477</v>
      </c>
      <c r="AA69" s="5">
        <v>127651.8662</v>
      </c>
      <c r="AB69" s="5">
        <v>131381.0845</v>
      </c>
    </row>
    <row r="70" spans="1:33" ht="20" x14ac:dyDescent="0.2">
      <c r="A70" s="49" t="s">
        <v>151</v>
      </c>
      <c r="B70">
        <f>B69/1000</f>
        <v>1.5425967</v>
      </c>
      <c r="C70">
        <f>C69/1000</f>
        <v>8.6489180000000001</v>
      </c>
      <c r="D70">
        <f t="shared" ref="D70:AB70" si="141">D69/1000</f>
        <v>16.556396100000001</v>
      </c>
      <c r="E70">
        <f t="shared" si="141"/>
        <v>23.2550287</v>
      </c>
      <c r="F70">
        <f t="shared" si="141"/>
        <v>29.748888099999999</v>
      </c>
      <c r="G70">
        <f t="shared" si="141"/>
        <v>35.846205000000005</v>
      </c>
      <c r="H70">
        <f t="shared" si="141"/>
        <v>42.209300799999994</v>
      </c>
      <c r="I70">
        <f t="shared" si="141"/>
        <v>49.153035600000003</v>
      </c>
      <c r="J70">
        <f t="shared" si="141"/>
        <v>56.939677099999997</v>
      </c>
      <c r="K70">
        <f t="shared" si="141"/>
        <v>63.732252500000001</v>
      </c>
      <c r="L70">
        <f t="shared" si="141"/>
        <v>70.408611899999997</v>
      </c>
      <c r="M70">
        <f t="shared" si="141"/>
        <v>74.588984500000009</v>
      </c>
      <c r="N70">
        <f t="shared" si="141"/>
        <v>80.489384799999996</v>
      </c>
      <c r="O70">
        <f t="shared" si="141"/>
        <v>85.275032800000005</v>
      </c>
      <c r="P70">
        <f t="shared" si="141"/>
        <v>87.102351999999996</v>
      </c>
      <c r="Q70">
        <f t="shared" si="141"/>
        <v>83.686871400000001</v>
      </c>
      <c r="R70">
        <f t="shared" si="141"/>
        <v>98.291578200000004</v>
      </c>
      <c r="S70">
        <f t="shared" si="141"/>
        <v>98.7737829</v>
      </c>
      <c r="T70">
        <f t="shared" si="141"/>
        <v>102.42096240000001</v>
      </c>
      <c r="U70">
        <f t="shared" si="141"/>
        <v>107.68932649999999</v>
      </c>
      <c r="V70">
        <f t="shared" si="141"/>
        <v>114.90721360000001</v>
      </c>
      <c r="W70">
        <f t="shared" si="141"/>
        <v>111.9698186</v>
      </c>
      <c r="X70">
        <f t="shared" si="141"/>
        <v>119.1877769</v>
      </c>
      <c r="Y70">
        <f t="shared" si="141"/>
        <v>123.5443992</v>
      </c>
      <c r="Z70">
        <f t="shared" si="141"/>
        <v>125.137477</v>
      </c>
      <c r="AA70">
        <f t="shared" si="141"/>
        <v>127.6518662</v>
      </c>
      <c r="AB70">
        <f t="shared" si="141"/>
        <v>131.38108449999999</v>
      </c>
    </row>
    <row r="71" spans="1:33" ht="20" x14ac:dyDescent="0.2">
      <c r="A71" s="55" t="s">
        <v>147</v>
      </c>
      <c r="B71" s="54">
        <f>4812.803+328.7176</f>
        <v>5141.5205999999998</v>
      </c>
      <c r="C71" s="54">
        <f>2840.248+181.7759</f>
        <v>3022.0239000000001</v>
      </c>
      <c r="D71">
        <f>2120.5393+132.539</f>
        <v>2253.0783000000001</v>
      </c>
      <c r="E71">
        <f>1773.9834+114.3994</f>
        <v>1888.3828000000001</v>
      </c>
      <c r="F71" s="54">
        <f>1762.6012+116.3376</f>
        <v>1878.9388000000001</v>
      </c>
      <c r="G71" s="54">
        <f>1784.1817+114.0381</f>
        <v>1898.2198000000001</v>
      </c>
      <c r="H71" s="54">
        <f>1743.0834+108.678</f>
        <v>1851.7613999999999</v>
      </c>
      <c r="I71" s="54">
        <f>1779.9435+109.9827</f>
        <v>1889.9262000000001</v>
      </c>
      <c r="J71" s="54">
        <f>1797.7932+108.663</f>
        <v>1906.4562000000001</v>
      </c>
      <c r="K71" s="54">
        <f>1827.357+112.557</f>
        <v>1939.914</v>
      </c>
      <c r="L71" s="54">
        <f>1864.2642+111.9771</f>
        <v>1976.2413000000001</v>
      </c>
      <c r="M71" s="54">
        <f>1898.3163+108.9943</f>
        <v>2007.3106</v>
      </c>
      <c r="N71" s="54">
        <f>1927.0918+121.9035</f>
        <v>2048.9953</v>
      </c>
      <c r="O71" s="54">
        <f>1993.0466+117.2041</f>
        <v>2110.2507000000001</v>
      </c>
      <c r="P71" s="54">
        <f>2012.1258+124.1128</f>
        <v>2136.2386000000001</v>
      </c>
      <c r="Q71" s="54">
        <f>2059.7289+119.4712</f>
        <v>2179.2001</v>
      </c>
      <c r="R71" s="54">
        <f>2131.6149+118.8663</f>
        <v>2250.4812000000002</v>
      </c>
      <c r="S71" s="54">
        <f>2198.3635+136.9713</f>
        <v>2335.3348000000001</v>
      </c>
      <c r="T71" s="54">
        <f>2192.4647+115.5411</f>
        <v>2308.0057999999999</v>
      </c>
      <c r="U71" s="54">
        <f>2257.5775+117.1084</f>
        <v>2374.6858999999999</v>
      </c>
      <c r="V71" s="54">
        <f>2301.7931+124.8762</f>
        <v>2426.6693</v>
      </c>
      <c r="W71" s="54">
        <f>2396.0785+ 130.4647</f>
        <v>2526.5432000000001</v>
      </c>
      <c r="X71" s="54">
        <f>2443.4037+121.0186</f>
        <v>2564.4222999999997</v>
      </c>
      <c r="Y71" s="54">
        <f>2442.3383 +125.9515</f>
        <v>2568.2898</v>
      </c>
      <c r="Z71" s="51">
        <f>2502.3652+128.2727</f>
        <v>2630.6379000000002</v>
      </c>
      <c r="AA71" s="54">
        <f>2526.8501+132.8251</f>
        <v>2659.6752000000001</v>
      </c>
      <c r="AB71" s="54">
        <f>2577.4539+126.3138</f>
        <v>2703.7676999999999</v>
      </c>
    </row>
    <row r="72" spans="1:33" ht="20" x14ac:dyDescent="0.2">
      <c r="A72" s="49" t="s">
        <v>120</v>
      </c>
      <c r="B72" s="5">
        <v>1652.4872</v>
      </c>
      <c r="C72" s="5">
        <v>9250.2255999999998</v>
      </c>
      <c r="D72" s="5">
        <v>17656.573899999999</v>
      </c>
      <c r="E72" s="5">
        <v>24779.085999999999</v>
      </c>
      <c r="F72" s="5">
        <v>31746.881399999998</v>
      </c>
      <c r="G72" s="5">
        <v>38235.423900000002</v>
      </c>
      <c r="H72" s="5">
        <v>45028.551099999997</v>
      </c>
      <c r="I72" s="5">
        <v>52371.403899999998</v>
      </c>
      <c r="J72" s="5">
        <v>60567.787799999998</v>
      </c>
      <c r="K72" s="5">
        <v>67898.026199999993</v>
      </c>
      <c r="L72" s="5">
        <v>74965.164699999994</v>
      </c>
      <c r="M72" s="5">
        <v>79259.535999999993</v>
      </c>
      <c r="N72" s="54">
        <v>85648.374400000001</v>
      </c>
      <c r="O72" s="5">
        <v>90572.107099999994</v>
      </c>
      <c r="P72" s="5">
        <v>93211.950200000007</v>
      </c>
      <c r="Q72" s="5">
        <v>88142.375499999995</v>
      </c>
      <c r="R72" s="5">
        <v>104394.9333</v>
      </c>
      <c r="S72" s="5">
        <v>103992.186</v>
      </c>
      <c r="T72" s="5">
        <v>107951.1222</v>
      </c>
      <c r="U72" s="5">
        <v>113434.8609</v>
      </c>
      <c r="V72" s="5">
        <v>121338.4814</v>
      </c>
      <c r="W72" s="5">
        <v>116721.4198</v>
      </c>
      <c r="X72" s="5">
        <v>126923.7782</v>
      </c>
      <c r="Y72" s="5">
        <v>127173.5546</v>
      </c>
      <c r="Z72" s="5">
        <v>133872.64679999999</v>
      </c>
      <c r="AA72" s="5">
        <v>137132.663</v>
      </c>
      <c r="AB72" s="5">
        <v>139451.43109999999</v>
      </c>
    </row>
    <row r="73" spans="1:33" ht="20" x14ac:dyDescent="0.2">
      <c r="A73" s="49" t="s">
        <v>152</v>
      </c>
      <c r="B73">
        <f>B72/1000</f>
        <v>1.6524871999999999</v>
      </c>
      <c r="C73">
        <f t="shared" ref="C73:AB73" si="142">C72/1000</f>
        <v>9.2502256000000003</v>
      </c>
      <c r="D73">
        <f t="shared" si="142"/>
        <v>17.656573899999998</v>
      </c>
      <c r="E73">
        <f t="shared" si="142"/>
        <v>24.779086</v>
      </c>
      <c r="F73">
        <f t="shared" si="142"/>
        <v>31.746881399999999</v>
      </c>
      <c r="G73">
        <f t="shared" si="142"/>
        <v>38.235423900000001</v>
      </c>
      <c r="H73">
        <f t="shared" si="142"/>
        <v>45.028551099999994</v>
      </c>
      <c r="I73">
        <f t="shared" si="142"/>
        <v>52.371403899999997</v>
      </c>
      <c r="J73">
        <f t="shared" si="142"/>
        <v>60.567787799999998</v>
      </c>
      <c r="K73">
        <f t="shared" si="142"/>
        <v>67.89802619999999</v>
      </c>
      <c r="L73">
        <f t="shared" si="142"/>
        <v>74.965164699999988</v>
      </c>
      <c r="M73">
        <f t="shared" si="142"/>
        <v>79.259535999999997</v>
      </c>
      <c r="N73">
        <f t="shared" si="142"/>
        <v>85.648374399999994</v>
      </c>
      <c r="O73">
        <f t="shared" si="142"/>
        <v>90.572107099999997</v>
      </c>
      <c r="P73">
        <f t="shared" si="142"/>
        <v>93.211950200000004</v>
      </c>
      <c r="Q73">
        <f t="shared" si="142"/>
        <v>88.1423755</v>
      </c>
      <c r="R73">
        <f t="shared" si="142"/>
        <v>104.39493330000001</v>
      </c>
      <c r="S73">
        <f t="shared" si="142"/>
        <v>103.992186</v>
      </c>
      <c r="T73">
        <f t="shared" si="142"/>
        <v>107.9511222</v>
      </c>
      <c r="U73">
        <f t="shared" si="142"/>
        <v>113.4348609</v>
      </c>
      <c r="V73">
        <f t="shared" si="142"/>
        <v>121.33848140000001</v>
      </c>
      <c r="W73">
        <f t="shared" si="142"/>
        <v>116.72141980000001</v>
      </c>
      <c r="X73">
        <f t="shared" si="142"/>
        <v>126.9237782</v>
      </c>
      <c r="Y73">
        <f t="shared" si="142"/>
        <v>127.1735546</v>
      </c>
      <c r="Z73">
        <f t="shared" si="142"/>
        <v>133.87264679999998</v>
      </c>
      <c r="AA73">
        <f t="shared" si="142"/>
        <v>137.13266300000001</v>
      </c>
      <c r="AB73">
        <f t="shared" si="142"/>
        <v>139.45143109999998</v>
      </c>
    </row>
    <row r="74" spans="1:33" ht="20" x14ac:dyDescent="0.2">
      <c r="A74" s="49" t="s">
        <v>100</v>
      </c>
      <c r="B74">
        <f>329.4879+22.5043</f>
        <v>351.99220000000003</v>
      </c>
      <c r="C74">
        <f>360.4084+23.0662</f>
        <v>383.47459999999995</v>
      </c>
      <c r="D74">
        <f>365.7851+22.8626</f>
        <v>388.64769999999999</v>
      </c>
      <c r="E74">
        <f>324.5486+20.9292</f>
        <v>345.4778</v>
      </c>
      <c r="F74">
        <f>332.9777+21.9777</f>
        <v>354.95540000000005</v>
      </c>
      <c r="G74">
        <f>341.6604+21.8376</f>
        <v>363.49799999999999</v>
      </c>
      <c r="H74">
        <f>337.6766+21.0537</f>
        <v>358.7303</v>
      </c>
      <c r="I74">
        <f>345.9129+ 21.374</f>
        <v>367.2869</v>
      </c>
      <c r="J74">
        <f>350.4632+21.183</f>
        <v>371.64619999999996</v>
      </c>
      <c r="K74">
        <f>356.9025+21.9836</f>
        <v>378.8861</v>
      </c>
      <c r="L74">
        <f>362.8991+21.7975</f>
        <v>384.69659999999999</v>
      </c>
      <c r="M74">
        <f>367.4214+21.0959</f>
        <v>388.51729999999998</v>
      </c>
      <c r="N74">
        <f>373.4658+23.6246</f>
        <v>397.09039999999999</v>
      </c>
      <c r="O74">
        <f>384.2648+22.5973</f>
        <v>406.8621</v>
      </c>
      <c r="P74">
        <f>383.0104+23.625</f>
        <v>406.6354</v>
      </c>
      <c r="Q74">
        <f>388.2443+22.5195</f>
        <v>410.7638</v>
      </c>
      <c r="R74">
        <f>398.6918+22.2325</f>
        <v>420.92430000000002</v>
      </c>
      <c r="S74">
        <f>405.3308+25.2545</f>
        <v>430.58530000000002</v>
      </c>
      <c r="T74">
        <f>401.7215+21.1704</f>
        <v>422.89189999999996</v>
      </c>
      <c r="U74">
        <f>410.6346+21.301</f>
        <v>431.93559999999997</v>
      </c>
      <c r="V74">
        <f>414.9145+22.5098</f>
        <v>437.42429999999996</v>
      </c>
      <c r="W74">
        <f>425.6748+23.1777</f>
        <v>448.85250000000002</v>
      </c>
      <c r="X74">
        <f>431.3995+21.3666</f>
        <v>452.76609999999999</v>
      </c>
      <c r="Y74">
        <f>430.4824+22.2</f>
        <v>452.68239999999997</v>
      </c>
      <c r="Z74">
        <f>435.4256+22.3202</f>
        <v>457.74579999999997</v>
      </c>
      <c r="AA74">
        <f>438.2974+23.0393</f>
        <v>461.33670000000001</v>
      </c>
      <c r="AB74">
        <f>442.1151+21.6668</f>
        <v>463.78190000000001</v>
      </c>
    </row>
    <row r="75" spans="1:33" ht="20" x14ac:dyDescent="0.2">
      <c r="A75" s="49" t="s">
        <v>140</v>
      </c>
      <c r="B75">
        <f xml:space="preserve"> 2707.6006+191.5143</f>
        <v>2899.1149</v>
      </c>
      <c r="C75">
        <f>1655.9312+119.1747</f>
        <v>1775.1059</v>
      </c>
      <c r="D75">
        <f>1565.6027+106.1429</f>
        <v>1671.7456</v>
      </c>
      <c r="E75">
        <f>1540.7881+105.3847</f>
        <v>1646.1728000000001</v>
      </c>
      <c r="F75">
        <f>1602.7008+103.1621</f>
        <v>1705.8629000000001</v>
      </c>
      <c r="G75">
        <f>1611.048+104.3561</f>
        <v>1715.4041</v>
      </c>
      <c r="H75">
        <f>1673.8834+105.9933</f>
        <v>1779.8767</v>
      </c>
      <c r="I75">
        <f>1710.225+114.3728</f>
        <v>1824.5978</v>
      </c>
      <c r="J75">
        <f>1691.7369+101.8621</f>
        <v>1793.5990000000002</v>
      </c>
      <c r="K75">
        <f>1778.6729+114.4506</f>
        <v>1893.1234999999999</v>
      </c>
      <c r="L75">
        <f>1774.4307+106.6073</f>
        <v>1881.0379999999998</v>
      </c>
      <c r="M75">
        <f>1822.4393+105.2269</f>
        <v>1927.6662000000001</v>
      </c>
      <c r="N75">
        <f>1841.1741+114.1203</f>
        <v>1955.2944</v>
      </c>
      <c r="O75">
        <f>1931.402+103.4833</f>
        <v>2034.8853000000001</v>
      </c>
      <c r="P75">
        <f>1967.6596+115.8388</f>
        <v>2083.4983999999999</v>
      </c>
      <c r="Q75">
        <f>1978.1491+107.2037</f>
        <v>2085.3528000000001</v>
      </c>
      <c r="R75">
        <f>2065.6494+110.6838</f>
        <v>2176.3331999999996</v>
      </c>
      <c r="S75">
        <f>2087.6641+113.5566</f>
        <v>2201.2206999999999</v>
      </c>
      <c r="T75">
        <f>2127.5726+110.8703</f>
        <v>2238.4429</v>
      </c>
      <c r="U75">
        <f>2168.0089+115.5642</f>
        <v>2283.5730999999996</v>
      </c>
      <c r="V75">
        <f>2222.4488+112.1733</f>
        <v>2334.6221</v>
      </c>
      <c r="W75">
        <f>2278.344+114.4909</f>
        <v>2392.8348999999998</v>
      </c>
      <c r="X75">
        <f>2259.7359+114.1715</f>
        <v>2373.9074000000001</v>
      </c>
      <c r="Y75">
        <f xml:space="preserve"> 2345.2142+116.7544</f>
        <v>2461.9685999999997</v>
      </c>
      <c r="Z75">
        <f>2377.9927+129.7036</f>
        <v>2507.6962999999996</v>
      </c>
      <c r="AA75">
        <f>2426.0255+117.4884</f>
        <v>2543.5139000000004</v>
      </c>
      <c r="AB75">
        <f>2458.1143+119.0212</f>
        <v>2577.1355000000003</v>
      </c>
    </row>
    <row r="76" spans="1:33" ht="20" x14ac:dyDescent="0.2">
      <c r="A76" s="49" t="s">
        <v>141</v>
      </c>
      <c r="B76" s="5">
        <v>7991.7948999999999</v>
      </c>
      <c r="C76" s="5">
        <v>11877.8002</v>
      </c>
      <c r="D76" s="5">
        <v>84625.4758</v>
      </c>
      <c r="E76" s="5">
        <v>117531.6767</v>
      </c>
      <c r="F76" s="5">
        <v>146153.19630000001</v>
      </c>
      <c r="G76" s="5">
        <v>173710.96919999999</v>
      </c>
      <c r="H76" s="5">
        <v>178081.5221</v>
      </c>
      <c r="I76" s="5">
        <v>200805.70680000001</v>
      </c>
      <c r="J76" s="5">
        <v>246995.68530000001</v>
      </c>
      <c r="K76" s="5">
        <v>286765.70689999999</v>
      </c>
      <c r="L76" s="5">
        <v>298140.4669</v>
      </c>
      <c r="M76" s="5">
        <v>306434.62680000003</v>
      </c>
      <c r="N76" s="5">
        <v>331777.80469999998</v>
      </c>
      <c r="O76" s="5">
        <v>304875.31719999999</v>
      </c>
      <c r="P76" s="5">
        <v>334037.83760000003</v>
      </c>
      <c r="Q76" s="5">
        <v>365610.6091</v>
      </c>
      <c r="R76" s="5">
        <v>332323.25530000002</v>
      </c>
      <c r="S76" s="5">
        <v>334547.39059999998</v>
      </c>
      <c r="T76" s="5">
        <v>356511.45159999997</v>
      </c>
      <c r="U76" s="5">
        <v>372473.04029999999</v>
      </c>
      <c r="V76" s="5">
        <v>389582.66810000001</v>
      </c>
      <c r="W76" s="5">
        <v>400956.34039999999</v>
      </c>
      <c r="X76" s="5">
        <v>398116.53989999997</v>
      </c>
      <c r="Y76" s="5">
        <v>388486.04470000003</v>
      </c>
      <c r="Z76" s="5">
        <v>418944.10700000002</v>
      </c>
      <c r="AA76" s="5">
        <v>417793.44130000001</v>
      </c>
      <c r="AB76" s="5">
        <v>411604.25699999998</v>
      </c>
    </row>
    <row r="77" spans="1:33" ht="20" x14ac:dyDescent="0.2">
      <c r="A77" s="49" t="s">
        <v>142</v>
      </c>
      <c r="B77">
        <f>B76/1000</f>
        <v>7.9917948999999995</v>
      </c>
      <c r="C77">
        <f t="shared" ref="C77:AB77" si="143">C76/1000</f>
        <v>11.877800199999999</v>
      </c>
      <c r="D77">
        <f t="shared" si="143"/>
        <v>84.625475800000004</v>
      </c>
      <c r="E77">
        <f t="shared" si="143"/>
        <v>117.53167669999999</v>
      </c>
      <c r="F77">
        <f t="shared" si="143"/>
        <v>146.15319630000002</v>
      </c>
      <c r="G77">
        <f t="shared" si="143"/>
        <v>173.71096919999999</v>
      </c>
      <c r="H77">
        <f t="shared" si="143"/>
        <v>178.0815221</v>
      </c>
      <c r="I77">
        <f t="shared" si="143"/>
        <v>200.80570680000002</v>
      </c>
      <c r="J77">
        <f t="shared" si="143"/>
        <v>246.99568530000002</v>
      </c>
      <c r="K77">
        <f t="shared" si="143"/>
        <v>286.7657069</v>
      </c>
      <c r="L77">
        <f t="shared" si="143"/>
        <v>298.14046689999998</v>
      </c>
      <c r="M77">
        <f t="shared" si="143"/>
        <v>306.43462680000005</v>
      </c>
      <c r="N77">
        <f t="shared" si="143"/>
        <v>331.77780469999999</v>
      </c>
      <c r="O77">
        <f t="shared" si="143"/>
        <v>304.87531719999998</v>
      </c>
      <c r="P77">
        <f t="shared" si="143"/>
        <v>334.03783760000005</v>
      </c>
      <c r="Q77">
        <f t="shared" si="143"/>
        <v>365.61060909999998</v>
      </c>
      <c r="R77">
        <f t="shared" si="143"/>
        <v>332.32325530000003</v>
      </c>
      <c r="S77">
        <f t="shared" si="143"/>
        <v>334.54739059999997</v>
      </c>
      <c r="T77">
        <f t="shared" si="143"/>
        <v>356.51145159999999</v>
      </c>
      <c r="U77">
        <f t="shared" si="143"/>
        <v>372.47304029999998</v>
      </c>
      <c r="V77">
        <f t="shared" si="143"/>
        <v>389.58266810000003</v>
      </c>
      <c r="W77">
        <f t="shared" si="143"/>
        <v>400.95634039999999</v>
      </c>
      <c r="X77">
        <f t="shared" si="143"/>
        <v>398.11653989999996</v>
      </c>
      <c r="Y77">
        <f t="shared" si="143"/>
        <v>388.48604470000004</v>
      </c>
      <c r="Z77">
        <f t="shared" si="143"/>
        <v>418.94410700000003</v>
      </c>
      <c r="AA77">
        <f t="shared" si="143"/>
        <v>417.79344129999998</v>
      </c>
      <c r="AB77">
        <f t="shared" si="143"/>
        <v>411.60425699999996</v>
      </c>
    </row>
    <row r="78" spans="1:33" ht="20" x14ac:dyDescent="0.2">
      <c r="A78" s="49" t="s">
        <v>153</v>
      </c>
      <c r="B78">
        <f>4197.2928+276.416</f>
        <v>4473.7088000000003</v>
      </c>
      <c r="C78">
        <f>2883.8265+195.1463</f>
        <v>3078.9728</v>
      </c>
      <c r="D78">
        <f>2704.6557+175.5187</f>
        <v>2880.1743999999999</v>
      </c>
      <c r="E78">
        <f>2660.0857+169.6932</f>
        <v>2829.7789000000002</v>
      </c>
      <c r="F78">
        <f>2660.6652+174.4253</f>
        <v>2835.0904999999998</v>
      </c>
      <c r="G78">
        <f>2678.2021+178.2035</f>
        <v>2856.4056</v>
      </c>
      <c r="H78">
        <f>2668.1371+182.2654</f>
        <v>2850.4025000000001</v>
      </c>
      <c r="I78">
        <f>2663.22+175.0626</f>
        <v>2838.2826</v>
      </c>
      <c r="J78">
        <f>2728.7624+179.7129</f>
        <v>2908.4753000000001</v>
      </c>
      <c r="K78">
        <f>2780.7203+178.2402</f>
        <v>2958.9605000000001</v>
      </c>
      <c r="L78">
        <f>2780.2578+177.8186</f>
        <v>2958.0763999999999</v>
      </c>
      <c r="M78">
        <f>2835.1667+189.9196</f>
        <v>3025.0863000000004</v>
      </c>
      <c r="N78">
        <f>2858.9759+181.9337</f>
        <v>3040.9096</v>
      </c>
      <c r="O78">
        <f>2829.5887+177.2787</f>
        <v>3006.8673999999996</v>
      </c>
      <c r="P78">
        <f>2853.4042+191.4457</f>
        <v>3044.8499000000002</v>
      </c>
      <c r="Q78">
        <f>2958.7215+180.0998</f>
        <v>3138.8213000000001</v>
      </c>
      <c r="R78">
        <f>2994.4636+190.7641</f>
        <v>3185.2276999999999</v>
      </c>
      <c r="S78">
        <f>3007.8862+187.4771</f>
        <v>3195.3633</v>
      </c>
      <c r="T78">
        <f>3055.5838+182.5537</f>
        <v>3238.1374999999998</v>
      </c>
      <c r="U78">
        <f>3131.6785+191.3081</f>
        <v>3322.9866000000002</v>
      </c>
      <c r="V78">
        <f>3106.1223+192.8371</f>
        <v>3298.9594000000002</v>
      </c>
      <c r="W78">
        <f>3180.4808+193.7501</f>
        <v>3374.2309</v>
      </c>
      <c r="X78">
        <f>3229.2148+204.0534</f>
        <v>3433.2682000000004</v>
      </c>
      <c r="Y78">
        <f>3282.5078+197.5432</f>
        <v>3480.0509999999999</v>
      </c>
      <c r="Z78">
        <f>3274.0526+196.4833</f>
        <v>3470.5358999999999</v>
      </c>
      <c r="AA78">
        <f>3376.3443+196.626</f>
        <v>3572.9703000000004</v>
      </c>
      <c r="AB78">
        <f>3386.0441+205.3051</f>
        <v>3591.3492000000001</v>
      </c>
      <c r="AE78" s="5"/>
      <c r="AF78" s="5"/>
      <c r="AG78" s="5"/>
    </row>
    <row r="79" spans="1:33" ht="20" x14ac:dyDescent="0.2">
      <c r="A79" s="49" t="s">
        <v>154</v>
      </c>
      <c r="B79" s="5">
        <v>11996.7675</v>
      </c>
      <c r="C79" s="5">
        <v>11245.886399999999</v>
      </c>
      <c r="D79" s="5">
        <v>88478.319000000003</v>
      </c>
      <c r="E79" s="5">
        <v>131251.73939999999</v>
      </c>
      <c r="F79" s="5">
        <v>175116.52679999999</v>
      </c>
      <c r="G79" s="5">
        <v>218558.94769999999</v>
      </c>
      <c r="H79" s="5">
        <v>257605.3328</v>
      </c>
      <c r="I79" s="5">
        <v>296231.98469999997</v>
      </c>
      <c r="J79" s="5">
        <v>338542.75530000002</v>
      </c>
      <c r="K79" s="5">
        <v>377539.58189999999</v>
      </c>
      <c r="L79" s="5">
        <v>413151.8628</v>
      </c>
      <c r="M79" s="5">
        <v>451504.83630000002</v>
      </c>
      <c r="N79" s="5">
        <v>487270.49430000002</v>
      </c>
      <c r="O79" s="5">
        <v>488240.03619999997</v>
      </c>
      <c r="P79" s="5">
        <v>486401.81439999997</v>
      </c>
      <c r="Q79" s="5">
        <v>485672.78240000003</v>
      </c>
      <c r="R79" s="5">
        <v>502571.09169999999</v>
      </c>
      <c r="S79" s="5">
        <v>509592.68190000003</v>
      </c>
      <c r="T79" s="5">
        <v>540181.14520000003</v>
      </c>
      <c r="U79" s="5">
        <v>517941.25599999999</v>
      </c>
      <c r="V79" s="5">
        <v>550459.43310000002</v>
      </c>
      <c r="W79" s="5">
        <v>567687.22369999997</v>
      </c>
      <c r="X79" s="5">
        <v>581219.63040000002</v>
      </c>
      <c r="Y79" s="5">
        <v>587083.65090000001</v>
      </c>
      <c r="Z79" s="5">
        <v>599446.20510000002</v>
      </c>
      <c r="AA79" s="5">
        <v>608787.6483</v>
      </c>
      <c r="AB79" s="5">
        <v>557834.69030000002</v>
      </c>
    </row>
    <row r="80" spans="1:33" ht="20" x14ac:dyDescent="0.2">
      <c r="A80" s="49" t="s">
        <v>155</v>
      </c>
      <c r="B80">
        <f>B79/1000</f>
        <v>11.996767500000001</v>
      </c>
      <c r="C80">
        <f t="shared" ref="C80:AB80" si="144">C79/1000</f>
        <v>11.2458864</v>
      </c>
      <c r="D80">
        <f t="shared" si="144"/>
        <v>88.478318999999999</v>
      </c>
      <c r="E80">
        <f t="shared" si="144"/>
        <v>131.25173939999999</v>
      </c>
      <c r="F80">
        <f t="shared" si="144"/>
        <v>175.1165268</v>
      </c>
      <c r="G80">
        <f t="shared" si="144"/>
        <v>218.55894769999998</v>
      </c>
      <c r="H80">
        <f t="shared" si="144"/>
        <v>257.60533279999999</v>
      </c>
      <c r="I80">
        <f t="shared" si="144"/>
        <v>296.2319847</v>
      </c>
      <c r="J80">
        <f t="shared" si="144"/>
        <v>338.54275530000001</v>
      </c>
      <c r="K80">
        <f t="shared" si="144"/>
        <v>377.53958189999997</v>
      </c>
      <c r="L80">
        <f t="shared" si="144"/>
        <v>413.1518628</v>
      </c>
      <c r="M80">
        <f t="shared" si="144"/>
        <v>451.50483630000002</v>
      </c>
      <c r="N80">
        <f t="shared" si="144"/>
        <v>487.2704943</v>
      </c>
      <c r="O80">
        <f t="shared" si="144"/>
        <v>488.24003619999996</v>
      </c>
      <c r="P80">
        <f t="shared" si="144"/>
        <v>486.40181439999998</v>
      </c>
      <c r="Q80">
        <f t="shared" si="144"/>
        <v>485.67278240000002</v>
      </c>
      <c r="R80">
        <f t="shared" si="144"/>
        <v>502.57109170000001</v>
      </c>
      <c r="S80">
        <f t="shared" si="144"/>
        <v>509.5926819</v>
      </c>
      <c r="T80">
        <f t="shared" si="144"/>
        <v>540.18114520000006</v>
      </c>
      <c r="U80">
        <f t="shared" si="144"/>
        <v>517.94125599999995</v>
      </c>
      <c r="V80">
        <f t="shared" si="144"/>
        <v>550.45943310000007</v>
      </c>
      <c r="W80">
        <f t="shared" si="144"/>
        <v>567.6872237</v>
      </c>
      <c r="X80">
        <f t="shared" si="144"/>
        <v>581.21963040000003</v>
      </c>
      <c r="Y80">
        <f t="shared" si="144"/>
        <v>587.08365089999995</v>
      </c>
      <c r="Z80">
        <f t="shared" si="144"/>
        <v>599.44620510000004</v>
      </c>
      <c r="AA80">
        <f t="shared" si="144"/>
        <v>608.7876483</v>
      </c>
      <c r="AB80">
        <f t="shared" si="144"/>
        <v>557.83469030000003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 Count  (2)</vt:lpstr>
      <vt:lpstr>Scalability</vt:lpstr>
      <vt:lpstr>MPI</vt:lpstr>
      <vt:lpstr>Analysis</vt:lpstr>
      <vt:lpstr>Memory Runtime Data volume</vt:lpstr>
      <vt:lpstr>Instruction Count </vt:lpstr>
      <vt:lpstr>Graphs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Eitzinger</dc:creator>
  <cp:lastModifiedBy>Microsoft Office User</cp:lastModifiedBy>
  <dcterms:created xsi:type="dcterms:W3CDTF">2020-06-30T05:40:52Z</dcterms:created>
  <dcterms:modified xsi:type="dcterms:W3CDTF">2025-02-19T12:11:19Z</dcterms:modified>
</cp:coreProperties>
</file>