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panth\Downloads\"/>
    </mc:Choice>
  </mc:AlternateContent>
  <xr:revisionPtr revIDLastSave="0" documentId="13_ncr:1_{F2ADD8F6-F2F1-4B4F-B882-06A70AA5651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CORECARD" sheetId="1" r:id="rId1"/>
    <sheet name="P&amp;L" sheetId="7" r:id="rId2"/>
    <sheet name="INVENTORY" sheetId="5" r:id="rId3"/>
    <sheet name="CASH TALLY" sheetId="4" r:id="rId4"/>
    <sheet name="expenses" sheetId="6" r:id="rId5"/>
    <sheet name="PURCHASE" sheetId="2" r:id="rId6"/>
    <sheet name="Waste She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2" l="1"/>
  <c r="T41" i="2"/>
  <c r="I21" i="2"/>
  <c r="N20" i="2" l="1"/>
  <c r="AD19" i="2" l="1"/>
  <c r="I17" i="2" l="1"/>
  <c r="N16" i="2" l="1"/>
  <c r="F16" i="2"/>
  <c r="AD14" i="2" l="1"/>
  <c r="N14" i="2"/>
  <c r="S13" i="2" l="1"/>
  <c r="D20" i="6" l="1"/>
  <c r="G9" i="6" l="1"/>
  <c r="I5" i="2" l="1"/>
  <c r="E5" i="2"/>
  <c r="K34" i="1" l="1"/>
  <c r="D10" i="7" s="1"/>
  <c r="L34" i="1"/>
  <c r="D11" i="7" s="1"/>
  <c r="G34" i="1" l="1"/>
  <c r="C6" i="7" s="1"/>
  <c r="F50" i="6" l="1"/>
  <c r="D50" i="6" l="1"/>
  <c r="D8" i="7" l="1"/>
  <c r="AF6" i="2" l="1"/>
  <c r="Q4" i="1" s="1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5" i="2"/>
  <c r="Q3" i="1" s="1"/>
  <c r="J11" i="5" l="1"/>
  <c r="S11" i="5"/>
  <c r="N11" i="5"/>
  <c r="I11" i="5"/>
  <c r="E11" i="5"/>
  <c r="V17" i="5" l="1"/>
  <c r="S17" i="5"/>
  <c r="N17" i="5"/>
  <c r="J17" i="5"/>
  <c r="U17" i="5" s="1"/>
  <c r="I17" i="5"/>
  <c r="E17" i="5"/>
  <c r="J12" i="5"/>
  <c r="J15" i="5"/>
  <c r="J16" i="5"/>
  <c r="T17" i="5" l="1"/>
  <c r="W17" i="5"/>
  <c r="A8" i="2" l="1"/>
  <c r="A7" i="2"/>
  <c r="S10" i="6" l="1"/>
  <c r="R22" i="6"/>
  <c r="R23" i="6"/>
  <c r="R24" i="6"/>
  <c r="R25" i="6"/>
  <c r="R26" i="6"/>
  <c r="R27" i="6"/>
  <c r="R28" i="6"/>
  <c r="R29" i="6"/>
  <c r="R30" i="6"/>
  <c r="R21" i="6"/>
  <c r="V27" i="5"/>
  <c r="V23" i="5"/>
  <c r="V24" i="5"/>
  <c r="V22" i="5"/>
  <c r="V16" i="5"/>
  <c r="V18" i="5"/>
  <c r="V15" i="5"/>
  <c r="V13" i="5"/>
  <c r="V14" i="5"/>
  <c r="V12" i="5"/>
  <c r="V5" i="5"/>
  <c r="V6" i="5"/>
  <c r="V7" i="5"/>
  <c r="V8" i="5"/>
  <c r="V9" i="5"/>
  <c r="V10" i="5"/>
  <c r="V4" i="5"/>
  <c r="E12" i="5"/>
  <c r="U8" i="5"/>
  <c r="U15" i="5"/>
  <c r="U16" i="5"/>
  <c r="N12" i="5"/>
  <c r="T12" i="5" s="1"/>
  <c r="J18" i="5"/>
  <c r="U18" i="5" s="1"/>
  <c r="J14" i="5"/>
  <c r="U14" i="5" s="1"/>
  <c r="J13" i="5"/>
  <c r="U13" i="5" s="1"/>
  <c r="U12" i="5"/>
  <c r="J5" i="5"/>
  <c r="U5" i="5" s="1"/>
  <c r="J6" i="5"/>
  <c r="U6" i="5" s="1"/>
  <c r="J7" i="5"/>
  <c r="U7" i="5" s="1"/>
  <c r="J8" i="5"/>
  <c r="J9" i="5"/>
  <c r="U9" i="5" s="1"/>
  <c r="J10" i="5"/>
  <c r="U10" i="5" s="1"/>
  <c r="J4" i="5"/>
  <c r="U4" i="5" s="1"/>
  <c r="I12" i="5"/>
  <c r="I14" i="5"/>
  <c r="I15" i="5"/>
  <c r="I16" i="5"/>
  <c r="I18" i="5"/>
  <c r="J27" i="5"/>
  <c r="U27" i="5" s="1"/>
  <c r="J26" i="5"/>
  <c r="U26" i="5" s="1"/>
  <c r="W26" i="5" s="1"/>
  <c r="J23" i="5"/>
  <c r="U23" i="5" s="1"/>
  <c r="J24" i="5"/>
  <c r="U24" i="5" s="1"/>
  <c r="J25" i="5"/>
  <c r="U25" i="5" s="1"/>
  <c r="W25" i="5" s="1"/>
  <c r="J22" i="5"/>
  <c r="U22" i="5" s="1"/>
  <c r="I27" i="5"/>
  <c r="I23" i="5"/>
  <c r="I24" i="5"/>
  <c r="I25" i="5"/>
  <c r="I26" i="5"/>
  <c r="I22" i="5"/>
  <c r="I13" i="5"/>
  <c r="I5" i="5"/>
  <c r="I6" i="5"/>
  <c r="I7" i="5"/>
  <c r="I8" i="5"/>
  <c r="I9" i="5"/>
  <c r="I10" i="5"/>
  <c r="I4" i="5"/>
  <c r="C4" i="7"/>
  <c r="B12" i="1"/>
  <c r="H3" i="1"/>
  <c r="C23" i="7"/>
  <c r="R32" i="6"/>
  <c r="C15" i="7" s="1"/>
  <c r="C21" i="7"/>
  <c r="S5" i="6"/>
  <c r="S6" i="6"/>
  <c r="S7" i="6"/>
  <c r="S8" i="6"/>
  <c r="S9" i="6"/>
  <c r="S11" i="6"/>
  <c r="S12" i="6"/>
  <c r="S13" i="6"/>
  <c r="S4" i="6"/>
  <c r="M33" i="6"/>
  <c r="D23" i="7" s="1"/>
  <c r="D20" i="7"/>
  <c r="C19" i="7"/>
  <c r="L34" i="4"/>
  <c r="C12" i="7"/>
  <c r="C13" i="7" s="1"/>
  <c r="C14" i="7"/>
  <c r="A6" i="2"/>
  <c r="C16" i="7" s="1"/>
  <c r="J3" i="1" l="1"/>
  <c r="I3" i="1"/>
  <c r="W18" i="5"/>
  <c r="D4" i="7"/>
  <c r="C17" i="7"/>
  <c r="W16" i="5"/>
  <c r="S14" i="6"/>
  <c r="W22" i="5"/>
  <c r="W10" i="5"/>
  <c r="W13" i="5"/>
  <c r="W27" i="5"/>
  <c r="W24" i="5"/>
  <c r="W5" i="5"/>
  <c r="W14" i="5"/>
  <c r="W9" i="5"/>
  <c r="W8" i="5"/>
  <c r="W12" i="5"/>
  <c r="W4" i="5"/>
  <c r="W6" i="5"/>
  <c r="W7" i="5"/>
  <c r="W15" i="5"/>
  <c r="W23" i="5"/>
  <c r="U19" i="5"/>
  <c r="R12" i="5"/>
  <c r="S12" i="5" s="1"/>
  <c r="E23" i="7"/>
  <c r="C8" i="7"/>
  <c r="C9" i="7" s="1"/>
  <c r="F34" i="1"/>
  <c r="C5" i="7" l="1"/>
  <c r="E8" i="7"/>
  <c r="I25" i="7"/>
  <c r="I26" i="7"/>
  <c r="I27" i="7"/>
  <c r="C20" i="7"/>
  <c r="P31" i="6"/>
  <c r="Y45" i="1" s="1"/>
  <c r="Q31" i="6"/>
  <c r="R31" i="6"/>
  <c r="D15" i="7" s="1"/>
  <c r="E15" i="7" s="1"/>
  <c r="D34" i="6"/>
  <c r="D19" i="7" s="1"/>
  <c r="E19" i="7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4" i="6"/>
  <c r="L4" i="6" s="1"/>
  <c r="D13" i="6"/>
  <c r="C18" i="7" s="1"/>
  <c r="N27" i="5"/>
  <c r="T27" i="5" s="1"/>
  <c r="N26" i="5"/>
  <c r="T26" i="5" s="1"/>
  <c r="N25" i="5"/>
  <c r="T25" i="5" s="1"/>
  <c r="N24" i="5"/>
  <c r="T24" i="5" s="1"/>
  <c r="N23" i="5"/>
  <c r="T23" i="5" s="1"/>
  <c r="N22" i="5"/>
  <c r="T22" i="5" s="1"/>
  <c r="N18" i="5"/>
  <c r="T18" i="5" s="1"/>
  <c r="N16" i="5"/>
  <c r="T16" i="5" s="1"/>
  <c r="N15" i="5"/>
  <c r="T15" i="5" s="1"/>
  <c r="N14" i="5"/>
  <c r="T14" i="5" s="1"/>
  <c r="N13" i="5"/>
  <c r="T13" i="5" s="1"/>
  <c r="N10" i="5"/>
  <c r="T10" i="5" s="1"/>
  <c r="N9" i="5"/>
  <c r="T9" i="5" s="1"/>
  <c r="N8" i="5"/>
  <c r="T8" i="5" s="1"/>
  <c r="N7" i="5"/>
  <c r="T7" i="5" s="1"/>
  <c r="N6" i="5"/>
  <c r="T6" i="5" s="1"/>
  <c r="N5" i="5"/>
  <c r="T5" i="5" s="1"/>
  <c r="N4" i="5"/>
  <c r="E27" i="5"/>
  <c r="E23" i="5"/>
  <c r="E24" i="5"/>
  <c r="E25" i="5"/>
  <c r="E26" i="5"/>
  <c r="E22" i="5"/>
  <c r="S22" i="5" s="1"/>
  <c r="E14" i="5"/>
  <c r="E15" i="5"/>
  <c r="E16" i="5"/>
  <c r="E18" i="5"/>
  <c r="E13" i="5"/>
  <c r="E5" i="5"/>
  <c r="E6" i="5"/>
  <c r="E7" i="5"/>
  <c r="E8" i="5"/>
  <c r="E9" i="5"/>
  <c r="E10" i="5"/>
  <c r="E4" i="5"/>
  <c r="J12" i="4"/>
  <c r="J25" i="4"/>
  <c r="H24" i="4"/>
  <c r="H23" i="4"/>
  <c r="H22" i="4"/>
  <c r="H21" i="4"/>
  <c r="H20" i="4"/>
  <c r="H19" i="4"/>
  <c r="H18" i="4"/>
  <c r="H17" i="4"/>
  <c r="H16" i="4"/>
  <c r="D24" i="4"/>
  <c r="D23" i="4"/>
  <c r="D22" i="4"/>
  <c r="D21" i="4"/>
  <c r="D20" i="4"/>
  <c r="D19" i="4"/>
  <c r="D18" i="4"/>
  <c r="D17" i="4"/>
  <c r="D16" i="4"/>
  <c r="H12" i="4"/>
  <c r="H11" i="4"/>
  <c r="H10" i="4"/>
  <c r="H9" i="4"/>
  <c r="H8" i="4"/>
  <c r="H7" i="4"/>
  <c r="H6" i="4"/>
  <c r="H5" i="4"/>
  <c r="H4" i="4"/>
  <c r="D5" i="4"/>
  <c r="D6" i="4"/>
  <c r="D7" i="4"/>
  <c r="D8" i="4"/>
  <c r="D9" i="4"/>
  <c r="D10" i="4"/>
  <c r="D11" i="4"/>
  <c r="D12" i="4"/>
  <c r="D4" i="4"/>
  <c r="Q16" i="1"/>
  <c r="Q11" i="1"/>
  <c r="D36" i="2"/>
  <c r="D41" i="2" s="1"/>
  <c r="P36" i="2"/>
  <c r="P41" i="2" s="1"/>
  <c r="F36" i="2"/>
  <c r="F41" i="2" s="1"/>
  <c r="P34" i="1"/>
  <c r="L36" i="2"/>
  <c r="L41" i="2" s="1"/>
  <c r="M36" i="2"/>
  <c r="M41" i="2" s="1"/>
  <c r="AC36" i="2"/>
  <c r="AC41" i="2" s="1"/>
  <c r="AD36" i="2"/>
  <c r="AD41" i="2" s="1"/>
  <c r="Z36" i="2"/>
  <c r="Z41" i="2" s="1"/>
  <c r="AE36" i="2"/>
  <c r="AE41" i="2" s="1"/>
  <c r="O36" i="2"/>
  <c r="O41" i="2" s="1"/>
  <c r="Y36" i="2"/>
  <c r="Y41" i="2" s="1"/>
  <c r="AA36" i="2"/>
  <c r="AA41" i="2" s="1"/>
  <c r="O34" i="1"/>
  <c r="J36" i="2"/>
  <c r="J41" i="2" s="1"/>
  <c r="K36" i="2"/>
  <c r="K41" i="2" s="1"/>
  <c r="X36" i="2"/>
  <c r="X41" i="2" s="1"/>
  <c r="W36" i="2"/>
  <c r="W41" i="2" s="1"/>
  <c r="AB36" i="2"/>
  <c r="AB41" i="2" s="1"/>
  <c r="I36" i="2"/>
  <c r="I41" i="2" s="1"/>
  <c r="V36" i="2"/>
  <c r="V41" i="2" s="1"/>
  <c r="U36" i="2"/>
  <c r="U41" i="2" s="1"/>
  <c r="G36" i="2"/>
  <c r="G41" i="2" s="1"/>
  <c r="Q36" i="2"/>
  <c r="Q41" i="2" s="1"/>
  <c r="R36" i="2"/>
  <c r="R41" i="2" s="1"/>
  <c r="C36" i="2"/>
  <c r="C41" i="2" s="1"/>
  <c r="Q33" i="1"/>
  <c r="H36" i="2"/>
  <c r="H41" i="2" s="1"/>
  <c r="E36" i="2"/>
  <c r="E41" i="2" s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9" i="1"/>
  <c r="Q6" i="1"/>
  <c r="Q5" i="1"/>
  <c r="AB49" i="1"/>
  <c r="AA38" i="1"/>
  <c r="E34" i="1"/>
  <c r="H33" i="1"/>
  <c r="H32" i="1"/>
  <c r="AE31" i="1"/>
  <c r="H31" i="1"/>
  <c r="H30" i="1"/>
  <c r="AE29" i="1"/>
  <c r="AE30" i="1" s="1"/>
  <c r="H29" i="1"/>
  <c r="H28" i="1"/>
  <c r="H27" i="1"/>
  <c r="AE26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AE10" i="1"/>
  <c r="AE11" i="1" s="1"/>
  <c r="AE12" i="1" s="1"/>
  <c r="H10" i="1"/>
  <c r="H8" i="1"/>
  <c r="H7" i="1"/>
  <c r="H5" i="1"/>
  <c r="H4" i="1"/>
  <c r="J26" i="1" l="1"/>
  <c r="I26" i="1"/>
  <c r="J32" i="1"/>
  <c r="I32" i="1"/>
  <c r="J33" i="1"/>
  <c r="I33" i="1"/>
  <c r="J29" i="1"/>
  <c r="I29" i="1"/>
  <c r="J27" i="1"/>
  <c r="I27" i="1"/>
  <c r="J30" i="1"/>
  <c r="I30" i="1"/>
  <c r="J28" i="1"/>
  <c r="I28" i="1"/>
  <c r="J31" i="1"/>
  <c r="I31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8" i="1"/>
  <c r="I8" i="1"/>
  <c r="J7" i="1"/>
  <c r="I7" i="1"/>
  <c r="J5" i="1"/>
  <c r="I5" i="1"/>
  <c r="J4" i="1"/>
  <c r="I4" i="1"/>
  <c r="C24" i="7"/>
  <c r="C10" i="7"/>
  <c r="H4" i="7"/>
  <c r="C7" i="7"/>
  <c r="T28" i="5"/>
  <c r="Y46" i="1"/>
  <c r="E20" i="7"/>
  <c r="R7" i="5"/>
  <c r="S7" i="5" s="1"/>
  <c r="T4" i="5"/>
  <c r="R4" i="5"/>
  <c r="S4" i="5" s="1"/>
  <c r="S25" i="5"/>
  <c r="R14" i="5"/>
  <c r="S14" i="5" s="1"/>
  <c r="S24" i="5"/>
  <c r="R6" i="5"/>
  <c r="S6" i="5" s="1"/>
  <c r="R10" i="5"/>
  <c r="S10" i="5" s="1"/>
  <c r="R27" i="5"/>
  <c r="S27" i="5" s="1"/>
  <c r="S23" i="5"/>
  <c r="R9" i="5"/>
  <c r="S9" i="5" s="1"/>
  <c r="R15" i="5"/>
  <c r="S15" i="5" s="1"/>
  <c r="S26" i="5"/>
  <c r="R5" i="5"/>
  <c r="S5" i="5" s="1"/>
  <c r="R18" i="5"/>
  <c r="S18" i="5" s="1"/>
  <c r="R16" i="5"/>
  <c r="S16" i="5" s="1"/>
  <c r="R13" i="5"/>
  <c r="S13" i="5" s="1"/>
  <c r="R8" i="5"/>
  <c r="S8" i="5" s="1"/>
  <c r="K13" i="6"/>
  <c r="D18" i="7" s="1"/>
  <c r="E18" i="7" s="1"/>
  <c r="Y43" i="1"/>
  <c r="H25" i="4"/>
  <c r="H28" i="7" s="1"/>
  <c r="H30" i="7" s="1"/>
  <c r="D25" i="4"/>
  <c r="H13" i="4"/>
  <c r="D13" i="4"/>
  <c r="J2" i="4" s="1"/>
  <c r="J4" i="4" s="1"/>
  <c r="N36" i="2"/>
  <c r="N41" i="2" s="1"/>
  <c r="Q10" i="1"/>
  <c r="Q7" i="1"/>
  <c r="S36" i="2"/>
  <c r="S41" i="2" s="1"/>
  <c r="H6" i="1"/>
  <c r="Y41" i="1"/>
  <c r="H9" i="1"/>
  <c r="A2" i="2"/>
  <c r="D16" i="7" s="1"/>
  <c r="Q32" i="1"/>
  <c r="N34" i="1"/>
  <c r="AF41" i="2" l="1"/>
  <c r="AF42" i="2" s="1"/>
  <c r="J9" i="1"/>
  <c r="I9" i="1"/>
  <c r="J6" i="1"/>
  <c r="I6" i="1"/>
  <c r="H11" i="7"/>
  <c r="H13" i="7"/>
  <c r="H10" i="7"/>
  <c r="E10" i="7"/>
  <c r="H14" i="7"/>
  <c r="H21" i="7"/>
  <c r="H18" i="7"/>
  <c r="H23" i="7"/>
  <c r="H20" i="7"/>
  <c r="H12" i="7"/>
  <c r="H16" i="7"/>
  <c r="H19" i="7"/>
  <c r="H15" i="7"/>
  <c r="H17" i="7"/>
  <c r="A3" i="2"/>
  <c r="D14" i="7" s="1"/>
  <c r="A4" i="2"/>
  <c r="D12" i="7" s="1"/>
  <c r="D13" i="7" s="1"/>
  <c r="E13" i="7" s="1"/>
  <c r="H7" i="7"/>
  <c r="H6" i="7" s="1"/>
  <c r="H24" i="7"/>
  <c r="T19" i="5"/>
  <c r="U28" i="5" s="1"/>
  <c r="V19" i="5"/>
  <c r="W19" i="5" s="1"/>
  <c r="E16" i="7"/>
  <c r="J3" i="4"/>
  <c r="J5" i="4"/>
  <c r="J6" i="4" s="1"/>
  <c r="N36" i="1"/>
  <c r="H34" i="1"/>
  <c r="D6" i="7" l="1"/>
  <c r="I18" i="7" s="1"/>
  <c r="I34" i="1"/>
  <c r="I19" i="7"/>
  <c r="J34" i="1"/>
  <c r="E14" i="7"/>
  <c r="D17" i="7"/>
  <c r="D5" i="7"/>
  <c r="D9" i="7" s="1"/>
  <c r="E12" i="7"/>
  <c r="D21" i="7"/>
  <c r="E21" i="7" s="1"/>
  <c r="I20" i="7" l="1"/>
  <c r="I21" i="7"/>
  <c r="D24" i="7"/>
  <c r="I7" i="7" s="1"/>
  <c r="D7" i="7"/>
  <c r="H5" i="7"/>
  <c r="I4" i="7"/>
  <c r="E17" i="7"/>
  <c r="E9" i="7"/>
  <c r="H8" i="7" s="1"/>
  <c r="J8" i="7" s="1"/>
  <c r="E24" i="7" l="1"/>
  <c r="I10" i="7"/>
  <c r="J10" i="7" s="1"/>
  <c r="I13" i="7"/>
  <c r="J13" i="7" s="1"/>
  <c r="J18" i="7"/>
  <c r="I11" i="7"/>
  <c r="E7" i="7"/>
  <c r="J15" i="7"/>
  <c r="I16" i="7"/>
  <c r="I15" i="7"/>
  <c r="J20" i="7" s="1"/>
  <c r="I24" i="7"/>
  <c r="J21" i="7" s="1"/>
  <c r="I12" i="7"/>
  <c r="J12" i="7" s="1"/>
  <c r="I23" i="7"/>
  <c r="J17" i="7" s="1"/>
  <c r="I6" i="7"/>
  <c r="J23" i="7" s="1"/>
  <c r="I14" i="7"/>
  <c r="J14" i="7" s="1"/>
  <c r="I17" i="7"/>
  <c r="J19" i="7"/>
  <c r="J16" i="7"/>
  <c r="Q8" i="1"/>
  <c r="J7" i="7" l="1"/>
  <c r="Q34" i="1"/>
  <c r="Y44" i="1" s="1"/>
  <c r="AF36" i="2"/>
  <c r="AF37" i="2" s="1"/>
  <c r="Q14" i="6"/>
  <c r="R14" i="6"/>
  <c r="P14" i="6"/>
  <c r="Y42" i="1"/>
  <c r="Y49" i="1"/>
</calcChain>
</file>

<file path=xl/sharedStrings.xml><?xml version="1.0" encoding="utf-8"?>
<sst xmlns="http://schemas.openxmlformats.org/spreadsheetml/2006/main" count="392" uniqueCount="231">
  <si>
    <t>MTD Reports at a glance</t>
  </si>
  <si>
    <t>DATE</t>
  </si>
  <si>
    <t>SETTLEMENT</t>
  </si>
  <si>
    <t>SALE</t>
  </si>
  <si>
    <t>CASH</t>
  </si>
  <si>
    <t>UPI</t>
  </si>
  <si>
    <t>CREDIT</t>
  </si>
  <si>
    <t>EXPENSE</t>
  </si>
  <si>
    <t xml:space="preserve">SALARY </t>
  </si>
  <si>
    <t>MONTHLY EXPENSE</t>
  </si>
  <si>
    <t>days of opertion</t>
  </si>
  <si>
    <t>AMOUNT</t>
  </si>
  <si>
    <t xml:space="preserve">DATE </t>
  </si>
  <si>
    <t>AVG sale</t>
  </si>
  <si>
    <t>PANKAJ RAWAT</t>
  </si>
  <si>
    <t>MILK</t>
  </si>
  <si>
    <t>MTD cash</t>
  </si>
  <si>
    <t>MTD UPI</t>
  </si>
  <si>
    <t>WATER BILL</t>
  </si>
  <si>
    <t>MTD settlement</t>
  </si>
  <si>
    <t>Retail items cost</t>
  </si>
  <si>
    <t>Food expenses</t>
  </si>
  <si>
    <t>TOTAL</t>
  </si>
  <si>
    <t>salary</t>
  </si>
  <si>
    <t>M&amp;R</t>
  </si>
  <si>
    <t>Monthly expenses</t>
  </si>
  <si>
    <t>Total expendeture</t>
  </si>
  <si>
    <t>Aprox P &amp; L</t>
  </si>
  <si>
    <t>salary to sales %</t>
  </si>
  <si>
    <t>M &amp; R EXPENSES</t>
  </si>
  <si>
    <t>M&amp;R to sales %</t>
  </si>
  <si>
    <t>PARTICULARS</t>
  </si>
  <si>
    <t>retail items %</t>
  </si>
  <si>
    <t>Food expenses%</t>
  </si>
  <si>
    <t>Non Food expenses%</t>
  </si>
  <si>
    <t>Total expenses %</t>
  </si>
  <si>
    <t>Aprox P &amp; L %</t>
  </si>
  <si>
    <t>PETROL</t>
  </si>
  <si>
    <t>SALARY</t>
  </si>
  <si>
    <t xml:space="preserve">ASHU </t>
  </si>
  <si>
    <t>AKKI</t>
  </si>
  <si>
    <t>SID</t>
  </si>
  <si>
    <t>MONHTHLY</t>
  </si>
  <si>
    <t>CYLINDER</t>
  </si>
  <si>
    <t>M&amp;R EXPENSE</t>
  </si>
  <si>
    <t>@</t>
  </si>
  <si>
    <t>Vendor payment &amp; purchase record CAFÉ CHATORA PAHADI</t>
  </si>
  <si>
    <t>NEGI DISTRIBUTORS</t>
  </si>
  <si>
    <t>AGARWAL DISTRIBUTORS</t>
  </si>
  <si>
    <t>NIKUNJ</t>
  </si>
  <si>
    <t>JAI DURGA (PEPSI)</t>
  </si>
  <si>
    <t>ZONE MOCKTAILS</t>
  </si>
  <si>
    <t>TATA</t>
  </si>
  <si>
    <t>CHX</t>
  </si>
  <si>
    <t>CIGGY</t>
  </si>
  <si>
    <t>PACKAGING</t>
  </si>
  <si>
    <t>OIL</t>
  </si>
  <si>
    <t>VEG</t>
  </si>
  <si>
    <t>CHEMICALS</t>
  </si>
  <si>
    <t>GYANCHAND</t>
  </si>
  <si>
    <t>EGG</t>
  </si>
  <si>
    <t>TOURIST</t>
  </si>
  <si>
    <t>MISC</t>
  </si>
  <si>
    <t>MASALE</t>
  </si>
  <si>
    <t>DÉCOR</t>
  </si>
  <si>
    <t>UTENSILS</t>
  </si>
  <si>
    <t>COLD MILK</t>
  </si>
  <si>
    <t>BAKERY</t>
  </si>
  <si>
    <t>QUALITY</t>
  </si>
  <si>
    <t>PEPSI</t>
  </si>
  <si>
    <t>MATADEEN</t>
  </si>
  <si>
    <t>AMAZON</t>
  </si>
  <si>
    <t>JIO</t>
  </si>
  <si>
    <t>ARSE</t>
  </si>
  <si>
    <t>STAITONERY</t>
  </si>
  <si>
    <t>MORNING</t>
  </si>
  <si>
    <t>CLOSING</t>
  </si>
  <si>
    <t>OPENING CASH</t>
  </si>
  <si>
    <t>CLOSING CASH</t>
  </si>
  <si>
    <t>EXPEXTED CASH</t>
  </si>
  <si>
    <t>ACTUAL CASH</t>
  </si>
  <si>
    <t>VARIANCE</t>
  </si>
  <si>
    <t>EXPENDITURE</t>
  </si>
  <si>
    <t>REGULAR</t>
  </si>
  <si>
    <t>MILD</t>
  </si>
  <si>
    <t>ULTRA MILD</t>
  </si>
  <si>
    <t>DOUBLE BURST</t>
  </si>
  <si>
    <t>ICE BURST</t>
  </si>
  <si>
    <t>ADVANCE</t>
  </si>
  <si>
    <t>LIGHT</t>
  </si>
  <si>
    <t>TOTAL MINT</t>
  </si>
  <si>
    <t>TOTAL PAN</t>
  </si>
  <si>
    <t>GOLD FLAKE</t>
  </si>
  <si>
    <t>INDI MINT</t>
  </si>
  <si>
    <t>CHOTI ADVANCE</t>
  </si>
  <si>
    <t>DEW</t>
  </si>
  <si>
    <t>SLICE</t>
  </si>
  <si>
    <t>SPRITE</t>
  </si>
  <si>
    <t>SODA</t>
  </si>
  <si>
    <t>WATER</t>
  </si>
  <si>
    <t>BOX</t>
  </si>
  <si>
    <t>LOOSE</t>
  </si>
  <si>
    <t>CASE</t>
  </si>
  <si>
    <t>OPENING INVENTORY</t>
  </si>
  <si>
    <t>RECEIVING</t>
  </si>
  <si>
    <t>CLOSING INVENTORY</t>
  </si>
  <si>
    <t>PRODUCT MIX</t>
  </si>
  <si>
    <t>ACTUAL</t>
  </si>
  <si>
    <t>EXPECTED</t>
  </si>
  <si>
    <t>AJAY RATHORE</t>
  </si>
  <si>
    <t>TYAGI UNCLE</t>
  </si>
  <si>
    <t>SUDHANSHU KOTNALA</t>
  </si>
  <si>
    <t>SHAILENDER BAHUGUNA</t>
  </si>
  <si>
    <t>credit</t>
  </si>
  <si>
    <t>Adv 1</t>
  </si>
  <si>
    <t>Adv 2</t>
  </si>
  <si>
    <t>Adv 3</t>
  </si>
  <si>
    <t>Adv 4</t>
  </si>
  <si>
    <t>total given</t>
  </si>
  <si>
    <t>excess / short</t>
  </si>
  <si>
    <t>small</t>
  </si>
  <si>
    <t>big</t>
  </si>
  <si>
    <t>due date</t>
  </si>
  <si>
    <t>due amount</t>
  </si>
  <si>
    <t>electricity bill</t>
  </si>
  <si>
    <t>phone loan</t>
  </si>
  <si>
    <t>mama/rent</t>
  </si>
  <si>
    <t>café loan 1</t>
  </si>
  <si>
    <t>café loan 2</t>
  </si>
  <si>
    <t>room rent+ bill</t>
  </si>
  <si>
    <t>vici cooler</t>
  </si>
  <si>
    <t>target amount</t>
  </si>
  <si>
    <t>actual</t>
  </si>
  <si>
    <t>Variance</t>
  </si>
  <si>
    <t>TARGET</t>
  </si>
  <si>
    <t>cash</t>
  </si>
  <si>
    <t>target</t>
  </si>
  <si>
    <t>Target</t>
  </si>
  <si>
    <t>Marketing EXPENSE</t>
  </si>
  <si>
    <t>insta</t>
  </si>
  <si>
    <t>print</t>
  </si>
  <si>
    <t>flex</t>
  </si>
  <si>
    <t>comp</t>
  </si>
  <si>
    <t>Petrol</t>
  </si>
  <si>
    <t>Cylinder</t>
  </si>
  <si>
    <t>Monthly expenses%</t>
  </si>
  <si>
    <t>Petrol %</t>
  </si>
  <si>
    <t>Marketing %</t>
  </si>
  <si>
    <t>Marketing</t>
  </si>
  <si>
    <t>reinvestment</t>
  </si>
  <si>
    <t>Capital</t>
  </si>
  <si>
    <t>date</t>
  </si>
  <si>
    <t>Amount</t>
  </si>
  <si>
    <t>MTD Sales</t>
  </si>
  <si>
    <t>Cash In hand</t>
  </si>
  <si>
    <t>actual Amount</t>
  </si>
  <si>
    <t>Cash in bank</t>
  </si>
  <si>
    <t>amount</t>
  </si>
  <si>
    <t>capistan</t>
  </si>
  <si>
    <t>total inventory</t>
  </si>
  <si>
    <t>total Sales</t>
  </si>
  <si>
    <t>profit</t>
  </si>
  <si>
    <t>cogs</t>
  </si>
  <si>
    <t>sales</t>
  </si>
  <si>
    <t>Amul</t>
  </si>
  <si>
    <t>DAIRY</t>
  </si>
  <si>
    <t>coke</t>
  </si>
  <si>
    <t>Non food expenses</t>
  </si>
  <si>
    <t>Cylinder %</t>
  </si>
  <si>
    <t>MTD Sales achivement</t>
  </si>
  <si>
    <t>AVG sale varience %</t>
  </si>
  <si>
    <t>total</t>
  </si>
  <si>
    <t>Lighter</t>
  </si>
  <si>
    <t>ESSE LIGHT</t>
  </si>
  <si>
    <t>FRI</t>
  </si>
  <si>
    <t>SAT</t>
  </si>
  <si>
    <t>SUN</t>
  </si>
  <si>
    <t>MON</t>
  </si>
  <si>
    <t>TUE</t>
  </si>
  <si>
    <t>WED</t>
  </si>
  <si>
    <t>THU</t>
  </si>
  <si>
    <t>STAFF  Collective</t>
  </si>
  <si>
    <t xml:space="preserve">A S A </t>
  </si>
  <si>
    <t>card 1</t>
  </si>
  <si>
    <t>card 2</t>
  </si>
  <si>
    <t>Variance %</t>
  </si>
  <si>
    <t>card 3</t>
  </si>
  <si>
    <t>F.A INVST</t>
  </si>
  <si>
    <t>RETAIL SALES</t>
  </si>
  <si>
    <t>K COGS %</t>
  </si>
  <si>
    <t>K COGS</t>
  </si>
  <si>
    <t>FOOD SALES</t>
  </si>
  <si>
    <t>FNB SALES</t>
  </si>
  <si>
    <t>FNB SALES %</t>
  </si>
  <si>
    <t>Retail pnl</t>
  </si>
  <si>
    <t>month Sales</t>
  </si>
  <si>
    <t>BAR SALE</t>
  </si>
  <si>
    <t>Orders</t>
  </si>
  <si>
    <t>Avg. Check</t>
  </si>
  <si>
    <t>SCORECARD Jan 2024</t>
  </si>
  <si>
    <t>veg</t>
  </si>
  <si>
    <t>pasta</t>
  </si>
  <si>
    <t>paneer</t>
  </si>
  <si>
    <t>chicken</t>
  </si>
  <si>
    <t>milk</t>
  </si>
  <si>
    <t>noodles</t>
  </si>
  <si>
    <t>bread</t>
  </si>
  <si>
    <t>buns</t>
  </si>
  <si>
    <t>pav</t>
  </si>
  <si>
    <t>Cost</t>
  </si>
  <si>
    <t>Plates</t>
  </si>
  <si>
    <t>gms</t>
  </si>
  <si>
    <t>ltr</t>
  </si>
  <si>
    <t>plate</t>
  </si>
  <si>
    <t>no</t>
  </si>
  <si>
    <t>nos</t>
  </si>
  <si>
    <t>Cheese Slice</t>
  </si>
  <si>
    <t>Patty</t>
  </si>
  <si>
    <t>Fries</t>
  </si>
  <si>
    <t>Waste Tracking Sheet</t>
  </si>
  <si>
    <t>Name</t>
  </si>
  <si>
    <t>Measure</t>
  </si>
  <si>
    <t>DJ</t>
  </si>
  <si>
    <t>Egg</t>
  </si>
  <si>
    <t>Live music</t>
  </si>
  <si>
    <t>Rajai 2</t>
  </si>
  <si>
    <t>akshay 07/01</t>
  </si>
  <si>
    <t>akshay 01/1</t>
  </si>
  <si>
    <t>saman</t>
  </si>
  <si>
    <t>ajay</t>
  </si>
  <si>
    <t>shailu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</si>
</sst>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₹&quot;\ #,##0"/>
    <numFmt numFmtId="165" formatCode="&quot;₹&quot;\ #,##0.00"/>
    <numFmt numFmtId="166" formatCode="d/m/yyyy"/>
    <numFmt numFmtId="167" formatCode="d/m/yy"/>
    <numFmt numFmtId="168" formatCode="&quot;₹&quot;\ #,##0.0"/>
    <numFmt numFmtId="169" formatCode="dd/mm/yy"/>
    <numFmt numFmtId="170" formatCode="0.000%"/>
  </numFmts>
  <fonts count="4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Times New Roman"/>
      <family val="1"/>
    </font>
    <font>
      <b/>
      <i/>
      <sz val="16"/>
      <color rgb="FFFFFFFF"/>
      <name val="Times New Roman"/>
      <family val="1"/>
    </font>
    <font>
      <sz val="11"/>
      <color theme="1"/>
      <name val="Calibri"/>
      <family val="2"/>
    </font>
    <font>
      <b/>
      <i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Roboto"/>
    </font>
    <font>
      <b/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i/>
      <sz val="22"/>
      <color rgb="FF000000"/>
      <name val="Times New Roman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i/>
      <sz val="16"/>
      <color theme="0"/>
      <name val="Times New Roman"/>
      <family val="1"/>
    </font>
    <font>
      <b/>
      <sz val="14"/>
      <color theme="1"/>
      <name val="Calibri"/>
      <family val="2"/>
    </font>
    <font>
      <sz val="14"/>
      <name val="Calibri"/>
      <family val="2"/>
    </font>
    <font>
      <b/>
      <sz val="26"/>
      <color theme="1"/>
      <name val="Calibri"/>
      <family val="2"/>
    </font>
    <font>
      <sz val="26"/>
      <name val="Calibri"/>
      <family val="2"/>
    </font>
    <font>
      <sz val="16"/>
      <color theme="1"/>
      <name val="Calibri"/>
      <family val="2"/>
    </font>
    <font>
      <sz val="18"/>
      <color theme="1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1C232"/>
        <bgColor rgb="FFF1C232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rgb="FFDD7E6B"/>
      </patternFill>
    </fill>
    <fill>
      <patternFill patternType="solid">
        <fgColor theme="1"/>
        <bgColor rgb="FFB4A7D6"/>
      </patternFill>
    </fill>
    <fill>
      <patternFill patternType="solid">
        <fgColor theme="1"/>
        <bgColor rgb="FFA4C2F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rgb="FFFF00FF"/>
      </patternFill>
    </fill>
    <fill>
      <patternFill patternType="solid">
        <fgColor theme="5" tint="0.59999389629810485"/>
        <bgColor rgb="FFFF00FF"/>
      </patternFill>
    </fill>
    <fill>
      <patternFill patternType="solid">
        <fgColor theme="9" tint="0.59999389629810485"/>
        <bgColor rgb="FFFF00FF"/>
      </patternFill>
    </fill>
    <fill>
      <patternFill patternType="solid">
        <fgColor rgb="FF92D050"/>
        <bgColor rgb="FFA4C2F4"/>
      </patternFill>
    </fill>
    <fill>
      <patternFill patternType="solid">
        <fgColor rgb="FFFFFF00"/>
        <bgColor rgb="FFFF0000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9" tint="-0.249977111117893"/>
        <bgColor rgb="FFF4CCCC"/>
      </patternFill>
    </fill>
    <fill>
      <patternFill patternType="solid">
        <fgColor theme="9" tint="-0.249977111117893"/>
        <bgColor rgb="FFA4C2F4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rgb="FF134F5C"/>
      </patternFill>
    </fill>
    <fill>
      <patternFill patternType="solid">
        <fgColor rgb="FF00B0F0"/>
        <bgColor rgb="FFFFD966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rgb="FFDD7E6B"/>
      </patternFill>
    </fill>
    <fill>
      <patternFill patternType="solid">
        <fgColor rgb="FF00B0F0"/>
        <bgColor rgb="FFA4C2F4"/>
      </patternFill>
    </fill>
    <fill>
      <patternFill patternType="solid">
        <fgColor rgb="FF92D050"/>
        <bgColor rgb="FFDD7E6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505050"/>
      </right>
      <top/>
      <bottom style="medium">
        <color rgb="FF000000"/>
      </bottom>
      <diagonal/>
    </border>
    <border>
      <left style="thin">
        <color rgb="FF505050"/>
      </left>
      <right style="thin">
        <color rgb="FF505050"/>
      </right>
      <top/>
      <bottom style="medium">
        <color rgb="FF000000"/>
      </bottom>
      <diagonal/>
    </border>
    <border>
      <left style="thin">
        <color rgb="FF50505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000000"/>
      </right>
      <top/>
      <bottom style="thin">
        <color rgb="FF50505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medium">
        <color rgb="FF000000"/>
      </top>
      <bottom style="medium">
        <color rgb="FF000000"/>
      </bottom>
      <diagonal/>
    </border>
    <border>
      <left style="thin">
        <color rgb="FF50505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50505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1">
    <xf numFmtId="0" fontId="0" fillId="0" borderId="0" xfId="0"/>
    <xf numFmtId="0" fontId="12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2" fillId="0" borderId="0" xfId="0" applyFont="1"/>
    <xf numFmtId="0" fontId="13" fillId="6" borderId="4" xfId="0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6" fontId="11" fillId="7" borderId="15" xfId="0" applyNumberFormat="1" applyFont="1" applyFill="1" applyBorder="1"/>
    <xf numFmtId="165" fontId="12" fillId="0" borderId="17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" fontId="12" fillId="0" borderId="0" xfId="0" applyNumberFormat="1" applyFont="1"/>
    <xf numFmtId="0" fontId="13" fillId="5" borderId="4" xfId="0" applyFont="1" applyFill="1" applyBorder="1" applyAlignment="1">
      <alignment horizontal="center" vertical="center"/>
    </xf>
    <xf numFmtId="165" fontId="14" fillId="8" borderId="4" xfId="0" applyNumberFormat="1" applyFont="1" applyFill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0" fontId="15" fillId="0" borderId="0" xfId="0" applyFont="1"/>
    <xf numFmtId="0" fontId="13" fillId="9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12" fillId="0" borderId="23" xfId="0" applyFont="1" applyBorder="1"/>
    <xf numFmtId="165" fontId="16" fillId="10" borderId="4" xfId="0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13" fillId="2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2" fillId="0" borderId="29" xfId="0" applyFont="1" applyBorder="1"/>
    <xf numFmtId="0" fontId="12" fillId="0" borderId="31" xfId="0" applyFont="1" applyBorder="1"/>
    <xf numFmtId="165" fontId="12" fillId="0" borderId="23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165" fontId="12" fillId="0" borderId="40" xfId="0" applyNumberFormat="1" applyFont="1" applyBorder="1" applyAlignment="1">
      <alignment horizontal="center" vertical="center"/>
    </xf>
    <xf numFmtId="0" fontId="11" fillId="13" borderId="9" xfId="0" applyFont="1" applyFill="1" applyBorder="1"/>
    <xf numFmtId="165" fontId="11" fillId="13" borderId="10" xfId="0" applyNumberFormat="1" applyFont="1" applyFill="1" applyBorder="1" applyAlignment="1">
      <alignment horizontal="center" vertical="center"/>
    </xf>
    <xf numFmtId="165" fontId="11" fillId="13" borderId="42" xfId="0" applyNumberFormat="1" applyFont="1" applyFill="1" applyBorder="1" applyAlignment="1">
      <alignment horizontal="center" vertical="center"/>
    </xf>
    <xf numFmtId="165" fontId="11" fillId="13" borderId="43" xfId="0" applyNumberFormat="1" applyFont="1" applyFill="1" applyBorder="1" applyAlignment="1">
      <alignment horizontal="center" vertical="center"/>
    </xf>
    <xf numFmtId="165" fontId="12" fillId="0" borderId="25" xfId="0" applyNumberFormat="1" applyFont="1" applyBorder="1"/>
    <xf numFmtId="0" fontId="12" fillId="0" borderId="0" xfId="0" applyFont="1" applyAlignment="1">
      <alignment horizontal="center" vertical="center"/>
    </xf>
    <xf numFmtId="0" fontId="19" fillId="0" borderId="0" xfId="0" applyFont="1"/>
    <xf numFmtId="0" fontId="12" fillId="0" borderId="44" xfId="0" applyFont="1" applyBorder="1"/>
    <xf numFmtId="165" fontId="12" fillId="0" borderId="45" xfId="0" applyNumberFormat="1" applyFont="1" applyBorder="1"/>
    <xf numFmtId="165" fontId="12" fillId="0" borderId="30" xfId="0" applyNumberFormat="1" applyFont="1" applyBorder="1"/>
    <xf numFmtId="0" fontId="12" fillId="0" borderId="30" xfId="0" applyFont="1" applyBorder="1"/>
    <xf numFmtId="165" fontId="12" fillId="0" borderId="33" xfId="0" applyNumberFormat="1" applyFont="1" applyBorder="1"/>
    <xf numFmtId="165" fontId="12" fillId="0" borderId="32" xfId="0" applyNumberFormat="1" applyFont="1" applyBorder="1"/>
    <xf numFmtId="165" fontId="20" fillId="8" borderId="0" xfId="0" applyNumberFormat="1" applyFont="1" applyFill="1"/>
    <xf numFmtId="165" fontId="15" fillId="3" borderId="0" xfId="0" applyNumberFormat="1" applyFont="1" applyFill="1"/>
    <xf numFmtId="0" fontId="12" fillId="0" borderId="20" xfId="0" applyFont="1" applyBorder="1"/>
    <xf numFmtId="0" fontId="11" fillId="3" borderId="21" xfId="0" applyFont="1" applyFill="1" applyBorder="1" applyAlignment="1">
      <alignment horizontal="center" vertical="center" wrapText="1"/>
    </xf>
    <xf numFmtId="0" fontId="22" fillId="14" borderId="21" xfId="0" applyFont="1" applyFill="1" applyBorder="1" applyAlignment="1">
      <alignment horizontal="center" vertical="center" wrapText="1"/>
    </xf>
    <xf numFmtId="0" fontId="22" fillId="8" borderId="21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/>
    <xf numFmtId="0" fontId="12" fillId="0" borderId="28" xfId="0" applyFont="1" applyBorder="1"/>
    <xf numFmtId="16" fontId="11" fillId="0" borderId="29" xfId="0" applyNumberFormat="1" applyFont="1" applyBorder="1"/>
    <xf numFmtId="165" fontId="15" fillId="0" borderId="0" xfId="0" applyNumberFormat="1" applyFont="1"/>
    <xf numFmtId="17" fontId="0" fillId="0" borderId="0" xfId="0" applyNumberFormat="1"/>
    <xf numFmtId="0" fontId="11" fillId="3" borderId="46" xfId="0" applyFont="1" applyFill="1" applyBorder="1" applyAlignment="1">
      <alignment horizontal="center" vertical="center" wrapText="1"/>
    </xf>
    <xf numFmtId="0" fontId="21" fillId="2" borderId="53" xfId="0" applyFont="1" applyFill="1" applyBorder="1"/>
    <xf numFmtId="0" fontId="21" fillId="2" borderId="38" xfId="0" applyFont="1" applyFill="1" applyBorder="1"/>
    <xf numFmtId="0" fontId="21" fillId="2" borderId="39" xfId="0" applyFont="1" applyFill="1" applyBorder="1"/>
    <xf numFmtId="0" fontId="0" fillId="0" borderId="54" xfId="0" applyBorder="1"/>
    <xf numFmtId="0" fontId="0" fillId="20" borderId="54" xfId="0" applyFill="1" applyBorder="1"/>
    <xf numFmtId="0" fontId="0" fillId="18" borderId="63" xfId="0" applyFill="1" applyBorder="1"/>
    <xf numFmtId="0" fontId="0" fillId="18" borderId="62" xfId="0" applyFill="1" applyBorder="1"/>
    <xf numFmtId="0" fontId="0" fillId="18" borderId="64" xfId="0" applyFill="1" applyBorder="1"/>
    <xf numFmtId="0" fontId="0" fillId="18" borderId="65" xfId="0" applyFill="1" applyBorder="1"/>
    <xf numFmtId="0" fontId="0" fillId="17" borderId="62" xfId="0" applyFill="1" applyBorder="1"/>
    <xf numFmtId="0" fontId="0" fillId="17" borderId="63" xfId="0" applyFill="1" applyBorder="1"/>
    <xf numFmtId="0" fontId="0" fillId="17" borderId="65" xfId="0" applyFill="1" applyBorder="1"/>
    <xf numFmtId="0" fontId="0" fillId="19" borderId="62" xfId="0" applyFill="1" applyBorder="1"/>
    <xf numFmtId="0" fontId="0" fillId="19" borderId="63" xfId="0" applyFill="1" applyBorder="1"/>
    <xf numFmtId="0" fontId="0" fillId="19" borderId="65" xfId="0" applyFill="1" applyBorder="1"/>
    <xf numFmtId="0" fontId="0" fillId="18" borderId="60" xfId="0" applyFill="1" applyBorder="1"/>
    <xf numFmtId="0" fontId="0" fillId="18" borderId="77" xfId="0" applyFill="1" applyBorder="1"/>
    <xf numFmtId="0" fontId="0" fillId="18" borderId="78" xfId="0" applyFill="1" applyBorder="1"/>
    <xf numFmtId="0" fontId="0" fillId="21" borderId="54" xfId="0" applyFill="1" applyBorder="1"/>
    <xf numFmtId="0" fontId="0" fillId="22" borderId="54" xfId="0" applyFill="1" applyBorder="1"/>
    <xf numFmtId="0" fontId="0" fillId="23" borderId="54" xfId="0" applyFill="1" applyBorder="1"/>
    <xf numFmtId="0" fontId="0" fillId="24" borderId="54" xfId="0" applyFill="1" applyBorder="1"/>
    <xf numFmtId="0" fontId="0" fillId="21" borderId="62" xfId="0" applyFill="1" applyBorder="1"/>
    <xf numFmtId="0" fontId="0" fillId="21" borderId="63" xfId="0" applyFill="1" applyBorder="1"/>
    <xf numFmtId="0" fontId="0" fillId="21" borderId="64" xfId="0" applyFill="1" applyBorder="1"/>
    <xf numFmtId="0" fontId="0" fillId="21" borderId="65" xfId="0" applyFill="1" applyBorder="1"/>
    <xf numFmtId="0" fontId="0" fillId="21" borderId="60" xfId="0" applyFill="1" applyBorder="1"/>
    <xf numFmtId="0" fontId="0" fillId="21" borderId="66" xfId="0" applyFill="1" applyBorder="1"/>
    <xf numFmtId="0" fontId="0" fillId="21" borderId="61" xfId="0" applyFill="1" applyBorder="1"/>
    <xf numFmtId="0" fontId="0" fillId="22" borderId="62" xfId="0" applyFill="1" applyBorder="1"/>
    <xf numFmtId="0" fontId="0" fillId="22" borderId="63" xfId="0" applyFill="1" applyBorder="1"/>
    <xf numFmtId="0" fontId="0" fillId="22" borderId="64" xfId="0" applyFill="1" applyBorder="1"/>
    <xf numFmtId="0" fontId="0" fillId="22" borderId="65" xfId="0" applyFill="1" applyBorder="1"/>
    <xf numFmtId="0" fontId="0" fillId="22" borderId="60" xfId="0" applyFill="1" applyBorder="1"/>
    <xf numFmtId="0" fontId="0" fillId="22" borderId="66" xfId="0" applyFill="1" applyBorder="1"/>
    <xf numFmtId="0" fontId="0" fillId="22" borderId="61" xfId="0" applyFill="1" applyBorder="1"/>
    <xf numFmtId="0" fontId="0" fillId="23" borderId="62" xfId="0" applyFill="1" applyBorder="1"/>
    <xf numFmtId="0" fontId="0" fillId="23" borderId="63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23" borderId="60" xfId="0" applyFill="1" applyBorder="1"/>
    <xf numFmtId="0" fontId="0" fillId="23" borderId="66" xfId="0" applyFill="1" applyBorder="1"/>
    <xf numFmtId="0" fontId="0" fillId="23" borderId="61" xfId="0" applyFill="1" applyBorder="1"/>
    <xf numFmtId="0" fontId="0" fillId="24" borderId="62" xfId="0" applyFill="1" applyBorder="1"/>
    <xf numFmtId="0" fontId="0" fillId="24" borderId="63" xfId="0" applyFill="1" applyBorder="1"/>
    <xf numFmtId="0" fontId="0" fillId="24" borderId="64" xfId="0" applyFill="1" applyBorder="1"/>
    <xf numFmtId="0" fontId="0" fillId="26" borderId="0" xfId="0" applyFill="1"/>
    <xf numFmtId="0" fontId="8" fillId="0" borderId="55" xfId="0" applyFont="1" applyBorder="1"/>
    <xf numFmtId="0" fontId="25" fillId="0" borderId="55" xfId="0" applyFont="1" applyBorder="1" applyAlignment="1">
      <alignment horizontal="center"/>
    </xf>
    <xf numFmtId="0" fontId="15" fillId="0" borderId="75" xfId="0" applyFont="1" applyBorder="1" applyAlignment="1">
      <alignment horizontal="center"/>
    </xf>
    <xf numFmtId="0" fontId="15" fillId="0" borderId="76" xfId="0" applyFont="1" applyBorder="1" applyAlignment="1">
      <alignment horizontal="center"/>
    </xf>
    <xf numFmtId="165" fontId="15" fillId="0" borderId="63" xfId="0" applyNumberFormat="1" applyFont="1" applyBorder="1"/>
    <xf numFmtId="0" fontId="27" fillId="27" borderId="89" xfId="0" applyFont="1" applyFill="1" applyBorder="1"/>
    <xf numFmtId="0" fontId="27" fillId="27" borderId="88" xfId="0" applyFont="1" applyFill="1" applyBorder="1"/>
    <xf numFmtId="0" fontId="27" fillId="27" borderId="93" xfId="0" applyFont="1" applyFill="1" applyBorder="1"/>
    <xf numFmtId="0" fontId="27" fillId="27" borderId="92" xfId="0" applyFont="1" applyFill="1" applyBorder="1"/>
    <xf numFmtId="0" fontId="27" fillId="27" borderId="80" xfId="0" applyFont="1" applyFill="1" applyBorder="1"/>
    <xf numFmtId="0" fontId="11" fillId="0" borderId="105" xfId="0" applyFont="1" applyBorder="1"/>
    <xf numFmtId="0" fontId="11" fillId="0" borderId="106" xfId="0" applyFont="1" applyBorder="1"/>
    <xf numFmtId="0" fontId="11" fillId="0" borderId="107" xfId="0" applyFont="1" applyBorder="1"/>
    <xf numFmtId="0" fontId="24" fillId="0" borderId="83" xfId="0" applyFont="1" applyBorder="1" applyAlignment="1">
      <alignment horizontal="center" vertical="center"/>
    </xf>
    <xf numFmtId="0" fontId="11" fillId="0" borderId="14" xfId="0" applyFont="1" applyBorder="1"/>
    <xf numFmtId="165" fontId="11" fillId="0" borderId="109" xfId="0" applyNumberFormat="1" applyFont="1" applyBorder="1"/>
    <xf numFmtId="0" fontId="0" fillId="0" borderId="62" xfId="0" applyBorder="1"/>
    <xf numFmtId="0" fontId="13" fillId="3" borderId="34" xfId="0" applyFont="1" applyFill="1" applyBorder="1" applyAlignment="1">
      <alignment horizontal="center" vertical="center"/>
    </xf>
    <xf numFmtId="0" fontId="0" fillId="18" borderId="79" xfId="0" applyFill="1" applyBorder="1" applyAlignment="1">
      <alignment horizontal="center"/>
    </xf>
    <xf numFmtId="0" fontId="0" fillId="18" borderId="80" xfId="0" applyFill="1" applyBorder="1" applyAlignment="1">
      <alignment horizontal="center"/>
    </xf>
    <xf numFmtId="0" fontId="9" fillId="2" borderId="89" xfId="0" applyFont="1" applyFill="1" applyBorder="1" applyAlignment="1">
      <alignment horizontal="center" vertical="center"/>
    </xf>
    <xf numFmtId="0" fontId="0" fillId="25" borderId="0" xfId="0" applyFill="1"/>
    <xf numFmtId="0" fontId="29" fillId="5" borderId="5" xfId="0" applyFont="1" applyFill="1" applyBorder="1" applyAlignment="1">
      <alignment horizontal="center"/>
    </xf>
    <xf numFmtId="0" fontId="0" fillId="29" borderId="0" xfId="0" applyFill="1"/>
    <xf numFmtId="0" fontId="11" fillId="5" borderId="2" xfId="0" applyFont="1" applyFill="1" applyBorder="1"/>
    <xf numFmtId="0" fontId="0" fillId="20" borderId="66" xfId="0" applyFill="1" applyBorder="1"/>
    <xf numFmtId="0" fontId="0" fillId="20" borderId="61" xfId="0" applyFill="1" applyBorder="1"/>
    <xf numFmtId="0" fontId="0" fillId="20" borderId="63" xfId="0" applyFill="1" applyBorder="1"/>
    <xf numFmtId="0" fontId="0" fillId="0" borderId="78" xfId="0" applyBorder="1"/>
    <xf numFmtId="0" fontId="0" fillId="26" borderId="111" xfId="0" applyFill="1" applyBorder="1"/>
    <xf numFmtId="0" fontId="0" fillId="26" borderId="86" xfId="0" applyFill="1" applyBorder="1"/>
    <xf numFmtId="0" fontId="0" fillId="26" borderId="104" xfId="0" applyFill="1" applyBorder="1"/>
    <xf numFmtId="165" fontId="0" fillId="21" borderId="0" xfId="0" applyNumberFormat="1" applyFill="1"/>
    <xf numFmtId="0" fontId="13" fillId="32" borderId="4" xfId="0" applyFont="1" applyFill="1" applyBorder="1" applyAlignment="1">
      <alignment horizontal="center" vertical="center"/>
    </xf>
    <xf numFmtId="0" fontId="13" fillId="33" borderId="4" xfId="0" applyFont="1" applyFill="1" applyBorder="1" applyAlignment="1">
      <alignment horizontal="center" vertical="center"/>
    </xf>
    <xf numFmtId="165" fontId="9" fillId="34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25" borderId="113" xfId="0" applyFont="1" applyFill="1" applyBorder="1"/>
    <xf numFmtId="0" fontId="0" fillId="25" borderId="110" xfId="0" applyFill="1" applyBorder="1"/>
    <xf numFmtId="0" fontId="11" fillId="0" borderId="50" xfId="0" applyFont="1" applyBorder="1"/>
    <xf numFmtId="0" fontId="12" fillId="0" borderId="16" xfId="0" applyFont="1" applyBorder="1"/>
    <xf numFmtId="165" fontId="11" fillId="0" borderId="115" xfId="0" applyNumberFormat="1" applyFont="1" applyBorder="1"/>
    <xf numFmtId="0" fontId="6" fillId="25" borderId="79" xfId="0" applyFont="1" applyFill="1" applyBorder="1"/>
    <xf numFmtId="0" fontId="0" fillId="25" borderId="92" xfId="0" applyFill="1" applyBorder="1"/>
    <xf numFmtId="0" fontId="0" fillId="25" borderId="80" xfId="0" applyFill="1" applyBorder="1"/>
    <xf numFmtId="0" fontId="0" fillId="26" borderId="114" xfId="0" applyFill="1" applyBorder="1"/>
    <xf numFmtId="0" fontId="0" fillId="26" borderId="110" xfId="0" applyFill="1" applyBorder="1"/>
    <xf numFmtId="0" fontId="0" fillId="19" borderId="66" xfId="0" applyFill="1" applyBorder="1"/>
    <xf numFmtId="0" fontId="0" fillId="19" borderId="54" xfId="0" applyFill="1" applyBorder="1"/>
    <xf numFmtId="0" fontId="0" fillId="19" borderId="81" xfId="0" applyFill="1" applyBorder="1"/>
    <xf numFmtId="14" fontId="0" fillId="20" borderId="60" xfId="0" applyNumberFormat="1" applyFill="1" applyBorder="1"/>
    <xf numFmtId="14" fontId="0" fillId="20" borderId="62" xfId="0" applyNumberFormat="1" applyFill="1" applyBorder="1"/>
    <xf numFmtId="14" fontId="7" fillId="20" borderId="62" xfId="0" applyNumberFormat="1" applyFont="1" applyFill="1" applyBorder="1"/>
    <xf numFmtId="0" fontId="12" fillId="20" borderId="36" xfId="0" applyFont="1" applyFill="1" applyBorder="1"/>
    <xf numFmtId="166" fontId="12" fillId="31" borderId="66" xfId="0" applyNumberFormat="1" applyFont="1" applyFill="1" applyBorder="1"/>
    <xf numFmtId="166" fontId="12" fillId="31" borderId="54" xfId="0" applyNumberFormat="1" applyFont="1" applyFill="1" applyBorder="1"/>
    <xf numFmtId="167" fontId="12" fillId="31" borderId="54" xfId="0" applyNumberFormat="1" applyFont="1" applyFill="1" applyBorder="1"/>
    <xf numFmtId="16" fontId="12" fillId="31" borderId="54" xfId="0" applyNumberFormat="1" applyFont="1" applyFill="1" applyBorder="1"/>
    <xf numFmtId="0" fontId="12" fillId="31" borderId="54" xfId="0" applyFont="1" applyFill="1" applyBorder="1"/>
    <xf numFmtId="0" fontId="12" fillId="31" borderId="81" xfId="0" applyFont="1" applyFill="1" applyBorder="1"/>
    <xf numFmtId="165" fontId="11" fillId="23" borderId="61" xfId="0" applyNumberFormat="1" applyFont="1" applyFill="1" applyBorder="1"/>
    <xf numFmtId="0" fontId="11" fillId="23" borderId="63" xfId="0" applyFont="1" applyFill="1" applyBorder="1"/>
    <xf numFmtId="0" fontId="11" fillId="23" borderId="65" xfId="0" applyFont="1" applyFill="1" applyBorder="1"/>
    <xf numFmtId="166" fontId="27" fillId="18" borderId="60" xfId="0" applyNumberFormat="1" applyFont="1" applyFill="1" applyBorder="1"/>
    <xf numFmtId="166" fontId="27" fillId="18" borderId="62" xfId="0" applyNumberFormat="1" applyFont="1" applyFill="1" applyBorder="1"/>
    <xf numFmtId="14" fontId="27" fillId="18" borderId="62" xfId="0" applyNumberFormat="1" applyFont="1" applyFill="1" applyBorder="1"/>
    <xf numFmtId="0" fontId="24" fillId="18" borderId="62" xfId="0" applyFont="1" applyFill="1" applyBorder="1"/>
    <xf numFmtId="165" fontId="27" fillId="23" borderId="94" xfId="0" applyNumberFormat="1" applyFont="1" applyFill="1" applyBorder="1"/>
    <xf numFmtId="165" fontId="24" fillId="23" borderId="55" xfId="0" applyNumberFormat="1" applyFont="1" applyFill="1" applyBorder="1"/>
    <xf numFmtId="165" fontId="27" fillId="23" borderId="57" xfId="0" applyNumberFormat="1" applyFont="1" applyFill="1" applyBorder="1"/>
    <xf numFmtId="165" fontId="24" fillId="23" borderId="54" xfId="0" applyNumberFormat="1" applyFont="1" applyFill="1" applyBorder="1"/>
    <xf numFmtId="0" fontId="24" fillId="23" borderId="57" xfId="0" applyFont="1" applyFill="1" applyBorder="1"/>
    <xf numFmtId="0" fontId="24" fillId="23" borderId="54" xfId="0" applyFont="1" applyFill="1" applyBorder="1"/>
    <xf numFmtId="165" fontId="24" fillId="37" borderId="55" xfId="0" applyNumberFormat="1" applyFont="1" applyFill="1" applyBorder="1"/>
    <xf numFmtId="165" fontId="24" fillId="37" borderId="76" xfId="0" applyNumberFormat="1" applyFont="1" applyFill="1" applyBorder="1"/>
    <xf numFmtId="165" fontId="24" fillId="37" borderId="54" xfId="0" applyNumberFormat="1" applyFont="1" applyFill="1" applyBorder="1"/>
    <xf numFmtId="165" fontId="24" fillId="37" borderId="63" xfId="0" applyNumberFormat="1" applyFont="1" applyFill="1" applyBorder="1"/>
    <xf numFmtId="0" fontId="24" fillId="37" borderId="54" xfId="0" applyFont="1" applyFill="1" applyBorder="1"/>
    <xf numFmtId="0" fontId="24" fillId="37" borderId="63" xfId="0" applyFont="1" applyFill="1" applyBorder="1"/>
    <xf numFmtId="165" fontId="24" fillId="37" borderId="81" xfId="0" applyNumberFormat="1" applyFont="1" applyFill="1" applyBorder="1"/>
    <xf numFmtId="0" fontId="24" fillId="37" borderId="65" xfId="0" applyFont="1" applyFill="1" applyBorder="1"/>
    <xf numFmtId="0" fontId="27" fillId="37" borderId="97" xfId="0" applyFont="1" applyFill="1" applyBorder="1"/>
    <xf numFmtId="0" fontId="27" fillId="37" borderId="64" xfId="0" applyFont="1" applyFill="1" applyBorder="1"/>
    <xf numFmtId="0" fontId="27" fillId="37" borderId="74" xfId="0" applyFont="1" applyFill="1" applyBorder="1"/>
    <xf numFmtId="0" fontId="24" fillId="37" borderId="81" xfId="0" applyFont="1" applyFill="1" applyBorder="1"/>
    <xf numFmtId="0" fontId="27" fillId="17" borderId="95" xfId="0" applyFont="1" applyFill="1" applyBorder="1"/>
    <xf numFmtId="0" fontId="27" fillId="17" borderId="96" xfId="0" applyFont="1" applyFill="1" applyBorder="1"/>
    <xf numFmtId="0" fontId="24" fillId="17" borderId="96" xfId="0" applyFont="1" applyFill="1" applyBorder="1"/>
    <xf numFmtId="165" fontId="27" fillId="19" borderId="61" xfId="0" applyNumberFormat="1" applyFont="1" applyFill="1" applyBorder="1"/>
    <xf numFmtId="165" fontId="27" fillId="19" borderId="63" xfId="0" applyNumberFormat="1" applyFont="1" applyFill="1" applyBorder="1"/>
    <xf numFmtId="0" fontId="24" fillId="19" borderId="63" xfId="0" applyFont="1" applyFill="1" applyBorder="1"/>
    <xf numFmtId="165" fontId="27" fillId="25" borderId="65" xfId="0" applyNumberFormat="1" applyFont="1" applyFill="1" applyBorder="1"/>
    <xf numFmtId="165" fontId="11" fillId="25" borderId="109" xfId="0" applyNumberFormat="1" applyFont="1" applyFill="1" applyBorder="1"/>
    <xf numFmtId="0" fontId="11" fillId="25" borderId="105" xfId="0" applyFont="1" applyFill="1" applyBorder="1"/>
    <xf numFmtId="0" fontId="24" fillId="25" borderId="83" xfId="0" applyFont="1" applyFill="1" applyBorder="1" applyAlignment="1">
      <alignment horizontal="center" vertical="center"/>
    </xf>
    <xf numFmtId="0" fontId="11" fillId="25" borderId="108" xfId="0" applyFont="1" applyFill="1" applyBorder="1"/>
    <xf numFmtId="0" fontId="11" fillId="25" borderId="14" xfId="0" applyFont="1" applyFill="1" applyBorder="1"/>
    <xf numFmtId="0" fontId="11" fillId="21" borderId="106" xfId="0" applyFont="1" applyFill="1" applyBorder="1"/>
    <xf numFmtId="0" fontId="11" fillId="21" borderId="107" xfId="0" applyFont="1" applyFill="1" applyBorder="1"/>
    <xf numFmtId="0" fontId="11" fillId="21" borderId="31" xfId="0" applyFont="1" applyFill="1" applyBorder="1"/>
    <xf numFmtId="0" fontId="11" fillId="25" borderId="51" xfId="0" applyFont="1" applyFill="1" applyBorder="1"/>
    <xf numFmtId="0" fontId="11" fillId="25" borderId="16" xfId="0" applyFont="1" applyFill="1" applyBorder="1"/>
    <xf numFmtId="0" fontId="11" fillId="25" borderId="98" xfId="0" applyFont="1" applyFill="1" applyBorder="1"/>
    <xf numFmtId="0" fontId="10" fillId="25" borderId="0" xfId="0" applyFont="1" applyFill="1"/>
    <xf numFmtId="0" fontId="12" fillId="29" borderId="35" xfId="0" applyFont="1" applyFill="1" applyBorder="1"/>
    <xf numFmtId="0" fontId="12" fillId="29" borderId="36" xfId="0" applyFont="1" applyFill="1" applyBorder="1"/>
    <xf numFmtId="0" fontId="12" fillId="29" borderId="37" xfId="0" applyFont="1" applyFill="1" applyBorder="1"/>
    <xf numFmtId="0" fontId="10" fillId="29" borderId="38" xfId="0" applyFont="1" applyFill="1" applyBorder="1"/>
    <xf numFmtId="0" fontId="10" fillId="29" borderId="39" xfId="0" applyFont="1" applyFill="1" applyBorder="1"/>
    <xf numFmtId="0" fontId="6" fillId="26" borderId="0" xfId="0" applyFont="1" applyFill="1"/>
    <xf numFmtId="0" fontId="30" fillId="0" borderId="0" xfId="0" applyFont="1" applyAlignment="1">
      <alignment horizontal="center"/>
    </xf>
    <xf numFmtId="0" fontId="18" fillId="2" borderId="120" xfId="0" applyFont="1" applyFill="1" applyBorder="1" applyAlignment="1">
      <alignment horizontal="center" vertical="center"/>
    </xf>
    <xf numFmtId="0" fontId="18" fillId="2" borderId="118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vertical="center"/>
    </xf>
    <xf numFmtId="165" fontId="16" fillId="17" borderId="4" xfId="0" applyNumberFormat="1" applyFont="1" applyFill="1" applyBorder="1" applyAlignment="1">
      <alignment horizontal="center" vertical="center"/>
    </xf>
    <xf numFmtId="0" fontId="17" fillId="39" borderId="4" xfId="0" applyFont="1" applyFill="1" applyBorder="1" applyAlignment="1">
      <alignment horizontal="center" vertical="center"/>
    </xf>
    <xf numFmtId="165" fontId="16" fillId="27" borderId="4" xfId="0" applyNumberFormat="1" applyFont="1" applyFill="1" applyBorder="1" applyAlignment="1">
      <alignment horizontal="center" vertical="center"/>
    </xf>
    <xf numFmtId="0" fontId="17" fillId="40" borderId="4" xfId="0" applyFont="1" applyFill="1" applyBorder="1" applyAlignment="1">
      <alignment horizontal="center" vertical="center"/>
    </xf>
    <xf numFmtId="165" fontId="16" fillId="36" borderId="4" xfId="0" applyNumberFormat="1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2" fontId="16" fillId="8" borderId="4" xfId="0" applyNumberFormat="1" applyFont="1" applyFill="1" applyBorder="1" applyAlignment="1">
      <alignment horizontal="center" vertical="center"/>
    </xf>
    <xf numFmtId="0" fontId="11" fillId="35" borderId="22" xfId="0" applyFont="1" applyFill="1" applyBorder="1"/>
    <xf numFmtId="165" fontId="12" fillId="35" borderId="48" xfId="0" applyNumberFormat="1" applyFont="1" applyFill="1" applyBorder="1" applyAlignment="1">
      <alignment horizontal="right"/>
    </xf>
    <xf numFmtId="0" fontId="12" fillId="35" borderId="31" xfId="0" applyFont="1" applyFill="1" applyBorder="1" applyAlignment="1">
      <alignment horizontal="center" vertical="center"/>
    </xf>
    <xf numFmtId="165" fontId="12" fillId="35" borderId="33" xfId="0" applyNumberFormat="1" applyFont="1" applyFill="1" applyBorder="1" applyAlignment="1">
      <alignment horizontal="center" vertical="center"/>
    </xf>
    <xf numFmtId="0" fontId="11" fillId="28" borderId="9" xfId="0" applyFont="1" applyFill="1" applyBorder="1"/>
    <xf numFmtId="0" fontId="11" fillId="28" borderId="21" xfId="0" applyFont="1" applyFill="1" applyBorder="1"/>
    <xf numFmtId="0" fontId="11" fillId="28" borderId="46" xfId="0" applyFont="1" applyFill="1" applyBorder="1"/>
    <xf numFmtId="16" fontId="11" fillId="28" borderId="47" xfId="0" applyNumberFormat="1" applyFont="1" applyFill="1" applyBorder="1" applyAlignment="1">
      <alignment horizontal="left" vertical="top"/>
    </xf>
    <xf numFmtId="16" fontId="11" fillId="28" borderId="49" xfId="0" applyNumberFormat="1" applyFont="1" applyFill="1" applyBorder="1" applyAlignment="1">
      <alignment horizontal="left" vertical="top"/>
    </xf>
    <xf numFmtId="165" fontId="16" fillId="41" borderId="4" xfId="0" applyNumberFormat="1" applyFont="1" applyFill="1" applyBorder="1" applyAlignment="1">
      <alignment horizontal="center" vertical="center"/>
    </xf>
    <xf numFmtId="0" fontId="13" fillId="43" borderId="4" xfId="0" applyFont="1" applyFill="1" applyBorder="1" applyAlignment="1">
      <alignment horizontal="center" vertical="center"/>
    </xf>
    <xf numFmtId="0" fontId="15" fillId="0" borderId="122" xfId="0" applyFont="1" applyBorder="1"/>
    <xf numFmtId="165" fontId="0" fillId="0" borderId="0" xfId="0" applyNumberFormat="1"/>
    <xf numFmtId="165" fontId="0" fillId="0" borderId="78" xfId="0" applyNumberFormat="1" applyBorder="1"/>
    <xf numFmtId="0" fontId="0" fillId="27" borderId="54" xfId="0" applyFill="1" applyBorder="1"/>
    <xf numFmtId="0" fontId="6" fillId="27" borderId="54" xfId="0" applyFont="1" applyFill="1" applyBorder="1"/>
    <xf numFmtId="164" fontId="16" fillId="4" borderId="4" xfId="0" applyNumberFormat="1" applyFont="1" applyFill="1" applyBorder="1" applyAlignment="1">
      <alignment horizontal="center" vertical="center"/>
    </xf>
    <xf numFmtId="165" fontId="16" fillId="4" borderId="4" xfId="0" applyNumberFormat="1" applyFont="1" applyFill="1" applyBorder="1" applyAlignment="1">
      <alignment horizontal="center" vertical="center"/>
    </xf>
    <xf numFmtId="2" fontId="16" fillId="42" borderId="4" xfId="0" applyNumberFormat="1" applyFont="1" applyFill="1" applyBorder="1" applyAlignment="1">
      <alignment horizontal="center" vertical="center"/>
    </xf>
    <xf numFmtId="2" fontId="16" fillId="44" borderId="4" xfId="0" applyNumberFormat="1" applyFont="1" applyFill="1" applyBorder="1" applyAlignment="1">
      <alignment horizontal="center" vertical="center"/>
    </xf>
    <xf numFmtId="168" fontId="16" fillId="8" borderId="121" xfId="0" applyNumberFormat="1" applyFont="1" applyFill="1" applyBorder="1" applyAlignment="1">
      <alignment vertical="center"/>
    </xf>
    <xf numFmtId="10" fontId="16" fillId="42" borderId="4" xfId="0" applyNumberFormat="1" applyFont="1" applyFill="1" applyBorder="1" applyAlignment="1">
      <alignment horizontal="center" vertical="center"/>
    </xf>
    <xf numFmtId="10" fontId="13" fillId="43" borderId="4" xfId="0" applyNumberFormat="1" applyFont="1" applyFill="1" applyBorder="1" applyAlignment="1">
      <alignment horizontal="center" vertical="center"/>
    </xf>
    <xf numFmtId="10" fontId="17" fillId="38" borderId="4" xfId="0" applyNumberFormat="1" applyFont="1" applyFill="1" applyBorder="1" applyAlignment="1">
      <alignment horizontal="center" vertical="center"/>
    </xf>
    <xf numFmtId="10" fontId="17" fillId="39" borderId="4" xfId="0" applyNumberFormat="1" applyFont="1" applyFill="1" applyBorder="1" applyAlignment="1">
      <alignment horizontal="center" vertical="center"/>
    </xf>
    <xf numFmtId="10" fontId="17" fillId="40" borderId="4" xfId="0" applyNumberFormat="1" applyFont="1" applyFill="1" applyBorder="1" applyAlignment="1">
      <alignment horizontal="center" vertical="center"/>
    </xf>
    <xf numFmtId="170" fontId="16" fillId="8" borderId="119" xfId="0" applyNumberFormat="1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/>
    </xf>
    <xf numFmtId="0" fontId="6" fillId="0" borderId="89" xfId="0" applyFont="1" applyBorder="1"/>
    <xf numFmtId="0" fontId="32" fillId="0" borderId="6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165" fontId="14" fillId="45" borderId="4" xfId="0" applyNumberFormat="1" applyFont="1" applyFill="1" applyBorder="1" applyAlignment="1">
      <alignment horizontal="center" vertical="center"/>
    </xf>
    <xf numFmtId="165" fontId="13" fillId="32" borderId="4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4" borderId="67" xfId="0" applyFill="1" applyBorder="1"/>
    <xf numFmtId="0" fontId="0" fillId="0" borderId="54" xfId="0" applyBorder="1" applyProtection="1">
      <protection locked="0"/>
    </xf>
    <xf numFmtId="0" fontId="0" fillId="0" borderId="81" xfId="0" applyBorder="1" applyProtection="1">
      <protection locked="0"/>
    </xf>
    <xf numFmtId="165" fontId="12" fillId="0" borderId="16" xfId="0" applyNumberFormat="1" applyFont="1" applyBorder="1" applyAlignment="1" applyProtection="1">
      <alignment horizontal="center" vertical="center"/>
      <protection locked="0"/>
    </xf>
    <xf numFmtId="165" fontId="14" fillId="45" borderId="4" xfId="0" applyNumberFormat="1" applyFont="1" applyFill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wrapText="1"/>
      <protection locked="0"/>
    </xf>
    <xf numFmtId="0" fontId="12" fillId="0" borderId="27" xfId="0" applyFont="1" applyBorder="1" applyProtection="1">
      <protection locked="0"/>
    </xf>
    <xf numFmtId="165" fontId="23" fillId="15" borderId="52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65" fontId="12" fillId="0" borderId="23" xfId="0" applyNumberFormat="1" applyFont="1" applyBorder="1" applyProtection="1">
      <protection locked="0"/>
    </xf>
    <xf numFmtId="0" fontId="0" fillId="0" borderId="75" xfId="0" applyBorder="1" applyProtection="1">
      <protection locked="0"/>
    </xf>
    <xf numFmtId="0" fontId="0" fillId="0" borderId="76" xfId="0" applyBorder="1" applyProtection="1">
      <protection locked="0"/>
    </xf>
    <xf numFmtId="0" fontId="0" fillId="0" borderId="62" xfId="0" applyBorder="1" applyProtection="1">
      <protection locked="0"/>
    </xf>
    <xf numFmtId="0" fontId="0" fillId="0" borderId="63" xfId="0" applyBorder="1" applyProtection="1">
      <protection locked="0"/>
    </xf>
    <xf numFmtId="0" fontId="0" fillId="0" borderId="61" xfId="0" applyBorder="1" applyProtection="1">
      <protection locked="0"/>
    </xf>
    <xf numFmtId="165" fontId="12" fillId="0" borderId="23" xfId="0" applyNumberFormat="1" applyFont="1" applyBorder="1" applyAlignment="1" applyProtection="1">
      <alignment horizontal="center" vertical="center"/>
      <protection locked="0"/>
    </xf>
    <xf numFmtId="166" fontId="12" fillId="31" borderId="99" xfId="0" applyNumberFormat="1" applyFont="1" applyFill="1" applyBorder="1" applyProtection="1">
      <protection locked="0"/>
    </xf>
    <xf numFmtId="0" fontId="12" fillId="23" borderId="100" xfId="0" applyFont="1" applyFill="1" applyBorder="1" applyProtection="1">
      <protection locked="0"/>
    </xf>
    <xf numFmtId="169" fontId="12" fillId="31" borderId="101" xfId="0" applyNumberFormat="1" applyFont="1" applyFill="1" applyBorder="1" applyProtection="1">
      <protection locked="0"/>
    </xf>
    <xf numFmtId="0" fontId="12" fillId="23" borderId="23" xfId="0" applyFont="1" applyFill="1" applyBorder="1" applyProtection="1">
      <protection locked="0"/>
    </xf>
    <xf numFmtId="0" fontId="12" fillId="31" borderId="101" xfId="0" applyFont="1" applyFill="1" applyBorder="1" applyProtection="1">
      <protection locked="0"/>
    </xf>
    <xf numFmtId="0" fontId="12" fillId="31" borderId="102" xfId="0" applyFont="1" applyFill="1" applyBorder="1" applyProtection="1">
      <protection locked="0"/>
    </xf>
    <xf numFmtId="0" fontId="12" fillId="23" borderId="103" xfId="0" applyFont="1" applyFill="1" applyBorder="1" applyProtection="1">
      <protection locked="0"/>
    </xf>
    <xf numFmtId="165" fontId="12" fillId="28" borderId="26" xfId="0" applyNumberFormat="1" applyFont="1" applyFill="1" applyBorder="1" applyAlignment="1" applyProtection="1">
      <alignment horizontal="right"/>
      <protection locked="0"/>
    </xf>
    <xf numFmtId="165" fontId="12" fillId="28" borderId="50" xfId="0" applyNumberFormat="1" applyFont="1" applyFill="1" applyBorder="1" applyProtection="1">
      <protection locked="0"/>
    </xf>
    <xf numFmtId="165" fontId="12" fillId="28" borderId="51" xfId="0" applyNumberFormat="1" applyFont="1" applyFill="1" applyBorder="1" applyAlignment="1" applyProtection="1">
      <alignment horizontal="right"/>
      <protection locked="0"/>
    </xf>
    <xf numFmtId="0" fontId="12" fillId="28" borderId="23" xfId="0" applyFont="1" applyFill="1" applyBorder="1" applyProtection="1">
      <protection locked="0"/>
    </xf>
    <xf numFmtId="14" fontId="0" fillId="0" borderId="60" xfId="0" applyNumberFormat="1" applyBorder="1" applyProtection="1">
      <protection locked="0"/>
    </xf>
    <xf numFmtId="0" fontId="0" fillId="0" borderId="66" xfId="0" applyBorder="1" applyProtection="1">
      <protection locked="0"/>
    </xf>
    <xf numFmtId="14" fontId="0" fillId="0" borderId="62" xfId="0" applyNumberFormat="1" applyBorder="1" applyProtection="1">
      <protection locked="0"/>
    </xf>
    <xf numFmtId="14" fontId="7" fillId="0" borderId="62" xfId="0" applyNumberFormat="1" applyFont="1" applyBorder="1" applyProtection="1">
      <protection locked="0"/>
    </xf>
    <xf numFmtId="0" fontId="0" fillId="0" borderId="64" xfId="0" applyBorder="1" applyProtection="1">
      <protection locked="0"/>
    </xf>
    <xf numFmtId="0" fontId="35" fillId="3" borderId="21" xfId="0" applyFont="1" applyFill="1" applyBorder="1" applyAlignment="1">
      <alignment horizontal="center" vertical="center" wrapText="1"/>
    </xf>
    <xf numFmtId="10" fontId="13" fillId="3" borderId="34" xfId="0" applyNumberFormat="1" applyFont="1" applyFill="1" applyBorder="1" applyAlignment="1">
      <alignment horizontal="center" vertical="center"/>
    </xf>
    <xf numFmtId="10" fontId="16" fillId="4" borderId="34" xfId="0" applyNumberFormat="1" applyFont="1" applyFill="1" applyBorder="1" applyAlignment="1">
      <alignment horizontal="center" vertical="center"/>
    </xf>
    <xf numFmtId="2" fontId="16" fillId="8" borderId="34" xfId="0" applyNumberFormat="1" applyFont="1" applyFill="1" applyBorder="1" applyAlignment="1">
      <alignment horizontal="center" vertical="center"/>
    </xf>
    <xf numFmtId="0" fontId="0" fillId="25" borderId="89" xfId="0" applyFill="1" applyBorder="1"/>
    <xf numFmtId="0" fontId="9" fillId="2" borderId="88" xfId="0" applyFont="1" applyFill="1" applyBorder="1"/>
    <xf numFmtId="0" fontId="31" fillId="30" borderId="125" xfId="0" applyFont="1" applyFill="1" applyBorder="1"/>
    <xf numFmtId="0" fontId="28" fillId="30" borderId="91" xfId="0" applyFont="1" applyFill="1" applyBorder="1"/>
    <xf numFmtId="10" fontId="13" fillId="32" borderId="4" xfId="0" applyNumberFormat="1" applyFont="1" applyFill="1" applyBorder="1" applyAlignment="1">
      <alignment horizontal="center" vertical="center"/>
    </xf>
    <xf numFmtId="10" fontId="16" fillId="41" borderId="4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6" fillId="44" borderId="4" xfId="0" applyNumberFormat="1" applyFont="1" applyFill="1" applyBorder="1" applyAlignment="1">
      <alignment horizontal="center" vertical="center"/>
    </xf>
    <xf numFmtId="10" fontId="16" fillId="17" borderId="4" xfId="0" applyNumberFormat="1" applyFont="1" applyFill="1" applyBorder="1" applyAlignment="1">
      <alignment horizontal="center" vertical="center"/>
    </xf>
    <xf numFmtId="10" fontId="16" fillId="36" borderId="4" xfId="0" applyNumberFormat="1" applyFont="1" applyFill="1" applyBorder="1" applyAlignment="1">
      <alignment horizontal="center" vertical="center"/>
    </xf>
    <xf numFmtId="10" fontId="13" fillId="8" borderId="4" xfId="0" applyNumberFormat="1" applyFont="1" applyFill="1" applyBorder="1" applyAlignment="1">
      <alignment horizontal="center" vertical="center"/>
    </xf>
    <xf numFmtId="10" fontId="16" fillId="8" borderId="4" xfId="0" applyNumberFormat="1" applyFont="1" applyFill="1" applyBorder="1" applyAlignment="1">
      <alignment horizontal="center" vertical="center"/>
    </xf>
    <xf numFmtId="164" fontId="16" fillId="4" borderId="34" xfId="0" applyNumberFormat="1" applyFont="1" applyFill="1" applyBorder="1" applyAlignment="1">
      <alignment horizontal="center" vertical="center"/>
    </xf>
    <xf numFmtId="0" fontId="34" fillId="0" borderId="27" xfId="0" applyFont="1" applyBorder="1" applyProtection="1">
      <protection locked="0"/>
    </xf>
    <xf numFmtId="0" fontId="34" fillId="0" borderId="27" xfId="0" applyFont="1" applyBorder="1" applyAlignment="1" applyProtection="1">
      <alignment horizontal="center"/>
      <protection locked="0"/>
    </xf>
    <xf numFmtId="0" fontId="34" fillId="0" borderId="0" xfId="0" applyFont="1" applyProtection="1">
      <protection locked="0"/>
    </xf>
    <xf numFmtId="165" fontId="33" fillId="15" borderId="52" xfId="0" applyNumberFormat="1" applyFont="1" applyFill="1" applyBorder="1" applyProtection="1">
      <protection locked="0"/>
    </xf>
    <xf numFmtId="165" fontId="33" fillId="16" borderId="52" xfId="0" applyNumberFormat="1" applyFont="1" applyFill="1" applyBorder="1" applyProtection="1">
      <protection locked="0"/>
    </xf>
    <xf numFmtId="165" fontId="34" fillId="0" borderId="23" xfId="0" applyNumberFormat="1" applyFont="1" applyBorder="1" applyProtection="1">
      <protection locked="0"/>
    </xf>
    <xf numFmtId="165" fontId="34" fillId="0" borderId="0" xfId="0" applyNumberFormat="1" applyFont="1" applyProtection="1">
      <protection locked="0"/>
    </xf>
    <xf numFmtId="0" fontId="5" fillId="0" borderId="64" xfId="0" applyFont="1" applyBorder="1"/>
    <xf numFmtId="0" fontId="0" fillId="0" borderId="127" xfId="0" applyBorder="1" applyProtection="1">
      <protection locked="0"/>
    </xf>
    <xf numFmtId="0" fontId="0" fillId="22" borderId="126" xfId="0" applyFill="1" applyBorder="1"/>
    <xf numFmtId="0" fontId="0" fillId="23" borderId="126" xfId="0" applyFill="1" applyBorder="1"/>
    <xf numFmtId="0" fontId="5" fillId="21" borderId="126" xfId="0" applyFont="1" applyFill="1" applyBorder="1"/>
    <xf numFmtId="16" fontId="11" fillId="0" borderId="62" xfId="0" applyNumberFormat="1" applyFont="1" applyBorder="1" applyAlignment="1" applyProtection="1">
      <alignment horizontal="left" vertical="top"/>
      <protection locked="0"/>
    </xf>
    <xf numFmtId="0" fontId="34" fillId="0" borderId="124" xfId="0" applyFont="1" applyBorder="1" applyProtection="1">
      <protection locked="0"/>
    </xf>
    <xf numFmtId="0" fontId="15" fillId="0" borderId="54" xfId="0" applyFont="1" applyBorder="1" applyProtection="1">
      <protection locked="0"/>
    </xf>
    <xf numFmtId="14" fontId="0" fillId="0" borderId="62" xfId="0" applyNumberFormat="1" applyBorder="1"/>
    <xf numFmtId="0" fontId="32" fillId="0" borderId="129" xfId="0" applyFont="1" applyBorder="1" applyAlignment="1">
      <alignment horizontal="center" vertical="center"/>
    </xf>
    <xf numFmtId="0" fontId="32" fillId="0" borderId="123" xfId="0" applyFont="1" applyBorder="1" applyAlignment="1">
      <alignment horizontal="center" vertical="center"/>
    </xf>
    <xf numFmtId="0" fontId="0" fillId="0" borderId="123" xfId="0" applyBorder="1"/>
    <xf numFmtId="0" fontId="0" fillId="0" borderId="130" xfId="0" applyBorder="1"/>
    <xf numFmtId="0" fontId="0" fillId="0" borderId="90" xfId="0" applyBorder="1"/>
    <xf numFmtId="165" fontId="12" fillId="0" borderId="131" xfId="0" applyNumberFormat="1" applyFont="1" applyBorder="1" applyAlignment="1">
      <alignment horizontal="center" vertical="center"/>
    </xf>
    <xf numFmtId="165" fontId="12" fillId="0" borderId="132" xfId="0" applyNumberFormat="1" applyFont="1" applyBorder="1" applyAlignment="1">
      <alignment horizontal="center" vertical="center"/>
    </xf>
    <xf numFmtId="16" fontId="11" fillId="7" borderId="60" xfId="0" applyNumberFormat="1" applyFont="1" applyFill="1" applyBorder="1"/>
    <xf numFmtId="16" fontId="11" fillId="7" borderId="61" xfId="0" applyNumberFormat="1" applyFont="1" applyFill="1" applyBorder="1"/>
    <xf numFmtId="16" fontId="11" fillId="7" borderId="64" xfId="0" applyNumberFormat="1" applyFont="1" applyFill="1" applyBorder="1"/>
    <xf numFmtId="0" fontId="11" fillId="17" borderId="96" xfId="0" applyFont="1" applyFill="1" applyBorder="1"/>
    <xf numFmtId="14" fontId="0" fillId="20" borderId="64" xfId="0" applyNumberFormat="1" applyFill="1" applyBorder="1"/>
    <xf numFmtId="10" fontId="12" fillId="0" borderId="17" xfId="0" applyNumberFormat="1" applyFont="1" applyBorder="1" applyAlignment="1">
      <alignment horizontal="center" vertical="center"/>
    </xf>
    <xf numFmtId="0" fontId="11" fillId="21" borderId="134" xfId="0" applyFont="1" applyFill="1" applyBorder="1"/>
    <xf numFmtId="0" fontId="0" fillId="19" borderId="0" xfId="0" applyFill="1"/>
    <xf numFmtId="0" fontId="11" fillId="0" borderId="134" xfId="0" applyFont="1" applyBorder="1"/>
    <xf numFmtId="0" fontId="37" fillId="26" borderId="0" xfId="0" applyFont="1" applyFill="1"/>
    <xf numFmtId="10" fontId="14" fillId="8" borderId="1" xfId="0" applyNumberFormat="1" applyFont="1" applyFill="1" applyBorder="1" applyAlignment="1">
      <alignment horizontal="center" vertical="center"/>
    </xf>
    <xf numFmtId="10" fontId="14" fillId="8" borderId="2" xfId="0" applyNumberFormat="1" applyFont="1" applyFill="1" applyBorder="1" applyAlignment="1">
      <alignment horizontal="center" vertical="center"/>
    </xf>
    <xf numFmtId="165" fontId="12" fillId="0" borderId="135" xfId="0" applyNumberFormat="1" applyFont="1" applyBorder="1" applyAlignment="1">
      <alignment horizontal="center" vertical="center"/>
    </xf>
    <xf numFmtId="165" fontId="12" fillId="0" borderId="98" xfId="0" applyNumberFormat="1" applyFont="1" applyBorder="1" applyAlignment="1">
      <alignment horizontal="center" vertical="center"/>
    </xf>
    <xf numFmtId="165" fontId="12" fillId="0" borderId="136" xfId="0" applyNumberFormat="1" applyFont="1" applyBorder="1" applyAlignment="1">
      <alignment horizontal="center" vertical="center"/>
    </xf>
    <xf numFmtId="165" fontId="11" fillId="13" borderId="38" xfId="0" applyNumberFormat="1" applyFont="1" applyFill="1" applyBorder="1" applyAlignment="1">
      <alignment horizontal="center" vertical="center"/>
    </xf>
    <xf numFmtId="165" fontId="12" fillId="0" borderId="54" xfId="0" applyNumberFormat="1" applyFont="1" applyBorder="1" applyAlignment="1">
      <alignment horizontal="center" vertical="center"/>
    </xf>
    <xf numFmtId="0" fontId="38" fillId="46" borderId="4" xfId="0" applyFont="1" applyFill="1" applyBorder="1" applyAlignment="1">
      <alignment horizontal="center" vertical="center"/>
    </xf>
    <xf numFmtId="10" fontId="38" fillId="46" borderId="4" xfId="0" applyNumberFormat="1" applyFont="1" applyFill="1" applyBorder="1" applyAlignment="1">
      <alignment horizontal="center" vertical="center"/>
    </xf>
    <xf numFmtId="10" fontId="39" fillId="47" borderId="4" xfId="0" applyNumberFormat="1" applyFont="1" applyFill="1" applyBorder="1" applyAlignment="1">
      <alignment horizontal="center" vertical="center"/>
    </xf>
    <xf numFmtId="0" fontId="38" fillId="48" borderId="4" xfId="0" applyFont="1" applyFill="1" applyBorder="1" applyAlignment="1">
      <alignment horizontal="center" vertical="center"/>
    </xf>
    <xf numFmtId="10" fontId="38" fillId="48" borderId="4" xfId="0" applyNumberFormat="1" applyFont="1" applyFill="1" applyBorder="1" applyAlignment="1">
      <alignment horizontal="center" vertical="center"/>
    </xf>
    <xf numFmtId="0" fontId="38" fillId="49" borderId="4" xfId="0" applyFont="1" applyFill="1" applyBorder="1" applyAlignment="1">
      <alignment horizontal="center" vertical="center"/>
    </xf>
    <xf numFmtId="10" fontId="38" fillId="49" borderId="4" xfId="0" applyNumberFormat="1" applyFont="1" applyFill="1" applyBorder="1" applyAlignment="1">
      <alignment horizontal="center" vertical="center"/>
    </xf>
    <xf numFmtId="165" fontId="39" fillId="47" borderId="4" xfId="0" applyNumberFormat="1" applyFont="1" applyFill="1" applyBorder="1" applyAlignment="1">
      <alignment horizontal="center" vertical="center"/>
    </xf>
    <xf numFmtId="165" fontId="38" fillId="49" borderId="4" xfId="0" applyNumberFormat="1" applyFont="1" applyFill="1" applyBorder="1" applyAlignment="1">
      <alignment horizontal="center" vertical="center"/>
    </xf>
    <xf numFmtId="0" fontId="13" fillId="50" borderId="4" xfId="0" applyFont="1" applyFill="1" applyBorder="1" applyAlignment="1">
      <alignment horizontal="center" vertical="center"/>
    </xf>
    <xf numFmtId="165" fontId="16" fillId="51" borderId="4" xfId="0" applyNumberFormat="1" applyFont="1" applyFill="1" applyBorder="1" applyAlignment="1">
      <alignment horizontal="center" vertical="center"/>
    </xf>
    <xf numFmtId="0" fontId="13" fillId="52" borderId="4" xfId="0" applyFont="1" applyFill="1" applyBorder="1" applyAlignment="1">
      <alignment horizontal="center" vertical="center"/>
    </xf>
    <xf numFmtId="165" fontId="16" fillId="53" borderId="4" xfId="0" applyNumberFormat="1" applyFont="1" applyFill="1" applyBorder="1" applyAlignment="1">
      <alignment horizontal="center" vertical="center"/>
    </xf>
    <xf numFmtId="165" fontId="13" fillId="52" borderId="4" xfId="0" applyNumberFormat="1" applyFont="1" applyFill="1" applyBorder="1" applyAlignment="1">
      <alignment horizontal="center" vertical="center"/>
    </xf>
    <xf numFmtId="10" fontId="13" fillId="52" borderId="4" xfId="0" applyNumberFormat="1" applyFont="1" applyFill="1" applyBorder="1" applyAlignment="1">
      <alignment horizontal="center" vertical="center"/>
    </xf>
    <xf numFmtId="10" fontId="16" fillId="53" borderId="4" xfId="0" applyNumberFormat="1" applyFont="1" applyFill="1" applyBorder="1" applyAlignment="1">
      <alignment horizontal="center" vertical="center"/>
    </xf>
    <xf numFmtId="0" fontId="13" fillId="54" borderId="4" xfId="0" applyFont="1" applyFill="1" applyBorder="1" applyAlignment="1">
      <alignment horizontal="center" vertical="center"/>
    </xf>
    <xf numFmtId="165" fontId="13" fillId="54" borderId="4" xfId="0" applyNumberFormat="1" applyFont="1" applyFill="1" applyBorder="1" applyAlignment="1">
      <alignment horizontal="center" vertical="center"/>
    </xf>
    <xf numFmtId="10" fontId="13" fillId="54" borderId="4" xfId="0" applyNumberFormat="1" applyFont="1" applyFill="1" applyBorder="1" applyAlignment="1">
      <alignment horizontal="center" vertical="center"/>
    </xf>
    <xf numFmtId="164" fontId="34" fillId="0" borderId="18" xfId="0" applyNumberFormat="1" applyFont="1" applyBorder="1" applyAlignment="1" applyProtection="1">
      <alignment horizontal="center" vertical="center"/>
      <protection locked="0"/>
    </xf>
    <xf numFmtId="164" fontId="34" fillId="0" borderId="25" xfId="0" applyNumberFormat="1" applyFont="1" applyBorder="1" applyAlignment="1" applyProtection="1">
      <alignment horizontal="center" vertical="center"/>
      <protection locked="0"/>
    </xf>
    <xf numFmtId="164" fontId="12" fillId="0" borderId="25" xfId="0" applyNumberFormat="1" applyFont="1" applyBorder="1" applyAlignment="1" applyProtection="1">
      <alignment horizontal="center" vertical="center"/>
      <protection locked="0"/>
    </xf>
    <xf numFmtId="164" fontId="12" fillId="0" borderId="41" xfId="0" applyNumberFormat="1" applyFont="1" applyBorder="1" applyAlignment="1" applyProtection="1">
      <alignment horizontal="center" vertical="center"/>
      <protection locked="0"/>
    </xf>
    <xf numFmtId="164" fontId="12" fillId="55" borderId="17" xfId="0" applyNumberFormat="1" applyFont="1" applyFill="1" applyBorder="1" applyAlignment="1" applyProtection="1">
      <alignment horizontal="center" vertical="center"/>
      <protection locked="0"/>
    </xf>
    <xf numFmtId="0" fontId="11" fillId="5" borderId="133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4" fillId="0" borderId="62" xfId="0" applyNumberFormat="1" applyFont="1" applyBorder="1" applyProtection="1">
      <protection locked="0"/>
    </xf>
    <xf numFmtId="0" fontId="47" fillId="0" borderId="0" xfId="0" applyFont="1"/>
    <xf numFmtId="0" fontId="24" fillId="0" borderId="0" xfId="0" applyFont="1"/>
    <xf numFmtId="0" fontId="46" fillId="56" borderId="54" xfId="0" applyFont="1" applyFill="1" applyBorder="1" applyAlignment="1">
      <alignment horizontal="center" vertical="center"/>
    </xf>
    <xf numFmtId="0" fontId="24" fillId="0" borderId="62" xfId="0" applyFont="1" applyBorder="1"/>
    <xf numFmtId="0" fontId="46" fillId="56" borderId="63" xfId="0" applyFont="1" applyFill="1" applyBorder="1" applyAlignment="1">
      <alignment horizontal="center" vertical="center"/>
    </xf>
    <xf numFmtId="14" fontId="24" fillId="25" borderId="62" xfId="0" applyNumberFormat="1" applyFont="1" applyFill="1" applyBorder="1"/>
    <xf numFmtId="0" fontId="0" fillId="0" borderId="63" xfId="0" applyBorder="1"/>
    <xf numFmtId="14" fontId="24" fillId="25" borderId="64" xfId="0" applyNumberFormat="1" applyFont="1" applyFill="1" applyBorder="1"/>
    <xf numFmtId="0" fontId="0" fillId="0" borderId="81" xfId="0" applyBorder="1"/>
    <xf numFmtId="0" fontId="0" fillId="0" borderId="65" xfId="0" applyBorder="1"/>
    <xf numFmtId="0" fontId="46" fillId="56" borderId="137" xfId="0" applyFont="1" applyFill="1" applyBorder="1" applyAlignment="1">
      <alignment horizontal="center" vertical="center"/>
    </xf>
    <xf numFmtId="14" fontId="3" fillId="0" borderId="62" xfId="0" applyNumberFormat="1" applyFont="1" applyBorder="1"/>
    <xf numFmtId="0" fontId="2" fillId="0" borderId="62" xfId="0" applyFont="1" applyBorder="1" applyProtection="1">
      <protection locked="0"/>
    </xf>
    <xf numFmtId="0" fontId="1" fillId="0" borderId="62" xfId="0" applyFont="1" applyBorder="1" applyProtection="1">
      <protection locked="0"/>
    </xf>
    <xf numFmtId="0" fontId="42" fillId="2" borderId="1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3" fillId="0" borderId="3" xfId="0" applyFont="1" applyBorder="1"/>
    <xf numFmtId="0" fontId="43" fillId="0" borderId="2" xfId="0" applyFont="1" applyBorder="1"/>
    <xf numFmtId="0" fontId="12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10" fontId="13" fillId="3" borderId="2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16" fillId="8" borderId="2" xfId="0" applyNumberFormat="1" applyFont="1" applyFill="1" applyBorder="1" applyAlignment="1">
      <alignment horizontal="center" vertical="center"/>
    </xf>
    <xf numFmtId="0" fontId="36" fillId="2" borderId="77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0" fillId="24" borderId="60" xfId="0" applyFill="1" applyBorder="1" applyAlignment="1">
      <alignment horizontal="center"/>
    </xf>
    <xf numFmtId="0" fontId="0" fillId="24" borderId="66" xfId="0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0" fontId="0" fillId="21" borderId="60" xfId="0" applyFill="1" applyBorder="1" applyAlignment="1">
      <alignment horizontal="center"/>
    </xf>
    <xf numFmtId="0" fontId="0" fillId="21" borderId="66" xfId="0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0" fillId="22" borderId="60" xfId="0" applyFill="1" applyBorder="1" applyAlignment="1">
      <alignment horizontal="center"/>
    </xf>
    <xf numFmtId="0" fontId="0" fillId="22" borderId="66" xfId="0" applyFill="1" applyBorder="1" applyAlignment="1">
      <alignment horizontal="center"/>
    </xf>
    <xf numFmtId="0" fontId="0" fillId="22" borderId="61" xfId="0" applyFill="1" applyBorder="1" applyAlignment="1">
      <alignment horizontal="center"/>
    </xf>
    <xf numFmtId="0" fontId="0" fillId="23" borderId="60" xfId="0" applyFill="1" applyBorder="1" applyAlignment="1">
      <alignment horizontal="center"/>
    </xf>
    <xf numFmtId="0" fontId="0" fillId="23" borderId="66" xfId="0" applyFill="1" applyBorder="1" applyAlignment="1">
      <alignment horizontal="center"/>
    </xf>
    <xf numFmtId="0" fontId="0" fillId="23" borderId="61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1" borderId="82" xfId="0" applyFill="1" applyBorder="1" applyAlignment="1">
      <alignment horizontal="center"/>
    </xf>
    <xf numFmtId="0" fontId="0" fillId="21" borderId="83" xfId="0" applyFill="1" applyBorder="1" applyAlignment="1">
      <alignment horizontal="center"/>
    </xf>
    <xf numFmtId="0" fontId="0" fillId="21" borderId="84" xfId="0" applyFill="1" applyBorder="1" applyAlignment="1">
      <alignment horizontal="center"/>
    </xf>
    <xf numFmtId="0" fontId="0" fillId="21" borderId="85" xfId="0" applyFill="1" applyBorder="1" applyAlignment="1">
      <alignment horizontal="center"/>
    </xf>
    <xf numFmtId="0" fontId="0" fillId="21" borderId="86" xfId="0" applyFill="1" applyBorder="1" applyAlignment="1">
      <alignment horizontal="center"/>
    </xf>
    <xf numFmtId="0" fontId="0" fillId="21" borderId="87" xfId="0" applyFill="1" applyBorder="1" applyAlignment="1">
      <alignment horizontal="center"/>
    </xf>
    <xf numFmtId="0" fontId="0" fillId="22" borderId="82" xfId="0" applyFill="1" applyBorder="1" applyAlignment="1">
      <alignment horizontal="center"/>
    </xf>
    <xf numFmtId="0" fontId="0" fillId="22" borderId="83" xfId="0" applyFill="1" applyBorder="1" applyAlignment="1">
      <alignment horizontal="center"/>
    </xf>
    <xf numFmtId="0" fontId="0" fillId="22" borderId="84" xfId="0" applyFill="1" applyBorder="1" applyAlignment="1">
      <alignment horizontal="center"/>
    </xf>
    <xf numFmtId="0" fontId="0" fillId="22" borderId="85" xfId="0" applyFill="1" applyBorder="1" applyAlignment="1">
      <alignment horizontal="center"/>
    </xf>
    <xf numFmtId="0" fontId="0" fillId="22" borderId="86" xfId="0" applyFill="1" applyBorder="1" applyAlignment="1">
      <alignment horizontal="center"/>
    </xf>
    <xf numFmtId="0" fontId="0" fillId="22" borderId="87" xfId="0" applyFill="1" applyBorder="1" applyAlignment="1">
      <alignment horizontal="center"/>
    </xf>
    <xf numFmtId="0" fontId="0" fillId="23" borderId="82" xfId="0" applyFill="1" applyBorder="1" applyAlignment="1">
      <alignment horizontal="center"/>
    </xf>
    <xf numFmtId="0" fontId="0" fillId="23" borderId="83" xfId="0" applyFill="1" applyBorder="1" applyAlignment="1">
      <alignment horizontal="center"/>
    </xf>
    <xf numFmtId="0" fontId="0" fillId="23" borderId="84" xfId="0" applyFill="1" applyBorder="1" applyAlignment="1">
      <alignment horizontal="center"/>
    </xf>
    <xf numFmtId="0" fontId="0" fillId="23" borderId="85" xfId="0" applyFill="1" applyBorder="1" applyAlignment="1">
      <alignment horizontal="center"/>
    </xf>
    <xf numFmtId="0" fontId="0" fillId="23" borderId="86" xfId="0" applyFill="1" applyBorder="1" applyAlignment="1">
      <alignment horizontal="center"/>
    </xf>
    <xf numFmtId="0" fontId="0" fillId="23" borderId="87" xfId="0" applyFill="1" applyBorder="1" applyAlignment="1">
      <alignment horizontal="center"/>
    </xf>
    <xf numFmtId="0" fontId="0" fillId="24" borderId="123" xfId="0" applyFill="1" applyBorder="1" applyAlignment="1">
      <alignment horizontal="center"/>
    </xf>
    <xf numFmtId="0" fontId="0" fillId="24" borderId="68" xfId="0" applyFill="1" applyBorder="1" applyAlignment="1">
      <alignment horizontal="center"/>
    </xf>
    <xf numFmtId="0" fontId="0" fillId="17" borderId="60" xfId="0" applyFill="1" applyBorder="1" applyAlignment="1">
      <alignment horizontal="center"/>
    </xf>
    <xf numFmtId="0" fontId="0" fillId="17" borderId="66" xfId="0" applyFill="1" applyBorder="1" applyAlignment="1">
      <alignment horizontal="center"/>
    </xf>
    <xf numFmtId="0" fontId="0" fillId="17" borderId="61" xfId="0" applyFill="1" applyBorder="1" applyAlignment="1">
      <alignment horizontal="center"/>
    </xf>
    <xf numFmtId="0" fontId="0" fillId="19" borderId="60" xfId="0" applyFill="1" applyBorder="1" applyAlignment="1">
      <alignment horizontal="center"/>
    </xf>
    <xf numFmtId="0" fontId="0" fillId="19" borderId="66" xfId="0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2" xfId="0" applyBorder="1" applyAlignment="1">
      <alignment horizontal="center"/>
    </xf>
    <xf numFmtId="0" fontId="0" fillId="19" borderId="69" xfId="0" applyFill="1" applyBorder="1" applyAlignment="1">
      <alignment horizontal="center"/>
    </xf>
    <xf numFmtId="0" fontId="0" fillId="19" borderId="58" xfId="0" applyFill="1" applyBorder="1" applyAlignment="1">
      <alignment horizontal="center"/>
    </xf>
    <xf numFmtId="0" fontId="0" fillId="19" borderId="70" xfId="0" applyFill="1" applyBorder="1" applyAlignment="1">
      <alignment horizontal="center"/>
    </xf>
    <xf numFmtId="0" fontId="0" fillId="19" borderId="71" xfId="0" applyFill="1" applyBorder="1" applyAlignment="1">
      <alignment horizontal="center"/>
    </xf>
    <xf numFmtId="0" fontId="0" fillId="19" borderId="59" xfId="0" applyFill="1" applyBorder="1" applyAlignment="1">
      <alignment horizontal="center"/>
    </xf>
    <xf numFmtId="0" fontId="0" fillId="19" borderId="72" xfId="0" applyFill="1" applyBorder="1" applyAlignment="1">
      <alignment horizontal="center"/>
    </xf>
    <xf numFmtId="0" fontId="0" fillId="17" borderId="69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0" fontId="0" fillId="17" borderId="70" xfId="0" applyFill="1" applyBorder="1" applyAlignment="1">
      <alignment horizontal="center"/>
    </xf>
    <xf numFmtId="0" fontId="0" fillId="17" borderId="71" xfId="0" applyFill="1" applyBorder="1" applyAlignment="1">
      <alignment horizontal="center"/>
    </xf>
    <xf numFmtId="0" fontId="0" fillId="17" borderId="59" xfId="0" applyFill="1" applyBorder="1" applyAlignment="1">
      <alignment horizontal="center"/>
    </xf>
    <xf numFmtId="0" fontId="0" fillId="17" borderId="72" xfId="0" applyFill="1" applyBorder="1" applyAlignment="1">
      <alignment horizontal="center"/>
    </xf>
    <xf numFmtId="0" fontId="0" fillId="17" borderId="67" xfId="0" applyFill="1" applyBorder="1" applyAlignment="1">
      <alignment horizontal="center"/>
    </xf>
    <xf numFmtId="0" fontId="0" fillId="17" borderId="57" xfId="0" applyFill="1" applyBorder="1" applyAlignment="1">
      <alignment horizontal="center"/>
    </xf>
    <xf numFmtId="0" fontId="0" fillId="19" borderId="67" xfId="0" applyFill="1" applyBorder="1" applyAlignment="1">
      <alignment horizontal="center"/>
    </xf>
    <xf numFmtId="0" fontId="0" fillId="19" borderId="57" xfId="0" applyFill="1" applyBorder="1" applyAlignment="1">
      <alignment horizontal="center"/>
    </xf>
    <xf numFmtId="0" fontId="0" fillId="17" borderId="56" xfId="0" applyFill="1" applyBorder="1" applyAlignment="1">
      <alignment horizontal="center"/>
    </xf>
    <xf numFmtId="0" fontId="0" fillId="17" borderId="68" xfId="0" applyFill="1" applyBorder="1" applyAlignment="1">
      <alignment horizontal="center"/>
    </xf>
    <xf numFmtId="0" fontId="0" fillId="19" borderId="56" xfId="0" applyFill="1" applyBorder="1" applyAlignment="1">
      <alignment horizontal="center"/>
    </xf>
    <xf numFmtId="0" fontId="0" fillId="19" borderId="68" xfId="0" applyFill="1" applyBorder="1" applyAlignment="1">
      <alignment horizontal="center"/>
    </xf>
    <xf numFmtId="0" fontId="0" fillId="17" borderId="73" xfId="0" applyFill="1" applyBorder="1" applyAlignment="1">
      <alignment horizontal="center"/>
    </xf>
    <xf numFmtId="0" fontId="0" fillId="17" borderId="74" xfId="0" applyFill="1" applyBorder="1" applyAlignment="1">
      <alignment horizontal="center"/>
    </xf>
    <xf numFmtId="0" fontId="0" fillId="19" borderId="73" xfId="0" applyFill="1" applyBorder="1" applyAlignment="1">
      <alignment horizontal="center"/>
    </xf>
    <xf numFmtId="0" fontId="0" fillId="19" borderId="74" xfId="0" applyFill="1" applyBorder="1" applyAlignment="1">
      <alignment horizontal="center"/>
    </xf>
    <xf numFmtId="0" fontId="40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31" fillId="25" borderId="116" xfId="0" applyFont="1" applyFill="1" applyBorder="1" applyAlignment="1">
      <alignment horizontal="center" vertical="center"/>
    </xf>
    <xf numFmtId="0" fontId="31" fillId="25" borderId="0" xfId="0" applyFont="1" applyFill="1" applyAlignment="1">
      <alignment horizontal="center" vertical="center"/>
    </xf>
    <xf numFmtId="0" fontId="26" fillId="25" borderId="89" xfId="0" applyFont="1" applyFill="1" applyBorder="1" applyAlignment="1">
      <alignment horizontal="center"/>
    </xf>
    <xf numFmtId="0" fontId="26" fillId="25" borderId="90" xfId="0" applyFont="1" applyFill="1" applyBorder="1" applyAlignment="1">
      <alignment horizontal="center"/>
    </xf>
    <xf numFmtId="0" fontId="26" fillId="25" borderId="91" xfId="0" applyFont="1" applyFill="1" applyBorder="1" applyAlignment="1">
      <alignment horizontal="center"/>
    </xf>
    <xf numFmtId="0" fontId="26" fillId="25" borderId="9" xfId="0" applyFont="1" applyFill="1" applyBorder="1" applyAlignment="1">
      <alignment horizontal="center"/>
    </xf>
    <xf numFmtId="0" fontId="45" fillId="25" borderId="10" xfId="0" applyFont="1" applyFill="1" applyBorder="1"/>
    <xf numFmtId="0" fontId="45" fillId="25" borderId="11" xfId="0" applyFont="1" applyFill="1" applyBorder="1"/>
    <xf numFmtId="0" fontId="44" fillId="25" borderId="89" xfId="0" applyFont="1" applyFill="1" applyBorder="1" applyAlignment="1">
      <alignment horizontal="center"/>
    </xf>
    <xf numFmtId="0" fontId="44" fillId="25" borderId="90" xfId="0" applyFont="1" applyFill="1" applyBorder="1" applyAlignment="1">
      <alignment horizontal="center"/>
    </xf>
    <xf numFmtId="0" fontId="44" fillId="25" borderId="91" xfId="0" applyFont="1" applyFill="1" applyBorder="1" applyAlignment="1">
      <alignment horizontal="center"/>
    </xf>
    <xf numFmtId="0" fontId="40" fillId="25" borderId="9" xfId="0" applyFont="1" applyFill="1" applyBorder="1" applyAlignment="1">
      <alignment horizontal="center"/>
    </xf>
    <xf numFmtId="0" fontId="40" fillId="25" borderId="10" xfId="0" applyFont="1" applyFill="1" applyBorder="1" applyAlignment="1">
      <alignment horizontal="center"/>
    </xf>
    <xf numFmtId="0" fontId="40" fillId="25" borderId="117" xfId="0" applyFont="1" applyFill="1" applyBorder="1" applyAlignment="1">
      <alignment horizontal="center"/>
    </xf>
    <xf numFmtId="0" fontId="12" fillId="29" borderId="128" xfId="0" applyFont="1" applyFill="1" applyBorder="1" applyAlignment="1" applyProtection="1">
      <alignment horizontal="center"/>
      <protection locked="0"/>
    </xf>
    <xf numFmtId="0" fontId="12" fillId="29" borderId="90" xfId="0" applyFont="1" applyFill="1" applyBorder="1" applyAlignment="1" applyProtection="1">
      <alignment horizontal="center"/>
      <protection locked="0"/>
    </xf>
    <xf numFmtId="0" fontId="12" fillId="29" borderId="91" xfId="0" applyFont="1" applyFill="1" applyBorder="1" applyAlignment="1" applyProtection="1">
      <alignment horizontal="center"/>
      <protection locked="0"/>
    </xf>
    <xf numFmtId="0" fontId="47" fillId="25" borderId="77" xfId="0" applyFont="1" applyFill="1" applyBorder="1" applyAlignment="1">
      <alignment horizontal="center"/>
    </xf>
    <xf numFmtId="0" fontId="47" fillId="25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opLeftCell="D1" zoomScale="84" zoomScaleNormal="84" workbookViewId="0">
      <selection activeCell="L26" sqref="L26"/>
    </sheetView>
  </sheetViews>
  <sheetFormatPr defaultColWidth="14.44140625" defaultRowHeight="15" customHeight="1" x14ac:dyDescent="0.3"/>
  <cols>
    <col min="1" max="1" width="28.109375" customWidth="1"/>
    <col min="2" max="2" width="10.6640625" customWidth="1"/>
    <col min="3" max="3" width="7" bestFit="1" customWidth="1"/>
    <col min="4" max="4" width="5.6640625" bestFit="1" customWidth="1"/>
    <col min="5" max="8" width="12.109375" bestFit="1" customWidth="1"/>
    <col min="9" max="9" width="12.109375" customWidth="1"/>
    <col min="10" max="10" width="12" bestFit="1" customWidth="1"/>
    <col min="11" max="11" width="12.109375" bestFit="1" customWidth="1"/>
    <col min="12" max="12" width="11.33203125" bestFit="1" customWidth="1"/>
    <col min="13" max="13" width="11.33203125" customWidth="1"/>
    <col min="14" max="14" width="12" customWidth="1"/>
    <col min="15" max="15" width="12.33203125" customWidth="1"/>
    <col min="16" max="16" width="11" customWidth="1"/>
    <col min="17" max="17" width="12.33203125" customWidth="1"/>
    <col min="18" max="18" width="10.33203125" customWidth="1"/>
    <col min="19" max="20" width="8.6640625" customWidth="1"/>
    <col min="21" max="21" width="4.5546875" customWidth="1"/>
    <col min="22" max="22" width="20.44140625" customWidth="1"/>
    <col min="23" max="23" width="10.33203125" customWidth="1"/>
    <col min="24" max="24" width="13" customWidth="1"/>
    <col min="25" max="25" width="19.33203125" customWidth="1"/>
    <col min="26" max="26" width="8.6640625" customWidth="1"/>
    <col min="27" max="27" width="10.33203125" customWidth="1"/>
    <col min="28" max="28" width="10.5546875" customWidth="1"/>
    <col min="29" max="36" width="8.6640625" customWidth="1"/>
  </cols>
  <sheetData>
    <row r="1" spans="1:31" ht="34.799999999999997" thickTop="1" thickBot="1" x14ac:dyDescent="0.7">
      <c r="C1" s="390" t="s">
        <v>199</v>
      </c>
      <c r="D1" s="391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3"/>
      <c r="S1" s="394"/>
      <c r="T1" s="395"/>
      <c r="U1" s="395"/>
      <c r="V1" s="395"/>
      <c r="W1" s="395"/>
      <c r="X1" s="395"/>
      <c r="Y1" s="395"/>
      <c r="Z1" s="395"/>
      <c r="AA1" s="395"/>
      <c r="AB1" s="395"/>
    </row>
    <row r="2" spans="1:31" ht="20.25" customHeight="1" thickTop="1" thickBot="1" x14ac:dyDescent="0.35">
      <c r="C2" s="368" t="s">
        <v>1</v>
      </c>
      <c r="D2" s="369"/>
      <c r="E2" s="370" t="s">
        <v>2</v>
      </c>
      <c r="F2" s="371" t="s">
        <v>134</v>
      </c>
      <c r="G2" s="371" t="s">
        <v>134</v>
      </c>
      <c r="H2" s="372" t="s">
        <v>3</v>
      </c>
      <c r="I2" s="372" t="s">
        <v>198</v>
      </c>
      <c r="J2" s="372" t="s">
        <v>185</v>
      </c>
      <c r="K2" s="372" t="s">
        <v>191</v>
      </c>
      <c r="L2" s="372" t="s">
        <v>196</v>
      </c>
      <c r="M2" s="372" t="s">
        <v>197</v>
      </c>
      <c r="N2" s="373" t="s">
        <v>4</v>
      </c>
      <c r="O2" s="373" t="s">
        <v>5</v>
      </c>
      <c r="P2" s="373" t="s">
        <v>6</v>
      </c>
      <c r="Q2" s="374" t="s">
        <v>7</v>
      </c>
      <c r="S2" s="3"/>
      <c r="T2" s="3"/>
      <c r="U2" s="3"/>
      <c r="Y2" s="3"/>
    </row>
    <row r="3" spans="1:31" ht="20.25" customHeight="1" thickBot="1" x14ac:dyDescent="0.35">
      <c r="A3" s="250" t="s">
        <v>149</v>
      </c>
      <c r="B3" s="320"/>
      <c r="C3" s="327">
        <v>45292</v>
      </c>
      <c r="D3" s="328" t="s">
        <v>177</v>
      </c>
      <c r="E3" s="325"/>
      <c r="F3" s="25">
        <v>24000</v>
      </c>
      <c r="G3" s="25">
        <v>24000</v>
      </c>
      <c r="H3" s="7">
        <f t="shared" ref="H3:H33" si="0">+N3+O3+P3</f>
        <v>23870</v>
      </c>
      <c r="I3" s="7">
        <f>+H3/M3</f>
        <v>218.99082568807339</v>
      </c>
      <c r="J3" s="332">
        <f>(H3-F3)/F3</f>
        <v>-5.4166666666666669E-3</v>
      </c>
      <c r="K3" s="367">
        <v>20588</v>
      </c>
      <c r="L3" s="367">
        <v>3461</v>
      </c>
      <c r="M3" s="367">
        <v>109</v>
      </c>
      <c r="N3" s="363">
        <v>9717</v>
      </c>
      <c r="O3" s="363">
        <v>13324</v>
      </c>
      <c r="P3" s="363">
        <v>829</v>
      </c>
      <c r="Q3" s="8">
        <f>+PURCHASE!AF5</f>
        <v>20145</v>
      </c>
      <c r="S3" s="9"/>
      <c r="T3" s="3"/>
      <c r="U3" s="3"/>
      <c r="Y3" s="3"/>
    </row>
    <row r="4" spans="1:31" ht="20.25" customHeight="1" thickBot="1" x14ac:dyDescent="0.35">
      <c r="A4" s="251" t="s">
        <v>151</v>
      </c>
      <c r="B4" s="321" t="s">
        <v>152</v>
      </c>
      <c r="C4" s="327">
        <v>45293</v>
      </c>
      <c r="D4" s="328" t="s">
        <v>178</v>
      </c>
      <c r="E4" s="326"/>
      <c r="F4" s="24">
        <v>15000</v>
      </c>
      <c r="G4" s="24">
        <v>15000</v>
      </c>
      <c r="H4" s="12">
        <f t="shared" si="0"/>
        <v>14584</v>
      </c>
      <c r="I4" s="7">
        <f t="shared" ref="I4:I34" si="1">+H4/M4</f>
        <v>180.04938271604939</v>
      </c>
      <c r="J4" s="332">
        <f t="shared" ref="J4:J33" si="2">(H4-F4)/F4</f>
        <v>-2.7733333333333332E-2</v>
      </c>
      <c r="K4" s="367">
        <v>11598</v>
      </c>
      <c r="L4" s="367">
        <v>3018</v>
      </c>
      <c r="M4" s="367">
        <v>81</v>
      </c>
      <c r="N4" s="363">
        <v>4756</v>
      </c>
      <c r="O4" s="364">
        <v>8780</v>
      </c>
      <c r="P4" s="364">
        <v>1048</v>
      </c>
      <c r="Q4" s="8">
        <f>+PURCHASE!AF6</f>
        <v>11334</v>
      </c>
      <c r="S4" s="9"/>
      <c r="T4" s="3"/>
      <c r="U4" s="3"/>
      <c r="Y4" s="3"/>
      <c r="AC4" s="13" t="s">
        <v>5</v>
      </c>
    </row>
    <row r="5" spans="1:31" ht="20.25" customHeight="1" thickBot="1" x14ac:dyDescent="0.35">
      <c r="A5" s="319" t="s">
        <v>227</v>
      </c>
      <c r="B5" s="322">
        <v>-20000</v>
      </c>
      <c r="C5" s="327">
        <v>45294</v>
      </c>
      <c r="D5" s="328" t="s">
        <v>179</v>
      </c>
      <c r="E5" s="326"/>
      <c r="F5" s="24">
        <v>12000</v>
      </c>
      <c r="G5" s="24">
        <v>12000</v>
      </c>
      <c r="H5" s="12">
        <f t="shared" si="0"/>
        <v>13298</v>
      </c>
      <c r="I5" s="7">
        <f t="shared" si="1"/>
        <v>168.32911392405063</v>
      </c>
      <c r="J5" s="332">
        <f t="shared" si="2"/>
        <v>0.10816666666666666</v>
      </c>
      <c r="K5" s="367">
        <v>10197</v>
      </c>
      <c r="L5" s="367">
        <v>3105</v>
      </c>
      <c r="M5" s="367">
        <v>79</v>
      </c>
      <c r="N5" s="363">
        <v>5164</v>
      </c>
      <c r="O5" s="364">
        <v>7842</v>
      </c>
      <c r="P5" s="364">
        <v>292</v>
      </c>
      <c r="Q5" s="8">
        <f>+PURCHASE!AF7</f>
        <v>2995</v>
      </c>
      <c r="S5" s="9"/>
      <c r="T5" s="3"/>
      <c r="U5" s="3"/>
      <c r="Y5" s="3"/>
    </row>
    <row r="6" spans="1:31" ht="20.25" customHeight="1" thickBot="1" x14ac:dyDescent="0.35">
      <c r="A6" s="387" t="s">
        <v>226</v>
      </c>
      <c r="B6" s="322">
        <v>-14930</v>
      </c>
      <c r="C6" s="327">
        <v>45295</v>
      </c>
      <c r="D6" s="328" t="s">
        <v>180</v>
      </c>
      <c r="E6" s="326"/>
      <c r="F6" s="24">
        <v>11000</v>
      </c>
      <c r="G6" s="24">
        <v>11000</v>
      </c>
      <c r="H6" s="12">
        <f t="shared" si="0"/>
        <v>14295</v>
      </c>
      <c r="I6" s="7">
        <f t="shared" si="1"/>
        <v>190.6</v>
      </c>
      <c r="J6" s="332">
        <f t="shared" si="2"/>
        <v>0.29954545454545456</v>
      </c>
      <c r="K6" s="367">
        <v>11717</v>
      </c>
      <c r="L6" s="367">
        <v>2566</v>
      </c>
      <c r="M6" s="367">
        <v>75</v>
      </c>
      <c r="N6" s="363">
        <v>5550</v>
      </c>
      <c r="O6" s="364">
        <v>8275</v>
      </c>
      <c r="P6" s="364">
        <v>470</v>
      </c>
      <c r="Q6" s="8">
        <f>+PURCHASE!AF8</f>
        <v>9905</v>
      </c>
      <c r="S6" s="9"/>
      <c r="T6" s="3"/>
      <c r="U6" s="3"/>
      <c r="Y6" s="3"/>
    </row>
    <row r="7" spans="1:31" ht="20.25" customHeight="1" thickBot="1" x14ac:dyDescent="0.35">
      <c r="A7" s="116"/>
      <c r="B7" s="322"/>
      <c r="C7" s="327">
        <v>45296</v>
      </c>
      <c r="D7" s="328" t="s">
        <v>174</v>
      </c>
      <c r="E7" s="326"/>
      <c r="F7" s="24">
        <v>12000</v>
      </c>
      <c r="G7" s="24">
        <v>12000</v>
      </c>
      <c r="H7" s="12">
        <f t="shared" si="0"/>
        <v>12935</v>
      </c>
      <c r="I7" s="7">
        <f t="shared" si="1"/>
        <v>215.58333333333334</v>
      </c>
      <c r="J7" s="332">
        <f t="shared" si="2"/>
        <v>7.7916666666666662E-2</v>
      </c>
      <c r="K7" s="367">
        <v>10409</v>
      </c>
      <c r="L7" s="367">
        <v>2474</v>
      </c>
      <c r="M7" s="367">
        <v>60</v>
      </c>
      <c r="N7" s="363">
        <v>5896</v>
      </c>
      <c r="O7" s="364">
        <v>5962</v>
      </c>
      <c r="P7" s="364">
        <v>1077</v>
      </c>
      <c r="Q7" s="8">
        <f>+PURCHASE!AF9</f>
        <v>4280</v>
      </c>
      <c r="S7" s="9"/>
      <c r="T7" s="3"/>
      <c r="U7" s="3"/>
      <c r="Y7" s="3"/>
      <c r="AC7" t="s">
        <v>72</v>
      </c>
    </row>
    <row r="8" spans="1:31" ht="20.25" customHeight="1" thickBot="1" x14ac:dyDescent="0.35">
      <c r="A8" s="116"/>
      <c r="B8" s="322"/>
      <c r="C8" s="327">
        <v>45297</v>
      </c>
      <c r="D8" s="328" t="s">
        <v>175</v>
      </c>
      <c r="E8" s="326"/>
      <c r="F8" s="24">
        <v>16000</v>
      </c>
      <c r="G8" s="24">
        <v>16000</v>
      </c>
      <c r="H8" s="12">
        <f t="shared" si="0"/>
        <v>15242</v>
      </c>
      <c r="I8" s="7">
        <f t="shared" si="1"/>
        <v>192.9367088607595</v>
      </c>
      <c r="J8" s="332">
        <f t="shared" si="2"/>
        <v>-4.7375E-2</v>
      </c>
      <c r="K8" s="367">
        <v>12078</v>
      </c>
      <c r="L8" s="367">
        <v>3164</v>
      </c>
      <c r="M8" s="367">
        <v>79</v>
      </c>
      <c r="N8" s="363">
        <v>5163</v>
      </c>
      <c r="O8" s="364">
        <v>9855</v>
      </c>
      <c r="P8" s="364">
        <v>224</v>
      </c>
      <c r="Q8" s="8">
        <f>+PURCHASE!AF10</f>
        <v>5715</v>
      </c>
      <c r="S8" s="9"/>
      <c r="T8" s="3"/>
      <c r="U8" s="3"/>
      <c r="Y8" s="3"/>
    </row>
    <row r="9" spans="1:31" ht="20.25" customHeight="1" thickBot="1" x14ac:dyDescent="0.35">
      <c r="A9" s="116"/>
      <c r="B9" s="322"/>
      <c r="C9" s="327">
        <v>45298</v>
      </c>
      <c r="D9" s="328" t="s">
        <v>176</v>
      </c>
      <c r="E9" s="326"/>
      <c r="F9" s="24">
        <v>16000</v>
      </c>
      <c r="G9" s="24">
        <v>16000</v>
      </c>
      <c r="H9" s="12">
        <f t="shared" si="0"/>
        <v>18616</v>
      </c>
      <c r="I9" s="7">
        <f t="shared" si="1"/>
        <v>244.94736842105263</v>
      </c>
      <c r="J9" s="332">
        <f t="shared" si="2"/>
        <v>0.16350000000000001</v>
      </c>
      <c r="K9" s="367">
        <v>15009</v>
      </c>
      <c r="L9" s="367">
        <v>3607</v>
      </c>
      <c r="M9" s="367">
        <v>76</v>
      </c>
      <c r="N9" s="363">
        <v>8811</v>
      </c>
      <c r="O9" s="364">
        <v>9581</v>
      </c>
      <c r="P9" s="364">
        <v>224</v>
      </c>
      <c r="Q9" s="8">
        <f>+PURCHASE!AF11</f>
        <v>3151</v>
      </c>
      <c r="S9" s="9"/>
      <c r="T9" s="3"/>
      <c r="U9" s="3"/>
      <c r="Y9" s="3"/>
    </row>
    <row r="10" spans="1:31" ht="20.25" customHeight="1" thickBot="1" x14ac:dyDescent="0.35">
      <c r="A10" s="116"/>
      <c r="B10" s="322"/>
      <c r="C10" s="327">
        <v>45299</v>
      </c>
      <c r="D10" s="328" t="s">
        <v>177</v>
      </c>
      <c r="E10" s="326"/>
      <c r="F10" s="25">
        <v>11000</v>
      </c>
      <c r="G10" s="25">
        <v>11000</v>
      </c>
      <c r="H10" s="12">
        <f t="shared" si="0"/>
        <v>9237</v>
      </c>
      <c r="I10" s="7">
        <f t="shared" si="1"/>
        <v>156.5593220338983</v>
      </c>
      <c r="J10" s="332">
        <f t="shared" si="2"/>
        <v>-0.16027272727272726</v>
      </c>
      <c r="K10" s="367">
        <v>6819</v>
      </c>
      <c r="L10" s="367">
        <v>2334</v>
      </c>
      <c r="M10" s="367">
        <v>59</v>
      </c>
      <c r="N10" s="363">
        <v>4566</v>
      </c>
      <c r="O10" s="364">
        <v>4159</v>
      </c>
      <c r="P10" s="364">
        <v>512</v>
      </c>
      <c r="Q10" s="8">
        <f>+PURCHASE!AF12</f>
        <v>4410</v>
      </c>
      <c r="S10" s="9"/>
      <c r="T10" s="3"/>
      <c r="U10" s="3"/>
      <c r="V10" s="3"/>
      <c r="W10" s="3"/>
      <c r="X10" s="3"/>
      <c r="Y10" s="3"/>
      <c r="AE10" s="13">
        <f>20000+12000+10000+5000+6000+8610+3640</f>
        <v>65250</v>
      </c>
    </row>
    <row r="11" spans="1:31" ht="20.25" customHeight="1" thickBot="1" x14ac:dyDescent="0.35">
      <c r="A11" s="116"/>
      <c r="B11" s="322"/>
      <c r="C11" s="327">
        <v>45300</v>
      </c>
      <c r="D11" s="328" t="s">
        <v>178</v>
      </c>
      <c r="E11" s="326"/>
      <c r="F11" s="24">
        <v>11000</v>
      </c>
      <c r="G11" s="24">
        <v>11000</v>
      </c>
      <c r="H11" s="12">
        <f t="shared" si="0"/>
        <v>7633</v>
      </c>
      <c r="I11" s="7">
        <f t="shared" si="1"/>
        <v>144.01886792452831</v>
      </c>
      <c r="J11" s="332">
        <f t="shared" si="2"/>
        <v>-0.30609090909090908</v>
      </c>
      <c r="K11" s="367">
        <v>5378</v>
      </c>
      <c r="L11" s="367">
        <v>2255</v>
      </c>
      <c r="M11" s="367">
        <v>53</v>
      </c>
      <c r="N11" s="363">
        <v>3588</v>
      </c>
      <c r="O11" s="364">
        <v>3877</v>
      </c>
      <c r="P11" s="364">
        <v>168</v>
      </c>
      <c r="Q11" s="8">
        <f>+PURCHASE!AF13</f>
        <v>5909</v>
      </c>
      <c r="S11" s="9"/>
      <c r="T11" s="3"/>
      <c r="U11" s="3"/>
      <c r="V11" s="3"/>
      <c r="W11" s="3"/>
      <c r="X11" s="3"/>
      <c r="Y11" s="3"/>
      <c r="AE11" s="13">
        <f>15000+AE10</f>
        <v>80250</v>
      </c>
    </row>
    <row r="12" spans="1:31" ht="20.25" customHeight="1" thickBot="1" x14ac:dyDescent="0.35">
      <c r="A12" s="311" t="s">
        <v>171</v>
      </c>
      <c r="B12" s="323">
        <f>SUM(B5:B11)</f>
        <v>-34930</v>
      </c>
      <c r="C12" s="327">
        <v>45301</v>
      </c>
      <c r="D12" s="328" t="s">
        <v>179</v>
      </c>
      <c r="E12" s="326"/>
      <c r="F12" s="24">
        <v>10000</v>
      </c>
      <c r="G12" s="24">
        <v>10000</v>
      </c>
      <c r="H12" s="12">
        <f t="shared" si="0"/>
        <v>14599</v>
      </c>
      <c r="I12" s="7">
        <f t="shared" si="1"/>
        <v>205.61971830985917</v>
      </c>
      <c r="J12" s="332">
        <f t="shared" si="2"/>
        <v>0.45989999999999998</v>
      </c>
      <c r="K12" s="367">
        <v>11879</v>
      </c>
      <c r="L12" s="367">
        <v>2740</v>
      </c>
      <c r="M12" s="367">
        <v>71</v>
      </c>
      <c r="N12" s="363">
        <v>5415</v>
      </c>
      <c r="O12" s="364">
        <v>8220</v>
      </c>
      <c r="P12" s="364">
        <v>964</v>
      </c>
      <c r="Q12" s="8">
        <f>+PURCHASE!AF14</f>
        <v>3125</v>
      </c>
      <c r="S12" s="9"/>
      <c r="T12" s="3"/>
      <c r="U12" s="3"/>
      <c r="V12" s="3"/>
      <c r="W12" s="3"/>
      <c r="X12" s="3"/>
      <c r="Y12" s="3"/>
      <c r="AE12" s="13">
        <f>110000+60000+AE11</f>
        <v>250250</v>
      </c>
    </row>
    <row r="13" spans="1:31" ht="20.25" customHeight="1" thickBot="1" x14ac:dyDescent="0.35">
      <c r="A13" s="249" t="s">
        <v>137</v>
      </c>
      <c r="B13" s="324">
        <v>0</v>
      </c>
      <c r="C13" s="327">
        <v>45302</v>
      </c>
      <c r="D13" s="328" t="s">
        <v>180</v>
      </c>
      <c r="E13" s="326"/>
      <c r="F13" s="24">
        <v>10000</v>
      </c>
      <c r="G13" s="24">
        <v>10000</v>
      </c>
      <c r="H13" s="12">
        <f t="shared" si="0"/>
        <v>11564</v>
      </c>
      <c r="I13" s="7">
        <f t="shared" si="1"/>
        <v>160.61111111111111</v>
      </c>
      <c r="J13" s="332">
        <f t="shared" si="2"/>
        <v>0.15640000000000001</v>
      </c>
      <c r="K13" s="367">
        <v>8789</v>
      </c>
      <c r="L13" s="367">
        <v>2775</v>
      </c>
      <c r="M13" s="367">
        <v>72</v>
      </c>
      <c r="N13" s="363">
        <v>5416</v>
      </c>
      <c r="O13" s="364">
        <v>5315</v>
      </c>
      <c r="P13" s="364">
        <v>833</v>
      </c>
      <c r="Q13" s="8">
        <f>+PURCHASE!AF15</f>
        <v>3144</v>
      </c>
      <c r="S13" s="9"/>
      <c r="T13" s="3"/>
      <c r="U13" s="3"/>
      <c r="V13" s="3"/>
      <c r="W13" s="3"/>
      <c r="X13" s="3"/>
      <c r="Y13" s="3"/>
      <c r="Z13" s="3"/>
      <c r="AA13" s="3"/>
      <c r="AB13" s="3"/>
    </row>
    <row r="14" spans="1:31" ht="20.25" customHeight="1" thickBot="1" x14ac:dyDescent="0.35">
      <c r="C14" s="327">
        <v>45303</v>
      </c>
      <c r="D14" s="328" t="s">
        <v>174</v>
      </c>
      <c r="E14" s="326"/>
      <c r="F14" s="24">
        <v>12000</v>
      </c>
      <c r="G14" s="24">
        <v>12000</v>
      </c>
      <c r="H14" s="12">
        <f t="shared" si="0"/>
        <v>11118</v>
      </c>
      <c r="I14" s="7">
        <f t="shared" si="1"/>
        <v>168.45454545454547</v>
      </c>
      <c r="J14" s="332">
        <f t="shared" si="2"/>
        <v>-7.3499999999999996E-2</v>
      </c>
      <c r="K14" s="367">
        <v>8518</v>
      </c>
      <c r="L14" s="367">
        <v>2600</v>
      </c>
      <c r="M14" s="367">
        <v>66</v>
      </c>
      <c r="N14" s="363">
        <v>4422</v>
      </c>
      <c r="O14" s="364">
        <v>6280</v>
      </c>
      <c r="P14" s="364">
        <v>416</v>
      </c>
      <c r="Q14" s="8">
        <f>+PURCHASE!AF16</f>
        <v>9549</v>
      </c>
      <c r="S14" s="9"/>
      <c r="T14" s="3"/>
      <c r="U14" s="3"/>
      <c r="V14" s="3"/>
      <c r="W14" s="3"/>
      <c r="X14" s="3"/>
      <c r="Y14" s="3"/>
      <c r="Z14" s="3"/>
      <c r="AA14" s="3"/>
      <c r="AB14" s="3"/>
    </row>
    <row r="15" spans="1:31" ht="20.25" customHeight="1" thickBot="1" x14ac:dyDescent="0.35">
      <c r="C15" s="327">
        <v>45304</v>
      </c>
      <c r="D15" s="328" t="s">
        <v>175</v>
      </c>
      <c r="E15" s="326"/>
      <c r="F15" s="24">
        <v>16000</v>
      </c>
      <c r="G15" s="24">
        <v>16000</v>
      </c>
      <c r="H15" s="12">
        <f t="shared" si="0"/>
        <v>13300</v>
      </c>
      <c r="I15" s="7">
        <f t="shared" si="1"/>
        <v>166.25</v>
      </c>
      <c r="J15" s="332">
        <f t="shared" si="2"/>
        <v>-0.16875000000000001</v>
      </c>
      <c r="K15" s="367">
        <v>9969</v>
      </c>
      <c r="L15" s="367">
        <v>3241</v>
      </c>
      <c r="M15" s="367">
        <v>80</v>
      </c>
      <c r="N15" s="363">
        <v>7115</v>
      </c>
      <c r="O15" s="364">
        <v>5606</v>
      </c>
      <c r="P15" s="364">
        <v>579</v>
      </c>
      <c r="Q15" s="8">
        <f>+PURCHASE!AF17</f>
        <v>6960</v>
      </c>
      <c r="S15" s="9"/>
      <c r="T15" s="3"/>
      <c r="U15" s="3"/>
      <c r="V15" s="3"/>
      <c r="W15" s="3">
        <v>9464</v>
      </c>
      <c r="X15" s="3"/>
      <c r="Y15" s="3"/>
      <c r="Z15" s="3"/>
      <c r="AA15" s="3"/>
      <c r="AB15" s="3"/>
    </row>
    <row r="16" spans="1:31" ht="20.25" customHeight="1" thickBot="1" x14ac:dyDescent="0.35">
      <c r="C16" s="327">
        <v>45305</v>
      </c>
      <c r="D16" s="328" t="s">
        <v>176</v>
      </c>
      <c r="E16" s="326"/>
      <c r="F16" s="24">
        <v>16000</v>
      </c>
      <c r="G16" s="24">
        <v>16000</v>
      </c>
      <c r="H16" s="12">
        <f t="shared" si="0"/>
        <v>16193</v>
      </c>
      <c r="I16" s="7">
        <f t="shared" si="1"/>
        <v>234.68115942028984</v>
      </c>
      <c r="J16" s="332">
        <f t="shared" si="2"/>
        <v>1.20625E-2</v>
      </c>
      <c r="K16" s="367">
        <v>13790</v>
      </c>
      <c r="L16" s="367">
        <v>2403</v>
      </c>
      <c r="M16" s="367">
        <v>69</v>
      </c>
      <c r="N16" s="363">
        <v>6591</v>
      </c>
      <c r="O16" s="364">
        <v>9013</v>
      </c>
      <c r="P16" s="364">
        <v>589</v>
      </c>
      <c r="Q16" s="8">
        <f>+PURCHASE!AF18</f>
        <v>3960</v>
      </c>
      <c r="S16" s="9"/>
      <c r="T16" s="3"/>
      <c r="U16" s="3"/>
      <c r="V16" s="3"/>
      <c r="W16" s="3"/>
      <c r="X16" s="3"/>
      <c r="Y16" s="3"/>
      <c r="Z16" s="3"/>
      <c r="AA16" s="3"/>
      <c r="AB16" s="3"/>
    </row>
    <row r="17" spans="3:31" ht="20.25" customHeight="1" thickBot="1" x14ac:dyDescent="0.35">
      <c r="C17" s="327">
        <v>45306</v>
      </c>
      <c r="D17" s="328" t="s">
        <v>177</v>
      </c>
      <c r="E17" s="326"/>
      <c r="F17" s="25">
        <v>11000</v>
      </c>
      <c r="G17" s="25">
        <v>11000</v>
      </c>
      <c r="H17" s="12">
        <f t="shared" si="0"/>
        <v>9235</v>
      </c>
      <c r="I17" s="7">
        <f t="shared" si="1"/>
        <v>139.92424242424244</v>
      </c>
      <c r="J17" s="332">
        <f t="shared" si="2"/>
        <v>-0.16045454545454546</v>
      </c>
      <c r="K17" s="367">
        <v>7350</v>
      </c>
      <c r="L17" s="367">
        <v>1905</v>
      </c>
      <c r="M17" s="367">
        <v>66</v>
      </c>
      <c r="N17" s="363">
        <v>4737</v>
      </c>
      <c r="O17" s="364">
        <v>4260</v>
      </c>
      <c r="P17" s="364">
        <v>238</v>
      </c>
      <c r="Q17" s="8">
        <f>+PURCHASE!AF19</f>
        <v>3646</v>
      </c>
      <c r="S17" s="9"/>
      <c r="T17" s="3"/>
      <c r="U17" s="3"/>
      <c r="V17" s="3"/>
      <c r="W17" s="3"/>
      <c r="X17" s="3"/>
      <c r="Y17" s="3"/>
      <c r="Z17" s="3"/>
      <c r="AA17" s="3"/>
      <c r="AB17" s="3"/>
    </row>
    <row r="18" spans="3:31" ht="20.25" customHeight="1" thickBot="1" x14ac:dyDescent="0.35">
      <c r="C18" s="327">
        <v>45307</v>
      </c>
      <c r="D18" s="328" t="s">
        <v>178</v>
      </c>
      <c r="E18" s="326"/>
      <c r="F18" s="24">
        <v>11000</v>
      </c>
      <c r="G18" s="24">
        <v>11000</v>
      </c>
      <c r="H18" s="12">
        <f t="shared" si="0"/>
        <v>13592</v>
      </c>
      <c r="I18" s="7">
        <f t="shared" si="1"/>
        <v>161.8095238095238</v>
      </c>
      <c r="J18" s="332">
        <f t="shared" si="2"/>
        <v>0.23563636363636364</v>
      </c>
      <c r="K18" s="367">
        <v>10480</v>
      </c>
      <c r="L18" s="367">
        <v>3136</v>
      </c>
      <c r="M18" s="367">
        <v>84</v>
      </c>
      <c r="N18" s="363">
        <v>6995</v>
      </c>
      <c r="O18" s="364">
        <v>6064</v>
      </c>
      <c r="P18" s="364">
        <v>533</v>
      </c>
      <c r="Q18" s="8">
        <f>+PURCHASE!AF20</f>
        <v>5955</v>
      </c>
      <c r="S18" s="9"/>
      <c r="T18" s="3"/>
      <c r="U18" s="3"/>
    </row>
    <row r="19" spans="3:31" ht="20.25" customHeight="1" thickBot="1" x14ac:dyDescent="0.35">
      <c r="C19" s="327">
        <v>45308</v>
      </c>
      <c r="D19" s="328" t="s">
        <v>179</v>
      </c>
      <c r="E19" s="326"/>
      <c r="F19" s="24">
        <v>11000</v>
      </c>
      <c r="G19" s="25">
        <v>11000</v>
      </c>
      <c r="H19" s="12">
        <f t="shared" si="0"/>
        <v>11397</v>
      </c>
      <c r="I19" s="7">
        <f t="shared" si="1"/>
        <v>144.26582278481013</v>
      </c>
      <c r="J19" s="332">
        <f t="shared" si="2"/>
        <v>3.609090909090909E-2</v>
      </c>
      <c r="K19" s="367">
        <v>8648</v>
      </c>
      <c r="L19" s="367">
        <v>2749</v>
      </c>
      <c r="M19" s="367">
        <v>79</v>
      </c>
      <c r="N19" s="363">
        <v>5556</v>
      </c>
      <c r="O19" s="364">
        <v>5313</v>
      </c>
      <c r="P19" s="364">
        <v>528</v>
      </c>
      <c r="Q19" s="8">
        <f>+PURCHASE!AF21</f>
        <v>5994</v>
      </c>
      <c r="S19" s="9"/>
      <c r="T19" s="3"/>
      <c r="U19" s="3"/>
    </row>
    <row r="20" spans="3:31" ht="20.25" customHeight="1" thickBot="1" x14ac:dyDescent="0.35">
      <c r="C20" s="327">
        <v>45309</v>
      </c>
      <c r="D20" s="328" t="s">
        <v>180</v>
      </c>
      <c r="E20" s="326"/>
      <c r="F20" s="24">
        <v>11000</v>
      </c>
      <c r="G20" s="341">
        <v>11000</v>
      </c>
      <c r="H20" s="12">
        <f t="shared" si="0"/>
        <v>8923</v>
      </c>
      <c r="I20" s="7">
        <f t="shared" si="1"/>
        <v>151.23728813559322</v>
      </c>
      <c r="J20" s="332">
        <f t="shared" si="2"/>
        <v>-0.18881818181818183</v>
      </c>
      <c r="K20" s="367">
        <v>6650</v>
      </c>
      <c r="L20" s="367">
        <v>2299</v>
      </c>
      <c r="M20" s="367">
        <v>59</v>
      </c>
      <c r="N20" s="363">
        <v>5132</v>
      </c>
      <c r="O20" s="364">
        <v>3625</v>
      </c>
      <c r="P20" s="364">
        <v>166</v>
      </c>
      <c r="Q20" s="8">
        <f>+PURCHASE!AF22</f>
        <v>6686</v>
      </c>
      <c r="S20" s="9"/>
      <c r="T20" s="3"/>
      <c r="U20" s="3"/>
      <c r="AC20" s="3" t="s">
        <v>5</v>
      </c>
    </row>
    <row r="21" spans="3:31" thickBot="1" x14ac:dyDescent="0.35">
      <c r="C21" s="327">
        <v>45310</v>
      </c>
      <c r="D21" s="328" t="s">
        <v>174</v>
      </c>
      <c r="E21" s="326"/>
      <c r="F21" s="339">
        <v>12000</v>
      </c>
      <c r="G21" s="24">
        <v>12000</v>
      </c>
      <c r="H21" s="12">
        <f t="shared" si="0"/>
        <v>10024</v>
      </c>
      <c r="I21" s="7">
        <f t="shared" si="1"/>
        <v>119.33333333333333</v>
      </c>
      <c r="J21" s="332">
        <f t="shared" si="2"/>
        <v>-0.16466666666666666</v>
      </c>
      <c r="K21" s="367">
        <v>6250</v>
      </c>
      <c r="L21" s="367">
        <v>3784</v>
      </c>
      <c r="M21" s="367">
        <v>84</v>
      </c>
      <c r="N21" s="363">
        <v>6198</v>
      </c>
      <c r="O21" s="364">
        <v>3355</v>
      </c>
      <c r="P21" s="364">
        <v>471</v>
      </c>
      <c r="Q21" s="8">
        <f>+PURCHASE!AF23</f>
        <v>2038</v>
      </c>
      <c r="S21" s="9"/>
      <c r="T21" s="3"/>
      <c r="U21" s="3"/>
      <c r="AC21" s="13" t="s">
        <v>4</v>
      </c>
    </row>
    <row r="22" spans="3:31" ht="20.25" customHeight="1" thickBot="1" x14ac:dyDescent="0.35">
      <c r="C22" s="327">
        <v>45311</v>
      </c>
      <c r="D22" s="328" t="s">
        <v>175</v>
      </c>
      <c r="E22" s="326"/>
      <c r="F22" s="339">
        <v>16000</v>
      </c>
      <c r="G22" s="343">
        <v>16000</v>
      </c>
      <c r="H22" s="12">
        <f t="shared" si="0"/>
        <v>14530</v>
      </c>
      <c r="I22" s="7">
        <f t="shared" si="1"/>
        <v>193.73333333333332</v>
      </c>
      <c r="J22" s="332">
        <f t="shared" si="2"/>
        <v>-9.1874999999999998E-2</v>
      </c>
      <c r="K22" s="367">
        <v>11146</v>
      </c>
      <c r="L22" s="367">
        <v>3434</v>
      </c>
      <c r="M22" s="367">
        <v>75</v>
      </c>
      <c r="N22" s="363">
        <v>4559</v>
      </c>
      <c r="O22" s="364">
        <v>8760</v>
      </c>
      <c r="P22" s="364">
        <v>1211</v>
      </c>
      <c r="Q22" s="8">
        <f>+PURCHASE!AF24</f>
        <v>2987</v>
      </c>
      <c r="S22" s="9"/>
      <c r="T22" s="3"/>
      <c r="U22" s="3"/>
    </row>
    <row r="23" spans="3:31" ht="20.25" customHeight="1" thickBot="1" x14ac:dyDescent="0.35">
      <c r="C23" s="327">
        <v>45312</v>
      </c>
      <c r="D23" s="328" t="s">
        <v>176</v>
      </c>
      <c r="E23" s="326"/>
      <c r="F23" s="339">
        <v>16000</v>
      </c>
      <c r="G23" s="343">
        <v>16000</v>
      </c>
      <c r="H23" s="12">
        <f t="shared" si="0"/>
        <v>16677</v>
      </c>
      <c r="I23" s="7">
        <f t="shared" si="1"/>
        <v>187.38202247191012</v>
      </c>
      <c r="J23" s="332">
        <f t="shared" si="2"/>
        <v>4.2312500000000003E-2</v>
      </c>
      <c r="K23" s="367">
        <v>13627</v>
      </c>
      <c r="L23" s="367">
        <v>3437</v>
      </c>
      <c r="M23" s="367">
        <v>89</v>
      </c>
      <c r="N23" s="363">
        <v>8323</v>
      </c>
      <c r="O23" s="364">
        <v>7214</v>
      </c>
      <c r="P23" s="364">
        <v>1140</v>
      </c>
      <c r="Q23" s="8">
        <f>+PURCHASE!AF25</f>
        <v>5644</v>
      </c>
      <c r="S23" s="9"/>
      <c r="T23" s="3"/>
      <c r="U23" s="3"/>
    </row>
    <row r="24" spans="3:31" ht="14.25" customHeight="1" thickBot="1" x14ac:dyDescent="0.35">
      <c r="C24" s="327">
        <v>45313</v>
      </c>
      <c r="D24" s="328" t="s">
        <v>177</v>
      </c>
      <c r="E24" s="326"/>
      <c r="F24" s="339">
        <v>11000</v>
      </c>
      <c r="G24" s="343">
        <v>11000</v>
      </c>
      <c r="H24" s="12">
        <f t="shared" si="0"/>
        <v>17492</v>
      </c>
      <c r="I24" s="7">
        <f t="shared" si="1"/>
        <v>168.19230769230768</v>
      </c>
      <c r="J24" s="332">
        <f t="shared" si="2"/>
        <v>0.59018181818181814</v>
      </c>
      <c r="K24" s="367">
        <v>14019</v>
      </c>
      <c r="L24" s="367">
        <v>3473</v>
      </c>
      <c r="M24" s="367">
        <v>104</v>
      </c>
      <c r="N24" s="363">
        <v>7226</v>
      </c>
      <c r="O24" s="364">
        <v>9599</v>
      </c>
      <c r="P24" s="364">
        <v>667</v>
      </c>
      <c r="Q24" s="8">
        <f>+PURCHASE!AF26</f>
        <v>10640</v>
      </c>
      <c r="S24" s="9"/>
      <c r="T24" s="3"/>
      <c r="U24" s="3"/>
    </row>
    <row r="25" spans="3:31" ht="14.25" customHeight="1" thickBot="1" x14ac:dyDescent="0.35">
      <c r="C25" s="327">
        <v>45314</v>
      </c>
      <c r="D25" s="328" t="s">
        <v>178</v>
      </c>
      <c r="E25" s="326"/>
      <c r="F25" s="339">
        <v>11000</v>
      </c>
      <c r="G25" s="343">
        <v>11000</v>
      </c>
      <c r="H25" s="12">
        <f t="shared" si="0"/>
        <v>9978</v>
      </c>
      <c r="I25" s="7">
        <f t="shared" si="1"/>
        <v>138.58333333333334</v>
      </c>
      <c r="J25" s="332">
        <f t="shared" si="2"/>
        <v>-9.2909090909090913E-2</v>
      </c>
      <c r="K25" s="367">
        <v>7346</v>
      </c>
      <c r="L25" s="367">
        <v>2632</v>
      </c>
      <c r="M25" s="367">
        <v>72</v>
      </c>
      <c r="N25" s="363">
        <v>3462</v>
      </c>
      <c r="O25" s="365">
        <v>5645</v>
      </c>
      <c r="P25" s="365">
        <v>871</v>
      </c>
      <c r="Q25" s="8">
        <f>+PURCHASE!AF27</f>
        <v>4218</v>
      </c>
      <c r="S25" s="9"/>
      <c r="T25" s="3"/>
      <c r="U25" s="3"/>
    </row>
    <row r="26" spans="3:31" ht="14.25" customHeight="1" thickBot="1" x14ac:dyDescent="0.35">
      <c r="C26" s="327">
        <v>45315</v>
      </c>
      <c r="D26" s="328" t="s">
        <v>179</v>
      </c>
      <c r="E26" s="326"/>
      <c r="F26" s="339">
        <v>11000</v>
      </c>
      <c r="G26" s="343"/>
      <c r="H26" s="12">
        <f t="shared" si="0"/>
        <v>0</v>
      </c>
      <c r="I26" s="7" t="e">
        <f t="shared" si="1"/>
        <v>#DIV/0!</v>
      </c>
      <c r="J26" s="332">
        <f t="shared" si="2"/>
        <v>-1</v>
      </c>
      <c r="K26" s="367"/>
      <c r="L26" s="367"/>
      <c r="M26" s="367"/>
      <c r="N26" s="363"/>
      <c r="O26" s="365"/>
      <c r="P26" s="365"/>
      <c r="Q26" s="8">
        <f>+PURCHASE!AF28</f>
        <v>2168</v>
      </c>
      <c r="S26" s="9"/>
      <c r="T26" s="3"/>
      <c r="U26" s="3"/>
      <c r="AE26" s="13">
        <f>2550+3820</f>
        <v>6370</v>
      </c>
    </row>
    <row r="27" spans="3:31" ht="14.25" customHeight="1" thickBot="1" x14ac:dyDescent="0.35">
      <c r="C27" s="327">
        <v>45316</v>
      </c>
      <c r="D27" s="328" t="s">
        <v>180</v>
      </c>
      <c r="E27" s="326"/>
      <c r="F27" s="339">
        <v>11000</v>
      </c>
      <c r="G27" s="343"/>
      <c r="H27" s="12">
        <f t="shared" si="0"/>
        <v>0</v>
      </c>
      <c r="I27" s="7" t="e">
        <f t="shared" si="1"/>
        <v>#DIV/0!</v>
      </c>
      <c r="J27" s="332">
        <f t="shared" si="2"/>
        <v>-1</v>
      </c>
      <c r="K27" s="367"/>
      <c r="L27" s="367"/>
      <c r="M27" s="367"/>
      <c r="N27" s="363"/>
      <c r="O27" s="365"/>
      <c r="P27" s="365"/>
      <c r="Q27" s="8">
        <f>+PURCHASE!AF29</f>
        <v>0</v>
      </c>
      <c r="S27" s="9"/>
      <c r="T27" s="3"/>
      <c r="U27" s="3"/>
    </row>
    <row r="28" spans="3:31" ht="14.25" customHeight="1" thickBot="1" x14ac:dyDescent="0.35">
      <c r="C28" s="327">
        <v>45317</v>
      </c>
      <c r="D28" s="328" t="s">
        <v>174</v>
      </c>
      <c r="E28" s="326"/>
      <c r="F28" s="339">
        <v>30000</v>
      </c>
      <c r="G28" s="343"/>
      <c r="H28" s="12">
        <f t="shared" si="0"/>
        <v>0</v>
      </c>
      <c r="I28" s="7" t="e">
        <f t="shared" si="1"/>
        <v>#DIV/0!</v>
      </c>
      <c r="J28" s="332">
        <f t="shared" si="2"/>
        <v>-1</v>
      </c>
      <c r="K28" s="367"/>
      <c r="L28" s="367"/>
      <c r="M28" s="367"/>
      <c r="N28" s="363"/>
      <c r="O28" s="365"/>
      <c r="P28" s="365"/>
      <c r="Q28" s="8">
        <f>+PURCHASE!AF30</f>
        <v>0</v>
      </c>
      <c r="S28" s="9"/>
      <c r="T28" s="3"/>
      <c r="U28" s="3"/>
    </row>
    <row r="29" spans="3:31" ht="14.25" customHeight="1" thickBot="1" x14ac:dyDescent="0.35">
      <c r="C29" s="327">
        <v>45318</v>
      </c>
      <c r="D29" s="328" t="s">
        <v>175</v>
      </c>
      <c r="E29" s="326"/>
      <c r="F29" s="339">
        <v>20000</v>
      </c>
      <c r="G29" s="343"/>
      <c r="H29" s="12">
        <f t="shared" si="0"/>
        <v>0</v>
      </c>
      <c r="I29" s="7" t="e">
        <f t="shared" si="1"/>
        <v>#DIV/0!</v>
      </c>
      <c r="J29" s="332">
        <f t="shared" si="2"/>
        <v>-1</v>
      </c>
      <c r="K29" s="367"/>
      <c r="L29" s="367"/>
      <c r="M29" s="367"/>
      <c r="N29" s="363"/>
      <c r="O29" s="365"/>
      <c r="P29" s="365"/>
      <c r="Q29" s="8">
        <f>+PURCHASE!AF31</f>
        <v>0</v>
      </c>
      <c r="S29" s="9"/>
      <c r="T29" s="3"/>
      <c r="U29" s="3"/>
      <c r="AE29" s="13">
        <f>220+140+310+20+60+60+300+90+40</f>
        <v>1240</v>
      </c>
    </row>
    <row r="30" spans="3:31" ht="14.25" customHeight="1" thickBot="1" x14ac:dyDescent="0.35">
      <c r="C30" s="327">
        <v>45319</v>
      </c>
      <c r="D30" s="328" t="s">
        <v>176</v>
      </c>
      <c r="E30" s="326"/>
      <c r="F30" s="339">
        <v>16000</v>
      </c>
      <c r="G30" s="343"/>
      <c r="H30" s="12">
        <f t="shared" si="0"/>
        <v>0</v>
      </c>
      <c r="I30" s="7" t="e">
        <f t="shared" si="1"/>
        <v>#DIV/0!</v>
      </c>
      <c r="J30" s="332">
        <f t="shared" si="2"/>
        <v>-1</v>
      </c>
      <c r="K30" s="367"/>
      <c r="L30" s="367"/>
      <c r="M30" s="367"/>
      <c r="N30" s="363"/>
      <c r="O30" s="365"/>
      <c r="P30" s="365"/>
      <c r="Q30" s="8">
        <f>+PURCHASE!AF32</f>
        <v>0</v>
      </c>
      <c r="S30" s="9"/>
      <c r="T30" s="3"/>
      <c r="U30" s="3"/>
      <c r="AE30" s="13">
        <f>1290+AE29</f>
        <v>2530</v>
      </c>
    </row>
    <row r="31" spans="3:31" ht="14.25" customHeight="1" thickBot="1" x14ac:dyDescent="0.35">
      <c r="C31" s="327">
        <v>45320</v>
      </c>
      <c r="D31" s="328" t="s">
        <v>177</v>
      </c>
      <c r="E31" s="326"/>
      <c r="F31" s="339">
        <v>11000</v>
      </c>
      <c r="G31" s="343"/>
      <c r="H31" s="12">
        <f t="shared" si="0"/>
        <v>0</v>
      </c>
      <c r="I31" s="7" t="e">
        <f t="shared" si="1"/>
        <v>#DIV/0!</v>
      </c>
      <c r="J31" s="332">
        <f t="shared" si="2"/>
        <v>-1</v>
      </c>
      <c r="K31" s="367"/>
      <c r="L31" s="367"/>
      <c r="M31" s="367"/>
      <c r="N31" s="363"/>
      <c r="O31" s="365"/>
      <c r="P31" s="365"/>
      <c r="Q31" s="8">
        <f>+PURCHASE!AF33</f>
        <v>0</v>
      </c>
      <c r="S31" s="9"/>
      <c r="T31" s="3"/>
      <c r="U31" s="3"/>
      <c r="V31" s="3"/>
      <c r="W31" s="3"/>
      <c r="X31" s="3"/>
      <c r="Y31" s="3"/>
      <c r="Z31" s="3"/>
      <c r="AA31" s="3"/>
      <c r="AB31" s="3"/>
      <c r="AE31" s="13">
        <f>3896+AD27</f>
        <v>3896</v>
      </c>
    </row>
    <row r="32" spans="3:31" ht="14.25" customHeight="1" thickBot="1" x14ac:dyDescent="0.35">
      <c r="C32" s="327">
        <v>45321</v>
      </c>
      <c r="D32" s="328" t="s">
        <v>178</v>
      </c>
      <c r="E32" s="326"/>
      <c r="F32" s="339">
        <v>11000</v>
      </c>
      <c r="G32" s="343"/>
      <c r="H32" s="12">
        <f t="shared" si="0"/>
        <v>0</v>
      </c>
      <c r="I32" s="7" t="e">
        <f t="shared" si="1"/>
        <v>#DIV/0!</v>
      </c>
      <c r="J32" s="332">
        <f t="shared" si="2"/>
        <v>-1</v>
      </c>
      <c r="K32" s="367"/>
      <c r="L32" s="367"/>
      <c r="M32" s="367"/>
      <c r="N32" s="363"/>
      <c r="O32" s="365"/>
      <c r="P32" s="365"/>
      <c r="Q32" s="8">
        <f>+PURCHASE!AF34</f>
        <v>0</v>
      </c>
      <c r="S32" s="9"/>
      <c r="T32" s="3"/>
      <c r="U32" s="3"/>
      <c r="V32" s="3"/>
      <c r="W32" s="3"/>
      <c r="X32" s="3"/>
      <c r="Y32" s="3"/>
      <c r="Z32" s="3"/>
      <c r="AA32" s="3"/>
      <c r="AB32" s="3"/>
    </row>
    <row r="33" spans="1:28" ht="14.25" customHeight="1" thickBot="1" x14ac:dyDescent="0.35">
      <c r="C33" s="327">
        <v>45322</v>
      </c>
      <c r="D33" s="328" t="s">
        <v>179</v>
      </c>
      <c r="E33" s="325"/>
      <c r="F33" s="340">
        <v>11000</v>
      </c>
      <c r="G33" s="343"/>
      <c r="H33" s="26">
        <f t="shared" si="0"/>
        <v>0</v>
      </c>
      <c r="I33" s="7" t="e">
        <f t="shared" si="1"/>
        <v>#DIV/0!</v>
      </c>
      <c r="J33" s="332">
        <f t="shared" si="2"/>
        <v>-1</v>
      </c>
      <c r="K33" s="367"/>
      <c r="L33" s="367"/>
      <c r="M33" s="367"/>
      <c r="N33" s="363"/>
      <c r="O33" s="366"/>
      <c r="P33" s="366"/>
      <c r="Q33" s="8">
        <f>+PURCHASE!AF35</f>
        <v>0</v>
      </c>
      <c r="S33" s="9"/>
      <c r="T33" s="3"/>
      <c r="U33" s="3"/>
      <c r="V33" s="3"/>
      <c r="W33" s="3"/>
      <c r="X33" s="3"/>
      <c r="Y33" s="3"/>
      <c r="Z33" s="3"/>
      <c r="AA33" s="3"/>
      <c r="AB33" s="3"/>
    </row>
    <row r="34" spans="1:28" ht="14.25" customHeight="1" thickBot="1" x14ac:dyDescent="0.35">
      <c r="C34" s="329"/>
      <c r="D34" s="328"/>
      <c r="E34" s="28">
        <f t="shared" ref="E34:Q34" si="3">SUM(E3:E33)</f>
        <v>0</v>
      </c>
      <c r="F34" s="28">
        <f t="shared" si="3"/>
        <v>423000</v>
      </c>
      <c r="G34" s="342">
        <f t="shared" si="3"/>
        <v>302000</v>
      </c>
      <c r="H34" s="28">
        <f t="shared" si="3"/>
        <v>308332</v>
      </c>
      <c r="I34" s="7" t="e">
        <f t="shared" si="1"/>
        <v>#DIV/0!</v>
      </c>
      <c r="J34" s="332">
        <f>(H34-G34)/F34</f>
        <v>1.4969267139479905E-2</v>
      </c>
      <c r="K34" s="29">
        <f t="shared" si="3"/>
        <v>242254</v>
      </c>
      <c r="L34" s="29">
        <f t="shared" si="3"/>
        <v>66592</v>
      </c>
      <c r="M34" s="29"/>
      <c r="N34" s="29">
        <f t="shared" si="3"/>
        <v>134358</v>
      </c>
      <c r="O34" s="29">
        <f t="shared" si="3"/>
        <v>159924</v>
      </c>
      <c r="P34" s="29">
        <f t="shared" si="3"/>
        <v>14050</v>
      </c>
      <c r="Q34" s="30">
        <f t="shared" si="3"/>
        <v>144558</v>
      </c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4.25" customHeight="1" x14ac:dyDescent="0.3"/>
    <row r="36" spans="1:28" ht="14.25" customHeight="1" x14ac:dyDescent="0.3">
      <c r="C36" s="13"/>
      <c r="D36" s="13"/>
      <c r="N36" s="31">
        <f>AVERAGE(H3:H32)</f>
        <v>10277.733333333334</v>
      </c>
    </row>
    <row r="37" spans="1:28" ht="14.25" customHeight="1" x14ac:dyDescent="0.3"/>
    <row r="38" spans="1:28" ht="14.25" customHeight="1" x14ac:dyDescent="0.3">
      <c r="A38" s="32"/>
      <c r="B38" s="396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Q38" s="394"/>
      <c r="R38" s="395"/>
      <c r="AA38" s="33">
        <f>18.3%*236246</f>
        <v>43233.017999999996</v>
      </c>
    </row>
    <row r="39" spans="1:28" ht="14.25" customHeight="1" x14ac:dyDescent="0.3">
      <c r="A39" s="1"/>
      <c r="B39" s="1"/>
      <c r="C39" s="394"/>
      <c r="D39" s="394"/>
      <c r="E39" s="395"/>
      <c r="F39" s="395"/>
      <c r="G39" s="395"/>
      <c r="H39" s="395"/>
      <c r="N39" s="1"/>
      <c r="Q39" s="3"/>
      <c r="R39" s="3"/>
    </row>
    <row r="40" spans="1:28" ht="14.25" customHeight="1" thickBot="1" x14ac:dyDescent="0.35">
      <c r="A40" s="1"/>
      <c r="B40" s="1"/>
      <c r="C40" s="394"/>
      <c r="D40" s="394"/>
      <c r="E40" s="395"/>
      <c r="F40" s="395"/>
      <c r="G40" s="395"/>
      <c r="H40" s="395"/>
      <c r="N40" s="1"/>
    </row>
    <row r="41" spans="1:28" ht="14.25" customHeight="1" x14ac:dyDescent="0.3">
      <c r="A41" s="1"/>
      <c r="B41" s="1"/>
      <c r="C41" s="394"/>
      <c r="D41" s="394"/>
      <c r="E41" s="395"/>
      <c r="F41" s="395"/>
      <c r="G41" s="395"/>
      <c r="H41" s="395"/>
      <c r="N41" s="1"/>
      <c r="X41" s="34" t="s">
        <v>38</v>
      </c>
      <c r="Y41" s="35">
        <f>+expenses!D13</f>
        <v>86500</v>
      </c>
    </row>
    <row r="42" spans="1:28" ht="14.25" customHeight="1" x14ac:dyDescent="0.3">
      <c r="A42" s="1"/>
      <c r="B42" s="1"/>
      <c r="C42" s="394"/>
      <c r="D42" s="394"/>
      <c r="E42" s="395"/>
      <c r="F42" s="395"/>
      <c r="G42" s="395"/>
      <c r="H42" s="395"/>
      <c r="N42" s="1"/>
      <c r="X42" s="22" t="s">
        <v>37</v>
      </c>
      <c r="Y42" s="36">
        <f ca="1">+expenses!P14+expenses!Q14+expenses!R14+expenses!S14</f>
        <v>0</v>
      </c>
    </row>
    <row r="43" spans="1:28" ht="14.25" customHeight="1" x14ac:dyDescent="0.3">
      <c r="A43" s="1"/>
      <c r="B43" s="1"/>
      <c r="C43" s="394"/>
      <c r="D43" s="394"/>
      <c r="E43" s="395"/>
      <c r="F43" s="395"/>
      <c r="G43" s="395"/>
      <c r="H43" s="395"/>
      <c r="N43" s="1"/>
      <c r="X43" s="22" t="s">
        <v>42</v>
      </c>
      <c r="Y43" s="36">
        <f>+expenses!D50</f>
        <v>83753</v>
      </c>
    </row>
    <row r="44" spans="1:28" ht="14.25" customHeight="1" x14ac:dyDescent="0.3">
      <c r="A44" s="1"/>
      <c r="B44" s="1"/>
      <c r="C44" s="394"/>
      <c r="D44" s="394"/>
      <c r="E44" s="395"/>
      <c r="F44" s="395"/>
      <c r="G44" s="395"/>
      <c r="H44" s="395"/>
      <c r="N44" s="1"/>
      <c r="X44" s="22" t="s">
        <v>7</v>
      </c>
      <c r="Y44" s="36">
        <f>+Q34</f>
        <v>144558</v>
      </c>
    </row>
    <row r="45" spans="1:28" ht="14.25" customHeight="1" x14ac:dyDescent="0.3">
      <c r="A45" s="1"/>
      <c r="B45" s="1"/>
      <c r="C45" s="394"/>
      <c r="D45" s="394"/>
      <c r="E45" s="395"/>
      <c r="F45" s="395"/>
      <c r="G45" s="395"/>
      <c r="H45" s="395"/>
      <c r="N45" s="1"/>
      <c r="X45" s="22" t="s">
        <v>43</v>
      </c>
      <c r="Y45" s="37">
        <f>expenses!P31</f>
        <v>12350</v>
      </c>
    </row>
    <row r="46" spans="1:28" ht="14.25" customHeight="1" x14ac:dyDescent="0.3">
      <c r="A46" s="1"/>
      <c r="B46" s="1"/>
      <c r="C46" s="394"/>
      <c r="D46" s="394"/>
      <c r="E46" s="395"/>
      <c r="F46" s="395"/>
      <c r="G46" s="395"/>
      <c r="H46" s="395"/>
      <c r="N46" s="1"/>
      <c r="X46" s="22" t="s">
        <v>44</v>
      </c>
      <c r="Y46" s="37">
        <f>expenses!D34</f>
        <v>9300</v>
      </c>
    </row>
    <row r="47" spans="1:28" ht="14.25" customHeight="1" x14ac:dyDescent="0.3">
      <c r="A47" s="3"/>
      <c r="B47" s="3"/>
      <c r="C47" s="394"/>
      <c r="D47" s="394"/>
      <c r="E47" s="395"/>
      <c r="F47" s="395"/>
      <c r="G47" s="395"/>
      <c r="H47" s="395"/>
      <c r="N47" s="3"/>
      <c r="X47" s="22"/>
      <c r="Y47" s="37"/>
    </row>
    <row r="48" spans="1:28" ht="14.25" customHeight="1" x14ac:dyDescent="0.3">
      <c r="X48" s="22"/>
      <c r="Y48" s="37"/>
    </row>
    <row r="49" spans="18:28" ht="14.25" customHeight="1" thickBot="1" x14ac:dyDescent="0.35">
      <c r="X49" s="23" t="s">
        <v>22</v>
      </c>
      <c r="Y49" s="38">
        <f ca="1">SUM(Y41:Y48)</f>
        <v>114072</v>
      </c>
      <c r="AB49" s="13">
        <f>400/4</f>
        <v>100</v>
      </c>
    </row>
    <row r="50" spans="18:28" ht="14.25" customHeight="1" x14ac:dyDescent="0.3"/>
    <row r="51" spans="18:28" ht="14.25" customHeight="1" x14ac:dyDescent="0.3"/>
    <row r="52" spans="18:28" ht="14.25" customHeight="1" x14ac:dyDescent="0.3"/>
    <row r="53" spans="18:28" ht="14.25" customHeight="1" x14ac:dyDescent="0.3"/>
    <row r="54" spans="18:28" ht="14.25" customHeight="1" x14ac:dyDescent="0.3"/>
    <row r="55" spans="18:28" ht="14.25" customHeight="1" x14ac:dyDescent="0.3"/>
    <row r="56" spans="18:28" ht="14.25" customHeight="1" x14ac:dyDescent="0.3"/>
    <row r="57" spans="18:28" ht="14.25" customHeight="1" x14ac:dyDescent="0.3"/>
    <row r="58" spans="18:28" ht="14.25" customHeight="1" x14ac:dyDescent="0.3">
      <c r="S58" s="19"/>
    </row>
    <row r="59" spans="18:28" ht="14.25" customHeight="1" x14ac:dyDescent="0.3"/>
    <row r="60" spans="18:28" ht="14.25" customHeight="1" x14ac:dyDescent="0.3">
      <c r="R60" s="13"/>
      <c r="S60" s="13"/>
      <c r="T60" s="13"/>
    </row>
    <row r="61" spans="18:28" ht="14.25" customHeight="1" x14ac:dyDescent="0.3"/>
    <row r="62" spans="18:28" ht="14.25" customHeight="1" x14ac:dyDescent="0.3"/>
    <row r="63" spans="18:28" ht="14.25" customHeight="1" x14ac:dyDescent="0.3"/>
    <row r="64" spans="18:28" ht="14.25" customHeight="1" x14ac:dyDescent="0.3"/>
    <row r="65" spans="8:13" ht="14.25" customHeight="1" x14ac:dyDescent="0.3"/>
    <row r="66" spans="8:13" ht="14.25" customHeight="1" x14ac:dyDescent="0.3"/>
    <row r="67" spans="8:13" ht="14.25" customHeight="1" x14ac:dyDescent="0.3">
      <c r="H67" s="51">
        <v>44927</v>
      </c>
      <c r="I67" s="51"/>
      <c r="J67" s="51"/>
      <c r="K67" s="51"/>
      <c r="L67" s="51"/>
      <c r="M67" s="51"/>
    </row>
    <row r="68" spans="8:13" ht="14.25" customHeight="1" x14ac:dyDescent="0.3"/>
    <row r="69" spans="8:13" ht="14.25" customHeight="1" x14ac:dyDescent="0.3"/>
    <row r="70" spans="8:13" ht="14.25" customHeight="1" x14ac:dyDescent="0.3"/>
    <row r="71" spans="8:13" ht="14.25" customHeight="1" x14ac:dyDescent="0.3"/>
    <row r="72" spans="8:13" ht="14.25" customHeight="1" x14ac:dyDescent="0.3"/>
    <row r="73" spans="8:13" ht="14.25" customHeight="1" x14ac:dyDescent="0.3"/>
    <row r="74" spans="8:13" ht="14.25" customHeight="1" x14ac:dyDescent="0.3"/>
    <row r="75" spans="8:13" ht="14.25" customHeight="1" x14ac:dyDescent="0.3"/>
    <row r="76" spans="8:13" ht="14.25" customHeight="1" x14ac:dyDescent="0.3"/>
    <row r="77" spans="8:13" ht="14.25" customHeight="1" x14ac:dyDescent="0.3"/>
    <row r="78" spans="8:13" ht="14.25" customHeight="1" x14ac:dyDescent="0.3"/>
    <row r="79" spans="8:13" ht="14.25" customHeight="1" x14ac:dyDescent="0.3"/>
    <row r="80" spans="8:1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3">
    <mergeCell ref="C1:Q1"/>
    <mergeCell ref="S1:AB1"/>
    <mergeCell ref="C47:H47"/>
    <mergeCell ref="B38:N38"/>
    <mergeCell ref="Q38:R38"/>
    <mergeCell ref="C39:H39"/>
    <mergeCell ref="C40:H40"/>
    <mergeCell ref="C41:H41"/>
    <mergeCell ref="C42:H42"/>
    <mergeCell ref="C43:H43"/>
    <mergeCell ref="C44:H44"/>
    <mergeCell ref="C45:H45"/>
    <mergeCell ref="C46:H46"/>
  </mergeCells>
  <conditionalFormatting sqref="I3:I33">
    <cfRule type="cellIs" dxfId="15" priority="1" operator="lessThan">
      <formula>205</formula>
    </cfRule>
    <cfRule type="cellIs" dxfId="14" priority="2" operator="greaterThan">
      <formula>205</formula>
    </cfRule>
  </conditionalFormatting>
  <conditionalFormatting sqref="J3:J34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80" zoomScaleNormal="80" workbookViewId="0">
      <selection activeCell="D23" sqref="D23"/>
    </sheetView>
  </sheetViews>
  <sheetFormatPr defaultRowHeight="21" x14ac:dyDescent="0.4"/>
  <cols>
    <col min="1" max="1" width="4.5546875" style="99" customWidth="1"/>
    <col min="2" max="2" width="26.6640625" style="210" customWidth="1"/>
    <col min="3" max="3" width="20.44140625" bestFit="1" customWidth="1"/>
    <col min="4" max="4" width="19.6640625" style="136" bestFit="1" customWidth="1"/>
    <col min="5" max="5" width="16.5546875" bestFit="1" customWidth="1"/>
    <col min="6" max="6" width="3.109375" style="99" customWidth="1"/>
    <col min="7" max="7" width="31.44140625" bestFit="1" customWidth="1"/>
    <col min="8" max="8" width="20" bestFit="1" customWidth="1"/>
    <col min="9" max="9" width="19.6640625" bestFit="1" customWidth="1"/>
    <col min="10" max="10" width="15.6640625" bestFit="1" customWidth="1"/>
    <col min="11" max="13" width="8.88671875" style="99"/>
  </cols>
  <sheetData>
    <row r="1" spans="2:10" s="209" customFormat="1" ht="12" customHeight="1" x14ac:dyDescent="0.4">
      <c r="B1" s="248"/>
    </row>
    <row r="2" spans="2:10" ht="28.2" thickBot="1" x14ac:dyDescent="0.35">
      <c r="B2" s="401" t="s">
        <v>0</v>
      </c>
      <c r="C2" s="402"/>
      <c r="D2" s="402"/>
      <c r="E2" s="402"/>
      <c r="F2" s="402"/>
      <c r="G2" s="402"/>
      <c r="H2" s="402"/>
      <c r="I2" s="402"/>
      <c r="J2" s="402"/>
    </row>
    <row r="3" spans="2:10" ht="21.6" thickBot="1" x14ac:dyDescent="0.45">
      <c r="B3" s="120"/>
      <c r="C3" s="292" t="s">
        <v>131</v>
      </c>
      <c r="D3" s="293" t="s">
        <v>132</v>
      </c>
      <c r="E3" s="294" t="s">
        <v>133</v>
      </c>
      <c r="G3" s="291"/>
      <c r="H3" s="292" t="s">
        <v>131</v>
      </c>
      <c r="I3" s="293" t="s">
        <v>132</v>
      </c>
      <c r="J3" s="294" t="s">
        <v>133</v>
      </c>
    </row>
    <row r="4" spans="2:10" thickBot="1" x14ac:dyDescent="0.35">
      <c r="B4" s="117" t="s">
        <v>149</v>
      </c>
      <c r="C4" s="117">
        <f>SCORECARD!B13</f>
        <v>0</v>
      </c>
      <c r="D4" s="303">
        <f>SCORECARD!B12</f>
        <v>-34930</v>
      </c>
      <c r="E4" s="290"/>
      <c r="G4" s="117" t="s">
        <v>149</v>
      </c>
      <c r="H4" s="288">
        <f>+C4/C5</f>
        <v>0</v>
      </c>
      <c r="I4" s="289">
        <f>+D4/D5</f>
        <v>-0.11328697637611405</v>
      </c>
      <c r="J4" s="290"/>
    </row>
    <row r="5" spans="2:10" ht="21.6" thickTop="1" thickBot="1" x14ac:dyDescent="0.35">
      <c r="B5" s="2" t="s">
        <v>195</v>
      </c>
      <c r="C5" s="117">
        <f>SCORECARD!F34</f>
        <v>423000</v>
      </c>
      <c r="D5" s="237">
        <f>SCORECARD!H34</f>
        <v>308332</v>
      </c>
      <c r="E5" s="220"/>
      <c r="G5" s="2" t="s">
        <v>169</v>
      </c>
      <c r="H5" s="397">
        <f>+D5/C5</f>
        <v>0.72891725768321514</v>
      </c>
      <c r="I5" s="398"/>
      <c r="J5" s="220"/>
    </row>
    <row r="6" spans="2:10" ht="21.6" thickTop="1" thickBot="1" x14ac:dyDescent="0.35">
      <c r="B6" s="2" t="s">
        <v>153</v>
      </c>
      <c r="C6" s="117">
        <f>SCORECARD!G34</f>
        <v>302000</v>
      </c>
      <c r="D6" s="237">
        <f>SCORECARD!H34</f>
        <v>308332</v>
      </c>
      <c r="E6" s="220"/>
      <c r="G6" s="212" t="s">
        <v>36</v>
      </c>
      <c r="H6" s="247">
        <f>H7/C7</f>
        <v>0.18928368794326242</v>
      </c>
      <c r="I6" s="247">
        <f>I7/D7</f>
        <v>0.20958881061586968</v>
      </c>
      <c r="J6" s="220"/>
    </row>
    <row r="7" spans="2:10" ht="21.6" thickTop="1" thickBot="1" x14ac:dyDescent="0.35">
      <c r="B7" s="2" t="s">
        <v>150</v>
      </c>
      <c r="C7" s="117">
        <f>+C5+C4</f>
        <v>423000</v>
      </c>
      <c r="D7" s="117">
        <f>+D5+D4</f>
        <v>273402</v>
      </c>
      <c r="E7" s="220">
        <f>D7-C7</f>
        <v>-149598</v>
      </c>
      <c r="G7" s="211" t="s">
        <v>27</v>
      </c>
      <c r="H7" s="241">
        <f>C7-C24</f>
        <v>80067</v>
      </c>
      <c r="I7" s="241">
        <f>D6-D24</f>
        <v>57302</v>
      </c>
      <c r="J7" s="220">
        <f>I7-H7</f>
        <v>-22765</v>
      </c>
    </row>
    <row r="8" spans="2:10" ht="21.6" thickTop="1" thickBot="1" x14ac:dyDescent="0.35">
      <c r="B8" s="4" t="s">
        <v>10</v>
      </c>
      <c r="C8" s="5">
        <f>COUNT(SCORECARD!N3:N33)</f>
        <v>23</v>
      </c>
      <c r="D8" s="238">
        <f>COUNT(SCORECARD!N3:N33)</f>
        <v>23</v>
      </c>
      <c r="E8" s="220">
        <f>D8-C8</f>
        <v>0</v>
      </c>
      <c r="G8" s="10" t="s">
        <v>170</v>
      </c>
      <c r="H8" s="399">
        <f>+E9/C9</f>
        <v>2.0966887417218475E-2</v>
      </c>
      <c r="I8" s="400"/>
      <c r="J8" s="220">
        <f>I8-H8</f>
        <v>-2.0966887417218475E-2</v>
      </c>
    </row>
    <row r="9" spans="2:10" ht="21.6" thickTop="1" thickBot="1" x14ac:dyDescent="0.35">
      <c r="B9" s="10" t="s">
        <v>13</v>
      </c>
      <c r="C9" s="11">
        <f>C6/C8</f>
        <v>13130.434782608696</v>
      </c>
      <c r="D9" s="219">
        <f>D5/D8</f>
        <v>13405.739130434782</v>
      </c>
      <c r="E9" s="220">
        <f>D9-C9</f>
        <v>275.30434782608609</v>
      </c>
      <c r="G9" s="10"/>
      <c r="H9" s="337"/>
      <c r="I9" s="338"/>
      <c r="J9" s="220"/>
    </row>
    <row r="10" spans="2:10" ht="21.6" thickTop="1" thickBot="1" x14ac:dyDescent="0.35">
      <c r="B10" s="360" t="s">
        <v>192</v>
      </c>
      <c r="C10" s="361">
        <f>+C5-C11</f>
        <v>333000</v>
      </c>
      <c r="D10" s="230">
        <f>SCORECARD!K34</f>
        <v>242254</v>
      </c>
      <c r="E10" s="220">
        <f>D10-C10</f>
        <v>-90746</v>
      </c>
      <c r="G10" s="360" t="s">
        <v>193</v>
      </c>
      <c r="H10" s="362">
        <f>C10/C7</f>
        <v>0.78723404255319152</v>
      </c>
      <c r="I10" s="296">
        <f>D10/D7</f>
        <v>0.88607252324416064</v>
      </c>
      <c r="J10" s="220">
        <f>I10-H10</f>
        <v>9.8838480690969122E-2</v>
      </c>
    </row>
    <row r="11" spans="2:10" ht="21.6" thickTop="1" thickBot="1" x14ac:dyDescent="0.35">
      <c r="B11" s="353" t="s">
        <v>188</v>
      </c>
      <c r="C11" s="354">
        <v>90000</v>
      </c>
      <c r="D11" s="354">
        <f>SCORECARD!L34</f>
        <v>66592</v>
      </c>
      <c r="E11" s="220"/>
      <c r="G11" s="353" t="s">
        <v>188</v>
      </c>
      <c r="H11" s="358">
        <f>+C11/C7</f>
        <v>0.21276595744680851</v>
      </c>
      <c r="I11" s="358">
        <f>+D11/D7</f>
        <v>0.2435680792386303</v>
      </c>
      <c r="J11" s="220"/>
    </row>
    <row r="12" spans="2:10" ht="21.6" thickTop="1" thickBot="1" x14ac:dyDescent="0.35">
      <c r="B12" s="355" t="s">
        <v>20</v>
      </c>
      <c r="C12" s="355">
        <f>PURCHASE!A8</f>
        <v>78600</v>
      </c>
      <c r="D12" s="356">
        <f>PURCHASE!A4</f>
        <v>61595</v>
      </c>
      <c r="E12" s="220">
        <f>D12-C12</f>
        <v>-17005</v>
      </c>
      <c r="G12" s="355" t="s">
        <v>32</v>
      </c>
      <c r="H12" s="358">
        <f>C12/C7</f>
        <v>0.18581560283687942</v>
      </c>
      <c r="I12" s="359">
        <f>D12/D7</f>
        <v>0.22529096348965991</v>
      </c>
      <c r="J12" s="220">
        <f>I12-H12</f>
        <v>3.9475360652780483E-2</v>
      </c>
    </row>
    <row r="13" spans="2:10" ht="21.6" thickTop="1" thickBot="1" x14ac:dyDescent="0.35">
      <c r="B13" s="355" t="s">
        <v>194</v>
      </c>
      <c r="C13" s="357">
        <f>+C11-C12</f>
        <v>11400</v>
      </c>
      <c r="D13" s="356">
        <f>+D11-D12</f>
        <v>4997</v>
      </c>
      <c r="E13" s="220">
        <f>D13-C13</f>
        <v>-6403</v>
      </c>
      <c r="G13" s="355" t="s">
        <v>194</v>
      </c>
      <c r="H13" s="358">
        <f>C13/C7</f>
        <v>2.6950354609929079E-2</v>
      </c>
      <c r="I13" s="359">
        <f>D13/D7</f>
        <v>1.8277115748970382E-2</v>
      </c>
      <c r="J13" s="220">
        <f>I13-H13</f>
        <v>-8.6732388609586965E-3</v>
      </c>
    </row>
    <row r="14" spans="2:10" ht="21.6" thickTop="1" thickBot="1" x14ac:dyDescent="0.35">
      <c r="B14" s="344" t="s">
        <v>21</v>
      </c>
      <c r="C14" s="344">
        <f>PURCHASE!A7</f>
        <v>122880</v>
      </c>
      <c r="D14" s="351">
        <f>PURCHASE!A3</f>
        <v>77517</v>
      </c>
      <c r="E14" s="220">
        <f t="shared" ref="E14:E23" si="0">D14-C14</f>
        <v>-45363</v>
      </c>
      <c r="G14" s="344" t="s">
        <v>33</v>
      </c>
      <c r="H14" s="345">
        <f>C14/C7</f>
        <v>0.29049645390070922</v>
      </c>
      <c r="I14" s="346">
        <f>D14/D7</f>
        <v>0.28352755283428799</v>
      </c>
      <c r="J14" s="220">
        <f>I14-H14</f>
        <v>-6.9689010664212292E-3</v>
      </c>
    </row>
    <row r="15" spans="2:10" ht="21.6" thickTop="1" thickBot="1" x14ac:dyDescent="0.35">
      <c r="B15" s="344" t="s">
        <v>144</v>
      </c>
      <c r="C15" s="344">
        <f>expenses!R32</f>
        <v>13800</v>
      </c>
      <c r="D15" s="351">
        <f>expenses!R31</f>
        <v>12350</v>
      </c>
      <c r="E15" s="220">
        <f t="shared" si="0"/>
        <v>-1450</v>
      </c>
      <c r="G15" s="344" t="s">
        <v>34</v>
      </c>
      <c r="H15" s="345">
        <f>C16/C7</f>
        <v>2.8368794326241134E-2</v>
      </c>
      <c r="I15" s="346">
        <f>D16/D7</f>
        <v>1.9919386105441805E-2</v>
      </c>
      <c r="J15" s="220">
        <f>I20-H20</f>
        <v>3.3736339132031973E-2</v>
      </c>
    </row>
    <row r="16" spans="2:10" ht="21.6" thickTop="1" thickBot="1" x14ac:dyDescent="0.35">
      <c r="B16" s="347" t="s">
        <v>167</v>
      </c>
      <c r="C16" s="347">
        <f>PURCHASE!A6</f>
        <v>12000</v>
      </c>
      <c r="D16" s="351">
        <f>PURCHASE!A2</f>
        <v>5446</v>
      </c>
      <c r="E16" s="220">
        <f t="shared" si="0"/>
        <v>-6554</v>
      </c>
      <c r="G16" s="347" t="s">
        <v>168</v>
      </c>
      <c r="H16" s="348">
        <f>C15/C7</f>
        <v>3.2624113475177303E-2</v>
      </c>
      <c r="I16" s="346">
        <f>D15/D7</f>
        <v>4.5171578847265199E-2</v>
      </c>
      <c r="J16" s="220">
        <f>I21-H21</f>
        <v>3.9972570784204894E-4</v>
      </c>
    </row>
    <row r="17" spans="2:10" ht="21.6" thickTop="1" thickBot="1" x14ac:dyDescent="0.35">
      <c r="B17" s="349" t="s">
        <v>190</v>
      </c>
      <c r="C17" s="349">
        <f>SUM(C14:C16)</f>
        <v>148680</v>
      </c>
      <c r="D17" s="352">
        <f>SUM(D14:D16)</f>
        <v>95313</v>
      </c>
      <c r="E17" s="220">
        <f>D17-C17</f>
        <v>-53367</v>
      </c>
      <c r="G17" s="349" t="s">
        <v>189</v>
      </c>
      <c r="H17" s="350">
        <f>C17/C7</f>
        <v>0.35148936170212763</v>
      </c>
      <c r="I17" s="350">
        <f>D17/D7</f>
        <v>0.34861851778699499</v>
      </c>
      <c r="J17" s="220">
        <f>I23-H23</f>
        <v>-1.4184397163120567E-2</v>
      </c>
    </row>
    <row r="18" spans="2:10" ht="21.6" thickTop="1" thickBot="1" x14ac:dyDescent="0.35">
      <c r="B18" s="20" t="s">
        <v>23</v>
      </c>
      <c r="C18" s="20">
        <f>expenses!D13</f>
        <v>86500</v>
      </c>
      <c r="D18" s="239">
        <f>expenses!K13</f>
        <v>72656</v>
      </c>
      <c r="E18" s="220">
        <f>D18-C18</f>
        <v>-13844</v>
      </c>
      <c r="G18" s="20" t="s">
        <v>28</v>
      </c>
      <c r="H18" s="297">
        <f>C18/C7</f>
        <v>0.2044917257683215</v>
      </c>
      <c r="I18" s="242">
        <f>D18/D6</f>
        <v>0.23564210007394626</v>
      </c>
      <c r="J18" s="220">
        <f>I18-H18</f>
        <v>3.1150374305624756E-2</v>
      </c>
    </row>
    <row r="19" spans="2:10" ht="21.6" thickTop="1" thickBot="1" x14ac:dyDescent="0.35">
      <c r="B19" s="231" t="s">
        <v>24</v>
      </c>
      <c r="C19" s="231">
        <f>expenses!J18</f>
        <v>5000</v>
      </c>
      <c r="D19" s="240">
        <f>expenses!D34</f>
        <v>9300</v>
      </c>
      <c r="E19" s="220">
        <f t="shared" si="0"/>
        <v>4300</v>
      </c>
      <c r="G19" s="231" t="s">
        <v>30</v>
      </c>
      <c r="H19" s="243">
        <f>C19/C7</f>
        <v>1.1820330969267139E-2</v>
      </c>
      <c r="I19" s="298">
        <f>D19/D6</f>
        <v>3.0162292593697702E-2</v>
      </c>
      <c r="J19" s="220">
        <f>I19-H19</f>
        <v>1.8341961624430563E-2</v>
      </c>
    </row>
    <row r="20" spans="2:10" ht="21.6" thickTop="1" thickBot="1" x14ac:dyDescent="0.35">
      <c r="B20" s="213" t="s">
        <v>25</v>
      </c>
      <c r="C20" s="213">
        <f>expenses!D50</f>
        <v>83753</v>
      </c>
      <c r="D20" s="214">
        <f>expenses!F50</f>
        <v>71451</v>
      </c>
      <c r="E20" s="220">
        <f t="shared" si="0"/>
        <v>-12302</v>
      </c>
      <c r="G20" s="213" t="s">
        <v>145</v>
      </c>
      <c r="H20" s="244">
        <f>C20/C7</f>
        <v>0.19799763593380615</v>
      </c>
      <c r="I20" s="299">
        <f>D20/D6</f>
        <v>0.23173397506583812</v>
      </c>
      <c r="J20" s="220">
        <f>I15-H15</f>
        <v>-8.4494082207993287E-3</v>
      </c>
    </row>
    <row r="21" spans="2:10" ht="21.6" thickTop="1" thickBot="1" x14ac:dyDescent="0.35">
      <c r="B21" s="215" t="s">
        <v>143</v>
      </c>
      <c r="C21" s="215">
        <f>expenses!S16</f>
        <v>3000</v>
      </c>
      <c r="D21" s="216">
        <f>expenses!S14</f>
        <v>2310</v>
      </c>
      <c r="E21" s="220">
        <f t="shared" si="0"/>
        <v>-690</v>
      </c>
      <c r="G21" s="215" t="s">
        <v>146</v>
      </c>
      <c r="H21" s="245">
        <f>C21/C7</f>
        <v>7.0921985815602835E-3</v>
      </c>
      <c r="I21" s="245">
        <f>D21/D6</f>
        <v>7.4919242894023325E-3</v>
      </c>
      <c r="J21" s="220">
        <f>I24-H24</f>
        <v>0.10745546430188457</v>
      </c>
    </row>
    <row r="22" spans="2:10" ht="21.6" thickTop="1" thickBot="1" x14ac:dyDescent="0.35">
      <c r="B22" s="10" t="s">
        <v>187</v>
      </c>
      <c r="C22" s="11">
        <v>10000</v>
      </c>
      <c r="D22" s="219"/>
      <c r="E22" s="220"/>
      <c r="G22" s="10" t="s">
        <v>187</v>
      </c>
      <c r="H22" s="295"/>
      <c r="I22" s="295"/>
      <c r="J22" s="220"/>
    </row>
    <row r="23" spans="2:10" s="99" customFormat="1" ht="21.6" thickTop="1" thickBot="1" x14ac:dyDescent="0.35">
      <c r="B23" s="217" t="s">
        <v>148</v>
      </c>
      <c r="C23" s="217">
        <f>expenses!M34</f>
        <v>6000</v>
      </c>
      <c r="D23" s="218">
        <f>expenses!M33</f>
        <v>0</v>
      </c>
      <c r="E23" s="220">
        <f t="shared" si="0"/>
        <v>-6000</v>
      </c>
      <c r="G23" s="217" t="s">
        <v>147</v>
      </c>
      <c r="H23" s="246">
        <f>C23/C7</f>
        <v>1.4184397163120567E-2</v>
      </c>
      <c r="I23" s="300">
        <f>D23/D7</f>
        <v>0</v>
      </c>
      <c r="J23" s="220">
        <f>I6-H6</f>
        <v>2.0305122672607256E-2</v>
      </c>
    </row>
    <row r="24" spans="2:10" s="99" customFormat="1" ht="21.6" thickTop="1" thickBot="1" x14ac:dyDescent="0.35">
      <c r="B24" s="21" t="s">
        <v>26</v>
      </c>
      <c r="C24" s="21">
        <f>SUM(C17:C23)</f>
        <v>342933</v>
      </c>
      <c r="D24" s="219">
        <f>SUM(D17:D23)</f>
        <v>251030</v>
      </c>
      <c r="E24" s="220">
        <f>D24-C24</f>
        <v>-91903</v>
      </c>
      <c r="G24" s="21" t="s">
        <v>35</v>
      </c>
      <c r="H24" s="301">
        <f>C24/C7</f>
        <v>0.81071631205673755</v>
      </c>
      <c r="I24" s="302">
        <f>D24/D7</f>
        <v>0.91817177635862213</v>
      </c>
      <c r="J24" s="220"/>
    </row>
    <row r="25" spans="2:10" s="99" customFormat="1" ht="21.6" thickTop="1" thickBot="1" x14ac:dyDescent="0.35">
      <c r="G25" s="14" t="s">
        <v>16</v>
      </c>
      <c r="H25" s="135"/>
      <c r="I25" s="18">
        <f>SUM(SCORECARD!N3:N33)</f>
        <v>134358</v>
      </c>
    </row>
    <row r="26" spans="2:10" s="99" customFormat="1" ht="21.6" thickTop="1" thickBot="1" x14ac:dyDescent="0.35">
      <c r="G26" s="15" t="s">
        <v>17</v>
      </c>
      <c r="H26" s="135"/>
      <c r="I26" s="18">
        <f>SUM(SCORECARD!O3:O33)</f>
        <v>159924</v>
      </c>
    </row>
    <row r="27" spans="2:10" s="99" customFormat="1" ht="22.2" thickTop="1" thickBot="1" x14ac:dyDescent="0.45">
      <c r="B27" s="248"/>
      <c r="D27" s="209"/>
      <c r="G27" s="16" t="s">
        <v>19</v>
      </c>
      <c r="H27" s="134"/>
      <c r="I27" s="18">
        <f>SUM(SCORECARD!E3:E33)</f>
        <v>0</v>
      </c>
    </row>
    <row r="28" spans="2:10" ht="22.2" thickTop="1" thickBot="1" x14ac:dyDescent="0.45">
      <c r="B28" s="248"/>
      <c r="C28" s="99"/>
      <c r="D28" s="209"/>
      <c r="E28" s="99"/>
      <c r="G28" s="4" t="s">
        <v>154</v>
      </c>
      <c r="H28" s="5">
        <f>'CASH TALLY'!H25</f>
        <v>1500</v>
      </c>
      <c r="I28" s="5"/>
      <c r="J28" s="99"/>
    </row>
    <row r="29" spans="2:10" ht="22.2" thickTop="1" thickBot="1" x14ac:dyDescent="0.45">
      <c r="B29" s="248"/>
      <c r="C29" s="99"/>
      <c r="D29" s="209"/>
      <c r="E29" s="99"/>
      <c r="G29" s="10" t="s">
        <v>156</v>
      </c>
      <c r="H29" s="259">
        <v>0</v>
      </c>
      <c r="I29" s="252"/>
      <c r="J29" s="99"/>
    </row>
    <row r="30" spans="2:10" ht="22.2" thickTop="1" thickBot="1" x14ac:dyDescent="0.45">
      <c r="G30" s="133" t="s">
        <v>155</v>
      </c>
      <c r="H30" s="253">
        <f>H29+H28</f>
        <v>1500</v>
      </c>
      <c r="I30" s="253"/>
      <c r="J30" s="99"/>
    </row>
    <row r="31" spans="2:10" ht="21.6" thickTop="1" x14ac:dyDescent="0.4">
      <c r="J31" s="99"/>
    </row>
    <row r="32" spans="2:10" ht="29.4" customHeight="1" x14ac:dyDescent="0.4">
      <c r="J32" s="99"/>
    </row>
    <row r="33" ht="27" customHeight="1" x14ac:dyDescent="0.4"/>
  </sheetData>
  <sheetProtection password="CC3D" sheet="1" objects="1" scenarios="1"/>
  <mergeCells count="3">
    <mergeCell ref="H5:I5"/>
    <mergeCell ref="H8:I8"/>
    <mergeCell ref="B2:J2"/>
  </mergeCells>
  <conditionalFormatting sqref="H8:I8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I6:I7">
    <cfRule type="cellIs" dxfId="9" priority="5" operator="greaterThan">
      <formula>0</formula>
    </cfRule>
  </conditionalFormatting>
  <conditionalFormatting sqref="I7">
    <cfRule type="cellIs" dxfId="8" priority="3" operator="lessThan">
      <formula>3984</formula>
    </cfRule>
    <cfRule type="cellIs" dxfId="7" priority="4" operator="lessThan">
      <formula>0</formula>
    </cfRule>
    <cfRule type="cellIs" dxfId="6" priority="7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36"/>
  <sheetViews>
    <sheetView zoomScale="84" zoomScaleNormal="84" workbookViewId="0">
      <selection activeCell="H5" sqref="H5"/>
    </sheetView>
  </sheetViews>
  <sheetFormatPr defaultRowHeight="14.4" x14ac:dyDescent="0.3"/>
  <cols>
    <col min="1" max="1" width="2.88671875" customWidth="1"/>
    <col min="2" max="2" width="14.6640625" bestFit="1" customWidth="1"/>
    <col min="6" max="6" width="1.109375" style="99" customWidth="1"/>
    <col min="7" max="7" width="14.6640625" bestFit="1" customWidth="1"/>
    <col min="9" max="9" width="6" customWidth="1"/>
    <col min="10" max="10" width="6.33203125" bestFit="1" customWidth="1"/>
    <col min="11" max="11" width="14.6640625" bestFit="1" customWidth="1"/>
    <col min="12" max="12" width="5.109375" bestFit="1" customWidth="1"/>
    <col min="13" max="13" width="6.109375" customWidth="1"/>
    <col min="14" max="14" width="6.33203125" customWidth="1"/>
    <col min="15" max="15" width="5" style="99" customWidth="1"/>
    <col min="16" max="16" width="14.6640625" bestFit="1" customWidth="1"/>
    <col min="17" max="17" width="7.5546875" bestFit="1" customWidth="1"/>
    <col min="20" max="20" width="7.5546875" bestFit="1" customWidth="1"/>
    <col min="21" max="23" width="8.109375" bestFit="1" customWidth="1"/>
    <col min="24" max="24" width="8.88671875" style="99"/>
  </cols>
  <sheetData>
    <row r="1" spans="2:23" s="99" customFormat="1" ht="15" thickBot="1" x14ac:dyDescent="0.35"/>
    <row r="2" spans="2:23" x14ac:dyDescent="0.3">
      <c r="B2" s="406" t="s">
        <v>103</v>
      </c>
      <c r="C2" s="407"/>
      <c r="D2" s="407"/>
      <c r="E2" s="408"/>
      <c r="F2" s="415"/>
      <c r="G2" s="409" t="s">
        <v>104</v>
      </c>
      <c r="H2" s="410"/>
      <c r="I2" s="411"/>
      <c r="J2" s="254"/>
      <c r="K2" s="412" t="s">
        <v>105</v>
      </c>
      <c r="L2" s="413"/>
      <c r="M2" s="413"/>
      <c r="N2" s="414"/>
      <c r="O2" s="415"/>
      <c r="P2" s="403" t="s">
        <v>106</v>
      </c>
      <c r="Q2" s="404"/>
      <c r="R2" s="404"/>
      <c r="S2" s="405"/>
      <c r="T2" s="99"/>
      <c r="U2" s="99"/>
      <c r="V2" s="99"/>
      <c r="W2" s="99"/>
    </row>
    <row r="3" spans="2:23" x14ac:dyDescent="0.3">
      <c r="B3" s="75"/>
      <c r="C3" s="71" t="s">
        <v>100</v>
      </c>
      <c r="D3" s="71" t="s">
        <v>101</v>
      </c>
      <c r="E3" s="76" t="s">
        <v>22</v>
      </c>
      <c r="F3" s="415"/>
      <c r="G3" s="82"/>
      <c r="H3" s="72" t="s">
        <v>100</v>
      </c>
      <c r="I3" s="83" t="s">
        <v>22</v>
      </c>
      <c r="J3" s="83" t="s">
        <v>22</v>
      </c>
      <c r="K3" s="89"/>
      <c r="L3" s="73" t="s">
        <v>100</v>
      </c>
      <c r="M3" s="73" t="s">
        <v>101</v>
      </c>
      <c r="N3" s="90" t="s">
        <v>22</v>
      </c>
      <c r="O3" s="415"/>
      <c r="P3" s="96"/>
      <c r="Q3" s="74" t="s">
        <v>107</v>
      </c>
      <c r="R3" s="74" t="s">
        <v>108</v>
      </c>
      <c r="S3" s="97" t="s">
        <v>81</v>
      </c>
      <c r="T3" s="74" t="s">
        <v>157</v>
      </c>
      <c r="U3" s="74" t="s">
        <v>162</v>
      </c>
      <c r="V3" s="74" t="s">
        <v>163</v>
      </c>
      <c r="W3" s="74" t="s">
        <v>161</v>
      </c>
    </row>
    <row r="4" spans="2:23" x14ac:dyDescent="0.3">
      <c r="B4" s="75" t="s">
        <v>83</v>
      </c>
      <c r="C4" s="256"/>
      <c r="D4" s="256">
        <v>15</v>
      </c>
      <c r="E4" s="76">
        <f>+C4*20+D4</f>
        <v>15</v>
      </c>
      <c r="F4" s="415"/>
      <c r="G4" s="82" t="s">
        <v>83</v>
      </c>
      <c r="H4" s="256">
        <v>1</v>
      </c>
      <c r="I4" s="83">
        <f>+H4*20</f>
        <v>20</v>
      </c>
      <c r="J4" s="83">
        <f>315/20</f>
        <v>15.75</v>
      </c>
      <c r="K4" s="89" t="s">
        <v>83</v>
      </c>
      <c r="L4" s="256"/>
      <c r="M4" s="256"/>
      <c r="N4" s="90">
        <f>+L4*20+M4</f>
        <v>0</v>
      </c>
      <c r="O4" s="415"/>
      <c r="P4" s="96" t="s">
        <v>83</v>
      </c>
      <c r="Q4" s="256"/>
      <c r="R4" s="74">
        <f t="shared" ref="R4:R18" si="0">+E4+I4-N4</f>
        <v>35</v>
      </c>
      <c r="S4" s="97">
        <f t="shared" ref="S4:S18" si="1">+Q4-R4</f>
        <v>-35</v>
      </c>
      <c r="T4" s="56">
        <f>N4*J4</f>
        <v>0</v>
      </c>
      <c r="U4" s="56">
        <f>+Q4*J4</f>
        <v>0</v>
      </c>
      <c r="V4" s="56">
        <f>+Q4*20</f>
        <v>0</v>
      </c>
      <c r="W4" s="56">
        <f>+V4-U4</f>
        <v>0</v>
      </c>
    </row>
    <row r="5" spans="2:23" x14ac:dyDescent="0.3">
      <c r="B5" s="75" t="s">
        <v>84</v>
      </c>
      <c r="C5" s="256">
        <v>1</v>
      </c>
      <c r="D5" s="256">
        <v>14</v>
      </c>
      <c r="E5" s="76">
        <f t="shared" ref="E5:E11" si="2">+C5*20+D5</f>
        <v>34</v>
      </c>
      <c r="F5" s="415"/>
      <c r="G5" s="82" t="s">
        <v>84</v>
      </c>
      <c r="H5" s="256"/>
      <c r="I5" s="83">
        <f t="shared" ref="I5:I11" si="3">+H5*20</f>
        <v>0</v>
      </c>
      <c r="J5" s="83">
        <f t="shared" ref="J5:J10" si="4">315/20</f>
        <v>15.75</v>
      </c>
      <c r="K5" s="89" t="s">
        <v>84</v>
      </c>
      <c r="L5" s="256"/>
      <c r="M5" s="256"/>
      <c r="N5" s="90">
        <f t="shared" ref="N5:N11" si="5">+L5*20+M5</f>
        <v>0</v>
      </c>
      <c r="O5" s="415"/>
      <c r="P5" s="96" t="s">
        <v>84</v>
      </c>
      <c r="Q5" s="256"/>
      <c r="R5" s="74">
        <f t="shared" si="0"/>
        <v>34</v>
      </c>
      <c r="S5" s="97">
        <f t="shared" si="1"/>
        <v>-34</v>
      </c>
      <c r="T5" s="56">
        <f>N5*J5</f>
        <v>0</v>
      </c>
      <c r="U5" s="56">
        <f t="shared" ref="U5:U18" si="6">+Q5*J5</f>
        <v>0</v>
      </c>
      <c r="V5" s="56">
        <f t="shared" ref="V5:V10" si="7">+Q5*20</f>
        <v>0</v>
      </c>
      <c r="W5" s="56">
        <f t="shared" ref="W5:W19" si="8">+V5-U5</f>
        <v>0</v>
      </c>
    </row>
    <row r="6" spans="2:23" x14ac:dyDescent="0.3">
      <c r="B6" s="75" t="s">
        <v>85</v>
      </c>
      <c r="C6" s="256"/>
      <c r="D6" s="256">
        <v>12</v>
      </c>
      <c r="E6" s="76">
        <f t="shared" si="2"/>
        <v>12</v>
      </c>
      <c r="F6" s="415"/>
      <c r="G6" s="82" t="s">
        <v>85</v>
      </c>
      <c r="H6" s="256"/>
      <c r="I6" s="83">
        <f t="shared" si="3"/>
        <v>0</v>
      </c>
      <c r="J6" s="83">
        <f t="shared" si="4"/>
        <v>15.75</v>
      </c>
      <c r="K6" s="89" t="s">
        <v>85</v>
      </c>
      <c r="L6" s="256"/>
      <c r="M6" s="256"/>
      <c r="N6" s="90">
        <f t="shared" si="5"/>
        <v>0</v>
      </c>
      <c r="O6" s="415"/>
      <c r="P6" s="96" t="s">
        <v>85</v>
      </c>
      <c r="Q6" s="256"/>
      <c r="R6" s="74">
        <f t="shared" si="0"/>
        <v>12</v>
      </c>
      <c r="S6" s="97">
        <f t="shared" si="1"/>
        <v>-12</v>
      </c>
      <c r="T6" s="56">
        <f t="shared" ref="T6:T18" si="9">N6*J6</f>
        <v>0</v>
      </c>
      <c r="U6" s="56">
        <f t="shared" si="6"/>
        <v>0</v>
      </c>
      <c r="V6" s="56">
        <f t="shared" si="7"/>
        <v>0</v>
      </c>
      <c r="W6" s="56">
        <f t="shared" si="8"/>
        <v>0</v>
      </c>
    </row>
    <row r="7" spans="2:23" x14ac:dyDescent="0.3">
      <c r="B7" s="75" t="s">
        <v>86</v>
      </c>
      <c r="C7" s="256"/>
      <c r="D7" s="256">
        <v>18</v>
      </c>
      <c r="E7" s="76">
        <f t="shared" si="2"/>
        <v>18</v>
      </c>
      <c r="F7" s="415"/>
      <c r="G7" s="82" t="s">
        <v>86</v>
      </c>
      <c r="H7" s="256"/>
      <c r="I7" s="83">
        <f t="shared" si="3"/>
        <v>0</v>
      </c>
      <c r="J7" s="83">
        <f t="shared" si="4"/>
        <v>15.75</v>
      </c>
      <c r="K7" s="89" t="s">
        <v>86</v>
      </c>
      <c r="L7" s="256"/>
      <c r="M7" s="256"/>
      <c r="N7" s="90">
        <f t="shared" si="5"/>
        <v>0</v>
      </c>
      <c r="O7" s="415"/>
      <c r="P7" s="96" t="s">
        <v>86</v>
      </c>
      <c r="Q7" s="256"/>
      <c r="R7" s="74">
        <f t="shared" si="0"/>
        <v>18</v>
      </c>
      <c r="S7" s="97">
        <f t="shared" si="1"/>
        <v>-18</v>
      </c>
      <c r="T7" s="56">
        <f t="shared" si="9"/>
        <v>0</v>
      </c>
      <c r="U7" s="56">
        <f t="shared" si="6"/>
        <v>0</v>
      </c>
      <c r="V7" s="56">
        <f t="shared" si="7"/>
        <v>0</v>
      </c>
      <c r="W7" s="56">
        <f t="shared" si="8"/>
        <v>0</v>
      </c>
    </row>
    <row r="8" spans="2:23" x14ac:dyDescent="0.3">
      <c r="B8" s="75" t="s">
        <v>87</v>
      </c>
      <c r="C8" s="256"/>
      <c r="D8" s="256">
        <v>3</v>
      </c>
      <c r="E8" s="76">
        <f t="shared" si="2"/>
        <v>3</v>
      </c>
      <c r="F8" s="415"/>
      <c r="G8" s="82" t="s">
        <v>87</v>
      </c>
      <c r="H8" s="256"/>
      <c r="I8" s="83">
        <f t="shared" si="3"/>
        <v>0</v>
      </c>
      <c r="J8" s="83">
        <f t="shared" si="4"/>
        <v>15.75</v>
      </c>
      <c r="K8" s="89" t="s">
        <v>87</v>
      </c>
      <c r="L8" s="256"/>
      <c r="M8" s="256"/>
      <c r="N8" s="90">
        <f t="shared" si="5"/>
        <v>0</v>
      </c>
      <c r="O8" s="415"/>
      <c r="P8" s="96" t="s">
        <v>87</v>
      </c>
      <c r="Q8" s="256"/>
      <c r="R8" s="74">
        <f t="shared" si="0"/>
        <v>3</v>
      </c>
      <c r="S8" s="97">
        <f t="shared" si="1"/>
        <v>-3</v>
      </c>
      <c r="T8" s="56">
        <f t="shared" si="9"/>
        <v>0</v>
      </c>
      <c r="U8" s="56">
        <f t="shared" si="6"/>
        <v>0</v>
      </c>
      <c r="V8" s="56">
        <f t="shared" si="7"/>
        <v>0</v>
      </c>
      <c r="W8" s="56">
        <f t="shared" si="8"/>
        <v>0</v>
      </c>
    </row>
    <row r="9" spans="2:23" x14ac:dyDescent="0.3">
      <c r="B9" s="75" t="s">
        <v>88</v>
      </c>
      <c r="C9" s="256">
        <v>1</v>
      </c>
      <c r="D9" s="256">
        <v>9</v>
      </c>
      <c r="E9" s="76">
        <f t="shared" si="2"/>
        <v>29</v>
      </c>
      <c r="F9" s="415"/>
      <c r="G9" s="82" t="s">
        <v>88</v>
      </c>
      <c r="H9" s="256">
        <v>2</v>
      </c>
      <c r="I9" s="83">
        <f t="shared" si="3"/>
        <v>40</v>
      </c>
      <c r="J9" s="83">
        <f t="shared" si="4"/>
        <v>15.75</v>
      </c>
      <c r="K9" s="89" t="s">
        <v>88</v>
      </c>
      <c r="L9" s="256"/>
      <c r="M9" s="256"/>
      <c r="N9" s="90">
        <f t="shared" si="5"/>
        <v>0</v>
      </c>
      <c r="O9" s="415"/>
      <c r="P9" s="96" t="s">
        <v>88</v>
      </c>
      <c r="Q9" s="256"/>
      <c r="R9" s="74">
        <f t="shared" si="0"/>
        <v>69</v>
      </c>
      <c r="S9" s="97">
        <f t="shared" si="1"/>
        <v>-69</v>
      </c>
      <c r="T9" s="56">
        <f t="shared" si="9"/>
        <v>0</v>
      </c>
      <c r="U9" s="56">
        <f t="shared" si="6"/>
        <v>0</v>
      </c>
      <c r="V9" s="56">
        <f t="shared" si="7"/>
        <v>0</v>
      </c>
      <c r="W9" s="56">
        <f t="shared" si="8"/>
        <v>0</v>
      </c>
    </row>
    <row r="10" spans="2:23" x14ac:dyDescent="0.3">
      <c r="B10" s="75" t="s">
        <v>89</v>
      </c>
      <c r="C10" s="256"/>
      <c r="D10" s="256">
        <v>10</v>
      </c>
      <c r="E10" s="76">
        <f t="shared" si="2"/>
        <v>10</v>
      </c>
      <c r="F10" s="415"/>
      <c r="G10" s="82" t="s">
        <v>89</v>
      </c>
      <c r="H10" s="256"/>
      <c r="I10" s="83">
        <f t="shared" si="3"/>
        <v>0</v>
      </c>
      <c r="J10" s="83">
        <f t="shared" si="4"/>
        <v>15.75</v>
      </c>
      <c r="K10" s="89" t="s">
        <v>89</v>
      </c>
      <c r="L10" s="256"/>
      <c r="M10" s="256"/>
      <c r="N10" s="90">
        <f t="shared" si="5"/>
        <v>0</v>
      </c>
      <c r="O10" s="415"/>
      <c r="P10" s="96" t="s">
        <v>89</v>
      </c>
      <c r="Q10" s="256"/>
      <c r="R10" s="74">
        <f t="shared" si="0"/>
        <v>10</v>
      </c>
      <c r="S10" s="97">
        <f t="shared" si="1"/>
        <v>-10</v>
      </c>
      <c r="T10" s="56">
        <f t="shared" si="9"/>
        <v>0</v>
      </c>
      <c r="U10" s="56">
        <f t="shared" si="6"/>
        <v>0</v>
      </c>
      <c r="V10" s="56">
        <f t="shared" si="7"/>
        <v>0</v>
      </c>
      <c r="W10" s="56">
        <f t="shared" si="8"/>
        <v>0</v>
      </c>
    </row>
    <row r="11" spans="2:23" x14ac:dyDescent="0.3">
      <c r="B11" s="75" t="s">
        <v>173</v>
      </c>
      <c r="C11" s="256">
        <v>1</v>
      </c>
      <c r="D11" s="256">
        <v>13</v>
      </c>
      <c r="E11" s="76">
        <f t="shared" si="2"/>
        <v>33</v>
      </c>
      <c r="F11" s="415"/>
      <c r="G11" s="82" t="s">
        <v>173</v>
      </c>
      <c r="H11" s="256"/>
      <c r="I11" s="83">
        <f t="shared" si="3"/>
        <v>0</v>
      </c>
      <c r="J11" s="83">
        <f>150/20</f>
        <v>7.5</v>
      </c>
      <c r="K11" s="89" t="s">
        <v>173</v>
      </c>
      <c r="L11" s="256"/>
      <c r="M11" s="256"/>
      <c r="N11" s="90">
        <f t="shared" si="5"/>
        <v>0</v>
      </c>
      <c r="O11" s="415"/>
      <c r="P11" s="255" t="s">
        <v>173</v>
      </c>
      <c r="Q11" s="256"/>
      <c r="R11" s="74"/>
      <c r="S11" s="97">
        <f t="shared" si="1"/>
        <v>0</v>
      </c>
      <c r="T11" s="56"/>
      <c r="U11" s="56"/>
      <c r="V11" s="56"/>
      <c r="W11" s="56"/>
    </row>
    <row r="12" spans="2:23" x14ac:dyDescent="0.3">
      <c r="B12" s="75" t="s">
        <v>158</v>
      </c>
      <c r="C12" s="256">
        <v>2</v>
      </c>
      <c r="D12" s="256">
        <v>6</v>
      </c>
      <c r="E12" s="76">
        <f>+C12*10+D12</f>
        <v>26</v>
      </c>
      <c r="F12" s="415"/>
      <c r="G12" s="82" t="s">
        <v>158</v>
      </c>
      <c r="H12" s="256">
        <v>3</v>
      </c>
      <c r="I12" s="83">
        <f>+H12*10</f>
        <v>30</v>
      </c>
      <c r="J12" s="83">
        <f>61/10</f>
        <v>6.1</v>
      </c>
      <c r="K12" s="89" t="s">
        <v>158</v>
      </c>
      <c r="L12" s="256"/>
      <c r="M12" s="256"/>
      <c r="N12" s="90">
        <f>+L12*10+M12</f>
        <v>0</v>
      </c>
      <c r="O12" s="415"/>
      <c r="P12" s="255" t="s">
        <v>158</v>
      </c>
      <c r="Q12" s="256"/>
      <c r="R12" s="74">
        <f t="shared" si="0"/>
        <v>56</v>
      </c>
      <c r="S12" s="97">
        <f t="shared" si="1"/>
        <v>-56</v>
      </c>
      <c r="T12" s="56">
        <f t="shared" si="9"/>
        <v>0</v>
      </c>
      <c r="U12" s="56">
        <f t="shared" si="6"/>
        <v>0</v>
      </c>
      <c r="V12" s="56">
        <f>+Q12*10</f>
        <v>0</v>
      </c>
      <c r="W12" s="56">
        <f t="shared" si="8"/>
        <v>0</v>
      </c>
    </row>
    <row r="13" spans="2:23" x14ac:dyDescent="0.3">
      <c r="B13" s="75" t="s">
        <v>90</v>
      </c>
      <c r="C13" s="256"/>
      <c r="D13" s="256"/>
      <c r="E13" s="76">
        <f>+C13*10+D13</f>
        <v>0</v>
      </c>
      <c r="F13" s="415"/>
      <c r="G13" s="82" t="s">
        <v>90</v>
      </c>
      <c r="H13" s="256"/>
      <c r="I13" s="83">
        <f>+H13*10</f>
        <v>0</v>
      </c>
      <c r="J13" s="83">
        <f>70/10</f>
        <v>7</v>
      </c>
      <c r="K13" s="89" t="s">
        <v>90</v>
      </c>
      <c r="L13" s="256"/>
      <c r="M13" s="256"/>
      <c r="N13" s="90">
        <f>+L13*10+M13</f>
        <v>0</v>
      </c>
      <c r="O13" s="415"/>
      <c r="P13" s="96" t="s">
        <v>90</v>
      </c>
      <c r="Q13" s="256"/>
      <c r="R13" s="74">
        <f t="shared" si="0"/>
        <v>0</v>
      </c>
      <c r="S13" s="97">
        <f t="shared" si="1"/>
        <v>0</v>
      </c>
      <c r="T13" s="56">
        <f t="shared" si="9"/>
        <v>0</v>
      </c>
      <c r="U13" s="56">
        <f t="shared" si="6"/>
        <v>0</v>
      </c>
      <c r="V13" s="56">
        <f>+Q13*10</f>
        <v>0</v>
      </c>
      <c r="W13" s="56">
        <f t="shared" si="8"/>
        <v>0</v>
      </c>
    </row>
    <row r="14" spans="2:23" x14ac:dyDescent="0.3">
      <c r="B14" s="75" t="s">
        <v>91</v>
      </c>
      <c r="C14" s="256"/>
      <c r="D14" s="256"/>
      <c r="E14" s="76">
        <f>+C14*10+D14</f>
        <v>0</v>
      </c>
      <c r="F14" s="415"/>
      <c r="G14" s="82" t="s">
        <v>91</v>
      </c>
      <c r="H14" s="256"/>
      <c r="I14" s="83">
        <f>+H14*10</f>
        <v>0</v>
      </c>
      <c r="J14" s="83">
        <f>70/10</f>
        <v>7</v>
      </c>
      <c r="K14" s="89" t="s">
        <v>91</v>
      </c>
      <c r="L14" s="256"/>
      <c r="M14" s="256"/>
      <c r="N14" s="90">
        <f>+L14*10+M14</f>
        <v>0</v>
      </c>
      <c r="O14" s="415"/>
      <c r="P14" s="96" t="s">
        <v>91</v>
      </c>
      <c r="Q14" s="256"/>
      <c r="R14" s="74">
        <f t="shared" si="0"/>
        <v>0</v>
      </c>
      <c r="S14" s="97">
        <f t="shared" si="1"/>
        <v>0</v>
      </c>
      <c r="T14" s="56">
        <f t="shared" si="9"/>
        <v>0</v>
      </c>
      <c r="U14" s="56">
        <f t="shared" si="6"/>
        <v>0</v>
      </c>
      <c r="V14" s="56">
        <f>+Q14*10</f>
        <v>0</v>
      </c>
      <c r="W14" s="56">
        <f t="shared" si="8"/>
        <v>0</v>
      </c>
    </row>
    <row r="15" spans="2:23" x14ac:dyDescent="0.3">
      <c r="B15" s="75" t="s">
        <v>92</v>
      </c>
      <c r="C15" s="256">
        <v>4</v>
      </c>
      <c r="D15" s="256">
        <v>3</v>
      </c>
      <c r="E15" s="76">
        <f>+C15*10+D15</f>
        <v>43</v>
      </c>
      <c r="F15" s="415"/>
      <c r="G15" s="82" t="s">
        <v>92</v>
      </c>
      <c r="H15" s="256"/>
      <c r="I15" s="83">
        <f>+H15*10</f>
        <v>0</v>
      </c>
      <c r="J15" s="83">
        <f>88/10</f>
        <v>8.8000000000000007</v>
      </c>
      <c r="K15" s="89" t="s">
        <v>92</v>
      </c>
      <c r="L15" s="256"/>
      <c r="M15" s="256"/>
      <c r="N15" s="90">
        <f>+L15*10+M15</f>
        <v>0</v>
      </c>
      <c r="O15" s="415"/>
      <c r="P15" s="96" t="s">
        <v>92</v>
      </c>
      <c r="Q15" s="256"/>
      <c r="R15" s="74">
        <f t="shared" si="0"/>
        <v>43</v>
      </c>
      <c r="S15" s="97">
        <f t="shared" si="1"/>
        <v>-43</v>
      </c>
      <c r="T15" s="56">
        <f t="shared" si="9"/>
        <v>0</v>
      </c>
      <c r="U15" s="56">
        <f t="shared" si="6"/>
        <v>0</v>
      </c>
      <c r="V15" s="56">
        <f>+Q15*12</f>
        <v>0</v>
      </c>
      <c r="W15" s="56">
        <f t="shared" si="8"/>
        <v>0</v>
      </c>
    </row>
    <row r="16" spans="2:23" x14ac:dyDescent="0.3">
      <c r="B16" s="75" t="s">
        <v>93</v>
      </c>
      <c r="C16" s="256">
        <v>1</v>
      </c>
      <c r="D16" s="256">
        <v>8</v>
      </c>
      <c r="E16" s="76">
        <f>+C16*10+D16</f>
        <v>18</v>
      </c>
      <c r="F16" s="415"/>
      <c r="G16" s="82" t="s">
        <v>93</v>
      </c>
      <c r="H16" s="256"/>
      <c r="I16" s="83">
        <f>+H16*10</f>
        <v>0</v>
      </c>
      <c r="J16" s="83">
        <f>85/10</f>
        <v>8.5</v>
      </c>
      <c r="K16" s="89" t="s">
        <v>93</v>
      </c>
      <c r="L16" s="256"/>
      <c r="M16" s="256"/>
      <c r="N16" s="90">
        <f>+L16*10+M16</f>
        <v>0</v>
      </c>
      <c r="O16" s="415"/>
      <c r="P16" s="96" t="s">
        <v>93</v>
      </c>
      <c r="Q16" s="256"/>
      <c r="R16" s="74">
        <f t="shared" si="0"/>
        <v>18</v>
      </c>
      <c r="S16" s="97">
        <f t="shared" si="1"/>
        <v>-18</v>
      </c>
      <c r="T16" s="56">
        <f t="shared" si="9"/>
        <v>0</v>
      </c>
      <c r="U16" s="56">
        <f t="shared" si="6"/>
        <v>0</v>
      </c>
      <c r="V16" s="56">
        <f>+Q16*12</f>
        <v>0</v>
      </c>
      <c r="W16" s="56">
        <f t="shared" si="8"/>
        <v>0</v>
      </c>
    </row>
    <row r="17" spans="2:23" x14ac:dyDescent="0.3">
      <c r="B17" s="315" t="s">
        <v>172</v>
      </c>
      <c r="C17" s="312"/>
      <c r="D17" s="312">
        <v>3</v>
      </c>
      <c r="E17" s="76">
        <f>+C17*50+D17</f>
        <v>3</v>
      </c>
      <c r="F17" s="415"/>
      <c r="G17" s="313" t="s">
        <v>172</v>
      </c>
      <c r="H17" s="312"/>
      <c r="I17" s="83">
        <f>+H17*50</f>
        <v>0</v>
      </c>
      <c r="J17" s="83">
        <f>400/50</f>
        <v>8</v>
      </c>
      <c r="K17" s="314" t="s">
        <v>172</v>
      </c>
      <c r="L17" s="312"/>
      <c r="M17" s="312"/>
      <c r="N17" s="90">
        <f>+L17*50+M17</f>
        <v>0</v>
      </c>
      <c r="O17" s="415"/>
      <c r="P17" s="96" t="s">
        <v>172</v>
      </c>
      <c r="Q17" s="256"/>
      <c r="R17" s="74"/>
      <c r="S17" s="97">
        <f t="shared" si="1"/>
        <v>0</v>
      </c>
      <c r="T17" s="56">
        <f t="shared" si="9"/>
        <v>0</v>
      </c>
      <c r="U17" s="56">
        <f t="shared" si="6"/>
        <v>0</v>
      </c>
      <c r="V17" s="56">
        <f>+Q17*12</f>
        <v>0</v>
      </c>
      <c r="W17" s="56">
        <f t="shared" si="8"/>
        <v>0</v>
      </c>
    </row>
    <row r="18" spans="2:23" ht="15" thickBot="1" x14ac:dyDescent="0.35">
      <c r="B18" s="77" t="s">
        <v>94</v>
      </c>
      <c r="C18" s="257">
        <v>1</v>
      </c>
      <c r="D18" s="257">
        <v>4</v>
      </c>
      <c r="E18" s="78">
        <f>+C18*10+D18</f>
        <v>14</v>
      </c>
      <c r="F18" s="415"/>
      <c r="G18" s="84" t="s">
        <v>94</v>
      </c>
      <c r="H18" s="257">
        <v>5</v>
      </c>
      <c r="I18" s="83">
        <f>+H18*10</f>
        <v>50</v>
      </c>
      <c r="J18" s="83">
        <f>85/10</f>
        <v>8.5</v>
      </c>
      <c r="K18" s="91" t="s">
        <v>94</v>
      </c>
      <c r="L18" s="257"/>
      <c r="M18" s="257"/>
      <c r="N18" s="92">
        <f>+L18*10+M18</f>
        <v>0</v>
      </c>
      <c r="O18" s="415"/>
      <c r="P18" s="96" t="s">
        <v>94</v>
      </c>
      <c r="Q18" s="256"/>
      <c r="R18" s="74">
        <f t="shared" si="0"/>
        <v>64</v>
      </c>
      <c r="S18" s="97">
        <f t="shared" si="1"/>
        <v>-64</v>
      </c>
      <c r="T18" s="56">
        <f t="shared" si="9"/>
        <v>0</v>
      </c>
      <c r="U18" s="56">
        <f t="shared" si="6"/>
        <v>0</v>
      </c>
      <c r="V18" s="56">
        <f>+Q18*12</f>
        <v>0</v>
      </c>
      <c r="W18" s="56">
        <f t="shared" si="8"/>
        <v>0</v>
      </c>
    </row>
    <row r="19" spans="2:23" x14ac:dyDescent="0.3">
      <c r="B19" s="416"/>
      <c r="C19" s="417"/>
      <c r="D19" s="417"/>
      <c r="E19" s="418"/>
      <c r="F19" s="415"/>
      <c r="G19" s="422"/>
      <c r="H19" s="423"/>
      <c r="I19" s="424"/>
      <c r="J19" s="254"/>
      <c r="K19" s="428"/>
      <c r="L19" s="429"/>
      <c r="M19" s="429"/>
      <c r="N19" s="430"/>
      <c r="O19" s="415"/>
      <c r="P19" s="96"/>
      <c r="Q19" s="74"/>
      <c r="R19" s="434" t="s">
        <v>159</v>
      </c>
      <c r="S19" s="435"/>
      <c r="T19" s="56">
        <f>SUM(T4:T18)</f>
        <v>0</v>
      </c>
      <c r="U19" s="56">
        <f>SUM(U4:U18)</f>
        <v>0</v>
      </c>
      <c r="V19" s="56">
        <f>SUM(V4:V18)</f>
        <v>0</v>
      </c>
      <c r="W19" s="56">
        <f t="shared" si="8"/>
        <v>0</v>
      </c>
    </row>
    <row r="20" spans="2:23" ht="15" thickBot="1" x14ac:dyDescent="0.35">
      <c r="B20" s="419"/>
      <c r="C20" s="420"/>
      <c r="D20" s="420"/>
      <c r="E20" s="421"/>
      <c r="F20" s="415"/>
      <c r="G20" s="425"/>
      <c r="H20" s="426"/>
      <c r="I20" s="427"/>
      <c r="J20" s="254"/>
      <c r="K20" s="431"/>
      <c r="L20" s="432"/>
      <c r="M20" s="432"/>
      <c r="N20" s="433"/>
      <c r="O20" s="415"/>
      <c r="P20" s="96"/>
      <c r="Q20" s="74"/>
      <c r="R20" s="434" t="s">
        <v>160</v>
      </c>
      <c r="S20" s="435"/>
      <c r="T20" s="56"/>
      <c r="U20" s="56"/>
      <c r="V20" s="56"/>
      <c r="W20" s="56"/>
    </row>
    <row r="21" spans="2:23" x14ac:dyDescent="0.3">
      <c r="B21" s="79"/>
      <c r="C21" s="80" t="s">
        <v>102</v>
      </c>
      <c r="D21" s="80" t="s">
        <v>101</v>
      </c>
      <c r="E21" s="81" t="s">
        <v>22</v>
      </c>
      <c r="F21" s="415"/>
      <c r="G21" s="86"/>
      <c r="H21" s="87" t="s">
        <v>102</v>
      </c>
      <c r="I21" s="88" t="s">
        <v>22</v>
      </c>
      <c r="J21" s="88" t="s">
        <v>22</v>
      </c>
      <c r="K21" s="93"/>
      <c r="L21" s="94" t="s">
        <v>102</v>
      </c>
      <c r="M21" s="94" t="s">
        <v>101</v>
      </c>
      <c r="N21" s="95" t="s">
        <v>22</v>
      </c>
      <c r="O21" s="415"/>
      <c r="P21" s="96"/>
      <c r="Q21" s="74" t="s">
        <v>107</v>
      </c>
      <c r="R21" s="74" t="s">
        <v>108</v>
      </c>
      <c r="S21" s="97" t="s">
        <v>81</v>
      </c>
      <c r="T21" s="74" t="s">
        <v>107</v>
      </c>
      <c r="U21" s="74" t="s">
        <v>107</v>
      </c>
      <c r="V21" s="74" t="s">
        <v>107</v>
      </c>
      <c r="W21" s="74" t="s">
        <v>107</v>
      </c>
    </row>
    <row r="22" spans="2:23" x14ac:dyDescent="0.3">
      <c r="B22" s="75" t="s">
        <v>69</v>
      </c>
      <c r="C22" s="256"/>
      <c r="D22" s="256">
        <v>22</v>
      </c>
      <c r="E22" s="76">
        <f>+C22*24+D22</f>
        <v>22</v>
      </c>
      <c r="F22" s="415"/>
      <c r="G22" s="82" t="s">
        <v>69</v>
      </c>
      <c r="H22" s="256"/>
      <c r="I22" s="83">
        <f>+H22*24</f>
        <v>0</v>
      </c>
      <c r="J22" s="83">
        <f>910/24</f>
        <v>37.916666666666664</v>
      </c>
      <c r="K22" s="89" t="s">
        <v>69</v>
      </c>
      <c r="L22" s="256"/>
      <c r="M22" s="256"/>
      <c r="N22" s="90">
        <f>+L22*24+M22</f>
        <v>0</v>
      </c>
      <c r="O22" s="415"/>
      <c r="P22" s="96" t="s">
        <v>69</v>
      </c>
      <c r="Q22" s="256"/>
      <c r="R22" s="74">
        <v>0.5</v>
      </c>
      <c r="S22" s="97">
        <f t="shared" ref="S22:S27" si="10">+Q22-R22</f>
        <v>-0.5</v>
      </c>
      <c r="T22" s="56">
        <f t="shared" ref="T22:T27" si="11">N22*J22</f>
        <v>0</v>
      </c>
      <c r="U22" s="56">
        <f t="shared" ref="U22:U27" si="12">+Q22*J22</f>
        <v>0</v>
      </c>
      <c r="V22" s="56">
        <f>+Q22*30</f>
        <v>0</v>
      </c>
      <c r="W22" s="56">
        <f t="shared" ref="W22:W27" si="13">+U22-V22</f>
        <v>0</v>
      </c>
    </row>
    <row r="23" spans="2:23" x14ac:dyDescent="0.3">
      <c r="B23" s="75" t="s">
        <v>95</v>
      </c>
      <c r="C23" s="256"/>
      <c r="D23" s="256">
        <v>11</v>
      </c>
      <c r="E23" s="76">
        <f>+C23*24+D23</f>
        <v>11</v>
      </c>
      <c r="F23" s="415"/>
      <c r="G23" s="82" t="s">
        <v>95</v>
      </c>
      <c r="H23" s="256"/>
      <c r="I23" s="83">
        <f>+H23*24</f>
        <v>0</v>
      </c>
      <c r="J23" s="83">
        <f>910/24</f>
        <v>37.916666666666664</v>
      </c>
      <c r="K23" s="89" t="s">
        <v>95</v>
      </c>
      <c r="L23" s="256"/>
      <c r="M23" s="256"/>
      <c r="N23" s="90">
        <f>+L23*24+M23</f>
        <v>0</v>
      </c>
      <c r="O23" s="415"/>
      <c r="P23" s="96" t="s">
        <v>95</v>
      </c>
      <c r="Q23" s="256"/>
      <c r="R23" s="74">
        <v>0.5</v>
      </c>
      <c r="S23" s="97">
        <f t="shared" si="10"/>
        <v>-0.5</v>
      </c>
      <c r="T23" s="56">
        <f t="shared" si="11"/>
        <v>0</v>
      </c>
      <c r="U23" s="56">
        <f t="shared" si="12"/>
        <v>0</v>
      </c>
      <c r="V23" s="56">
        <f>+Q23*30</f>
        <v>0</v>
      </c>
      <c r="W23" s="56">
        <f t="shared" si="13"/>
        <v>0</v>
      </c>
    </row>
    <row r="24" spans="2:23" x14ac:dyDescent="0.3">
      <c r="B24" s="75" t="s">
        <v>96</v>
      </c>
      <c r="C24" s="256"/>
      <c r="D24" s="256">
        <v>12</v>
      </c>
      <c r="E24" s="76">
        <f>+C24*24+D24</f>
        <v>12</v>
      </c>
      <c r="F24" s="415"/>
      <c r="G24" s="82" t="s">
        <v>96</v>
      </c>
      <c r="H24" s="256"/>
      <c r="I24" s="83">
        <f>+H24*24</f>
        <v>0</v>
      </c>
      <c r="J24" s="83">
        <f>910/24</f>
        <v>37.916666666666664</v>
      </c>
      <c r="K24" s="89" t="s">
        <v>96</v>
      </c>
      <c r="L24" s="256"/>
      <c r="M24" s="256"/>
      <c r="N24" s="90">
        <f>+L24*24+M24</f>
        <v>0</v>
      </c>
      <c r="O24" s="415"/>
      <c r="P24" s="96" t="s">
        <v>96</v>
      </c>
      <c r="Q24" s="256"/>
      <c r="R24" s="74">
        <v>0.5</v>
      </c>
      <c r="S24" s="97">
        <f t="shared" si="10"/>
        <v>-0.5</v>
      </c>
      <c r="T24" s="56">
        <f t="shared" si="11"/>
        <v>0</v>
      </c>
      <c r="U24" s="56">
        <f t="shared" si="12"/>
        <v>0</v>
      </c>
      <c r="V24" s="56">
        <f>+Q24*30</f>
        <v>0</v>
      </c>
      <c r="W24" s="56">
        <f t="shared" si="13"/>
        <v>0</v>
      </c>
    </row>
    <row r="25" spans="2:23" x14ac:dyDescent="0.3">
      <c r="B25" s="75" t="s">
        <v>97</v>
      </c>
      <c r="C25" s="256"/>
      <c r="D25" s="256">
        <v>6</v>
      </c>
      <c r="E25" s="76">
        <f>+C25*24+D25</f>
        <v>6</v>
      </c>
      <c r="F25" s="415"/>
      <c r="G25" s="82" t="s">
        <v>97</v>
      </c>
      <c r="H25" s="256"/>
      <c r="I25" s="83">
        <f>+H25*24</f>
        <v>0</v>
      </c>
      <c r="J25" s="83">
        <f>910/24</f>
        <v>37.916666666666664</v>
      </c>
      <c r="K25" s="89" t="s">
        <v>97</v>
      </c>
      <c r="L25" s="256"/>
      <c r="M25" s="256"/>
      <c r="N25" s="90">
        <f>+L25*24+M25</f>
        <v>0</v>
      </c>
      <c r="O25" s="415"/>
      <c r="P25" s="96" t="s">
        <v>97</v>
      </c>
      <c r="Q25" s="256"/>
      <c r="R25" s="74"/>
      <c r="S25" s="97">
        <f t="shared" si="10"/>
        <v>0</v>
      </c>
      <c r="T25" s="56">
        <f t="shared" si="11"/>
        <v>0</v>
      </c>
      <c r="U25" s="56">
        <f t="shared" si="12"/>
        <v>0</v>
      </c>
      <c r="V25" s="56"/>
      <c r="W25" s="56">
        <f t="shared" si="13"/>
        <v>0</v>
      </c>
    </row>
    <row r="26" spans="2:23" x14ac:dyDescent="0.3">
      <c r="B26" s="75" t="s">
        <v>98</v>
      </c>
      <c r="C26" s="256"/>
      <c r="D26" s="256">
        <v>14</v>
      </c>
      <c r="E26" s="76">
        <f>+C26*24+D26</f>
        <v>14</v>
      </c>
      <c r="F26" s="415"/>
      <c r="G26" s="82" t="s">
        <v>98</v>
      </c>
      <c r="H26" s="256"/>
      <c r="I26" s="83">
        <f>+H26*24</f>
        <v>0</v>
      </c>
      <c r="J26" s="83">
        <f>380/24</f>
        <v>15.833333333333334</v>
      </c>
      <c r="K26" s="89" t="s">
        <v>98</v>
      </c>
      <c r="L26" s="256"/>
      <c r="M26" s="256"/>
      <c r="N26" s="90">
        <f>+L26*24+M26</f>
        <v>0</v>
      </c>
      <c r="O26" s="415"/>
      <c r="P26" s="96" t="s">
        <v>98</v>
      </c>
      <c r="Q26" s="256"/>
      <c r="R26" s="74"/>
      <c r="S26" s="97">
        <f t="shared" si="10"/>
        <v>0</v>
      </c>
      <c r="T26" s="56">
        <f t="shared" si="11"/>
        <v>0</v>
      </c>
      <c r="U26" s="56">
        <f t="shared" si="12"/>
        <v>0</v>
      </c>
      <c r="V26" s="56"/>
      <c r="W26" s="56">
        <f t="shared" si="13"/>
        <v>0</v>
      </c>
    </row>
    <row r="27" spans="2:23" ht="15" thickBot="1" x14ac:dyDescent="0.35">
      <c r="B27" s="77" t="s">
        <v>99</v>
      </c>
      <c r="C27" s="257"/>
      <c r="D27" s="257">
        <v>132</v>
      </c>
      <c r="E27" s="78">
        <f>+C27*16+D27</f>
        <v>132</v>
      </c>
      <c r="F27" s="415"/>
      <c r="G27" s="84" t="s">
        <v>99</v>
      </c>
      <c r="H27" s="257"/>
      <c r="I27" s="83">
        <f>H27</f>
        <v>0</v>
      </c>
      <c r="J27" s="85">
        <f>130/12</f>
        <v>10.833333333333334</v>
      </c>
      <c r="K27" s="91" t="s">
        <v>99</v>
      </c>
      <c r="L27" s="257"/>
      <c r="M27" s="257"/>
      <c r="N27" s="92">
        <f>+L27*16+M27</f>
        <v>0</v>
      </c>
      <c r="O27" s="415"/>
      <c r="P27" s="98" t="s">
        <v>99</v>
      </c>
      <c r="Q27" s="257"/>
      <c r="R27" s="74">
        <f>+E27+I27-N27</f>
        <v>132</v>
      </c>
      <c r="S27" s="97">
        <f t="shared" si="10"/>
        <v>-132</v>
      </c>
      <c r="T27" s="56">
        <f t="shared" si="11"/>
        <v>0</v>
      </c>
      <c r="U27" s="56">
        <f t="shared" si="12"/>
        <v>0</v>
      </c>
      <c r="V27" s="56">
        <f>+Q27*20</f>
        <v>0</v>
      </c>
      <c r="W27" s="56">
        <f t="shared" si="13"/>
        <v>0</v>
      </c>
    </row>
    <row r="28" spans="2:23" s="99" customFormat="1" x14ac:dyDescent="0.3">
      <c r="T28" s="336">
        <f>SUM(T22:T27)</f>
        <v>0</v>
      </c>
      <c r="U28" s="336">
        <f>+T28+T19</f>
        <v>0</v>
      </c>
    </row>
    <row r="29" spans="2:23" s="99" customFormat="1" x14ac:dyDescent="0.3"/>
    <row r="30" spans="2:23" s="99" customFormat="1" x14ac:dyDescent="0.3"/>
    <row r="31" spans="2:23" s="99" customFormat="1" x14ac:dyDescent="0.3"/>
    <row r="32" spans="2:23" s="99" customFormat="1" x14ac:dyDescent="0.3"/>
    <row r="33" s="99" customFormat="1" x14ac:dyDescent="0.3"/>
    <row r="34" s="99" customFormat="1" x14ac:dyDescent="0.3"/>
    <row r="35" s="99" customFormat="1" x14ac:dyDescent="0.3"/>
    <row r="36" s="99" customFormat="1" x14ac:dyDescent="0.3"/>
  </sheetData>
  <sheetProtection password="CC3D" sheet="1" objects="1" scenarios="1" selectLockedCells="1"/>
  <mergeCells count="11">
    <mergeCell ref="P2:S2"/>
    <mergeCell ref="B2:E2"/>
    <mergeCell ref="G2:I2"/>
    <mergeCell ref="K2:N2"/>
    <mergeCell ref="O2:O27"/>
    <mergeCell ref="F2:F27"/>
    <mergeCell ref="B19:E20"/>
    <mergeCell ref="G19:I20"/>
    <mergeCell ref="K19:N20"/>
    <mergeCell ref="R19:S19"/>
    <mergeCell ref="R20:S20"/>
  </mergeCells>
  <conditionalFormatting sqref="R19:R20">
    <cfRule type="cellIs" dxfId="5" priority="1" operator="equal">
      <formula>0</formula>
    </cfRule>
    <cfRule type="cellIs" dxfId="4" priority="2" operator="equal">
      <formula>-4.5</formula>
    </cfRule>
    <cfRule type="cellIs" dxfId="3" priority="3" operator="equal">
      <formula>0</formula>
    </cfRule>
  </conditionalFormatting>
  <conditionalFormatting sqref="S1:S18 S21:S1048576">
    <cfRule type="cellIs" dxfId="2" priority="4" operator="equal">
      <formula>0</formula>
    </cfRule>
    <cfRule type="cellIs" dxfId="1" priority="5" operator="equal">
      <formula>-4.5</formula>
    </cfRule>
    <cfRule type="cellIs" dxfId="0" priority="6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4"/>
  <sheetViews>
    <sheetView workbookViewId="0">
      <selection activeCell="J17" sqref="J17"/>
    </sheetView>
  </sheetViews>
  <sheetFormatPr defaultRowHeight="14.4" x14ac:dyDescent="0.3"/>
  <cols>
    <col min="1" max="1" width="2.6640625" style="99" customWidth="1"/>
    <col min="5" max="5" width="1.6640625" customWidth="1"/>
    <col min="9" max="9" width="13.6640625" bestFit="1" customWidth="1"/>
    <col min="10" max="10" width="14.5546875" customWidth="1"/>
    <col min="12" max="12" width="12" bestFit="1" customWidth="1"/>
    <col min="13" max="13" width="8.88671875" style="123"/>
    <col min="14" max="23" width="8.88671875" style="99"/>
  </cols>
  <sheetData>
    <row r="1" spans="2:13" s="99" customFormat="1" ht="15" thickBot="1" x14ac:dyDescent="0.35">
      <c r="M1" s="123"/>
    </row>
    <row r="2" spans="2:13" ht="16.8" thickTop="1" thickBot="1" x14ac:dyDescent="0.35">
      <c r="B2" s="436" t="s">
        <v>75</v>
      </c>
      <c r="C2" s="437"/>
      <c r="D2" s="438"/>
      <c r="E2" s="442"/>
      <c r="F2" s="439" t="s">
        <v>76</v>
      </c>
      <c r="G2" s="440"/>
      <c r="H2" s="441"/>
      <c r="I2" s="125" t="s">
        <v>77</v>
      </c>
      <c r="J2" s="126">
        <f>+D13</f>
        <v>7092</v>
      </c>
      <c r="K2" s="124" t="s">
        <v>1</v>
      </c>
      <c r="L2" s="122" t="s">
        <v>135</v>
      </c>
    </row>
    <row r="3" spans="2:13" ht="15" thickTop="1" x14ac:dyDescent="0.3">
      <c r="B3" s="457"/>
      <c r="C3" s="461"/>
      <c r="D3" s="462"/>
      <c r="E3" s="443"/>
      <c r="F3" s="459"/>
      <c r="G3" s="463"/>
      <c r="H3" s="464"/>
      <c r="I3" s="57" t="s">
        <v>78</v>
      </c>
      <c r="J3" s="127">
        <f>+H13+H25</f>
        <v>7092</v>
      </c>
      <c r="K3" s="6">
        <v>45261</v>
      </c>
      <c r="L3" s="258">
        <v>9900</v>
      </c>
    </row>
    <row r="4" spans="2:13" x14ac:dyDescent="0.3">
      <c r="B4" s="62">
        <v>500</v>
      </c>
      <c r="C4" s="256">
        <v>3</v>
      </c>
      <c r="D4" s="63">
        <f>+B4*C4</f>
        <v>1500</v>
      </c>
      <c r="E4" s="443"/>
      <c r="F4" s="65">
        <v>500</v>
      </c>
      <c r="G4" s="256"/>
      <c r="H4" s="66">
        <f>+F4*G4</f>
        <v>0</v>
      </c>
      <c r="I4" s="57" t="s">
        <v>79</v>
      </c>
      <c r="J4" s="127">
        <f>+J2+J9-J25</f>
        <v>4794</v>
      </c>
      <c r="K4" s="6">
        <v>45262</v>
      </c>
      <c r="L4" s="270">
        <v>12400</v>
      </c>
    </row>
    <row r="5" spans="2:13" x14ac:dyDescent="0.3">
      <c r="B5" s="62">
        <v>200</v>
      </c>
      <c r="C5" s="256"/>
      <c r="D5" s="63">
        <f t="shared" ref="D5:D12" si="0">+B5*C5</f>
        <v>0</v>
      </c>
      <c r="E5" s="443"/>
      <c r="F5" s="65">
        <v>200</v>
      </c>
      <c r="G5" s="256"/>
      <c r="H5" s="66">
        <f t="shared" ref="H5:H12" si="1">+F5*G5</f>
        <v>0</v>
      </c>
      <c r="I5" s="57" t="s">
        <v>80</v>
      </c>
      <c r="J5" s="127">
        <f>+H13+H25</f>
        <v>7092</v>
      </c>
      <c r="K5" s="6">
        <v>45263</v>
      </c>
      <c r="L5" s="270">
        <v>10700</v>
      </c>
    </row>
    <row r="6" spans="2:13" x14ac:dyDescent="0.3">
      <c r="B6" s="62">
        <v>100</v>
      </c>
      <c r="C6" s="256">
        <v>32</v>
      </c>
      <c r="D6" s="63">
        <f t="shared" si="0"/>
        <v>3200</v>
      </c>
      <c r="E6" s="443"/>
      <c r="F6" s="65">
        <v>100</v>
      </c>
      <c r="G6" s="256">
        <v>32</v>
      </c>
      <c r="H6" s="66">
        <f t="shared" si="1"/>
        <v>3200</v>
      </c>
      <c r="I6" s="57" t="s">
        <v>81</v>
      </c>
      <c r="J6" s="127">
        <f>+J5-J4</f>
        <v>2298</v>
      </c>
      <c r="K6" s="6">
        <v>45264</v>
      </c>
      <c r="L6" s="270">
        <v>1000</v>
      </c>
    </row>
    <row r="7" spans="2:13" x14ac:dyDescent="0.3">
      <c r="B7" s="62">
        <v>50</v>
      </c>
      <c r="C7" s="256">
        <v>25</v>
      </c>
      <c r="D7" s="63">
        <f t="shared" si="0"/>
        <v>1250</v>
      </c>
      <c r="E7" s="443"/>
      <c r="F7" s="65">
        <v>50</v>
      </c>
      <c r="G7" s="256">
        <v>25</v>
      </c>
      <c r="H7" s="66">
        <f t="shared" si="1"/>
        <v>1250</v>
      </c>
      <c r="I7" s="57"/>
      <c r="J7" s="127"/>
      <c r="K7" s="6">
        <v>45265</v>
      </c>
      <c r="L7" s="270">
        <v>4200</v>
      </c>
    </row>
    <row r="8" spans="2:13" ht="15" thickBot="1" x14ac:dyDescent="0.35">
      <c r="B8" s="62">
        <v>20</v>
      </c>
      <c r="C8" s="256">
        <v>33</v>
      </c>
      <c r="D8" s="63">
        <f t="shared" si="0"/>
        <v>660</v>
      </c>
      <c r="E8" s="443"/>
      <c r="F8" s="65">
        <v>20</v>
      </c>
      <c r="G8" s="256">
        <v>33</v>
      </c>
      <c r="H8" s="66">
        <f t="shared" si="1"/>
        <v>660</v>
      </c>
      <c r="J8" s="128"/>
      <c r="K8" s="6">
        <v>45266</v>
      </c>
      <c r="L8" s="270">
        <v>4300</v>
      </c>
    </row>
    <row r="9" spans="2:13" x14ac:dyDescent="0.3">
      <c r="B9" s="62">
        <v>10</v>
      </c>
      <c r="C9" s="256">
        <v>47</v>
      </c>
      <c r="D9" s="63">
        <f t="shared" si="0"/>
        <v>470</v>
      </c>
      <c r="E9" s="443"/>
      <c r="F9" s="65">
        <v>10</v>
      </c>
      <c r="G9" s="256">
        <v>47</v>
      </c>
      <c r="H9" s="66">
        <f t="shared" si="1"/>
        <v>470</v>
      </c>
      <c r="I9" s="68" t="s">
        <v>4</v>
      </c>
      <c r="J9" s="269"/>
      <c r="K9" s="6">
        <v>45267</v>
      </c>
      <c r="L9" s="270">
        <v>7700</v>
      </c>
    </row>
    <row r="10" spans="2:13" x14ac:dyDescent="0.3">
      <c r="B10" s="62">
        <v>5</v>
      </c>
      <c r="C10" s="256"/>
      <c r="D10" s="63">
        <f t="shared" si="0"/>
        <v>0</v>
      </c>
      <c r="E10" s="443"/>
      <c r="F10" s="65">
        <v>5</v>
      </c>
      <c r="G10" s="256"/>
      <c r="H10" s="66">
        <f t="shared" si="1"/>
        <v>0</v>
      </c>
      <c r="I10" s="59" t="s">
        <v>5</v>
      </c>
      <c r="J10" s="268"/>
      <c r="K10" s="6">
        <v>45268</v>
      </c>
      <c r="L10" s="270">
        <v>4000</v>
      </c>
    </row>
    <row r="11" spans="2:13" x14ac:dyDescent="0.3">
      <c r="B11" s="62">
        <v>2</v>
      </c>
      <c r="C11" s="256">
        <v>5</v>
      </c>
      <c r="D11" s="63">
        <f t="shared" si="0"/>
        <v>10</v>
      </c>
      <c r="E11" s="443"/>
      <c r="F11" s="65">
        <v>2</v>
      </c>
      <c r="G11" s="256">
        <v>5</v>
      </c>
      <c r="H11" s="66">
        <f t="shared" si="1"/>
        <v>10</v>
      </c>
      <c r="I11" s="59" t="s">
        <v>6</v>
      </c>
      <c r="J11" s="268"/>
      <c r="K11" s="6">
        <v>45269</v>
      </c>
      <c r="L11" s="270">
        <v>5000</v>
      </c>
    </row>
    <row r="12" spans="2:13" x14ac:dyDescent="0.3">
      <c r="B12" s="62">
        <v>1</v>
      </c>
      <c r="C12" s="256">
        <v>2</v>
      </c>
      <c r="D12" s="63">
        <f t="shared" si="0"/>
        <v>2</v>
      </c>
      <c r="E12" s="443"/>
      <c r="F12" s="65">
        <v>1</v>
      </c>
      <c r="G12" s="256">
        <v>2</v>
      </c>
      <c r="H12" s="66">
        <f t="shared" si="1"/>
        <v>2</v>
      </c>
      <c r="I12" s="59" t="s">
        <v>22</v>
      </c>
      <c r="J12" s="58">
        <f>SUM(J9:J11)</f>
        <v>0</v>
      </c>
      <c r="K12" s="6">
        <v>45270</v>
      </c>
      <c r="L12" s="270">
        <v>6600</v>
      </c>
    </row>
    <row r="13" spans="2:13" ht="15" thickBot="1" x14ac:dyDescent="0.35">
      <c r="B13" s="457" t="s">
        <v>22</v>
      </c>
      <c r="C13" s="458"/>
      <c r="D13" s="63">
        <f>SUM(D4:D12)</f>
        <v>7092</v>
      </c>
      <c r="E13" s="443"/>
      <c r="F13" s="459" t="s">
        <v>22</v>
      </c>
      <c r="G13" s="460"/>
      <c r="H13" s="66">
        <f>SUM(H4:H12)</f>
        <v>5592</v>
      </c>
      <c r="I13" s="69"/>
      <c r="J13" s="70"/>
      <c r="K13" s="6">
        <v>45271</v>
      </c>
      <c r="L13" s="270">
        <v>6200</v>
      </c>
    </row>
    <row r="14" spans="2:13" ht="15" thickBot="1" x14ac:dyDescent="0.35">
      <c r="B14" s="451"/>
      <c r="C14" s="452"/>
      <c r="D14" s="453"/>
      <c r="E14" s="443"/>
      <c r="F14" s="445"/>
      <c r="G14" s="446"/>
      <c r="H14" s="447"/>
      <c r="I14" s="118" t="s">
        <v>82</v>
      </c>
      <c r="J14" s="119"/>
      <c r="K14" s="6">
        <v>45272</v>
      </c>
      <c r="L14" s="270">
        <v>4200</v>
      </c>
    </row>
    <row r="15" spans="2:13" x14ac:dyDescent="0.3">
      <c r="B15" s="454"/>
      <c r="C15" s="455"/>
      <c r="D15" s="456"/>
      <c r="E15" s="443"/>
      <c r="F15" s="448"/>
      <c r="G15" s="449"/>
      <c r="H15" s="450"/>
      <c r="I15" s="265" t="s">
        <v>229</v>
      </c>
      <c r="J15" s="266">
        <v>50</v>
      </c>
      <c r="K15" s="6">
        <v>45273</v>
      </c>
      <c r="L15" s="270">
        <v>7300</v>
      </c>
    </row>
    <row r="16" spans="2:13" x14ac:dyDescent="0.3">
      <c r="B16" s="62">
        <v>500</v>
      </c>
      <c r="C16" s="256"/>
      <c r="D16" s="63">
        <f>+B16*C16</f>
        <v>0</v>
      </c>
      <c r="E16" s="443"/>
      <c r="F16" s="65">
        <v>500</v>
      </c>
      <c r="G16" s="256">
        <v>3</v>
      </c>
      <c r="H16" s="66">
        <f>+F16*G16</f>
        <v>1500</v>
      </c>
      <c r="I16" s="389" t="s">
        <v>228</v>
      </c>
      <c r="J16" s="268">
        <v>2168</v>
      </c>
      <c r="K16" s="6">
        <v>45274</v>
      </c>
      <c r="L16" s="270">
        <v>9100</v>
      </c>
    </row>
    <row r="17" spans="2:13" x14ac:dyDescent="0.3">
      <c r="B17" s="62">
        <v>200</v>
      </c>
      <c r="C17" s="256"/>
      <c r="D17" s="63">
        <f t="shared" ref="D17:D24" si="2">+B17*C17</f>
        <v>0</v>
      </c>
      <c r="E17" s="443"/>
      <c r="F17" s="65">
        <v>200</v>
      </c>
      <c r="G17" s="256"/>
      <c r="H17" s="66">
        <f t="shared" ref="H17:H24" si="3">+F17*G17</f>
        <v>0</v>
      </c>
      <c r="I17" s="389" t="s">
        <v>230</v>
      </c>
      <c r="J17" s="268">
        <v>80</v>
      </c>
      <c r="K17" s="6">
        <v>45275</v>
      </c>
      <c r="L17" s="270">
        <v>5200</v>
      </c>
    </row>
    <row r="18" spans="2:13" x14ac:dyDescent="0.3">
      <c r="B18" s="62">
        <v>100</v>
      </c>
      <c r="C18" s="256"/>
      <c r="D18" s="63">
        <f t="shared" si="2"/>
        <v>0</v>
      </c>
      <c r="E18" s="443"/>
      <c r="F18" s="65">
        <v>100</v>
      </c>
      <c r="G18" s="256"/>
      <c r="H18" s="66">
        <f t="shared" si="3"/>
        <v>0</v>
      </c>
      <c r="I18" s="388"/>
      <c r="J18" s="268"/>
      <c r="K18" s="6">
        <v>45276</v>
      </c>
      <c r="L18" s="270">
        <v>6600</v>
      </c>
    </row>
    <row r="19" spans="2:13" x14ac:dyDescent="0.3">
      <c r="B19" s="62">
        <v>50</v>
      </c>
      <c r="C19" s="256"/>
      <c r="D19" s="63">
        <f t="shared" si="2"/>
        <v>0</v>
      </c>
      <c r="E19" s="443"/>
      <c r="F19" s="65">
        <v>50</v>
      </c>
      <c r="G19" s="256"/>
      <c r="H19" s="66">
        <f t="shared" si="3"/>
        <v>0</v>
      </c>
      <c r="I19" s="388"/>
      <c r="J19" s="268"/>
      <c r="K19" s="6">
        <v>45277</v>
      </c>
      <c r="L19" s="270">
        <v>6500</v>
      </c>
    </row>
    <row r="20" spans="2:13" x14ac:dyDescent="0.3">
      <c r="B20" s="62">
        <v>20</v>
      </c>
      <c r="C20" s="256"/>
      <c r="D20" s="63">
        <f t="shared" si="2"/>
        <v>0</v>
      </c>
      <c r="E20" s="443"/>
      <c r="F20" s="65">
        <v>20</v>
      </c>
      <c r="G20" s="256"/>
      <c r="H20" s="66">
        <f t="shared" si="3"/>
        <v>0</v>
      </c>
      <c r="I20" s="267"/>
      <c r="J20" s="268"/>
      <c r="K20" s="6">
        <v>45278</v>
      </c>
      <c r="L20" s="270">
        <v>3500</v>
      </c>
    </row>
    <row r="21" spans="2:13" x14ac:dyDescent="0.3">
      <c r="B21" s="62">
        <v>10</v>
      </c>
      <c r="C21" s="256"/>
      <c r="D21" s="63">
        <f t="shared" si="2"/>
        <v>0</v>
      </c>
      <c r="E21" s="443"/>
      <c r="F21" s="65">
        <v>10</v>
      </c>
      <c r="G21" s="256"/>
      <c r="H21" s="66">
        <f t="shared" si="3"/>
        <v>0</v>
      </c>
      <c r="I21" s="267"/>
      <c r="J21" s="268"/>
      <c r="K21" s="6">
        <v>45279</v>
      </c>
      <c r="L21" s="270">
        <v>4500</v>
      </c>
    </row>
    <row r="22" spans="2:13" x14ac:dyDescent="0.3">
      <c r="B22" s="62">
        <v>5</v>
      </c>
      <c r="C22" s="256"/>
      <c r="D22" s="63">
        <f t="shared" si="2"/>
        <v>0</v>
      </c>
      <c r="E22" s="443"/>
      <c r="F22" s="65">
        <v>5</v>
      </c>
      <c r="G22" s="256"/>
      <c r="H22" s="66">
        <f t="shared" si="3"/>
        <v>0</v>
      </c>
      <c r="I22" s="267"/>
      <c r="J22" s="268"/>
      <c r="K22" s="6">
        <v>45280</v>
      </c>
      <c r="L22" s="270">
        <v>5600</v>
      </c>
    </row>
    <row r="23" spans="2:13" x14ac:dyDescent="0.3">
      <c r="B23" s="62">
        <v>2</v>
      </c>
      <c r="C23" s="256"/>
      <c r="D23" s="63">
        <f t="shared" si="2"/>
        <v>0</v>
      </c>
      <c r="E23" s="443"/>
      <c r="F23" s="65">
        <v>2</v>
      </c>
      <c r="G23" s="256"/>
      <c r="H23" s="66">
        <f t="shared" si="3"/>
        <v>0</v>
      </c>
      <c r="I23" s="267"/>
      <c r="J23" s="268"/>
      <c r="K23" s="6">
        <v>45281</v>
      </c>
      <c r="L23" s="270">
        <v>8100</v>
      </c>
    </row>
    <row r="24" spans="2:13" x14ac:dyDescent="0.3">
      <c r="B24" s="62">
        <v>1</v>
      </c>
      <c r="C24" s="256"/>
      <c r="D24" s="63">
        <f t="shared" si="2"/>
        <v>0</v>
      </c>
      <c r="E24" s="443"/>
      <c r="F24" s="65">
        <v>1</v>
      </c>
      <c r="G24" s="256"/>
      <c r="H24" s="66">
        <f t="shared" si="3"/>
        <v>0</v>
      </c>
      <c r="I24" s="267"/>
      <c r="J24" s="268"/>
      <c r="K24" s="6">
        <v>45282</v>
      </c>
      <c r="L24" s="270">
        <v>2400</v>
      </c>
    </row>
    <row r="25" spans="2:13" ht="15" thickBot="1" x14ac:dyDescent="0.35">
      <c r="B25" s="465" t="s">
        <v>22</v>
      </c>
      <c r="C25" s="466"/>
      <c r="D25" s="64">
        <f>SUM(D16:D24)</f>
        <v>0</v>
      </c>
      <c r="E25" s="443"/>
      <c r="F25" s="467" t="s">
        <v>22</v>
      </c>
      <c r="G25" s="468"/>
      <c r="H25" s="67">
        <f>SUM(H16:H24)</f>
        <v>1500</v>
      </c>
      <c r="I25" s="60" t="s">
        <v>22</v>
      </c>
      <c r="J25" s="61">
        <f>SUM(J15:J24)</f>
        <v>2298</v>
      </c>
      <c r="K25" s="6">
        <v>45283</v>
      </c>
      <c r="L25" s="270">
        <v>1500</v>
      </c>
    </row>
    <row r="26" spans="2:13" s="99" customFormat="1" ht="15" thickBot="1" x14ac:dyDescent="0.35">
      <c r="B26" s="129"/>
      <c r="C26" s="130"/>
      <c r="D26" s="130"/>
      <c r="E26" s="444"/>
      <c r="F26" s="130"/>
      <c r="G26" s="130"/>
      <c r="H26" s="130"/>
      <c r="I26" s="130"/>
      <c r="J26" s="131"/>
      <c r="K26" s="6">
        <v>45284</v>
      </c>
      <c r="L26" s="270"/>
      <c r="M26" s="123"/>
    </row>
    <row r="27" spans="2:13" s="99" customFormat="1" x14ac:dyDescent="0.3">
      <c r="K27" s="6">
        <v>45285</v>
      </c>
      <c r="L27" s="270"/>
      <c r="M27" s="123"/>
    </row>
    <row r="28" spans="2:13" s="99" customFormat="1" x14ac:dyDescent="0.3">
      <c r="K28" s="6">
        <v>45286</v>
      </c>
      <c r="L28" s="270"/>
      <c r="M28" s="123"/>
    </row>
    <row r="29" spans="2:13" s="99" customFormat="1" x14ac:dyDescent="0.3">
      <c r="K29" s="6">
        <v>45287</v>
      </c>
      <c r="L29" s="270"/>
      <c r="M29" s="123"/>
    </row>
    <row r="30" spans="2:13" x14ac:dyDescent="0.3">
      <c r="K30" s="6">
        <v>45288</v>
      </c>
      <c r="L30" s="270"/>
    </row>
    <row r="31" spans="2:13" x14ac:dyDescent="0.3">
      <c r="K31" s="6">
        <v>45289</v>
      </c>
      <c r="L31" s="270"/>
    </row>
    <row r="32" spans="2:13" x14ac:dyDescent="0.3">
      <c r="K32" s="6">
        <v>45290</v>
      </c>
      <c r="L32" s="270"/>
    </row>
    <row r="33" spans="11:12" ht="15" thickBot="1" x14ac:dyDescent="0.35">
      <c r="K33" s="6">
        <v>45291</v>
      </c>
      <c r="L33" s="258"/>
    </row>
    <row r="34" spans="11:12" ht="15" thickBot="1" x14ac:dyDescent="0.35">
      <c r="K34" s="27" t="s">
        <v>22</v>
      </c>
      <c r="L34" s="28">
        <f>SUM(L3:L33)</f>
        <v>136500</v>
      </c>
    </row>
  </sheetData>
  <sheetProtection password="CC3D" sheet="1" objects="1" scenarios="1" selectLockedCells="1"/>
  <mergeCells count="11">
    <mergeCell ref="B2:D2"/>
    <mergeCell ref="F2:H2"/>
    <mergeCell ref="E2:E26"/>
    <mergeCell ref="F14:H15"/>
    <mergeCell ref="B14:D15"/>
    <mergeCell ref="B13:C13"/>
    <mergeCell ref="F13:G13"/>
    <mergeCell ref="B3:D3"/>
    <mergeCell ref="F3:H3"/>
    <mergeCell ref="B25:C25"/>
    <mergeCell ref="F25:G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2"/>
  <sheetViews>
    <sheetView tabSelected="1" zoomScaleNormal="100" workbookViewId="0">
      <selection activeCell="H7" sqref="H7"/>
    </sheetView>
  </sheetViews>
  <sheetFormatPr defaultRowHeight="14.4" x14ac:dyDescent="0.3"/>
  <cols>
    <col min="1" max="1" width="5.5546875" style="99" customWidth="1"/>
    <col min="2" max="2" width="22.33203125" bestFit="1" customWidth="1"/>
    <col min="3" max="4" width="11.33203125" bestFit="1" customWidth="1"/>
    <col min="5" max="5" width="10.33203125" customWidth="1"/>
    <col min="6" max="6" width="10.5546875" bestFit="1" customWidth="1"/>
    <col min="7" max="7" width="10.6640625" bestFit="1" customWidth="1"/>
    <col min="8" max="8" width="9.5546875" bestFit="1" customWidth="1"/>
    <col min="9" max="9" width="11.33203125" customWidth="1"/>
    <col min="10" max="10" width="9.6640625" bestFit="1" customWidth="1"/>
    <col min="11" max="11" width="10.88671875" customWidth="1"/>
    <col min="12" max="12" width="12.44140625" bestFit="1" customWidth="1"/>
    <col min="13" max="13" width="9.5546875" style="99" bestFit="1" customWidth="1"/>
    <col min="14" max="14" width="3" style="99" customWidth="1"/>
    <col min="16" max="16" width="10.6640625" bestFit="1" customWidth="1"/>
    <col min="17" max="17" width="9.6640625" bestFit="1" customWidth="1"/>
    <col min="18" max="18" width="10.44140625" customWidth="1"/>
    <col min="19" max="19" width="9.44140625" bestFit="1" customWidth="1"/>
    <col min="20" max="24" width="8.88671875" style="209"/>
  </cols>
  <sheetData>
    <row r="1" spans="2:24" s="99" customFormat="1" ht="15" thickBot="1" x14ac:dyDescent="0.35">
      <c r="T1" s="209"/>
      <c r="U1" s="209"/>
      <c r="V1" s="209"/>
      <c r="W1" s="209"/>
      <c r="X1" s="209"/>
    </row>
    <row r="2" spans="2:24" ht="24" thickBot="1" x14ac:dyDescent="0.5">
      <c r="B2" s="474" t="s">
        <v>8</v>
      </c>
      <c r="C2" s="475"/>
      <c r="D2" s="475"/>
      <c r="E2" s="475"/>
      <c r="F2" s="475"/>
      <c r="G2" s="475"/>
      <c r="H2" s="475"/>
      <c r="I2" s="475"/>
      <c r="J2" s="475"/>
      <c r="K2" s="475"/>
      <c r="L2" s="476"/>
      <c r="O2" s="477" t="s">
        <v>37</v>
      </c>
      <c r="P2" s="478"/>
      <c r="Q2" s="478"/>
      <c r="R2" s="478"/>
      <c r="S2" s="479"/>
    </row>
    <row r="3" spans="2:24" ht="15" thickBot="1" x14ac:dyDescent="0.35">
      <c r="B3" s="105"/>
      <c r="C3" s="106" t="s">
        <v>1</v>
      </c>
      <c r="D3" s="107" t="s">
        <v>11</v>
      </c>
      <c r="E3" s="108" t="s">
        <v>113</v>
      </c>
      <c r="F3" s="108" t="s">
        <v>114</v>
      </c>
      <c r="G3" s="108" t="s">
        <v>115</v>
      </c>
      <c r="H3" s="108" t="s">
        <v>116</v>
      </c>
      <c r="I3" s="108" t="s">
        <v>117</v>
      </c>
      <c r="J3" s="108" t="s">
        <v>23</v>
      </c>
      <c r="K3" s="108" t="s">
        <v>118</v>
      </c>
      <c r="L3" s="109" t="s">
        <v>119</v>
      </c>
      <c r="O3" s="225" t="s">
        <v>1</v>
      </c>
      <c r="P3" s="226" t="s">
        <v>39</v>
      </c>
      <c r="Q3" s="226" t="s">
        <v>40</v>
      </c>
      <c r="R3" s="227" t="s">
        <v>41</v>
      </c>
      <c r="S3" s="221"/>
    </row>
    <row r="4" spans="2:24" ht="15" thickBot="1" x14ac:dyDescent="0.35">
      <c r="B4" s="185" t="s">
        <v>14</v>
      </c>
      <c r="C4" s="163">
        <v>44958</v>
      </c>
      <c r="D4" s="188">
        <v>16000</v>
      </c>
      <c r="E4" s="167"/>
      <c r="F4" s="168">
        <v>3000</v>
      </c>
      <c r="G4" s="168">
        <v>8000</v>
      </c>
      <c r="H4" s="168">
        <v>4500</v>
      </c>
      <c r="I4" s="168">
        <v>16000</v>
      </c>
      <c r="J4" s="168"/>
      <c r="K4" s="173">
        <f>SUM(E4:J4)</f>
        <v>31500</v>
      </c>
      <c r="L4" s="174">
        <f>D4-K4</f>
        <v>-15500</v>
      </c>
      <c r="O4" s="228"/>
      <c r="P4" s="278">
        <v>310</v>
      </c>
      <c r="Q4" s="278">
        <v>450</v>
      </c>
      <c r="R4" s="278">
        <v>200</v>
      </c>
      <c r="S4" s="222">
        <f>+R4+Q4+P4</f>
        <v>960</v>
      </c>
    </row>
    <row r="5" spans="2:24" ht="15" thickBot="1" x14ac:dyDescent="0.35">
      <c r="B5" s="186" t="s">
        <v>109</v>
      </c>
      <c r="C5" s="164">
        <v>44967</v>
      </c>
      <c r="D5" s="189">
        <v>15000</v>
      </c>
      <c r="E5" s="169">
        <v>4478</v>
      </c>
      <c r="F5" s="170">
        <v>6450</v>
      </c>
      <c r="G5" s="170"/>
      <c r="H5" s="170">
        <v>500</v>
      </c>
      <c r="I5" s="170"/>
      <c r="J5" s="170">
        <v>4250</v>
      </c>
      <c r="K5" s="175">
        <f t="shared" ref="K5:K11" si="0">SUM(E5:J5)</f>
        <v>15678</v>
      </c>
      <c r="L5" s="176">
        <f t="shared" ref="L5:L11" si="1">D5-K5</f>
        <v>-678</v>
      </c>
      <c r="O5" s="229"/>
      <c r="P5" s="278"/>
      <c r="Q5" s="278">
        <v>400</v>
      </c>
      <c r="R5" s="278">
        <v>300</v>
      </c>
      <c r="S5" s="222">
        <f t="shared" ref="S5:S13" si="2">+R5+Q5+P5</f>
        <v>700</v>
      </c>
    </row>
    <row r="6" spans="2:24" ht="15" thickBot="1" x14ac:dyDescent="0.35">
      <c r="B6" s="186" t="s">
        <v>112</v>
      </c>
      <c r="C6" s="164">
        <v>44968</v>
      </c>
      <c r="D6" s="189">
        <v>10000</v>
      </c>
      <c r="E6" s="169">
        <v>1710</v>
      </c>
      <c r="F6" s="170">
        <v>3988</v>
      </c>
      <c r="G6" s="170">
        <v>80</v>
      </c>
      <c r="H6" s="170">
        <v>580</v>
      </c>
      <c r="I6" s="170"/>
      <c r="J6" s="170">
        <v>4300</v>
      </c>
      <c r="K6" s="175">
        <f t="shared" si="0"/>
        <v>10658</v>
      </c>
      <c r="L6" s="176">
        <f t="shared" si="1"/>
        <v>-658</v>
      </c>
      <c r="O6" s="229"/>
      <c r="P6" s="278"/>
      <c r="Q6" s="278">
        <v>350</v>
      </c>
      <c r="R6" s="278">
        <v>300</v>
      </c>
      <c r="S6" s="222">
        <f t="shared" si="2"/>
        <v>650</v>
      </c>
    </row>
    <row r="7" spans="2:24" ht="15" thickBot="1" x14ac:dyDescent="0.35">
      <c r="B7" s="186" t="s">
        <v>110</v>
      </c>
      <c r="C7" s="164">
        <v>44940</v>
      </c>
      <c r="D7" s="189">
        <v>7000</v>
      </c>
      <c r="E7" s="169"/>
      <c r="F7" s="170">
        <v>500</v>
      </c>
      <c r="G7" s="170">
        <v>6500</v>
      </c>
      <c r="H7" s="170"/>
      <c r="I7" s="170"/>
      <c r="J7" s="170"/>
      <c r="K7" s="175">
        <f t="shared" si="0"/>
        <v>7000</v>
      </c>
      <c r="L7" s="176">
        <f t="shared" si="1"/>
        <v>0</v>
      </c>
      <c r="O7" s="229"/>
      <c r="P7" s="278"/>
      <c r="Q7" s="278"/>
      <c r="R7" s="278"/>
      <c r="S7" s="222">
        <f t="shared" si="2"/>
        <v>0</v>
      </c>
    </row>
    <row r="8" spans="2:24" ht="15" thickBot="1" x14ac:dyDescent="0.35">
      <c r="B8" s="186" t="s">
        <v>111</v>
      </c>
      <c r="C8" s="165">
        <v>44966</v>
      </c>
      <c r="D8" s="189">
        <v>6000</v>
      </c>
      <c r="E8" s="169"/>
      <c r="F8" s="170">
        <v>1000</v>
      </c>
      <c r="G8" s="170">
        <v>1300</v>
      </c>
      <c r="H8" s="170"/>
      <c r="I8" s="170"/>
      <c r="J8" s="170"/>
      <c r="K8" s="175">
        <f t="shared" si="0"/>
        <v>2300</v>
      </c>
      <c r="L8" s="176">
        <f t="shared" si="1"/>
        <v>3700</v>
      </c>
      <c r="O8" s="229"/>
      <c r="P8" s="278"/>
      <c r="Q8" s="278"/>
      <c r="R8" s="278"/>
      <c r="S8" s="222">
        <f t="shared" si="2"/>
        <v>0</v>
      </c>
    </row>
    <row r="9" spans="2:24" ht="15" thickBot="1" x14ac:dyDescent="0.35">
      <c r="B9" s="330" t="s">
        <v>181</v>
      </c>
      <c r="C9" s="164"/>
      <c r="D9" s="189">
        <v>2500</v>
      </c>
      <c r="E9" s="169">
        <v>200</v>
      </c>
      <c r="F9" s="170">
        <v>300</v>
      </c>
      <c r="G9" s="170">
        <f>460+960</f>
        <v>1420</v>
      </c>
      <c r="H9" s="170">
        <v>3000</v>
      </c>
      <c r="I9" s="170"/>
      <c r="J9" s="170"/>
      <c r="K9" s="175">
        <f t="shared" si="0"/>
        <v>4920</v>
      </c>
      <c r="L9" s="176">
        <f t="shared" si="1"/>
        <v>-2420</v>
      </c>
      <c r="O9" s="229"/>
      <c r="P9" s="278"/>
      <c r="Q9" s="278"/>
      <c r="R9" s="278"/>
      <c r="S9" s="222">
        <f t="shared" si="2"/>
        <v>0</v>
      </c>
    </row>
    <row r="10" spans="2:24" ht="15" thickBot="1" x14ac:dyDescent="0.35">
      <c r="B10" s="330" t="s">
        <v>182</v>
      </c>
      <c r="C10" s="164"/>
      <c r="D10" s="189">
        <v>30000</v>
      </c>
      <c r="E10" s="169"/>
      <c r="F10" s="170">
        <v>600</v>
      </c>
      <c r="G10" s="170"/>
      <c r="H10" s="170"/>
      <c r="I10" s="170"/>
      <c r="J10" s="170"/>
      <c r="K10" s="175">
        <f t="shared" si="0"/>
        <v>600</v>
      </c>
      <c r="L10" s="176">
        <f t="shared" si="1"/>
        <v>29400</v>
      </c>
      <c r="O10" s="229"/>
      <c r="P10" s="278"/>
      <c r="Q10" s="278"/>
      <c r="R10" s="278"/>
      <c r="S10" s="222">
        <f t="shared" si="2"/>
        <v>0</v>
      </c>
    </row>
    <row r="11" spans="2:24" ht="15" thickBot="1" x14ac:dyDescent="0.35">
      <c r="B11" s="186"/>
      <c r="C11" s="164"/>
      <c r="D11" s="189"/>
      <c r="E11" s="169"/>
      <c r="F11" s="170"/>
      <c r="G11" s="170"/>
      <c r="H11" s="170"/>
      <c r="I11" s="170"/>
      <c r="J11" s="170"/>
      <c r="K11" s="175">
        <f t="shared" si="0"/>
        <v>0</v>
      </c>
      <c r="L11" s="176">
        <f t="shared" si="1"/>
        <v>0</v>
      </c>
      <c r="O11" s="229"/>
      <c r="P11" s="279"/>
      <c r="Q11" s="280"/>
      <c r="R11" s="280"/>
      <c r="S11" s="222">
        <f t="shared" si="2"/>
        <v>0</v>
      </c>
    </row>
    <row r="12" spans="2:24" ht="15" thickBot="1" x14ac:dyDescent="0.35">
      <c r="B12" s="187"/>
      <c r="C12" s="166"/>
      <c r="D12" s="190"/>
      <c r="E12" s="171"/>
      <c r="F12" s="172"/>
      <c r="G12" s="172"/>
      <c r="H12" s="172"/>
      <c r="I12" s="172"/>
      <c r="J12" s="172"/>
      <c r="K12" s="177"/>
      <c r="L12" s="178"/>
      <c r="O12" s="229"/>
      <c r="P12" s="281"/>
      <c r="Q12" s="281"/>
      <c r="R12" s="281"/>
      <c r="S12" s="222">
        <f t="shared" si="2"/>
        <v>0</v>
      </c>
    </row>
    <row r="13" spans="2:24" ht="15" thickBot="1" x14ac:dyDescent="0.35">
      <c r="B13" s="181" t="s">
        <v>22</v>
      </c>
      <c r="C13" s="182"/>
      <c r="D13" s="191">
        <f>SUM(D3:D11)</f>
        <v>86500</v>
      </c>
      <c r="E13" s="183"/>
      <c r="F13" s="184"/>
      <c r="G13" s="184"/>
      <c r="H13" s="184"/>
      <c r="I13" s="184"/>
      <c r="J13" s="184"/>
      <c r="K13" s="179">
        <f>SUM(K4:K12)</f>
        <v>72656</v>
      </c>
      <c r="L13" s="180"/>
      <c r="O13" s="229"/>
      <c r="P13" s="281"/>
      <c r="Q13" s="281"/>
      <c r="R13" s="281"/>
      <c r="S13" s="222">
        <f t="shared" si="2"/>
        <v>0</v>
      </c>
    </row>
    <row r="14" spans="2:24" ht="15" thickBot="1" x14ac:dyDescent="0.35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O14" s="223"/>
      <c r="P14" s="224">
        <f ca="1">SUM(P4:P14)</f>
        <v>0</v>
      </c>
      <c r="Q14" s="224">
        <f ca="1">SUM(Q4:Q14)</f>
        <v>0</v>
      </c>
      <c r="R14" s="224">
        <f ca="1">SUM(R4:R14)</f>
        <v>0</v>
      </c>
      <c r="S14" s="224">
        <f>SUM(S4:S13)</f>
        <v>2310</v>
      </c>
    </row>
    <row r="15" spans="2:24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O15" s="22"/>
      <c r="P15" s="17"/>
      <c r="Q15" s="17"/>
      <c r="R15" s="17"/>
      <c r="S15" s="37"/>
    </row>
    <row r="16" spans="2:24" ht="15" thickBot="1" x14ac:dyDescent="0.3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O16" s="22" t="s">
        <v>137</v>
      </c>
      <c r="P16" s="17"/>
      <c r="Q16" s="17"/>
      <c r="R16" s="17"/>
      <c r="S16" s="37">
        <v>3000</v>
      </c>
    </row>
    <row r="17" spans="2:19" ht="18.600000000000001" thickBot="1" x14ac:dyDescent="0.4">
      <c r="B17" s="99"/>
      <c r="C17" s="483" t="s">
        <v>29</v>
      </c>
      <c r="D17" s="484"/>
      <c r="E17" s="484"/>
      <c r="F17" s="484"/>
      <c r="G17" s="484"/>
      <c r="H17" s="484"/>
      <c r="I17" s="485"/>
      <c r="J17" s="137" t="s">
        <v>136</v>
      </c>
      <c r="K17" s="469" t="s">
        <v>138</v>
      </c>
      <c r="L17" s="470"/>
      <c r="M17" s="471"/>
    </row>
    <row r="18" spans="2:19" ht="15" thickBot="1" x14ac:dyDescent="0.35">
      <c r="B18" s="99"/>
      <c r="C18" s="200" t="s">
        <v>1</v>
      </c>
      <c r="D18" s="201" t="s">
        <v>11</v>
      </c>
      <c r="E18" s="202" t="s">
        <v>31</v>
      </c>
      <c r="F18" s="203"/>
      <c r="G18" s="203"/>
      <c r="H18" s="203"/>
      <c r="I18" s="203"/>
      <c r="J18" s="138">
        <v>5000</v>
      </c>
      <c r="K18" s="110"/>
      <c r="L18" s="113" t="s">
        <v>122</v>
      </c>
      <c r="M18" s="114" t="s">
        <v>11</v>
      </c>
      <c r="O18" s="99"/>
      <c r="P18" s="99"/>
      <c r="Q18" s="99"/>
      <c r="R18" s="99"/>
      <c r="S18" s="99"/>
    </row>
    <row r="19" spans="2:19" ht="21.6" thickBot="1" x14ac:dyDescent="0.45">
      <c r="B19" s="99"/>
      <c r="C19" s="271"/>
      <c r="D19" s="272">
        <v>4500</v>
      </c>
      <c r="E19" s="486" t="s">
        <v>222</v>
      </c>
      <c r="F19" s="487"/>
      <c r="G19" s="487"/>
      <c r="H19" s="487"/>
      <c r="I19" s="488"/>
      <c r="J19" s="145"/>
      <c r="K19" s="111" t="s">
        <v>139</v>
      </c>
      <c r="L19" s="282"/>
      <c r="M19" s="283"/>
      <c r="O19" s="480" t="s">
        <v>43</v>
      </c>
      <c r="P19" s="481"/>
      <c r="Q19" s="481"/>
      <c r="R19" s="482"/>
      <c r="S19" s="99"/>
    </row>
    <row r="20" spans="2:19" ht="15" thickBot="1" x14ac:dyDescent="0.35">
      <c r="B20" s="99"/>
      <c r="C20" s="273"/>
      <c r="D20" s="274">
        <f>1400+1500</f>
        <v>2900</v>
      </c>
      <c r="E20" s="486" t="s">
        <v>224</v>
      </c>
      <c r="F20" s="487"/>
      <c r="G20" s="487"/>
      <c r="H20" s="487"/>
      <c r="I20" s="488"/>
      <c r="J20" s="145"/>
      <c r="K20" s="112" t="s">
        <v>140</v>
      </c>
      <c r="L20" s="284"/>
      <c r="M20" s="256"/>
      <c r="O20" s="102" t="s">
        <v>1</v>
      </c>
      <c r="P20" s="100" t="s">
        <v>120</v>
      </c>
      <c r="Q20" s="101" t="s">
        <v>121</v>
      </c>
      <c r="R20" s="103" t="s">
        <v>11</v>
      </c>
      <c r="S20" s="99"/>
    </row>
    <row r="21" spans="2:19" ht="15" thickBot="1" x14ac:dyDescent="0.35">
      <c r="B21" s="99"/>
      <c r="C21" s="273"/>
      <c r="D21" s="274">
        <v>1900</v>
      </c>
      <c r="E21" s="486" t="s">
        <v>225</v>
      </c>
      <c r="F21" s="487"/>
      <c r="G21" s="487"/>
      <c r="H21" s="487"/>
      <c r="I21" s="488"/>
      <c r="J21" s="146"/>
      <c r="K21" s="112" t="s">
        <v>141</v>
      </c>
      <c r="L21" s="284"/>
      <c r="M21" s="256"/>
      <c r="O21" s="316">
        <v>45292</v>
      </c>
      <c r="P21" s="317">
        <v>2850</v>
      </c>
      <c r="Q21" s="318"/>
      <c r="R21" s="104">
        <f>+P21+Q21</f>
        <v>2850</v>
      </c>
      <c r="S21" s="99"/>
    </row>
    <row r="22" spans="2:19" ht="15" thickBot="1" x14ac:dyDescent="0.35">
      <c r="B22" s="99"/>
      <c r="C22" s="273"/>
      <c r="D22" s="274"/>
      <c r="E22" s="486"/>
      <c r="F22" s="487"/>
      <c r="G22" s="487"/>
      <c r="H22" s="487"/>
      <c r="I22" s="488"/>
      <c r="J22" s="99"/>
      <c r="K22" s="112" t="s">
        <v>142</v>
      </c>
      <c r="L22" s="267"/>
      <c r="M22" s="256"/>
      <c r="O22" s="316">
        <v>45302</v>
      </c>
      <c r="P22" s="317">
        <v>1900</v>
      </c>
      <c r="Q22" s="318"/>
      <c r="R22" s="104">
        <f t="shared" ref="R22:R30" si="3">+P22+Q22</f>
        <v>1900</v>
      </c>
      <c r="S22" s="99"/>
    </row>
    <row r="23" spans="2:19" ht="15" thickBot="1" x14ac:dyDescent="0.35">
      <c r="B23" s="99"/>
      <c r="C23" s="273"/>
      <c r="D23" s="274"/>
      <c r="E23" s="486"/>
      <c r="F23" s="487"/>
      <c r="G23" s="487"/>
      <c r="H23" s="487"/>
      <c r="I23" s="488"/>
      <c r="J23" s="99"/>
      <c r="K23" s="112"/>
      <c r="L23" s="375"/>
      <c r="M23" s="256"/>
      <c r="O23" s="316">
        <v>45299</v>
      </c>
      <c r="P23" s="317">
        <v>950</v>
      </c>
      <c r="Q23" s="318"/>
      <c r="R23" s="104">
        <f t="shared" si="3"/>
        <v>950</v>
      </c>
      <c r="S23" s="99"/>
    </row>
    <row r="24" spans="2:19" ht="15" thickBot="1" x14ac:dyDescent="0.35">
      <c r="B24" s="99"/>
      <c r="C24" s="273"/>
      <c r="D24" s="274"/>
      <c r="E24" s="486"/>
      <c r="F24" s="487"/>
      <c r="G24" s="487"/>
      <c r="H24" s="487"/>
      <c r="I24" s="488"/>
      <c r="J24" s="99"/>
      <c r="K24" s="112"/>
      <c r="L24" s="267"/>
      <c r="M24" s="256"/>
      <c r="O24" s="316">
        <v>45306</v>
      </c>
      <c r="P24" s="256">
        <v>2850</v>
      </c>
      <c r="Q24" s="318"/>
      <c r="R24" s="104">
        <f t="shared" si="3"/>
        <v>2850</v>
      </c>
      <c r="S24" s="99"/>
    </row>
    <row r="25" spans="2:19" ht="15" thickBot="1" x14ac:dyDescent="0.35">
      <c r="B25" s="99"/>
      <c r="C25" s="273"/>
      <c r="D25" s="274"/>
      <c r="E25" s="486"/>
      <c r="F25" s="487"/>
      <c r="G25" s="487"/>
      <c r="H25" s="487"/>
      <c r="I25" s="488"/>
      <c r="J25" s="99"/>
      <c r="K25" s="112"/>
      <c r="L25" s="284"/>
      <c r="M25" s="256"/>
      <c r="O25" s="316">
        <v>45311</v>
      </c>
      <c r="P25" s="256">
        <v>950</v>
      </c>
      <c r="Q25" s="318"/>
      <c r="R25" s="104">
        <f t="shared" si="3"/>
        <v>950</v>
      </c>
      <c r="S25" s="99"/>
    </row>
    <row r="26" spans="2:19" ht="15" thickBot="1" x14ac:dyDescent="0.35">
      <c r="B26" s="99"/>
      <c r="C26" s="273"/>
      <c r="D26" s="274"/>
      <c r="E26" s="486"/>
      <c r="F26" s="487"/>
      <c r="G26" s="487"/>
      <c r="H26" s="487"/>
      <c r="I26" s="488"/>
      <c r="J26" s="99"/>
      <c r="K26" s="112"/>
      <c r="L26" s="285"/>
      <c r="M26" s="256"/>
      <c r="O26" s="316">
        <v>45313</v>
      </c>
      <c r="P26" s="256">
        <v>2850</v>
      </c>
      <c r="Q26" s="318"/>
      <c r="R26" s="104">
        <f t="shared" si="3"/>
        <v>2850</v>
      </c>
      <c r="S26" s="99"/>
    </row>
    <row r="27" spans="2:19" ht="15" thickBot="1" x14ac:dyDescent="0.35">
      <c r="B27" s="99"/>
      <c r="C27" s="273"/>
      <c r="D27" s="274"/>
      <c r="E27" s="486"/>
      <c r="F27" s="487"/>
      <c r="G27" s="487"/>
      <c r="H27" s="487"/>
      <c r="I27" s="488"/>
      <c r="J27" s="99"/>
      <c r="K27" s="112"/>
      <c r="L27" s="284"/>
      <c r="M27" s="256"/>
      <c r="O27" s="316">
        <v>45290</v>
      </c>
      <c r="P27" s="256"/>
      <c r="Q27" s="318"/>
      <c r="R27" s="104">
        <f t="shared" si="3"/>
        <v>0</v>
      </c>
      <c r="S27" s="99"/>
    </row>
    <row r="28" spans="2:19" ht="15" thickBot="1" x14ac:dyDescent="0.35">
      <c r="B28" s="99"/>
      <c r="C28" s="273"/>
      <c r="D28" s="274"/>
      <c r="E28" s="486"/>
      <c r="F28" s="487"/>
      <c r="G28" s="487"/>
      <c r="H28" s="487"/>
      <c r="I28" s="488"/>
      <c r="J28" s="99"/>
      <c r="K28" s="112"/>
      <c r="L28" s="284"/>
      <c r="M28" s="256"/>
      <c r="O28" s="316"/>
      <c r="P28" s="256"/>
      <c r="Q28" s="318"/>
      <c r="R28" s="104">
        <f t="shared" si="3"/>
        <v>0</v>
      </c>
      <c r="S28" s="99"/>
    </row>
    <row r="29" spans="2:19" ht="15" thickBot="1" x14ac:dyDescent="0.35">
      <c r="B29" s="99"/>
      <c r="C29" s="275"/>
      <c r="D29" s="274"/>
      <c r="E29" s="486"/>
      <c r="F29" s="487"/>
      <c r="G29" s="487"/>
      <c r="H29" s="487"/>
      <c r="I29" s="488"/>
      <c r="J29" s="99"/>
      <c r="K29" s="112"/>
      <c r="L29" s="284"/>
      <c r="M29" s="256"/>
      <c r="O29" s="316"/>
      <c r="P29" s="256"/>
      <c r="Q29" s="318"/>
      <c r="R29" s="104">
        <f t="shared" si="3"/>
        <v>0</v>
      </c>
      <c r="S29" s="99"/>
    </row>
    <row r="30" spans="2:19" ht="15" thickBot="1" x14ac:dyDescent="0.35">
      <c r="B30" s="99"/>
      <c r="C30" s="275"/>
      <c r="D30" s="274"/>
      <c r="E30" s="486"/>
      <c r="F30" s="487"/>
      <c r="G30" s="487"/>
      <c r="H30" s="487"/>
      <c r="I30" s="488"/>
      <c r="J30" s="99"/>
      <c r="K30" s="112"/>
      <c r="L30" s="284"/>
      <c r="M30" s="256"/>
      <c r="O30" s="316"/>
      <c r="P30" s="256"/>
      <c r="Q30" s="318"/>
      <c r="R30" s="104">
        <f t="shared" si="3"/>
        <v>0</v>
      </c>
      <c r="S30" s="99"/>
    </row>
    <row r="31" spans="2:19" ht="15" thickBot="1" x14ac:dyDescent="0.35">
      <c r="B31" s="99"/>
      <c r="C31" s="275"/>
      <c r="D31" s="274"/>
      <c r="E31" s="486"/>
      <c r="F31" s="487"/>
      <c r="G31" s="487"/>
      <c r="H31" s="487"/>
      <c r="I31" s="488"/>
      <c r="J31" s="99"/>
      <c r="K31" s="112"/>
      <c r="L31" s="286"/>
      <c r="M31" s="257"/>
      <c r="O31" s="232" t="s">
        <v>22</v>
      </c>
      <c r="P31" s="233">
        <f>SUM(P21:P30)</f>
        <v>12350</v>
      </c>
      <c r="Q31" s="233">
        <f>SUM(Q21:Q30)</f>
        <v>0</v>
      </c>
      <c r="R31" s="234">
        <f>SUM(R21:R30)</f>
        <v>12350</v>
      </c>
      <c r="S31" s="99"/>
    </row>
    <row r="32" spans="2:19" ht="15" thickBot="1" x14ac:dyDescent="0.35">
      <c r="B32" s="99"/>
      <c r="C32" s="275"/>
      <c r="D32" s="274"/>
      <c r="E32" s="486"/>
      <c r="F32" s="487"/>
      <c r="G32" s="487"/>
      <c r="H32" s="487"/>
      <c r="I32" s="488"/>
      <c r="J32" s="99"/>
      <c r="K32" s="335"/>
      <c r="L32" s="263"/>
      <c r="M32" s="263"/>
      <c r="O32" s="236" t="s">
        <v>137</v>
      </c>
      <c r="P32" s="235">
        <v>10000</v>
      </c>
      <c r="Q32" s="235">
        <v>3800</v>
      </c>
      <c r="R32" s="235">
        <f>+Q32+P32</f>
        <v>13800</v>
      </c>
      <c r="S32" s="99"/>
    </row>
    <row r="33" spans="2:19" ht="15" thickBot="1" x14ac:dyDescent="0.35">
      <c r="B33" s="99"/>
      <c r="C33" s="276"/>
      <c r="D33" s="277"/>
      <c r="E33" s="486"/>
      <c r="F33" s="487"/>
      <c r="G33" s="487"/>
      <c r="H33" s="487"/>
      <c r="I33" s="488"/>
      <c r="J33" s="99"/>
      <c r="K33" s="139" t="s">
        <v>22</v>
      </c>
      <c r="L33" s="140"/>
      <c r="M33" s="141">
        <f>SUM(M19:M31)</f>
        <v>0</v>
      </c>
      <c r="O33" s="99"/>
      <c r="P33" s="99"/>
      <c r="Q33" s="99"/>
      <c r="R33" s="99"/>
      <c r="S33" s="99"/>
    </row>
    <row r="34" spans="2:19" ht="15" thickBot="1" x14ac:dyDescent="0.35">
      <c r="B34" s="99"/>
      <c r="C34" s="204" t="s">
        <v>22</v>
      </c>
      <c r="D34" s="205">
        <f>SUM(D19:D33)</f>
        <v>9300</v>
      </c>
      <c r="E34" s="206"/>
      <c r="F34" s="207"/>
      <c r="G34" s="207"/>
      <c r="H34" s="207"/>
      <c r="I34" s="208"/>
      <c r="J34" s="99"/>
      <c r="K34" s="142" t="s">
        <v>137</v>
      </c>
      <c r="L34" s="143"/>
      <c r="M34" s="144">
        <v>6000</v>
      </c>
      <c r="O34" s="99"/>
      <c r="P34" s="99"/>
      <c r="Q34" s="99"/>
      <c r="R34" s="99"/>
      <c r="S34" s="99"/>
    </row>
    <row r="35" spans="2:19" x14ac:dyDescent="0.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O35" s="99"/>
      <c r="P35" s="99"/>
      <c r="Q35" s="99"/>
      <c r="R35" s="99"/>
      <c r="S35" s="99"/>
    </row>
    <row r="36" spans="2:19" ht="21.6" thickBot="1" x14ac:dyDescent="0.35">
      <c r="B36" s="472" t="s">
        <v>9</v>
      </c>
      <c r="C36" s="473"/>
      <c r="D36" s="473"/>
      <c r="E36" s="473"/>
      <c r="F36" s="473"/>
      <c r="G36" s="99"/>
      <c r="H36" s="99"/>
      <c r="I36" s="99"/>
      <c r="J36" s="99"/>
      <c r="K36" s="99"/>
      <c r="L36" s="99"/>
      <c r="O36" s="99"/>
      <c r="P36" s="99"/>
      <c r="Q36" s="99"/>
      <c r="R36" s="99"/>
      <c r="S36" s="99"/>
    </row>
    <row r="37" spans="2:19" ht="15" thickBot="1" x14ac:dyDescent="0.35">
      <c r="B37" s="193"/>
      <c r="C37" s="194" t="s">
        <v>122</v>
      </c>
      <c r="D37" s="194" t="s">
        <v>123</v>
      </c>
      <c r="E37" s="195" t="s">
        <v>12</v>
      </c>
      <c r="F37" s="196" t="s">
        <v>11</v>
      </c>
      <c r="G37" s="99"/>
      <c r="H37" s="99"/>
      <c r="I37" s="99"/>
      <c r="J37" s="99"/>
      <c r="K37" s="99"/>
      <c r="L37" s="99"/>
      <c r="O37" s="99"/>
      <c r="P37" s="99"/>
      <c r="Q37" s="99"/>
      <c r="R37" s="99"/>
      <c r="S37" s="99"/>
    </row>
    <row r="38" spans="2:19" x14ac:dyDescent="0.3">
      <c r="B38" s="197" t="s">
        <v>15</v>
      </c>
      <c r="C38" s="150">
        <v>36902</v>
      </c>
      <c r="D38" s="147">
        <v>20000</v>
      </c>
      <c r="E38" s="154"/>
      <c r="F38" s="160">
        <v>19400</v>
      </c>
      <c r="G38" s="99"/>
      <c r="H38" s="99"/>
      <c r="I38" s="99"/>
      <c r="J38" s="99"/>
      <c r="K38" s="99"/>
      <c r="L38" s="99"/>
      <c r="O38" s="99"/>
      <c r="P38" s="99"/>
      <c r="Q38" s="99"/>
      <c r="R38" s="99"/>
      <c r="S38" s="99"/>
    </row>
    <row r="39" spans="2:19" x14ac:dyDescent="0.3">
      <c r="B39" s="198" t="s">
        <v>124</v>
      </c>
      <c r="C39" s="151">
        <v>36918</v>
      </c>
      <c r="D39" s="148">
        <v>10000</v>
      </c>
      <c r="E39" s="155"/>
      <c r="F39" s="161"/>
      <c r="G39" s="99"/>
      <c r="H39" s="99"/>
      <c r="I39" s="99"/>
      <c r="J39" s="99"/>
      <c r="K39" s="99"/>
      <c r="L39" s="99"/>
      <c r="O39" s="99"/>
      <c r="P39" s="99"/>
      <c r="Q39" s="99"/>
      <c r="R39" s="99"/>
      <c r="S39" s="99"/>
    </row>
    <row r="40" spans="2:19" x14ac:dyDescent="0.3">
      <c r="B40" s="198" t="s">
        <v>18</v>
      </c>
      <c r="C40" s="151">
        <v>36896</v>
      </c>
      <c r="D40" s="148">
        <v>1500</v>
      </c>
      <c r="E40" s="156"/>
      <c r="F40" s="161"/>
      <c r="G40" s="99"/>
      <c r="H40" s="99"/>
      <c r="I40" s="99"/>
      <c r="J40" s="99"/>
      <c r="K40" s="99"/>
      <c r="L40" s="99"/>
      <c r="O40" s="99"/>
      <c r="P40" s="99"/>
      <c r="Q40" s="99"/>
      <c r="R40" s="99"/>
      <c r="S40" s="99"/>
    </row>
    <row r="41" spans="2:19" x14ac:dyDescent="0.3">
      <c r="B41" s="198" t="s">
        <v>126</v>
      </c>
      <c r="C41" s="151">
        <v>36911</v>
      </c>
      <c r="D41" s="148">
        <v>20000</v>
      </c>
      <c r="E41" s="158"/>
      <c r="F41" s="161">
        <v>20000</v>
      </c>
      <c r="G41" s="99"/>
      <c r="H41" s="99"/>
      <c r="I41" s="99"/>
      <c r="J41" s="99"/>
      <c r="K41" s="99"/>
      <c r="L41" s="99"/>
      <c r="O41" s="99"/>
      <c r="P41" s="99"/>
      <c r="Q41" s="99"/>
      <c r="R41" s="99"/>
      <c r="S41" s="99"/>
    </row>
    <row r="42" spans="2:19" x14ac:dyDescent="0.3">
      <c r="B42" s="198" t="s">
        <v>125</v>
      </c>
      <c r="C42" s="152">
        <v>36532</v>
      </c>
      <c r="D42" s="148">
        <v>4100</v>
      </c>
      <c r="E42" s="157"/>
      <c r="F42" s="161">
        <v>4100</v>
      </c>
      <c r="G42" s="99"/>
      <c r="H42" s="99"/>
      <c r="I42" s="99"/>
      <c r="J42" s="99"/>
      <c r="K42" s="99"/>
      <c r="L42" s="99"/>
      <c r="O42" s="99"/>
      <c r="P42" s="99"/>
      <c r="Q42" s="99"/>
      <c r="R42" s="99"/>
      <c r="S42" s="99"/>
    </row>
    <row r="43" spans="2:19" x14ac:dyDescent="0.3">
      <c r="B43" s="198" t="s">
        <v>129</v>
      </c>
      <c r="C43" s="151">
        <v>36893</v>
      </c>
      <c r="D43" s="148">
        <v>3700</v>
      </c>
      <c r="E43" s="158"/>
      <c r="F43" s="161">
        <v>3500</v>
      </c>
      <c r="G43" s="99"/>
      <c r="H43" s="99"/>
      <c r="I43" s="99"/>
      <c r="J43" s="99"/>
      <c r="K43" s="99"/>
      <c r="L43" s="99"/>
      <c r="O43" s="99"/>
      <c r="P43" s="99"/>
      <c r="Q43" s="99"/>
      <c r="R43" s="99"/>
      <c r="S43" s="99"/>
    </row>
    <row r="44" spans="2:19" x14ac:dyDescent="0.3">
      <c r="B44" s="198" t="s">
        <v>127</v>
      </c>
      <c r="C44" s="152">
        <v>36532</v>
      </c>
      <c r="D44" s="148">
        <v>5000</v>
      </c>
      <c r="E44" s="158"/>
      <c r="F44" s="161">
        <v>5000</v>
      </c>
      <c r="G44" s="99"/>
      <c r="H44" s="99"/>
      <c r="I44" s="99"/>
      <c r="J44" s="99"/>
      <c r="K44" s="99"/>
      <c r="L44" s="99"/>
      <c r="O44" s="99"/>
      <c r="P44" s="99"/>
      <c r="Q44" s="99"/>
      <c r="R44" s="99"/>
      <c r="S44" s="99"/>
    </row>
    <row r="45" spans="2:19" x14ac:dyDescent="0.3">
      <c r="B45" s="198" t="s">
        <v>128</v>
      </c>
      <c r="C45" s="151">
        <v>36893</v>
      </c>
      <c r="D45" s="148">
        <v>9202</v>
      </c>
      <c r="E45" s="158"/>
      <c r="F45" s="161">
        <v>9200</v>
      </c>
      <c r="G45" s="99"/>
      <c r="H45" s="99"/>
      <c r="I45" s="99"/>
      <c r="J45" s="99"/>
      <c r="K45" s="99"/>
      <c r="L45" s="99"/>
      <c r="O45" s="99"/>
      <c r="P45" s="99"/>
      <c r="Q45" s="99"/>
      <c r="R45" s="99"/>
      <c r="S45" s="99"/>
    </row>
    <row r="46" spans="2:19" x14ac:dyDescent="0.3">
      <c r="B46" s="198" t="s">
        <v>130</v>
      </c>
      <c r="C46" s="151">
        <v>36893</v>
      </c>
      <c r="D46" s="148">
        <v>2780</v>
      </c>
      <c r="E46" s="158"/>
      <c r="F46" s="161">
        <v>2780</v>
      </c>
      <c r="G46" s="99"/>
      <c r="H46" s="99"/>
      <c r="I46" s="99"/>
      <c r="J46" s="99"/>
      <c r="K46" s="99"/>
      <c r="L46" s="99"/>
      <c r="O46" s="99"/>
      <c r="P46" s="99"/>
      <c r="Q46" s="99"/>
      <c r="R46" s="99"/>
      <c r="S46" s="99"/>
    </row>
    <row r="47" spans="2:19" x14ac:dyDescent="0.3">
      <c r="B47" s="198" t="s">
        <v>183</v>
      </c>
      <c r="C47" s="151">
        <v>36893</v>
      </c>
      <c r="D47" s="148">
        <v>1570</v>
      </c>
      <c r="E47" s="158"/>
      <c r="F47" s="161">
        <v>1570</v>
      </c>
      <c r="G47" s="99"/>
      <c r="H47" s="99"/>
      <c r="I47" s="99"/>
      <c r="J47" s="99"/>
      <c r="K47" s="99"/>
      <c r="L47" s="99"/>
      <c r="O47" s="99"/>
      <c r="P47" s="99"/>
      <c r="Q47" s="99"/>
      <c r="R47" s="99"/>
      <c r="S47" s="99"/>
    </row>
    <row r="48" spans="2:19" ht="15" thickBot="1" x14ac:dyDescent="0.35">
      <c r="B48" s="198" t="s">
        <v>184</v>
      </c>
      <c r="C48" s="331">
        <v>45089</v>
      </c>
      <c r="D48" s="149">
        <v>3309</v>
      </c>
      <c r="E48" s="159"/>
      <c r="F48" s="162">
        <v>3309</v>
      </c>
      <c r="G48" s="99"/>
      <c r="H48" s="99"/>
      <c r="I48" s="99"/>
      <c r="J48" s="99"/>
      <c r="K48" s="99"/>
      <c r="L48" s="99"/>
      <c r="O48" s="99"/>
      <c r="P48" s="99"/>
      <c r="Q48" s="99"/>
      <c r="R48" s="99"/>
      <c r="S48" s="99"/>
    </row>
    <row r="49" spans="2:19" ht="15" thickBot="1" x14ac:dyDescent="0.35">
      <c r="B49" s="333" t="s">
        <v>186</v>
      </c>
      <c r="C49" s="331">
        <v>45090</v>
      </c>
      <c r="D49" s="334">
        <v>2592</v>
      </c>
      <c r="E49" s="159"/>
      <c r="F49" s="162">
        <v>2592</v>
      </c>
      <c r="G49" s="99"/>
      <c r="H49" s="99"/>
      <c r="I49" s="99"/>
      <c r="J49" s="99"/>
      <c r="K49" s="99"/>
      <c r="L49" s="99"/>
      <c r="O49" s="99"/>
      <c r="P49" s="99"/>
      <c r="Q49" s="99"/>
      <c r="R49" s="99"/>
      <c r="S49" s="99"/>
    </row>
    <row r="50" spans="2:19" ht="15" thickBot="1" x14ac:dyDescent="0.35">
      <c r="B50" s="199" t="s">
        <v>22</v>
      </c>
      <c r="C50" s="153"/>
      <c r="D50" s="192">
        <f>SUM(D38:D49)</f>
        <v>83753</v>
      </c>
      <c r="E50" s="115"/>
      <c r="F50" s="115">
        <f>SUM(F38:F49)</f>
        <v>71451</v>
      </c>
      <c r="G50" s="99"/>
      <c r="H50" s="99"/>
      <c r="I50" s="99"/>
      <c r="J50" s="99"/>
      <c r="K50" s="99"/>
      <c r="L50" s="99"/>
      <c r="O50" s="99"/>
      <c r="P50" s="99"/>
      <c r="Q50" s="99"/>
      <c r="R50" s="99"/>
      <c r="S50" s="99"/>
    </row>
    <row r="51" spans="2:19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O51" s="99"/>
      <c r="P51" s="99"/>
      <c r="Q51" s="99"/>
      <c r="R51" s="99"/>
      <c r="S51" s="99"/>
    </row>
    <row r="52" spans="2:19" x14ac:dyDescent="0.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O52" s="99"/>
      <c r="P52" s="99"/>
      <c r="Q52" s="99"/>
      <c r="R52" s="99"/>
      <c r="S52" s="99"/>
    </row>
    <row r="53" spans="2:19" x14ac:dyDescent="0.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O53" s="99"/>
      <c r="P53" s="99"/>
      <c r="Q53" s="99"/>
      <c r="R53" s="99"/>
      <c r="S53" s="99"/>
    </row>
    <row r="54" spans="2:19" x14ac:dyDescent="0.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O54" s="99"/>
      <c r="P54" s="99"/>
      <c r="Q54" s="99"/>
      <c r="R54" s="99"/>
      <c r="S54" s="99"/>
    </row>
    <row r="55" spans="2:19" x14ac:dyDescent="0.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O55" s="99"/>
      <c r="P55" s="99"/>
      <c r="Q55" s="99"/>
      <c r="R55" s="99"/>
      <c r="S55" s="99"/>
    </row>
    <row r="56" spans="2:19" x14ac:dyDescent="0.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O56" s="99"/>
      <c r="P56" s="99"/>
      <c r="Q56" s="99"/>
      <c r="R56" s="99"/>
      <c r="S56" s="99"/>
    </row>
    <row r="57" spans="2:19" x14ac:dyDescent="0.3">
      <c r="D57" s="99"/>
      <c r="E57" s="99"/>
      <c r="F57" s="99"/>
      <c r="G57" s="99"/>
      <c r="H57" s="99"/>
      <c r="I57" s="99"/>
      <c r="J57" s="99"/>
      <c r="K57" s="99"/>
      <c r="L57" s="99"/>
      <c r="O57" s="99"/>
      <c r="P57" s="99"/>
      <c r="Q57" s="99"/>
      <c r="R57" s="99"/>
      <c r="S57" s="99"/>
    </row>
    <row r="58" spans="2:19" x14ac:dyDescent="0.3">
      <c r="D58" s="99"/>
      <c r="E58" s="99"/>
      <c r="F58" s="99"/>
      <c r="G58" s="99"/>
      <c r="H58" s="99"/>
      <c r="I58" s="99"/>
      <c r="J58" s="99"/>
      <c r="K58" s="99"/>
      <c r="L58" s="99"/>
      <c r="O58" s="99"/>
      <c r="P58" s="99"/>
      <c r="Q58" s="99"/>
      <c r="R58" s="99"/>
      <c r="S58" s="99"/>
    </row>
    <row r="59" spans="2:19" x14ac:dyDescent="0.3">
      <c r="D59" s="99"/>
      <c r="E59" s="99"/>
      <c r="F59" s="99"/>
      <c r="G59" s="99"/>
      <c r="H59" s="99"/>
      <c r="I59" s="99"/>
      <c r="J59" s="99"/>
      <c r="K59" s="99"/>
      <c r="L59" s="99"/>
      <c r="O59" s="99"/>
      <c r="P59" s="99"/>
      <c r="Q59" s="99"/>
      <c r="R59" s="99"/>
      <c r="S59" s="99"/>
    </row>
    <row r="60" spans="2:19" x14ac:dyDescent="0.3">
      <c r="D60" s="99"/>
      <c r="E60" s="99"/>
      <c r="F60" s="99"/>
      <c r="G60" s="99"/>
      <c r="H60" s="99"/>
      <c r="I60" s="99"/>
      <c r="J60" s="99"/>
      <c r="K60" s="99"/>
      <c r="L60" s="99"/>
      <c r="O60" s="99"/>
      <c r="P60" s="99"/>
      <c r="Q60" s="99"/>
      <c r="R60" s="99"/>
      <c r="S60" s="99"/>
    </row>
    <row r="61" spans="2:19" x14ac:dyDescent="0.3">
      <c r="D61" s="99"/>
      <c r="E61" s="99"/>
      <c r="F61" s="99"/>
      <c r="G61" s="99"/>
      <c r="H61" s="99"/>
      <c r="I61" s="99"/>
      <c r="J61" s="99"/>
      <c r="K61" s="99"/>
      <c r="L61" s="99"/>
      <c r="O61" s="99"/>
      <c r="P61" s="99"/>
      <c r="Q61" s="99"/>
      <c r="R61" s="99"/>
      <c r="S61" s="99"/>
    </row>
    <row r="62" spans="2:19" x14ac:dyDescent="0.3">
      <c r="D62" s="99"/>
      <c r="E62" s="99"/>
      <c r="F62" s="99"/>
      <c r="G62" s="99"/>
      <c r="H62" s="99"/>
      <c r="I62" s="99"/>
      <c r="J62" s="99"/>
      <c r="K62" s="99"/>
      <c r="L62" s="99"/>
      <c r="O62" s="99"/>
      <c r="P62" s="99"/>
      <c r="Q62" s="99"/>
      <c r="R62" s="99"/>
      <c r="S62" s="99"/>
    </row>
    <row r="63" spans="2:19" x14ac:dyDescent="0.3">
      <c r="D63" s="99"/>
      <c r="E63" s="99"/>
      <c r="F63" s="99"/>
      <c r="G63" s="99"/>
      <c r="H63" s="99"/>
      <c r="I63" s="99"/>
      <c r="J63" s="99"/>
      <c r="K63" s="99"/>
      <c r="L63" s="99"/>
      <c r="O63" s="99"/>
      <c r="P63" s="99"/>
      <c r="Q63" s="99"/>
      <c r="R63" s="99"/>
      <c r="S63" s="99"/>
    </row>
    <row r="64" spans="2:19" x14ac:dyDescent="0.3">
      <c r="D64" s="99"/>
      <c r="E64" s="99"/>
      <c r="F64" s="99"/>
      <c r="G64" s="99"/>
      <c r="H64" s="99"/>
      <c r="I64" s="99"/>
      <c r="J64" s="99"/>
      <c r="K64" s="99"/>
      <c r="L64" s="99"/>
      <c r="O64" s="99"/>
      <c r="P64" s="99"/>
      <c r="Q64" s="99"/>
      <c r="R64" s="99"/>
      <c r="S64" s="99"/>
    </row>
    <row r="65" spans="4:19" x14ac:dyDescent="0.3">
      <c r="D65" s="99"/>
      <c r="E65" s="99"/>
      <c r="F65" s="99"/>
      <c r="G65" s="99"/>
      <c r="H65" s="99"/>
      <c r="I65" s="99"/>
      <c r="J65" s="99"/>
      <c r="K65" s="99"/>
      <c r="L65" s="99"/>
      <c r="O65" s="99"/>
      <c r="P65" s="99"/>
      <c r="Q65" s="99"/>
      <c r="R65" s="99"/>
      <c r="S65" s="99"/>
    </row>
    <row r="66" spans="4:19" x14ac:dyDescent="0.3">
      <c r="D66" s="99"/>
      <c r="E66" s="99"/>
      <c r="F66" s="99"/>
      <c r="G66" s="99"/>
      <c r="H66" s="99"/>
      <c r="I66" s="99"/>
      <c r="J66" s="99"/>
      <c r="K66" s="99"/>
      <c r="L66" s="99"/>
      <c r="O66" s="99"/>
      <c r="P66" s="99"/>
      <c r="Q66" s="99"/>
      <c r="R66" s="99"/>
      <c r="S66" s="99"/>
    </row>
    <row r="67" spans="4:19" x14ac:dyDescent="0.3">
      <c r="D67" s="99"/>
      <c r="E67" s="99"/>
      <c r="F67" s="99"/>
      <c r="G67" s="99"/>
      <c r="H67" s="99"/>
      <c r="I67" s="99"/>
      <c r="J67" s="99"/>
      <c r="K67" s="99"/>
      <c r="L67" s="99"/>
      <c r="O67" s="99"/>
      <c r="P67" s="99"/>
      <c r="Q67" s="99"/>
      <c r="R67" s="99"/>
      <c r="S67" s="99"/>
    </row>
    <row r="68" spans="4:19" x14ac:dyDescent="0.3">
      <c r="D68" s="99"/>
      <c r="E68" s="99"/>
      <c r="F68" s="99"/>
      <c r="G68" s="99"/>
      <c r="H68" s="99"/>
      <c r="I68" s="99"/>
      <c r="J68" s="99"/>
      <c r="K68" s="99"/>
      <c r="L68" s="99"/>
      <c r="O68" s="99"/>
      <c r="P68" s="99"/>
      <c r="Q68" s="99"/>
      <c r="R68" s="99"/>
      <c r="S68" s="99"/>
    </row>
    <row r="69" spans="4:19" x14ac:dyDescent="0.3">
      <c r="D69" s="99"/>
      <c r="E69" s="99"/>
      <c r="F69" s="99"/>
      <c r="G69" s="99"/>
      <c r="H69" s="99"/>
      <c r="I69" s="99"/>
      <c r="J69" s="99"/>
      <c r="K69" s="99"/>
      <c r="L69" s="99"/>
      <c r="O69" s="99"/>
      <c r="P69" s="99"/>
      <c r="Q69" s="99"/>
      <c r="R69" s="99"/>
      <c r="S69" s="99"/>
    </row>
    <row r="70" spans="4:19" x14ac:dyDescent="0.3">
      <c r="D70" s="99"/>
      <c r="E70" s="99"/>
      <c r="F70" s="99"/>
      <c r="G70" s="99"/>
      <c r="H70" s="99"/>
      <c r="I70" s="99"/>
      <c r="J70" s="99"/>
      <c r="K70" s="99"/>
      <c r="L70" s="99"/>
      <c r="O70" s="99"/>
      <c r="P70" s="99"/>
      <c r="Q70" s="99"/>
      <c r="R70" s="99"/>
      <c r="S70" s="99"/>
    </row>
    <row r="71" spans="4:19" x14ac:dyDescent="0.3">
      <c r="D71" s="99"/>
      <c r="E71" s="99"/>
      <c r="F71" s="99"/>
      <c r="G71" s="99"/>
      <c r="H71" s="99"/>
      <c r="I71" s="99"/>
      <c r="J71" s="99"/>
      <c r="K71" s="99"/>
      <c r="L71" s="99"/>
      <c r="O71" s="99"/>
      <c r="P71" s="99"/>
      <c r="Q71" s="99"/>
      <c r="R71" s="99"/>
      <c r="S71" s="99"/>
    </row>
    <row r="72" spans="4:19" x14ac:dyDescent="0.3">
      <c r="D72" s="99"/>
      <c r="E72" s="99"/>
      <c r="F72" s="99"/>
      <c r="G72" s="99"/>
      <c r="H72" s="99"/>
      <c r="I72" s="99"/>
      <c r="J72" s="99"/>
      <c r="K72" s="99"/>
      <c r="L72" s="99"/>
      <c r="O72" s="99"/>
      <c r="P72" s="99"/>
      <c r="Q72" s="99"/>
      <c r="R72" s="99"/>
      <c r="S72" s="99"/>
    </row>
    <row r="73" spans="4:19" x14ac:dyDescent="0.3">
      <c r="D73" s="99"/>
      <c r="E73" s="99"/>
      <c r="F73" s="99"/>
      <c r="G73" s="99"/>
      <c r="H73" s="99"/>
      <c r="I73" s="99"/>
      <c r="J73" s="99"/>
      <c r="K73" s="99"/>
      <c r="L73" s="99"/>
      <c r="O73" s="99"/>
      <c r="P73" s="99"/>
      <c r="Q73" s="99"/>
      <c r="R73" s="99"/>
      <c r="S73" s="99"/>
    </row>
    <row r="74" spans="4:19" x14ac:dyDescent="0.3">
      <c r="D74" s="99"/>
      <c r="E74" s="99"/>
      <c r="F74" s="99"/>
      <c r="G74" s="99"/>
      <c r="H74" s="99"/>
      <c r="I74" s="99"/>
      <c r="J74" s="99"/>
      <c r="K74" s="99"/>
      <c r="L74" s="99"/>
      <c r="O74" s="99"/>
      <c r="P74" s="99"/>
      <c r="Q74" s="99"/>
      <c r="R74" s="99"/>
      <c r="S74" s="99"/>
    </row>
    <row r="75" spans="4:19" x14ac:dyDescent="0.3">
      <c r="D75" s="99"/>
      <c r="E75" s="99"/>
      <c r="F75" s="99"/>
      <c r="G75" s="99"/>
      <c r="H75" s="99"/>
      <c r="I75" s="99"/>
      <c r="J75" s="99"/>
      <c r="K75" s="99"/>
      <c r="L75" s="99"/>
      <c r="O75" s="99"/>
      <c r="P75" s="99"/>
      <c r="Q75" s="99"/>
      <c r="R75" s="99"/>
      <c r="S75" s="99"/>
    </row>
    <row r="76" spans="4:19" x14ac:dyDescent="0.3">
      <c r="D76" s="99"/>
      <c r="E76" s="99"/>
      <c r="F76" s="99"/>
      <c r="G76" s="99"/>
      <c r="H76" s="99"/>
      <c r="I76" s="99"/>
      <c r="J76" s="99"/>
      <c r="K76" s="99"/>
      <c r="L76" s="99"/>
      <c r="O76" s="99"/>
      <c r="P76" s="99"/>
      <c r="Q76" s="99"/>
      <c r="R76" s="99"/>
      <c r="S76" s="99"/>
    </row>
    <row r="77" spans="4:19" x14ac:dyDescent="0.3">
      <c r="D77" s="99"/>
      <c r="E77" s="99"/>
      <c r="F77" s="99"/>
      <c r="G77" s="99"/>
      <c r="H77" s="99"/>
      <c r="I77" s="99"/>
      <c r="J77" s="99"/>
      <c r="K77" s="99"/>
      <c r="L77" s="99"/>
      <c r="O77" s="99"/>
      <c r="P77" s="99"/>
      <c r="Q77" s="99"/>
      <c r="R77" s="99"/>
      <c r="S77" s="99"/>
    </row>
    <row r="78" spans="4:19" x14ac:dyDescent="0.3">
      <c r="D78" s="99"/>
      <c r="E78" s="99"/>
      <c r="F78" s="99"/>
      <c r="G78" s="99"/>
      <c r="H78" s="99"/>
      <c r="I78" s="99"/>
      <c r="J78" s="99"/>
      <c r="K78" s="99"/>
      <c r="L78" s="99"/>
      <c r="O78" s="99"/>
      <c r="P78" s="99"/>
      <c r="Q78" s="99"/>
      <c r="R78" s="99"/>
      <c r="S78" s="99"/>
    </row>
    <row r="79" spans="4:19" x14ac:dyDescent="0.3">
      <c r="D79" s="99"/>
      <c r="E79" s="99"/>
      <c r="F79" s="99"/>
      <c r="G79" s="99"/>
      <c r="H79" s="99"/>
      <c r="I79" s="99"/>
      <c r="J79" s="99"/>
      <c r="K79" s="99"/>
      <c r="L79" s="99"/>
      <c r="O79" s="99"/>
      <c r="P79" s="99"/>
      <c r="Q79" s="99"/>
      <c r="R79" s="99"/>
      <c r="S79" s="99"/>
    </row>
    <row r="80" spans="4:19" x14ac:dyDescent="0.3">
      <c r="D80" s="99"/>
      <c r="E80" s="99"/>
      <c r="F80" s="99"/>
      <c r="G80" s="99"/>
      <c r="H80" s="99"/>
      <c r="I80" s="99"/>
      <c r="J80" s="99"/>
      <c r="K80" s="99"/>
      <c r="L80" s="99"/>
      <c r="O80" s="99"/>
      <c r="P80" s="99"/>
      <c r="Q80" s="99"/>
      <c r="R80" s="99"/>
      <c r="S80" s="99"/>
    </row>
    <row r="81" spans="4:19" x14ac:dyDescent="0.3">
      <c r="D81" s="99"/>
      <c r="E81" s="99"/>
      <c r="F81" s="99"/>
      <c r="G81" s="99"/>
      <c r="H81" s="99"/>
      <c r="I81" s="99"/>
      <c r="J81" s="99"/>
      <c r="K81" s="99"/>
      <c r="L81" s="99"/>
      <c r="O81" s="99"/>
      <c r="P81" s="99"/>
      <c r="Q81" s="99"/>
      <c r="R81" s="99"/>
      <c r="S81" s="99"/>
    </row>
    <row r="82" spans="4:19" x14ac:dyDescent="0.3">
      <c r="D82" s="99"/>
      <c r="E82" s="99"/>
      <c r="F82" s="99"/>
      <c r="G82" s="99"/>
      <c r="H82" s="99"/>
      <c r="I82" s="99"/>
      <c r="J82" s="99"/>
      <c r="K82" s="99"/>
      <c r="L82" s="99"/>
      <c r="O82" s="99"/>
      <c r="P82" s="99"/>
      <c r="Q82" s="99"/>
      <c r="R82" s="99"/>
      <c r="S82" s="99"/>
    </row>
    <row r="83" spans="4:19" x14ac:dyDescent="0.3">
      <c r="D83" s="99"/>
      <c r="E83" s="99"/>
      <c r="F83" s="99"/>
      <c r="G83" s="99"/>
      <c r="H83" s="99"/>
      <c r="I83" s="99"/>
      <c r="J83" s="99"/>
      <c r="K83" s="99"/>
      <c r="L83" s="99"/>
      <c r="O83" s="99"/>
      <c r="P83" s="99"/>
      <c r="Q83" s="99"/>
      <c r="R83" s="99"/>
      <c r="S83" s="99"/>
    </row>
    <row r="84" spans="4:19" x14ac:dyDescent="0.3">
      <c r="D84" s="99"/>
      <c r="E84" s="99"/>
      <c r="F84" s="99"/>
      <c r="G84" s="99"/>
      <c r="H84" s="99"/>
      <c r="I84" s="99"/>
      <c r="J84" s="99"/>
      <c r="K84" s="99"/>
      <c r="L84" s="99"/>
      <c r="O84" s="99"/>
      <c r="P84" s="99"/>
      <c r="Q84" s="99"/>
      <c r="R84" s="99"/>
      <c r="S84" s="99"/>
    </row>
    <row r="85" spans="4:19" x14ac:dyDescent="0.3">
      <c r="D85" s="99"/>
      <c r="E85" s="99"/>
      <c r="F85" s="99"/>
      <c r="G85" s="99"/>
      <c r="H85" s="99"/>
      <c r="I85" s="99"/>
      <c r="J85" s="99"/>
      <c r="K85" s="99"/>
      <c r="L85" s="99"/>
      <c r="O85" s="99"/>
      <c r="P85" s="99"/>
      <c r="Q85" s="99"/>
      <c r="R85" s="99"/>
      <c r="S85" s="99"/>
    </row>
    <row r="86" spans="4:19" x14ac:dyDescent="0.3">
      <c r="D86" s="99"/>
      <c r="E86" s="99"/>
      <c r="F86" s="99"/>
      <c r="G86" s="99"/>
      <c r="H86" s="99"/>
      <c r="I86" s="99"/>
      <c r="J86" s="99"/>
      <c r="K86" s="99"/>
      <c r="L86" s="99"/>
      <c r="O86" s="99"/>
      <c r="P86" s="99"/>
      <c r="Q86" s="99"/>
      <c r="R86" s="99"/>
      <c r="S86" s="99"/>
    </row>
    <row r="87" spans="4:19" x14ac:dyDescent="0.3">
      <c r="D87" s="99"/>
      <c r="E87" s="99"/>
      <c r="F87" s="99"/>
      <c r="G87" s="99"/>
      <c r="H87" s="99"/>
      <c r="I87" s="99"/>
      <c r="J87" s="99"/>
      <c r="K87" s="99"/>
      <c r="L87" s="99"/>
      <c r="O87" s="99"/>
      <c r="P87" s="99"/>
      <c r="Q87" s="99"/>
      <c r="R87" s="99"/>
      <c r="S87" s="99"/>
    </row>
    <row r="88" spans="4:19" x14ac:dyDescent="0.3">
      <c r="D88" s="99"/>
      <c r="E88" s="99"/>
      <c r="F88" s="99"/>
      <c r="G88" s="99"/>
      <c r="H88" s="99"/>
      <c r="I88" s="99"/>
      <c r="J88" s="99"/>
      <c r="K88" s="99"/>
      <c r="L88" s="99"/>
      <c r="O88" s="99"/>
      <c r="P88" s="99"/>
      <c r="Q88" s="99"/>
      <c r="R88" s="99"/>
      <c r="S88" s="99"/>
    </row>
    <row r="89" spans="4:19" x14ac:dyDescent="0.3">
      <c r="D89" s="99"/>
      <c r="E89" s="99"/>
      <c r="F89" s="99"/>
      <c r="G89" s="99"/>
      <c r="H89" s="99"/>
      <c r="I89" s="99"/>
      <c r="J89" s="99"/>
      <c r="K89" s="99"/>
      <c r="L89" s="99"/>
      <c r="O89" s="99"/>
      <c r="P89" s="99"/>
      <c r="Q89" s="99"/>
      <c r="R89" s="99"/>
      <c r="S89" s="99"/>
    </row>
    <row r="90" spans="4:19" x14ac:dyDescent="0.3">
      <c r="D90" s="99"/>
      <c r="E90" s="99"/>
      <c r="F90" s="99"/>
      <c r="G90" s="99"/>
      <c r="H90" s="99"/>
      <c r="I90" s="99"/>
      <c r="J90" s="99"/>
      <c r="K90" s="99"/>
      <c r="L90" s="99"/>
      <c r="O90" s="99"/>
      <c r="P90" s="99"/>
      <c r="Q90" s="99"/>
      <c r="R90" s="99"/>
      <c r="S90" s="99"/>
    </row>
    <row r="91" spans="4:19" x14ac:dyDescent="0.3">
      <c r="D91" s="99"/>
      <c r="E91" s="99"/>
      <c r="F91" s="99"/>
      <c r="G91" s="99"/>
      <c r="H91" s="99"/>
      <c r="I91" s="99"/>
      <c r="J91" s="99"/>
      <c r="K91" s="99"/>
      <c r="L91" s="99"/>
      <c r="O91" s="99"/>
      <c r="P91" s="99"/>
      <c r="Q91" s="99"/>
      <c r="R91" s="99"/>
      <c r="S91" s="99"/>
    </row>
    <row r="92" spans="4:19" x14ac:dyDescent="0.3">
      <c r="D92" s="99"/>
      <c r="E92" s="99"/>
      <c r="F92" s="99"/>
      <c r="G92" s="99"/>
      <c r="H92" s="99"/>
      <c r="I92" s="99"/>
      <c r="J92" s="99"/>
      <c r="K92" s="99"/>
      <c r="L92" s="99"/>
      <c r="O92" s="99"/>
      <c r="P92" s="99"/>
      <c r="Q92" s="99"/>
      <c r="R92" s="99"/>
      <c r="S92" s="99"/>
    </row>
    <row r="93" spans="4:19" x14ac:dyDescent="0.3">
      <c r="D93" s="99"/>
      <c r="E93" s="99"/>
      <c r="F93" s="99"/>
      <c r="G93" s="99"/>
      <c r="H93" s="99"/>
      <c r="I93" s="99"/>
      <c r="J93" s="99"/>
      <c r="K93" s="99"/>
      <c r="L93" s="99"/>
      <c r="O93" s="99"/>
      <c r="P93" s="99"/>
      <c r="Q93" s="99"/>
      <c r="R93" s="99"/>
      <c r="S93" s="99"/>
    </row>
    <row r="94" spans="4:19" x14ac:dyDescent="0.3">
      <c r="D94" s="99"/>
      <c r="E94" s="99"/>
      <c r="F94" s="99"/>
      <c r="G94" s="99"/>
      <c r="H94" s="99"/>
      <c r="I94" s="99"/>
      <c r="J94" s="99"/>
      <c r="K94" s="99"/>
      <c r="L94" s="99"/>
      <c r="O94" s="99"/>
      <c r="P94" s="99"/>
      <c r="Q94" s="99"/>
      <c r="R94" s="99"/>
      <c r="S94" s="99"/>
    </row>
    <row r="95" spans="4:19" x14ac:dyDescent="0.3">
      <c r="D95" s="99"/>
      <c r="E95" s="99"/>
      <c r="F95" s="99"/>
      <c r="G95" s="99"/>
      <c r="H95" s="99"/>
      <c r="I95" s="99"/>
      <c r="J95" s="99"/>
      <c r="K95" s="99"/>
      <c r="L95" s="99"/>
      <c r="O95" s="99"/>
      <c r="P95" s="99"/>
      <c r="Q95" s="99"/>
      <c r="R95" s="99"/>
      <c r="S95" s="99"/>
    </row>
    <row r="96" spans="4:19" x14ac:dyDescent="0.3">
      <c r="D96" s="99"/>
      <c r="E96" s="99"/>
      <c r="F96" s="99"/>
      <c r="G96" s="99"/>
      <c r="H96" s="99"/>
      <c r="I96" s="99"/>
      <c r="J96" s="99"/>
      <c r="K96" s="99"/>
      <c r="L96" s="99"/>
      <c r="O96" s="99"/>
      <c r="P96" s="99"/>
      <c r="Q96" s="99"/>
      <c r="R96" s="99"/>
      <c r="S96" s="99"/>
    </row>
    <row r="97" spans="4:19" x14ac:dyDescent="0.3">
      <c r="D97" s="99"/>
      <c r="E97" s="99"/>
      <c r="F97" s="99"/>
      <c r="G97" s="99"/>
      <c r="H97" s="99"/>
      <c r="I97" s="99"/>
      <c r="J97" s="99"/>
      <c r="K97" s="99"/>
      <c r="L97" s="99"/>
      <c r="O97" s="99"/>
      <c r="P97" s="99"/>
      <c r="Q97" s="99"/>
      <c r="R97" s="99"/>
      <c r="S97" s="99"/>
    </row>
    <row r="98" spans="4:19" x14ac:dyDescent="0.3">
      <c r="D98" s="99"/>
      <c r="E98" s="99"/>
      <c r="F98" s="99"/>
      <c r="G98" s="99"/>
      <c r="H98" s="99"/>
      <c r="I98" s="99"/>
      <c r="J98" s="99"/>
      <c r="K98" s="99"/>
      <c r="L98" s="99"/>
      <c r="O98" s="99"/>
      <c r="P98" s="99"/>
      <c r="Q98" s="99"/>
      <c r="R98" s="99"/>
      <c r="S98" s="99"/>
    </row>
    <row r="99" spans="4:19" x14ac:dyDescent="0.3">
      <c r="D99" s="99"/>
      <c r="E99" s="99"/>
      <c r="F99" s="99"/>
      <c r="G99" s="99"/>
      <c r="H99" s="99"/>
      <c r="I99" s="99"/>
      <c r="J99" s="99"/>
      <c r="K99" s="99"/>
      <c r="L99" s="99"/>
      <c r="O99" s="99"/>
      <c r="P99" s="99"/>
      <c r="Q99" s="99"/>
      <c r="R99" s="99"/>
      <c r="S99" s="99"/>
    </row>
    <row r="100" spans="4:19" x14ac:dyDescent="0.3">
      <c r="D100" s="99"/>
      <c r="E100" s="99"/>
      <c r="F100" s="99"/>
      <c r="G100" s="99"/>
      <c r="H100" s="99"/>
      <c r="I100" s="99"/>
      <c r="J100" s="99"/>
      <c r="K100" s="99"/>
      <c r="L100" s="99"/>
      <c r="O100" s="99"/>
      <c r="P100" s="99"/>
      <c r="Q100" s="99"/>
      <c r="R100" s="99"/>
      <c r="S100" s="99"/>
    </row>
    <row r="101" spans="4:19" x14ac:dyDescent="0.3">
      <c r="D101" s="99"/>
      <c r="E101" s="99"/>
      <c r="F101" s="99"/>
      <c r="G101" s="99"/>
      <c r="H101" s="99"/>
      <c r="I101" s="99"/>
      <c r="J101" s="99"/>
      <c r="K101" s="99"/>
      <c r="L101" s="99"/>
      <c r="O101" s="99"/>
      <c r="P101" s="99"/>
      <c r="Q101" s="99"/>
      <c r="R101" s="99"/>
      <c r="S101" s="99"/>
    </row>
    <row r="102" spans="4:19" x14ac:dyDescent="0.3">
      <c r="D102" s="99"/>
      <c r="E102" s="99"/>
      <c r="F102" s="99"/>
      <c r="G102" s="99"/>
      <c r="H102" s="99"/>
      <c r="I102" s="99"/>
      <c r="J102" s="99"/>
      <c r="K102" s="99"/>
      <c r="L102" s="99"/>
      <c r="O102" s="99"/>
      <c r="P102" s="99"/>
      <c r="Q102" s="99"/>
      <c r="R102" s="99"/>
      <c r="S102" s="99"/>
    </row>
    <row r="103" spans="4:19" x14ac:dyDescent="0.3">
      <c r="D103" s="99"/>
      <c r="E103" s="99"/>
      <c r="F103" s="99"/>
      <c r="G103" s="99"/>
      <c r="H103" s="99"/>
      <c r="I103" s="99"/>
      <c r="J103" s="99"/>
      <c r="K103" s="99"/>
      <c r="L103" s="99"/>
      <c r="O103" s="99"/>
      <c r="P103" s="99"/>
      <c r="Q103" s="99"/>
      <c r="R103" s="99"/>
      <c r="S103" s="99"/>
    </row>
    <row r="104" spans="4:19" x14ac:dyDescent="0.3">
      <c r="D104" s="99"/>
      <c r="E104" s="99"/>
      <c r="F104" s="99"/>
      <c r="G104" s="99"/>
      <c r="H104" s="99"/>
      <c r="I104" s="99"/>
      <c r="J104" s="99"/>
      <c r="K104" s="99"/>
      <c r="L104" s="99"/>
      <c r="O104" s="99"/>
      <c r="P104" s="99"/>
      <c r="Q104" s="99"/>
      <c r="R104" s="99"/>
      <c r="S104" s="99"/>
    </row>
    <row r="105" spans="4:19" x14ac:dyDescent="0.3">
      <c r="D105" s="99"/>
      <c r="E105" s="99"/>
      <c r="F105" s="99"/>
      <c r="G105" s="99"/>
      <c r="H105" s="99"/>
      <c r="I105" s="99"/>
      <c r="J105" s="99"/>
      <c r="K105" s="99"/>
      <c r="L105" s="99"/>
      <c r="O105" s="99"/>
      <c r="P105" s="99"/>
      <c r="Q105" s="99"/>
      <c r="R105" s="99"/>
      <c r="S105" s="99"/>
    </row>
    <row r="106" spans="4:19" x14ac:dyDescent="0.3">
      <c r="D106" s="99"/>
      <c r="E106" s="99"/>
      <c r="F106" s="99"/>
      <c r="G106" s="99"/>
      <c r="H106" s="99"/>
      <c r="I106" s="99"/>
      <c r="J106" s="99"/>
      <c r="K106" s="99"/>
      <c r="L106" s="99"/>
      <c r="O106" s="99"/>
      <c r="P106" s="99"/>
      <c r="Q106" s="99"/>
      <c r="R106" s="99"/>
      <c r="S106" s="99"/>
    </row>
    <row r="107" spans="4:19" x14ac:dyDescent="0.3">
      <c r="D107" s="99"/>
      <c r="E107" s="99"/>
      <c r="F107" s="99"/>
      <c r="G107" s="99"/>
      <c r="H107" s="99"/>
      <c r="I107" s="99"/>
      <c r="J107" s="99"/>
      <c r="K107" s="99"/>
      <c r="L107" s="99"/>
      <c r="O107" s="99"/>
      <c r="P107" s="99"/>
      <c r="Q107" s="99"/>
      <c r="R107" s="99"/>
      <c r="S107" s="99"/>
    </row>
    <row r="108" spans="4:19" x14ac:dyDescent="0.3">
      <c r="D108" s="99"/>
      <c r="E108" s="99"/>
      <c r="F108" s="99"/>
      <c r="G108" s="99"/>
      <c r="H108" s="99"/>
      <c r="I108" s="99"/>
      <c r="J108" s="99"/>
      <c r="K108" s="99"/>
      <c r="L108" s="99"/>
      <c r="O108" s="99"/>
      <c r="P108" s="99"/>
      <c r="Q108" s="99"/>
      <c r="R108" s="99"/>
      <c r="S108" s="99"/>
    </row>
    <row r="109" spans="4:19" x14ac:dyDescent="0.3">
      <c r="D109" s="99"/>
      <c r="E109" s="99"/>
      <c r="F109" s="99"/>
      <c r="G109" s="99"/>
      <c r="H109" s="99"/>
      <c r="I109" s="99"/>
      <c r="J109" s="99"/>
      <c r="K109" s="99"/>
      <c r="L109" s="99"/>
      <c r="O109" s="99"/>
      <c r="P109" s="99"/>
      <c r="Q109" s="99"/>
      <c r="R109" s="99"/>
      <c r="S109" s="99"/>
    </row>
    <row r="110" spans="4:19" x14ac:dyDescent="0.3">
      <c r="D110" s="99"/>
      <c r="E110" s="99"/>
      <c r="F110" s="99"/>
      <c r="G110" s="99"/>
      <c r="H110" s="99"/>
      <c r="I110" s="99"/>
      <c r="J110" s="99"/>
      <c r="K110" s="99"/>
      <c r="L110" s="99"/>
      <c r="O110" s="99"/>
      <c r="P110" s="99"/>
      <c r="Q110" s="99"/>
      <c r="R110" s="99"/>
      <c r="S110" s="99"/>
    </row>
    <row r="111" spans="4:19" x14ac:dyDescent="0.3">
      <c r="D111" s="99"/>
      <c r="E111" s="99"/>
      <c r="F111" s="99"/>
      <c r="G111" s="99"/>
      <c r="H111" s="99"/>
      <c r="I111" s="99"/>
      <c r="J111" s="99"/>
      <c r="K111" s="99"/>
      <c r="L111" s="99"/>
      <c r="O111" s="99"/>
      <c r="P111" s="99"/>
      <c r="Q111" s="99"/>
      <c r="R111" s="99"/>
      <c r="S111" s="99"/>
    </row>
    <row r="112" spans="4:19" x14ac:dyDescent="0.3">
      <c r="D112" s="99"/>
      <c r="E112" s="99"/>
      <c r="F112" s="99"/>
      <c r="G112" s="99"/>
      <c r="H112" s="99"/>
      <c r="I112" s="99"/>
      <c r="J112" s="99"/>
      <c r="K112" s="99"/>
      <c r="L112" s="99"/>
      <c r="O112" s="99"/>
      <c r="P112" s="99"/>
      <c r="Q112" s="99"/>
      <c r="R112" s="99"/>
      <c r="S112" s="99"/>
    </row>
    <row r="113" spans="4:19" x14ac:dyDescent="0.3">
      <c r="D113" s="99"/>
      <c r="E113" s="99"/>
      <c r="F113" s="99"/>
      <c r="G113" s="99"/>
      <c r="H113" s="99"/>
      <c r="I113" s="99"/>
      <c r="J113" s="99"/>
      <c r="K113" s="99"/>
      <c r="L113" s="99"/>
      <c r="O113" s="99"/>
      <c r="P113" s="99"/>
      <c r="Q113" s="99"/>
      <c r="R113" s="99"/>
      <c r="S113" s="99"/>
    </row>
    <row r="114" spans="4:19" x14ac:dyDescent="0.3">
      <c r="D114" s="99"/>
      <c r="E114" s="99"/>
      <c r="F114" s="99"/>
      <c r="G114" s="99"/>
      <c r="H114" s="99"/>
      <c r="I114" s="99"/>
      <c r="J114" s="99"/>
      <c r="K114" s="99"/>
      <c r="L114" s="99"/>
      <c r="O114" s="99"/>
      <c r="P114" s="99"/>
      <c r="Q114" s="99"/>
      <c r="R114" s="99"/>
      <c r="S114" s="99"/>
    </row>
    <row r="115" spans="4:19" x14ac:dyDescent="0.3">
      <c r="D115" s="99"/>
      <c r="E115" s="99"/>
      <c r="F115" s="99"/>
      <c r="G115" s="99"/>
      <c r="H115" s="99"/>
      <c r="I115" s="99"/>
      <c r="J115" s="99"/>
      <c r="K115" s="99"/>
      <c r="L115" s="99"/>
      <c r="O115" s="99"/>
      <c r="P115" s="99"/>
      <c r="Q115" s="99"/>
      <c r="R115" s="99"/>
      <c r="S115" s="99"/>
    </row>
    <row r="116" spans="4:19" x14ac:dyDescent="0.3">
      <c r="D116" s="99"/>
      <c r="E116" s="99"/>
      <c r="F116" s="99"/>
      <c r="G116" s="99"/>
      <c r="H116" s="99"/>
      <c r="I116" s="99"/>
      <c r="J116" s="99"/>
      <c r="K116" s="99"/>
      <c r="L116" s="99"/>
      <c r="O116" s="99"/>
      <c r="P116" s="99"/>
      <c r="Q116" s="99"/>
      <c r="R116" s="99"/>
      <c r="S116" s="99"/>
    </row>
    <row r="117" spans="4:19" x14ac:dyDescent="0.3">
      <c r="D117" s="99"/>
      <c r="E117" s="99"/>
      <c r="F117" s="99"/>
      <c r="G117" s="99"/>
      <c r="H117" s="99"/>
      <c r="I117" s="99"/>
      <c r="J117" s="99"/>
      <c r="K117" s="99"/>
      <c r="L117" s="99"/>
      <c r="O117" s="99"/>
      <c r="P117" s="99"/>
      <c r="Q117" s="99"/>
      <c r="R117" s="99"/>
      <c r="S117" s="99"/>
    </row>
    <row r="118" spans="4:19" x14ac:dyDescent="0.3">
      <c r="D118" s="99"/>
      <c r="E118" s="99"/>
      <c r="F118" s="99"/>
      <c r="G118" s="99"/>
      <c r="H118" s="99"/>
      <c r="I118" s="99"/>
      <c r="J118" s="99"/>
      <c r="K118" s="99"/>
      <c r="L118" s="99"/>
      <c r="O118" s="99"/>
      <c r="P118" s="99"/>
      <c r="Q118" s="99"/>
      <c r="R118" s="99"/>
      <c r="S118" s="99"/>
    </row>
    <row r="119" spans="4:19" x14ac:dyDescent="0.3">
      <c r="D119" s="99"/>
      <c r="E119" s="99"/>
      <c r="F119" s="99"/>
      <c r="G119" s="99"/>
      <c r="H119" s="99"/>
      <c r="I119" s="99"/>
      <c r="J119" s="99"/>
      <c r="K119" s="99"/>
      <c r="L119" s="99"/>
      <c r="O119" s="99"/>
      <c r="P119" s="99"/>
      <c r="Q119" s="99"/>
      <c r="R119" s="99"/>
      <c r="S119" s="99"/>
    </row>
    <row r="120" spans="4:19" x14ac:dyDescent="0.3">
      <c r="D120" s="99"/>
      <c r="E120" s="99"/>
      <c r="F120" s="99"/>
      <c r="G120" s="99"/>
      <c r="H120" s="99"/>
      <c r="I120" s="99"/>
      <c r="J120" s="99"/>
      <c r="K120" s="99"/>
      <c r="L120" s="99"/>
      <c r="O120" s="99"/>
      <c r="P120" s="99"/>
      <c r="Q120" s="99"/>
      <c r="R120" s="99"/>
      <c r="S120" s="99"/>
    </row>
    <row r="121" spans="4:19" x14ac:dyDescent="0.3">
      <c r="D121" s="99"/>
      <c r="E121" s="99"/>
      <c r="F121" s="99"/>
      <c r="G121" s="99"/>
      <c r="H121" s="99"/>
      <c r="I121" s="99"/>
      <c r="J121" s="99"/>
      <c r="K121" s="99"/>
      <c r="L121" s="99"/>
      <c r="O121" s="99"/>
      <c r="P121" s="99"/>
      <c r="Q121" s="99"/>
      <c r="R121" s="99"/>
      <c r="S121" s="99"/>
    </row>
    <row r="122" spans="4:19" x14ac:dyDescent="0.3">
      <c r="D122" s="99"/>
      <c r="E122" s="99"/>
      <c r="F122" s="99"/>
      <c r="G122" s="99"/>
      <c r="H122" s="99"/>
      <c r="I122" s="99"/>
      <c r="J122" s="99"/>
      <c r="K122" s="99"/>
      <c r="L122" s="99"/>
      <c r="O122" s="99"/>
      <c r="P122" s="99"/>
      <c r="Q122" s="99"/>
      <c r="R122" s="99"/>
      <c r="S122" s="99"/>
    </row>
    <row r="123" spans="4:19" x14ac:dyDescent="0.3">
      <c r="D123" s="99"/>
      <c r="E123" s="99"/>
      <c r="F123" s="99"/>
      <c r="G123" s="99"/>
      <c r="H123" s="99"/>
      <c r="I123" s="99"/>
      <c r="J123" s="99"/>
      <c r="K123" s="99"/>
      <c r="L123" s="99"/>
      <c r="O123" s="99"/>
      <c r="P123" s="99"/>
      <c r="Q123" s="99"/>
      <c r="R123" s="99"/>
      <c r="S123" s="99"/>
    </row>
    <row r="124" spans="4:19" x14ac:dyDescent="0.3">
      <c r="D124" s="99"/>
      <c r="E124" s="99"/>
      <c r="F124" s="99"/>
      <c r="G124" s="99"/>
      <c r="H124" s="99"/>
      <c r="I124" s="99"/>
      <c r="J124" s="99"/>
      <c r="K124" s="99"/>
      <c r="L124" s="99"/>
      <c r="O124" s="99"/>
      <c r="P124" s="99"/>
      <c r="Q124" s="99"/>
      <c r="R124" s="99"/>
      <c r="S124" s="99"/>
    </row>
    <row r="125" spans="4:19" x14ac:dyDescent="0.3">
      <c r="D125" s="99"/>
      <c r="E125" s="99"/>
      <c r="F125" s="99"/>
      <c r="G125" s="99"/>
      <c r="H125" s="99"/>
      <c r="I125" s="99"/>
      <c r="J125" s="99"/>
      <c r="K125" s="99"/>
      <c r="L125" s="99"/>
      <c r="O125" s="99"/>
      <c r="P125" s="99"/>
      <c r="Q125" s="99"/>
      <c r="R125" s="99"/>
      <c r="S125" s="99"/>
    </row>
    <row r="126" spans="4:19" x14ac:dyDescent="0.3">
      <c r="D126" s="99"/>
      <c r="E126" s="99"/>
      <c r="F126" s="99"/>
      <c r="G126" s="99"/>
      <c r="H126" s="99"/>
      <c r="I126" s="99"/>
      <c r="J126" s="99"/>
      <c r="K126" s="99"/>
      <c r="L126" s="99"/>
      <c r="O126" s="99"/>
      <c r="P126" s="99"/>
      <c r="Q126" s="99"/>
      <c r="R126" s="99"/>
      <c r="S126" s="99"/>
    </row>
    <row r="127" spans="4:19" x14ac:dyDescent="0.3">
      <c r="D127" s="99"/>
      <c r="E127" s="99"/>
      <c r="F127" s="99"/>
      <c r="G127" s="99"/>
      <c r="H127" s="99"/>
      <c r="I127" s="99"/>
      <c r="J127" s="99"/>
      <c r="K127" s="99"/>
      <c r="L127" s="99"/>
      <c r="O127" s="99"/>
      <c r="P127" s="99"/>
      <c r="Q127" s="99"/>
      <c r="R127" s="99"/>
      <c r="S127" s="99"/>
    </row>
    <row r="128" spans="4:19" x14ac:dyDescent="0.3">
      <c r="D128" s="99"/>
      <c r="E128" s="99"/>
      <c r="F128" s="99"/>
      <c r="G128" s="99"/>
      <c r="H128" s="99"/>
      <c r="I128" s="99"/>
      <c r="J128" s="99"/>
      <c r="K128" s="99"/>
      <c r="L128" s="99"/>
      <c r="O128" s="99"/>
      <c r="P128" s="99"/>
      <c r="Q128" s="99"/>
      <c r="R128" s="99"/>
      <c r="S128" s="99"/>
    </row>
    <row r="129" spans="4:19" x14ac:dyDescent="0.3">
      <c r="D129" s="99"/>
      <c r="E129" s="99"/>
      <c r="F129" s="99"/>
      <c r="G129" s="99"/>
      <c r="H129" s="99"/>
      <c r="I129" s="99"/>
      <c r="J129" s="99"/>
      <c r="K129" s="99"/>
      <c r="L129" s="99"/>
      <c r="O129" s="99"/>
      <c r="P129" s="99"/>
      <c r="Q129" s="99"/>
      <c r="R129" s="99"/>
      <c r="S129" s="99"/>
    </row>
    <row r="130" spans="4:19" x14ac:dyDescent="0.3">
      <c r="D130" s="99"/>
      <c r="E130" s="99"/>
      <c r="F130" s="99"/>
      <c r="G130" s="99"/>
      <c r="H130" s="99"/>
      <c r="I130" s="99"/>
      <c r="J130" s="99"/>
      <c r="K130" s="99"/>
      <c r="L130" s="99"/>
      <c r="O130" s="99"/>
      <c r="P130" s="99"/>
      <c r="Q130" s="99"/>
      <c r="R130" s="99"/>
      <c r="S130" s="99"/>
    </row>
    <row r="131" spans="4:19" x14ac:dyDescent="0.3">
      <c r="D131" s="99"/>
      <c r="E131" s="99"/>
      <c r="F131" s="99"/>
      <c r="G131" s="99"/>
      <c r="H131" s="99"/>
      <c r="I131" s="99"/>
      <c r="J131" s="99"/>
      <c r="K131" s="99"/>
      <c r="L131" s="99"/>
      <c r="O131" s="99"/>
      <c r="P131" s="99"/>
      <c r="Q131" s="99"/>
      <c r="R131" s="99"/>
      <c r="S131" s="99"/>
    </row>
    <row r="132" spans="4:19" x14ac:dyDescent="0.3">
      <c r="D132" s="99"/>
      <c r="E132" s="99"/>
      <c r="F132" s="99"/>
      <c r="G132" s="99"/>
      <c r="H132" s="99"/>
      <c r="I132" s="99"/>
      <c r="J132" s="99"/>
      <c r="K132" s="99"/>
      <c r="L132" s="99"/>
      <c r="O132" s="99"/>
      <c r="P132" s="99"/>
      <c r="Q132" s="99"/>
      <c r="R132" s="99"/>
      <c r="S132" s="99"/>
    </row>
    <row r="133" spans="4:19" x14ac:dyDescent="0.3">
      <c r="D133" s="99"/>
      <c r="E133" s="99"/>
      <c r="F133" s="99"/>
      <c r="G133" s="99"/>
      <c r="H133" s="99"/>
      <c r="I133" s="99"/>
      <c r="J133" s="99"/>
      <c r="K133" s="99"/>
      <c r="L133" s="99"/>
      <c r="O133" s="99"/>
      <c r="P133" s="99"/>
      <c r="Q133" s="99"/>
      <c r="R133" s="99"/>
      <c r="S133" s="99"/>
    </row>
    <row r="134" spans="4:19" x14ac:dyDescent="0.3">
      <c r="D134" s="99"/>
      <c r="E134" s="99"/>
      <c r="F134" s="99"/>
      <c r="G134" s="99"/>
      <c r="H134" s="99"/>
      <c r="I134" s="99"/>
      <c r="J134" s="99"/>
      <c r="K134" s="99"/>
      <c r="L134" s="99"/>
      <c r="O134" s="99"/>
      <c r="P134" s="99"/>
      <c r="Q134" s="99"/>
      <c r="R134" s="99"/>
      <c r="S134" s="99"/>
    </row>
    <row r="135" spans="4:19" x14ac:dyDescent="0.3">
      <c r="D135" s="99"/>
      <c r="E135" s="99"/>
      <c r="F135" s="99"/>
      <c r="G135" s="99"/>
      <c r="H135" s="99"/>
      <c r="I135" s="99"/>
      <c r="J135" s="99"/>
      <c r="K135" s="99"/>
      <c r="L135" s="99"/>
      <c r="O135" s="99"/>
      <c r="P135" s="99"/>
      <c r="Q135" s="99"/>
      <c r="R135" s="99"/>
      <c r="S135" s="99"/>
    </row>
    <row r="136" spans="4:19" x14ac:dyDescent="0.3">
      <c r="D136" s="99"/>
      <c r="E136" s="99"/>
      <c r="F136" s="99"/>
      <c r="G136" s="99"/>
      <c r="H136" s="99"/>
      <c r="I136" s="99"/>
      <c r="J136" s="99"/>
      <c r="K136" s="99"/>
      <c r="L136" s="99"/>
      <c r="O136" s="99"/>
      <c r="P136" s="99"/>
      <c r="Q136" s="99"/>
      <c r="R136" s="99"/>
      <c r="S136" s="99"/>
    </row>
    <row r="137" spans="4:19" x14ac:dyDescent="0.3">
      <c r="D137" s="99"/>
      <c r="E137" s="99"/>
      <c r="F137" s="99"/>
      <c r="G137" s="99"/>
      <c r="H137" s="99"/>
      <c r="I137" s="99"/>
      <c r="J137" s="99"/>
      <c r="K137" s="99"/>
      <c r="L137" s="99"/>
      <c r="O137" s="99"/>
      <c r="P137" s="99"/>
      <c r="Q137" s="99"/>
      <c r="R137" s="99"/>
      <c r="S137" s="99"/>
    </row>
    <row r="138" spans="4:19" x14ac:dyDescent="0.3">
      <c r="D138" s="99"/>
      <c r="E138" s="99"/>
      <c r="F138" s="99"/>
      <c r="G138" s="99"/>
      <c r="H138" s="99"/>
      <c r="I138" s="99"/>
      <c r="J138" s="99"/>
      <c r="K138" s="99"/>
      <c r="L138" s="99"/>
      <c r="O138" s="99"/>
      <c r="P138" s="99"/>
      <c r="Q138" s="99"/>
      <c r="R138" s="99"/>
      <c r="S138" s="99"/>
    </row>
    <row r="139" spans="4:19" x14ac:dyDescent="0.3">
      <c r="D139" s="99"/>
      <c r="E139" s="99"/>
      <c r="F139" s="99"/>
      <c r="G139" s="99"/>
      <c r="H139" s="99"/>
      <c r="I139" s="99"/>
      <c r="J139" s="99"/>
      <c r="K139" s="99"/>
      <c r="L139" s="99"/>
      <c r="O139" s="99"/>
      <c r="P139" s="99"/>
      <c r="Q139" s="99"/>
      <c r="R139" s="99"/>
      <c r="S139" s="99"/>
    </row>
    <row r="140" spans="4:19" x14ac:dyDescent="0.3">
      <c r="D140" s="99"/>
      <c r="E140" s="99"/>
      <c r="F140" s="99"/>
      <c r="G140" s="99"/>
      <c r="H140" s="99"/>
      <c r="I140" s="99"/>
      <c r="J140" s="99"/>
      <c r="K140" s="99"/>
      <c r="L140" s="99"/>
      <c r="O140" s="99"/>
      <c r="P140" s="99"/>
      <c r="Q140" s="99"/>
      <c r="R140" s="99"/>
      <c r="S140" s="99"/>
    </row>
    <row r="141" spans="4:19" x14ac:dyDescent="0.3">
      <c r="D141" s="99"/>
      <c r="E141" s="99"/>
      <c r="F141" s="99"/>
      <c r="G141" s="99"/>
      <c r="H141" s="99"/>
      <c r="I141" s="99"/>
      <c r="J141" s="99"/>
      <c r="K141" s="99"/>
      <c r="L141" s="99"/>
      <c r="O141" s="99"/>
      <c r="P141" s="99"/>
      <c r="Q141" s="99"/>
      <c r="R141" s="99"/>
      <c r="S141" s="99"/>
    </row>
    <row r="142" spans="4:19" x14ac:dyDescent="0.3">
      <c r="D142" s="99"/>
      <c r="E142" s="99"/>
      <c r="F142" s="99"/>
      <c r="G142" s="99"/>
      <c r="H142" s="99"/>
      <c r="I142" s="99"/>
      <c r="J142" s="99"/>
      <c r="K142" s="99"/>
      <c r="L142" s="99"/>
      <c r="O142" s="99"/>
      <c r="P142" s="99"/>
      <c r="Q142" s="99"/>
      <c r="R142" s="99"/>
      <c r="S142" s="99"/>
    </row>
    <row r="143" spans="4:19" x14ac:dyDescent="0.3">
      <c r="D143" s="99"/>
      <c r="E143" s="99"/>
      <c r="F143" s="99"/>
      <c r="G143" s="99"/>
      <c r="H143" s="99"/>
      <c r="I143" s="99"/>
      <c r="J143" s="99"/>
      <c r="K143" s="99"/>
      <c r="L143" s="99"/>
      <c r="O143" s="99"/>
      <c r="P143" s="99"/>
      <c r="Q143" s="99"/>
      <c r="R143" s="99"/>
      <c r="S143" s="99"/>
    </row>
    <row r="144" spans="4:19" x14ac:dyDescent="0.3">
      <c r="D144" s="99"/>
      <c r="E144" s="99"/>
      <c r="F144" s="99"/>
      <c r="G144" s="99"/>
      <c r="H144" s="99"/>
      <c r="I144" s="99"/>
      <c r="J144" s="99"/>
      <c r="K144" s="99"/>
      <c r="L144" s="99"/>
      <c r="O144" s="99"/>
      <c r="P144" s="99"/>
      <c r="Q144" s="99"/>
      <c r="R144" s="99"/>
      <c r="S144" s="99"/>
    </row>
    <row r="145" spans="4:19" x14ac:dyDescent="0.3">
      <c r="D145" s="99"/>
      <c r="E145" s="99"/>
      <c r="F145" s="99"/>
      <c r="G145" s="99"/>
      <c r="H145" s="99"/>
      <c r="I145" s="99"/>
      <c r="J145" s="99"/>
      <c r="K145" s="99"/>
      <c r="L145" s="99"/>
      <c r="O145" s="99"/>
      <c r="P145" s="99"/>
      <c r="Q145" s="99"/>
      <c r="R145" s="99"/>
      <c r="S145" s="99"/>
    </row>
    <row r="146" spans="4:19" x14ac:dyDescent="0.3">
      <c r="D146" s="99"/>
      <c r="E146" s="99"/>
      <c r="F146" s="99"/>
      <c r="G146" s="99"/>
      <c r="H146" s="99"/>
      <c r="I146" s="99"/>
      <c r="J146" s="99"/>
      <c r="K146" s="99"/>
      <c r="L146" s="99"/>
      <c r="O146" s="99"/>
      <c r="P146" s="99"/>
      <c r="Q146" s="99"/>
      <c r="R146" s="99"/>
      <c r="S146" s="99"/>
    </row>
    <row r="147" spans="4:19" x14ac:dyDescent="0.3">
      <c r="D147" s="99"/>
      <c r="E147" s="99"/>
      <c r="F147" s="99"/>
      <c r="G147" s="99"/>
      <c r="H147" s="99"/>
      <c r="I147" s="99"/>
      <c r="J147" s="99"/>
      <c r="K147" s="99"/>
      <c r="L147" s="99"/>
      <c r="O147" s="99"/>
      <c r="P147" s="99"/>
      <c r="Q147" s="99"/>
      <c r="R147" s="99"/>
      <c r="S147" s="99"/>
    </row>
    <row r="148" spans="4:19" x14ac:dyDescent="0.3">
      <c r="D148" s="99"/>
      <c r="E148" s="99"/>
      <c r="F148" s="99"/>
      <c r="G148" s="99"/>
      <c r="H148" s="99"/>
      <c r="I148" s="99"/>
      <c r="J148" s="99"/>
      <c r="K148" s="99"/>
      <c r="L148" s="99"/>
      <c r="O148" s="99"/>
      <c r="P148" s="99"/>
      <c r="Q148" s="99"/>
      <c r="R148" s="99"/>
      <c r="S148" s="99"/>
    </row>
    <row r="149" spans="4:19" x14ac:dyDescent="0.3">
      <c r="D149" s="99"/>
      <c r="E149" s="99"/>
      <c r="F149" s="99"/>
      <c r="G149" s="99"/>
      <c r="H149" s="99"/>
      <c r="I149" s="99"/>
      <c r="J149" s="99"/>
      <c r="K149" s="99"/>
      <c r="L149" s="99"/>
      <c r="O149" s="99"/>
      <c r="P149" s="99"/>
      <c r="Q149" s="99"/>
      <c r="R149" s="99"/>
      <c r="S149" s="99"/>
    </row>
    <row r="150" spans="4:19" x14ac:dyDescent="0.3">
      <c r="D150" s="99"/>
      <c r="E150" s="99"/>
      <c r="F150" s="99"/>
      <c r="G150" s="99"/>
      <c r="H150" s="99"/>
      <c r="I150" s="99"/>
      <c r="J150" s="99"/>
      <c r="K150" s="99"/>
      <c r="L150" s="99"/>
      <c r="O150" s="99"/>
      <c r="P150" s="99"/>
      <c r="Q150" s="99"/>
      <c r="R150" s="99"/>
      <c r="S150" s="99"/>
    </row>
    <row r="151" spans="4:19" x14ac:dyDescent="0.3">
      <c r="D151" s="99"/>
      <c r="E151" s="99"/>
      <c r="F151" s="99"/>
      <c r="G151" s="99"/>
      <c r="H151" s="99"/>
      <c r="I151" s="99"/>
      <c r="J151" s="99"/>
      <c r="K151" s="99"/>
      <c r="L151" s="99"/>
      <c r="O151" s="99"/>
      <c r="P151" s="99"/>
      <c r="Q151" s="99"/>
      <c r="R151" s="99"/>
      <c r="S151" s="99"/>
    </row>
    <row r="152" spans="4:19" x14ac:dyDescent="0.3">
      <c r="D152" s="99"/>
      <c r="E152" s="99"/>
      <c r="F152" s="99"/>
      <c r="G152" s="99"/>
      <c r="H152" s="99"/>
      <c r="I152" s="99"/>
      <c r="J152" s="99"/>
      <c r="K152" s="99"/>
      <c r="L152" s="99"/>
      <c r="O152" s="99"/>
      <c r="P152" s="99"/>
      <c r="Q152" s="99"/>
      <c r="R152" s="99"/>
      <c r="S152" s="99"/>
    </row>
    <row r="153" spans="4:19" x14ac:dyDescent="0.3">
      <c r="D153" s="99"/>
      <c r="E153" s="99"/>
      <c r="F153" s="99"/>
      <c r="G153" s="99"/>
      <c r="H153" s="99"/>
      <c r="I153" s="99"/>
      <c r="J153" s="99"/>
      <c r="K153" s="99"/>
      <c r="L153" s="99"/>
      <c r="O153" s="99"/>
      <c r="P153" s="99"/>
      <c r="Q153" s="99"/>
      <c r="R153" s="99"/>
      <c r="S153" s="99"/>
    </row>
    <row r="154" spans="4:19" x14ac:dyDescent="0.3">
      <c r="D154" s="99"/>
      <c r="E154" s="99"/>
      <c r="F154" s="99"/>
      <c r="G154" s="99"/>
      <c r="H154" s="99"/>
      <c r="I154" s="99"/>
      <c r="J154" s="99"/>
      <c r="K154" s="99"/>
      <c r="L154" s="99"/>
      <c r="O154" s="99"/>
      <c r="P154" s="99"/>
      <c r="Q154" s="99"/>
      <c r="R154" s="99"/>
      <c r="S154" s="99"/>
    </row>
    <row r="155" spans="4:19" x14ac:dyDescent="0.3">
      <c r="D155" s="99"/>
      <c r="E155" s="99"/>
      <c r="F155" s="99"/>
      <c r="G155" s="99"/>
      <c r="H155" s="99"/>
      <c r="I155" s="99"/>
      <c r="J155" s="99"/>
      <c r="K155" s="99"/>
      <c r="L155" s="99"/>
      <c r="O155" s="99"/>
      <c r="P155" s="99"/>
      <c r="Q155" s="99"/>
      <c r="R155" s="99"/>
      <c r="S155" s="99"/>
    </row>
    <row r="156" spans="4:19" x14ac:dyDescent="0.3">
      <c r="D156" s="99"/>
      <c r="E156" s="99"/>
      <c r="F156" s="99"/>
      <c r="G156" s="99"/>
      <c r="H156" s="99"/>
      <c r="I156" s="99"/>
      <c r="J156" s="99"/>
      <c r="K156" s="99"/>
      <c r="L156" s="99"/>
      <c r="O156" s="99"/>
      <c r="P156" s="99"/>
      <c r="Q156" s="99"/>
      <c r="R156" s="99"/>
      <c r="S156" s="99"/>
    </row>
    <row r="157" spans="4:19" x14ac:dyDescent="0.3">
      <c r="D157" s="99"/>
      <c r="E157" s="99"/>
      <c r="F157" s="99"/>
      <c r="G157" s="99"/>
      <c r="H157" s="99"/>
      <c r="I157" s="99"/>
      <c r="J157" s="99"/>
      <c r="K157" s="99"/>
      <c r="L157" s="99"/>
      <c r="O157" s="99"/>
      <c r="P157" s="99"/>
      <c r="Q157" s="99"/>
      <c r="R157" s="99"/>
      <c r="S157" s="99"/>
    </row>
    <row r="158" spans="4:19" x14ac:dyDescent="0.3">
      <c r="D158" s="99"/>
      <c r="E158" s="99"/>
      <c r="F158" s="99"/>
      <c r="G158" s="99"/>
      <c r="H158" s="99"/>
      <c r="I158" s="99"/>
      <c r="J158" s="99"/>
      <c r="K158" s="99"/>
      <c r="L158" s="99"/>
      <c r="O158" s="99"/>
      <c r="P158" s="99"/>
      <c r="Q158" s="99"/>
      <c r="R158" s="99"/>
      <c r="S158" s="99"/>
    </row>
    <row r="159" spans="4:19" x14ac:dyDescent="0.3">
      <c r="D159" s="99"/>
      <c r="E159" s="99"/>
      <c r="F159" s="99"/>
      <c r="G159" s="99"/>
      <c r="H159" s="99"/>
      <c r="I159" s="99"/>
      <c r="J159" s="99"/>
      <c r="K159" s="99"/>
      <c r="L159" s="99"/>
      <c r="O159" s="99"/>
      <c r="P159" s="99"/>
      <c r="Q159" s="99"/>
      <c r="R159" s="99"/>
      <c r="S159" s="99"/>
    </row>
    <row r="160" spans="4:19" x14ac:dyDescent="0.3">
      <c r="D160" s="99"/>
      <c r="E160" s="99"/>
      <c r="F160" s="99"/>
      <c r="G160" s="99"/>
      <c r="H160" s="99"/>
      <c r="I160" s="99"/>
      <c r="J160" s="99"/>
      <c r="K160" s="99"/>
      <c r="L160" s="99"/>
      <c r="O160" s="99"/>
      <c r="P160" s="99"/>
      <c r="Q160" s="99"/>
      <c r="R160" s="99"/>
      <c r="S160" s="99"/>
    </row>
    <row r="161" spans="4:19" x14ac:dyDescent="0.3">
      <c r="D161" s="99"/>
      <c r="E161" s="99"/>
      <c r="F161" s="99"/>
      <c r="G161" s="99"/>
      <c r="H161" s="99"/>
      <c r="I161" s="99"/>
      <c r="J161" s="99"/>
      <c r="K161" s="99"/>
      <c r="L161" s="99"/>
      <c r="O161" s="99"/>
      <c r="P161" s="99"/>
      <c r="Q161" s="99"/>
      <c r="R161" s="99"/>
      <c r="S161" s="99"/>
    </row>
    <row r="162" spans="4:19" x14ac:dyDescent="0.3">
      <c r="D162" s="99"/>
      <c r="E162" s="99"/>
      <c r="F162" s="99"/>
      <c r="G162" s="99"/>
      <c r="H162" s="99"/>
      <c r="I162" s="99"/>
      <c r="J162" s="99"/>
      <c r="K162" s="99"/>
      <c r="L162" s="99"/>
      <c r="O162" s="99"/>
      <c r="P162" s="99"/>
      <c r="Q162" s="99"/>
      <c r="R162" s="99"/>
      <c r="S162" s="99"/>
    </row>
    <row r="163" spans="4:19" x14ac:dyDescent="0.3">
      <c r="D163" s="99"/>
      <c r="E163" s="99"/>
      <c r="F163" s="99"/>
      <c r="G163" s="99"/>
      <c r="H163" s="99"/>
      <c r="I163" s="99"/>
      <c r="J163" s="99"/>
      <c r="K163" s="99"/>
      <c r="L163" s="99"/>
      <c r="O163" s="99"/>
      <c r="P163" s="99"/>
      <c r="Q163" s="99"/>
      <c r="R163" s="99"/>
      <c r="S163" s="99"/>
    </row>
    <row r="164" spans="4:19" x14ac:dyDescent="0.3">
      <c r="D164" s="99"/>
      <c r="E164" s="99"/>
      <c r="F164" s="99"/>
      <c r="G164" s="99"/>
      <c r="H164" s="99"/>
      <c r="I164" s="99"/>
      <c r="J164" s="99"/>
      <c r="K164" s="99"/>
      <c r="L164" s="99"/>
      <c r="O164" s="99"/>
      <c r="P164" s="99"/>
      <c r="Q164" s="99"/>
      <c r="R164" s="99"/>
      <c r="S164" s="99"/>
    </row>
    <row r="165" spans="4:19" x14ac:dyDescent="0.3">
      <c r="D165" s="99"/>
      <c r="E165" s="99"/>
      <c r="F165" s="99"/>
      <c r="G165" s="99"/>
      <c r="H165" s="99"/>
      <c r="I165" s="99"/>
      <c r="J165" s="99"/>
      <c r="K165" s="99"/>
      <c r="L165" s="99"/>
      <c r="O165" s="99"/>
      <c r="P165" s="99"/>
      <c r="Q165" s="99"/>
      <c r="R165" s="99"/>
      <c r="S165" s="99"/>
    </row>
    <row r="166" spans="4:19" x14ac:dyDescent="0.3">
      <c r="D166" s="99"/>
      <c r="E166" s="99"/>
      <c r="F166" s="99"/>
      <c r="G166" s="99"/>
      <c r="H166" s="99"/>
      <c r="I166" s="99"/>
      <c r="J166" s="99"/>
      <c r="K166" s="99"/>
      <c r="L166" s="99"/>
      <c r="O166" s="99"/>
      <c r="P166" s="99"/>
      <c r="Q166" s="99"/>
      <c r="R166" s="99"/>
      <c r="S166" s="99"/>
    </row>
    <row r="167" spans="4:19" x14ac:dyDescent="0.3">
      <c r="D167" s="99"/>
      <c r="E167" s="99"/>
      <c r="F167" s="99"/>
      <c r="G167" s="99"/>
      <c r="H167" s="99"/>
      <c r="I167" s="99"/>
      <c r="J167" s="99"/>
      <c r="K167" s="99"/>
      <c r="L167" s="99"/>
      <c r="O167" s="99"/>
      <c r="P167" s="99"/>
      <c r="Q167" s="99"/>
      <c r="R167" s="99"/>
      <c r="S167" s="99"/>
    </row>
    <row r="168" spans="4:19" x14ac:dyDescent="0.3">
      <c r="D168" s="99"/>
      <c r="E168" s="99"/>
      <c r="F168" s="99"/>
      <c r="G168" s="99"/>
      <c r="H168" s="99"/>
      <c r="I168" s="99"/>
      <c r="J168" s="99"/>
      <c r="K168" s="99"/>
      <c r="L168" s="99"/>
      <c r="O168" s="99"/>
      <c r="P168" s="99"/>
      <c r="Q168" s="99"/>
      <c r="R168" s="99"/>
      <c r="S168" s="99"/>
    </row>
    <row r="169" spans="4:19" x14ac:dyDescent="0.3">
      <c r="D169" s="99"/>
      <c r="E169" s="99"/>
      <c r="F169" s="99"/>
      <c r="G169" s="99"/>
      <c r="H169" s="99"/>
      <c r="I169" s="99"/>
      <c r="J169" s="99"/>
      <c r="K169" s="99"/>
      <c r="L169" s="99"/>
      <c r="O169" s="99"/>
      <c r="P169" s="99"/>
      <c r="Q169" s="99"/>
      <c r="R169" s="99"/>
      <c r="S169" s="99"/>
    </row>
    <row r="170" spans="4:19" x14ac:dyDescent="0.3">
      <c r="D170" s="99"/>
      <c r="E170" s="99"/>
      <c r="F170" s="99"/>
      <c r="G170" s="99"/>
      <c r="H170" s="99"/>
      <c r="I170" s="99"/>
      <c r="J170" s="99"/>
      <c r="K170" s="99"/>
      <c r="L170" s="99"/>
      <c r="O170" s="99"/>
      <c r="P170" s="99"/>
      <c r="Q170" s="99"/>
      <c r="R170" s="99"/>
      <c r="S170" s="99"/>
    </row>
    <row r="171" spans="4:19" x14ac:dyDescent="0.3">
      <c r="D171" s="99"/>
      <c r="E171" s="99"/>
      <c r="F171" s="99"/>
      <c r="G171" s="99"/>
      <c r="H171" s="99"/>
      <c r="I171" s="99"/>
      <c r="J171" s="99"/>
      <c r="K171" s="99"/>
      <c r="L171" s="99"/>
      <c r="O171" s="99"/>
      <c r="P171" s="99"/>
      <c r="Q171" s="99"/>
      <c r="R171" s="99"/>
      <c r="S171" s="99"/>
    </row>
    <row r="172" spans="4:19" x14ac:dyDescent="0.3">
      <c r="D172" s="99"/>
      <c r="E172" s="99"/>
      <c r="F172" s="99"/>
      <c r="G172" s="99"/>
      <c r="H172" s="99"/>
      <c r="I172" s="99"/>
      <c r="J172" s="99"/>
      <c r="K172" s="99"/>
      <c r="L172" s="99"/>
      <c r="O172" s="99"/>
      <c r="P172" s="99"/>
      <c r="Q172" s="99"/>
      <c r="R172" s="99"/>
      <c r="S172" s="99"/>
    </row>
    <row r="173" spans="4:19" x14ac:dyDescent="0.3">
      <c r="D173" s="99"/>
      <c r="E173" s="99"/>
      <c r="F173" s="99"/>
      <c r="G173" s="99"/>
      <c r="H173" s="99"/>
      <c r="I173" s="99"/>
      <c r="J173" s="99"/>
      <c r="K173" s="99"/>
      <c r="L173" s="99"/>
      <c r="O173" s="99"/>
      <c r="P173" s="99"/>
      <c r="Q173" s="99"/>
      <c r="R173" s="99"/>
      <c r="S173" s="99"/>
    </row>
    <row r="174" spans="4:19" x14ac:dyDescent="0.3">
      <c r="D174" s="99"/>
      <c r="E174" s="99"/>
      <c r="F174" s="99"/>
      <c r="G174" s="99"/>
      <c r="H174" s="99"/>
      <c r="I174" s="99"/>
      <c r="J174" s="99"/>
      <c r="K174" s="99"/>
      <c r="L174" s="99"/>
      <c r="O174" s="99"/>
      <c r="P174" s="99"/>
      <c r="Q174" s="99"/>
      <c r="R174" s="99"/>
      <c r="S174" s="99"/>
    </row>
    <row r="175" spans="4:19" x14ac:dyDescent="0.3">
      <c r="D175" s="99"/>
      <c r="E175" s="99"/>
      <c r="F175" s="99"/>
      <c r="G175" s="99"/>
      <c r="H175" s="99"/>
      <c r="I175" s="99"/>
      <c r="J175" s="99"/>
      <c r="K175" s="99"/>
      <c r="L175" s="99"/>
      <c r="O175" s="99"/>
      <c r="P175" s="99"/>
      <c r="Q175" s="99"/>
      <c r="R175" s="99"/>
      <c r="S175" s="99"/>
    </row>
    <row r="176" spans="4:19" x14ac:dyDescent="0.3">
      <c r="D176" s="99"/>
      <c r="E176" s="99"/>
      <c r="F176" s="99"/>
      <c r="G176" s="99"/>
      <c r="H176" s="99"/>
      <c r="I176" s="99"/>
      <c r="J176" s="99"/>
      <c r="K176" s="99"/>
      <c r="L176" s="99"/>
      <c r="O176" s="99"/>
      <c r="P176" s="99"/>
      <c r="Q176" s="99"/>
      <c r="R176" s="99"/>
      <c r="S176" s="99"/>
    </row>
    <row r="177" spans="4:19" x14ac:dyDescent="0.3">
      <c r="D177" s="99"/>
      <c r="E177" s="99"/>
      <c r="F177" s="99"/>
      <c r="G177" s="99"/>
      <c r="H177" s="99"/>
      <c r="I177" s="99"/>
      <c r="J177" s="99"/>
      <c r="K177" s="99"/>
      <c r="L177" s="99"/>
      <c r="O177" s="99"/>
      <c r="P177" s="99"/>
      <c r="Q177" s="99"/>
      <c r="R177" s="99"/>
      <c r="S177" s="99"/>
    </row>
    <row r="178" spans="4:19" x14ac:dyDescent="0.3">
      <c r="D178" s="99"/>
      <c r="E178" s="99"/>
      <c r="F178" s="99"/>
      <c r="G178" s="99"/>
      <c r="H178" s="99"/>
      <c r="I178" s="99"/>
      <c r="J178" s="99"/>
      <c r="K178" s="99"/>
      <c r="L178" s="99"/>
      <c r="O178" s="99"/>
      <c r="P178" s="99"/>
      <c r="Q178" s="99"/>
      <c r="R178" s="99"/>
      <c r="S178" s="99"/>
    </row>
    <row r="179" spans="4:19" x14ac:dyDescent="0.3">
      <c r="D179" s="99"/>
      <c r="E179" s="99"/>
      <c r="F179" s="99"/>
      <c r="G179" s="99"/>
      <c r="H179" s="99"/>
      <c r="I179" s="99"/>
      <c r="J179" s="99"/>
      <c r="K179" s="99"/>
      <c r="L179" s="99"/>
      <c r="O179" s="99"/>
      <c r="P179" s="99"/>
      <c r="Q179" s="99"/>
      <c r="R179" s="99"/>
      <c r="S179" s="99"/>
    </row>
    <row r="180" spans="4:19" x14ac:dyDescent="0.3">
      <c r="D180" s="99"/>
      <c r="E180" s="99"/>
      <c r="F180" s="99"/>
      <c r="G180" s="99"/>
      <c r="H180" s="99"/>
      <c r="I180" s="99"/>
      <c r="J180" s="99"/>
      <c r="K180" s="99"/>
      <c r="L180" s="99"/>
      <c r="O180" s="99"/>
      <c r="P180" s="99"/>
      <c r="Q180" s="99"/>
      <c r="R180" s="99"/>
      <c r="S180" s="99"/>
    </row>
    <row r="181" spans="4:19" x14ac:dyDescent="0.3">
      <c r="D181" s="99"/>
      <c r="E181" s="99"/>
      <c r="F181" s="99"/>
      <c r="G181" s="99"/>
      <c r="H181" s="99"/>
      <c r="I181" s="99"/>
      <c r="J181" s="99"/>
      <c r="K181" s="99"/>
      <c r="L181" s="99"/>
      <c r="O181" s="99"/>
      <c r="P181" s="99"/>
      <c r="Q181" s="99"/>
      <c r="R181" s="99"/>
      <c r="S181" s="99"/>
    </row>
    <row r="182" spans="4:19" x14ac:dyDescent="0.3">
      <c r="D182" s="99"/>
      <c r="E182" s="99"/>
      <c r="F182" s="99"/>
      <c r="G182" s="99"/>
      <c r="H182" s="99"/>
      <c r="I182" s="99"/>
      <c r="J182" s="99"/>
      <c r="K182" s="99"/>
      <c r="L182" s="99"/>
      <c r="O182" s="99"/>
      <c r="P182" s="99"/>
      <c r="Q182" s="99"/>
      <c r="R182" s="99"/>
      <c r="S182" s="99"/>
    </row>
    <row r="183" spans="4:19" x14ac:dyDescent="0.3">
      <c r="D183" s="99"/>
      <c r="E183" s="99"/>
      <c r="F183" s="99"/>
      <c r="G183" s="99"/>
      <c r="H183" s="99"/>
      <c r="I183" s="99"/>
      <c r="J183" s="99"/>
      <c r="K183" s="99"/>
      <c r="L183" s="99"/>
      <c r="O183" s="99"/>
      <c r="P183" s="99"/>
      <c r="Q183" s="99"/>
      <c r="R183" s="99"/>
      <c r="S183" s="99"/>
    </row>
    <row r="184" spans="4:19" x14ac:dyDescent="0.3">
      <c r="D184" s="99"/>
      <c r="E184" s="99"/>
      <c r="F184" s="99"/>
      <c r="G184" s="99"/>
      <c r="H184" s="99"/>
      <c r="I184" s="99"/>
      <c r="J184" s="99"/>
      <c r="K184" s="99"/>
      <c r="L184" s="99"/>
      <c r="O184" s="99"/>
      <c r="P184" s="99"/>
      <c r="Q184" s="99"/>
      <c r="R184" s="99"/>
      <c r="S184" s="99"/>
    </row>
    <row r="185" spans="4:19" x14ac:dyDescent="0.3">
      <c r="D185" s="99"/>
      <c r="E185" s="99"/>
      <c r="F185" s="99"/>
      <c r="G185" s="99"/>
      <c r="H185" s="99"/>
      <c r="I185" s="99"/>
      <c r="J185" s="99"/>
      <c r="K185" s="99"/>
      <c r="L185" s="99"/>
      <c r="O185" s="99"/>
      <c r="P185" s="99"/>
      <c r="Q185" s="99"/>
      <c r="R185" s="99"/>
      <c r="S185" s="99"/>
    </row>
    <row r="186" spans="4:19" x14ac:dyDescent="0.3">
      <c r="D186" s="99"/>
      <c r="E186" s="99"/>
      <c r="F186" s="99"/>
      <c r="G186" s="99"/>
      <c r="H186" s="99"/>
      <c r="I186" s="99"/>
      <c r="J186" s="99"/>
      <c r="K186" s="99"/>
      <c r="L186" s="99"/>
      <c r="O186" s="99"/>
      <c r="P186" s="99"/>
      <c r="Q186" s="99"/>
      <c r="R186" s="99"/>
      <c r="S186" s="99"/>
    </row>
    <row r="187" spans="4:19" x14ac:dyDescent="0.3">
      <c r="D187" s="99"/>
      <c r="E187" s="99"/>
      <c r="F187" s="99"/>
      <c r="G187" s="99"/>
      <c r="H187" s="99"/>
      <c r="I187" s="99"/>
      <c r="J187" s="99"/>
      <c r="K187" s="99"/>
      <c r="L187" s="99"/>
      <c r="O187" s="99"/>
      <c r="P187" s="99"/>
      <c r="Q187" s="99"/>
      <c r="R187" s="99"/>
      <c r="S187" s="99"/>
    </row>
    <row r="188" spans="4:19" x14ac:dyDescent="0.3">
      <c r="D188" s="99"/>
      <c r="E188" s="99"/>
      <c r="F188" s="99"/>
      <c r="G188" s="99"/>
      <c r="H188" s="99"/>
      <c r="I188" s="99"/>
      <c r="J188" s="99"/>
      <c r="K188" s="99"/>
      <c r="L188" s="99"/>
      <c r="O188" s="99"/>
      <c r="P188" s="99"/>
      <c r="Q188" s="99"/>
      <c r="R188" s="99"/>
      <c r="S188" s="99"/>
    </row>
    <row r="189" spans="4:19" x14ac:dyDescent="0.3">
      <c r="D189" s="99"/>
      <c r="E189" s="99"/>
      <c r="F189" s="99"/>
      <c r="G189" s="99"/>
      <c r="H189" s="99"/>
      <c r="I189" s="99"/>
      <c r="J189" s="99"/>
      <c r="K189" s="99"/>
      <c r="L189" s="99"/>
      <c r="O189" s="99"/>
      <c r="P189" s="99"/>
      <c r="Q189" s="99"/>
      <c r="R189" s="99"/>
      <c r="S189" s="99"/>
    </row>
    <row r="190" spans="4:19" x14ac:dyDescent="0.3">
      <c r="D190" s="99"/>
      <c r="E190" s="99"/>
      <c r="F190" s="99"/>
      <c r="G190" s="99"/>
      <c r="H190" s="99"/>
      <c r="I190" s="99"/>
      <c r="J190" s="99"/>
      <c r="K190" s="99"/>
      <c r="L190" s="99"/>
      <c r="O190" s="99"/>
      <c r="P190" s="99"/>
      <c r="Q190" s="99"/>
      <c r="R190" s="99"/>
      <c r="S190" s="99"/>
    </row>
    <row r="191" spans="4:19" x14ac:dyDescent="0.3">
      <c r="D191" s="99"/>
      <c r="E191" s="99"/>
      <c r="F191" s="99"/>
      <c r="G191" s="99"/>
      <c r="H191" s="99"/>
      <c r="I191" s="99"/>
      <c r="J191" s="99"/>
      <c r="K191" s="99"/>
      <c r="L191" s="99"/>
      <c r="O191" s="99"/>
      <c r="P191" s="99"/>
      <c r="Q191" s="99"/>
      <c r="R191" s="99"/>
      <c r="S191" s="99"/>
    </row>
    <row r="192" spans="4:19" x14ac:dyDescent="0.3">
      <c r="D192" s="99"/>
      <c r="E192" s="99"/>
      <c r="F192" s="99"/>
      <c r="G192" s="99"/>
      <c r="H192" s="99"/>
      <c r="I192" s="99"/>
      <c r="J192" s="99"/>
      <c r="K192" s="99"/>
      <c r="L192" s="99"/>
      <c r="O192" s="99"/>
      <c r="P192" s="99"/>
      <c r="Q192" s="99"/>
      <c r="R192" s="99"/>
      <c r="S192" s="99"/>
    </row>
    <row r="193" spans="4:19" x14ac:dyDescent="0.3">
      <c r="D193" s="99"/>
      <c r="E193" s="99"/>
      <c r="F193" s="99"/>
      <c r="G193" s="99"/>
      <c r="H193" s="99"/>
      <c r="I193" s="99"/>
      <c r="J193" s="99"/>
      <c r="K193" s="99"/>
      <c r="L193" s="99"/>
      <c r="O193" s="99"/>
      <c r="P193" s="99"/>
      <c r="Q193" s="99"/>
      <c r="R193" s="99"/>
      <c r="S193" s="99"/>
    </row>
    <row r="194" spans="4:19" x14ac:dyDescent="0.3">
      <c r="D194" s="99"/>
      <c r="E194" s="99"/>
      <c r="F194" s="99"/>
      <c r="G194" s="99"/>
      <c r="H194" s="99"/>
      <c r="I194" s="99"/>
      <c r="J194" s="99"/>
      <c r="K194" s="99"/>
      <c r="L194" s="99"/>
      <c r="O194" s="99"/>
      <c r="P194" s="99"/>
      <c r="Q194" s="99"/>
      <c r="R194" s="99"/>
      <c r="S194" s="99"/>
    </row>
    <row r="195" spans="4:19" x14ac:dyDescent="0.3">
      <c r="D195" s="99"/>
      <c r="E195" s="99"/>
      <c r="F195" s="99"/>
      <c r="G195" s="99"/>
      <c r="H195" s="99"/>
      <c r="I195" s="99"/>
      <c r="J195" s="99"/>
      <c r="K195" s="99"/>
      <c r="L195" s="99"/>
      <c r="O195" s="99"/>
      <c r="P195" s="99"/>
      <c r="Q195" s="99"/>
      <c r="R195" s="99"/>
      <c r="S195" s="99"/>
    </row>
    <row r="196" spans="4:19" x14ac:dyDescent="0.3">
      <c r="D196" s="99"/>
      <c r="E196" s="99"/>
      <c r="F196" s="99"/>
      <c r="G196" s="99"/>
      <c r="H196" s="99"/>
      <c r="I196" s="99"/>
      <c r="J196" s="99"/>
      <c r="K196" s="99"/>
      <c r="L196" s="99"/>
      <c r="O196" s="99"/>
      <c r="P196" s="99"/>
      <c r="Q196" s="99"/>
      <c r="R196" s="99"/>
      <c r="S196" s="99"/>
    </row>
    <row r="197" spans="4:19" x14ac:dyDescent="0.3">
      <c r="D197" s="99"/>
      <c r="E197" s="99"/>
      <c r="F197" s="99"/>
      <c r="G197" s="99"/>
      <c r="H197" s="99"/>
      <c r="I197" s="99"/>
      <c r="J197" s="99"/>
      <c r="K197" s="99"/>
      <c r="L197" s="99"/>
      <c r="O197" s="99"/>
      <c r="P197" s="99"/>
      <c r="Q197" s="99"/>
      <c r="R197" s="99"/>
      <c r="S197" s="99"/>
    </row>
    <row r="198" spans="4:19" x14ac:dyDescent="0.3">
      <c r="D198" s="99"/>
      <c r="E198" s="99"/>
      <c r="F198" s="99"/>
      <c r="G198" s="99"/>
      <c r="H198" s="99"/>
      <c r="I198" s="99"/>
      <c r="J198" s="99"/>
      <c r="K198" s="99"/>
      <c r="L198" s="99"/>
      <c r="O198" s="99"/>
      <c r="P198" s="99"/>
      <c r="Q198" s="99"/>
      <c r="R198" s="99"/>
      <c r="S198" s="99"/>
    </row>
    <row r="199" spans="4:19" x14ac:dyDescent="0.3">
      <c r="D199" s="99"/>
      <c r="E199" s="99"/>
      <c r="F199" s="99"/>
      <c r="G199" s="99"/>
      <c r="H199" s="99"/>
      <c r="I199" s="99"/>
      <c r="J199" s="99"/>
      <c r="K199" s="99"/>
      <c r="L199" s="99"/>
      <c r="O199" s="99"/>
      <c r="P199" s="99"/>
      <c r="Q199" s="99"/>
      <c r="R199" s="99"/>
      <c r="S199" s="99"/>
    </row>
    <row r="200" spans="4:19" x14ac:dyDescent="0.3">
      <c r="D200" s="99"/>
      <c r="E200" s="99"/>
      <c r="F200" s="99"/>
      <c r="G200" s="99"/>
      <c r="H200" s="99"/>
      <c r="I200" s="99"/>
      <c r="J200" s="99"/>
      <c r="K200" s="99"/>
      <c r="L200" s="99"/>
      <c r="O200" s="99"/>
      <c r="P200" s="99"/>
      <c r="Q200" s="99"/>
      <c r="R200" s="99"/>
      <c r="S200" s="99"/>
    </row>
    <row r="201" spans="4:19" x14ac:dyDescent="0.3">
      <c r="D201" s="99"/>
      <c r="E201" s="99"/>
      <c r="F201" s="99"/>
      <c r="G201" s="99"/>
      <c r="H201" s="99"/>
      <c r="I201" s="99"/>
      <c r="J201" s="99"/>
      <c r="K201" s="99"/>
      <c r="L201" s="99"/>
      <c r="O201" s="99"/>
      <c r="P201" s="99"/>
      <c r="Q201" s="99"/>
      <c r="R201" s="99"/>
      <c r="S201" s="99"/>
    </row>
    <row r="202" spans="4:19" x14ac:dyDescent="0.3">
      <c r="D202" s="99"/>
      <c r="E202" s="99"/>
      <c r="F202" s="99"/>
      <c r="G202" s="99"/>
      <c r="H202" s="99"/>
      <c r="I202" s="99"/>
      <c r="J202" s="99"/>
      <c r="K202" s="99"/>
      <c r="L202" s="99"/>
      <c r="O202" s="99"/>
      <c r="P202" s="99"/>
      <c r="Q202" s="99"/>
      <c r="R202" s="99"/>
      <c r="S202" s="99"/>
    </row>
    <row r="203" spans="4:19" x14ac:dyDescent="0.3">
      <c r="D203" s="99"/>
      <c r="E203" s="99"/>
      <c r="F203" s="99"/>
      <c r="G203" s="99"/>
      <c r="H203" s="99"/>
      <c r="I203" s="99"/>
      <c r="J203" s="99"/>
      <c r="K203" s="99"/>
      <c r="L203" s="99"/>
      <c r="O203" s="99"/>
      <c r="P203" s="99"/>
      <c r="Q203" s="99"/>
      <c r="R203" s="99"/>
      <c r="S203" s="99"/>
    </row>
    <row r="204" spans="4:19" x14ac:dyDescent="0.3">
      <c r="D204" s="99"/>
      <c r="E204" s="99"/>
      <c r="F204" s="99"/>
      <c r="G204" s="99"/>
      <c r="H204" s="99"/>
      <c r="I204" s="99"/>
      <c r="J204" s="99"/>
      <c r="K204" s="99"/>
      <c r="L204" s="99"/>
      <c r="O204" s="99"/>
      <c r="P204" s="99"/>
      <c r="Q204" s="99"/>
      <c r="R204" s="99"/>
      <c r="S204" s="99"/>
    </row>
    <row r="205" spans="4:19" x14ac:dyDescent="0.3">
      <c r="D205" s="99"/>
      <c r="E205" s="99"/>
      <c r="F205" s="99"/>
      <c r="G205" s="99"/>
      <c r="H205" s="99"/>
      <c r="I205" s="99"/>
      <c r="J205" s="99"/>
      <c r="K205" s="99"/>
      <c r="L205" s="99"/>
      <c r="O205" s="99"/>
      <c r="P205" s="99"/>
      <c r="Q205" s="99"/>
      <c r="R205" s="99"/>
      <c r="S205" s="99"/>
    </row>
    <row r="206" spans="4:19" x14ac:dyDescent="0.3">
      <c r="D206" s="99"/>
      <c r="E206" s="99"/>
      <c r="F206" s="99"/>
      <c r="G206" s="99"/>
      <c r="H206" s="99"/>
      <c r="I206" s="99"/>
      <c r="J206" s="99"/>
      <c r="K206" s="99"/>
      <c r="L206" s="99"/>
      <c r="O206" s="99"/>
      <c r="P206" s="99"/>
      <c r="Q206" s="99"/>
      <c r="R206" s="99"/>
      <c r="S206" s="99"/>
    </row>
    <row r="207" spans="4:19" x14ac:dyDescent="0.3">
      <c r="D207" s="99"/>
      <c r="E207" s="99"/>
      <c r="F207" s="99"/>
      <c r="G207" s="99"/>
      <c r="H207" s="99"/>
      <c r="I207" s="99"/>
      <c r="J207" s="99"/>
      <c r="K207" s="99"/>
      <c r="L207" s="99"/>
      <c r="O207" s="99"/>
      <c r="P207" s="99"/>
      <c r="Q207" s="99"/>
      <c r="R207" s="99"/>
      <c r="S207" s="99"/>
    </row>
    <row r="208" spans="4:19" x14ac:dyDescent="0.3">
      <c r="D208" s="99"/>
      <c r="E208" s="99"/>
      <c r="F208" s="99"/>
      <c r="G208" s="99"/>
      <c r="H208" s="99"/>
      <c r="I208" s="99"/>
      <c r="J208" s="99"/>
      <c r="K208" s="99"/>
      <c r="L208" s="99"/>
      <c r="O208" s="99"/>
      <c r="P208" s="99"/>
      <c r="Q208" s="99"/>
      <c r="R208" s="99"/>
      <c r="S208" s="99"/>
    </row>
    <row r="209" spans="4:19" x14ac:dyDescent="0.3">
      <c r="D209" s="99"/>
      <c r="E209" s="99"/>
      <c r="F209" s="99"/>
      <c r="G209" s="99"/>
      <c r="H209" s="99"/>
      <c r="I209" s="99"/>
      <c r="J209" s="99"/>
      <c r="K209" s="99"/>
      <c r="L209" s="99"/>
      <c r="O209" s="99"/>
      <c r="P209" s="99"/>
      <c r="Q209" s="99"/>
      <c r="R209" s="99"/>
      <c r="S209" s="99"/>
    </row>
    <row r="210" spans="4:19" x14ac:dyDescent="0.3">
      <c r="D210" s="99"/>
      <c r="E210" s="99"/>
      <c r="F210" s="99"/>
      <c r="G210" s="99"/>
      <c r="H210" s="99"/>
      <c r="I210" s="99"/>
      <c r="J210" s="99"/>
      <c r="K210" s="99"/>
      <c r="L210" s="99"/>
      <c r="O210" s="99"/>
      <c r="P210" s="99"/>
      <c r="Q210" s="99"/>
      <c r="R210" s="99"/>
      <c r="S210" s="99"/>
    </row>
    <row r="211" spans="4:19" x14ac:dyDescent="0.3">
      <c r="D211" s="99"/>
      <c r="E211" s="99"/>
      <c r="F211" s="99"/>
      <c r="G211" s="99"/>
      <c r="H211" s="99"/>
      <c r="I211" s="99"/>
      <c r="J211" s="99"/>
      <c r="K211" s="99"/>
      <c r="L211" s="99"/>
      <c r="O211" s="99"/>
      <c r="P211" s="99"/>
      <c r="Q211" s="99"/>
      <c r="R211" s="99"/>
      <c r="S211" s="99"/>
    </row>
    <row r="212" spans="4:19" x14ac:dyDescent="0.3">
      <c r="D212" s="99"/>
      <c r="E212" s="99"/>
      <c r="F212" s="99"/>
      <c r="G212" s="99"/>
      <c r="H212" s="99"/>
      <c r="I212" s="99"/>
      <c r="J212" s="99"/>
      <c r="K212" s="99"/>
      <c r="L212" s="99"/>
      <c r="O212" s="99"/>
      <c r="P212" s="99"/>
      <c r="Q212" s="99"/>
      <c r="R212" s="99"/>
      <c r="S212" s="99"/>
    </row>
    <row r="213" spans="4:19" x14ac:dyDescent="0.3">
      <c r="D213" s="99"/>
      <c r="E213" s="99"/>
      <c r="F213" s="99"/>
      <c r="G213" s="99"/>
      <c r="H213" s="99"/>
      <c r="I213" s="99"/>
      <c r="J213" s="99"/>
      <c r="K213" s="99"/>
      <c r="L213" s="99"/>
      <c r="O213" s="99"/>
      <c r="P213" s="99"/>
      <c r="Q213" s="99"/>
      <c r="R213" s="99"/>
      <c r="S213" s="99"/>
    </row>
    <row r="214" spans="4:19" x14ac:dyDescent="0.3">
      <c r="D214" s="99"/>
      <c r="E214" s="99"/>
      <c r="F214" s="99"/>
      <c r="G214" s="99"/>
      <c r="H214" s="99"/>
      <c r="I214" s="99"/>
      <c r="J214" s="99"/>
      <c r="K214" s="99"/>
      <c r="L214" s="99"/>
      <c r="O214" s="99"/>
      <c r="P214" s="99"/>
      <c r="Q214" s="99"/>
      <c r="R214" s="99"/>
      <c r="S214" s="99"/>
    </row>
    <row r="215" spans="4:19" x14ac:dyDescent="0.3">
      <c r="D215" s="99"/>
      <c r="E215" s="99"/>
      <c r="F215" s="99"/>
      <c r="G215" s="99"/>
      <c r="H215" s="99"/>
      <c r="I215" s="99"/>
      <c r="J215" s="99"/>
      <c r="K215" s="99"/>
      <c r="L215" s="99"/>
      <c r="O215" s="99"/>
      <c r="P215" s="99"/>
      <c r="Q215" s="99"/>
      <c r="R215" s="99"/>
      <c r="S215" s="99"/>
    </row>
    <row r="216" spans="4:19" x14ac:dyDescent="0.3">
      <c r="D216" s="99"/>
      <c r="E216" s="99"/>
      <c r="F216" s="99"/>
      <c r="G216" s="99"/>
      <c r="H216" s="99"/>
      <c r="I216" s="99"/>
      <c r="J216" s="99"/>
      <c r="K216" s="99"/>
      <c r="L216" s="99"/>
      <c r="O216" s="99"/>
      <c r="P216" s="99"/>
      <c r="Q216" s="99"/>
      <c r="R216" s="99"/>
      <c r="S216" s="99"/>
    </row>
    <row r="217" spans="4:19" x14ac:dyDescent="0.3">
      <c r="D217" s="99"/>
      <c r="E217" s="99"/>
      <c r="F217" s="99"/>
      <c r="G217" s="99"/>
      <c r="H217" s="99"/>
      <c r="I217" s="99"/>
      <c r="J217" s="99"/>
      <c r="K217" s="99"/>
      <c r="L217" s="99"/>
      <c r="O217" s="99"/>
      <c r="P217" s="99"/>
      <c r="Q217" s="99"/>
      <c r="R217" s="99"/>
      <c r="S217" s="99"/>
    </row>
    <row r="218" spans="4:19" x14ac:dyDescent="0.3">
      <c r="D218" s="99"/>
      <c r="E218" s="99"/>
      <c r="F218" s="99"/>
      <c r="G218" s="99"/>
      <c r="H218" s="99"/>
      <c r="I218" s="99"/>
      <c r="J218" s="99"/>
      <c r="K218" s="99"/>
      <c r="L218" s="99"/>
      <c r="O218" s="99"/>
      <c r="P218" s="99"/>
      <c r="Q218" s="99"/>
      <c r="R218" s="99"/>
      <c r="S218" s="99"/>
    </row>
    <row r="219" spans="4:19" x14ac:dyDescent="0.3">
      <c r="D219" s="99"/>
      <c r="E219" s="99"/>
      <c r="F219" s="99"/>
      <c r="G219" s="99"/>
      <c r="H219" s="99"/>
      <c r="I219" s="99"/>
      <c r="J219" s="99"/>
      <c r="K219" s="99"/>
      <c r="L219" s="99"/>
      <c r="O219" s="99"/>
      <c r="P219" s="99"/>
      <c r="Q219" s="99"/>
      <c r="R219" s="99"/>
      <c r="S219" s="99"/>
    </row>
    <row r="220" spans="4:19" x14ac:dyDescent="0.3">
      <c r="D220" s="99"/>
      <c r="E220" s="99"/>
      <c r="F220" s="99"/>
      <c r="G220" s="99"/>
      <c r="H220" s="99"/>
      <c r="I220" s="99"/>
      <c r="J220" s="99"/>
      <c r="K220" s="99"/>
      <c r="L220" s="99"/>
      <c r="O220" s="99"/>
      <c r="P220" s="99"/>
      <c r="Q220" s="99"/>
      <c r="R220" s="99"/>
      <c r="S220" s="99"/>
    </row>
    <row r="221" spans="4:19" x14ac:dyDescent="0.3">
      <c r="D221" s="99"/>
      <c r="E221" s="99"/>
      <c r="F221" s="99"/>
      <c r="G221" s="99"/>
      <c r="H221" s="99"/>
      <c r="I221" s="99"/>
      <c r="J221" s="99"/>
      <c r="K221" s="99"/>
      <c r="L221" s="99"/>
      <c r="O221" s="99"/>
      <c r="P221" s="99"/>
      <c r="Q221" s="99"/>
      <c r="R221" s="99"/>
      <c r="S221" s="99"/>
    </row>
    <row r="222" spans="4:19" x14ac:dyDescent="0.3">
      <c r="D222" s="99"/>
      <c r="E222" s="99"/>
      <c r="F222" s="99"/>
      <c r="G222" s="99"/>
      <c r="H222" s="99"/>
      <c r="I222" s="99"/>
      <c r="J222" s="99"/>
      <c r="K222" s="99"/>
      <c r="L222" s="99"/>
      <c r="O222" s="99"/>
      <c r="P222" s="99"/>
      <c r="Q222" s="99"/>
      <c r="R222" s="99"/>
      <c r="S222" s="99"/>
    </row>
    <row r="223" spans="4:19" x14ac:dyDescent="0.3">
      <c r="D223" s="99"/>
      <c r="E223" s="99"/>
      <c r="F223" s="99"/>
      <c r="G223" s="99"/>
      <c r="H223" s="99"/>
      <c r="I223" s="99"/>
      <c r="J223" s="99"/>
      <c r="K223" s="99"/>
      <c r="L223" s="99"/>
      <c r="O223" s="99"/>
      <c r="P223" s="99"/>
      <c r="Q223" s="99"/>
      <c r="R223" s="99"/>
      <c r="S223" s="99"/>
    </row>
    <row r="224" spans="4:19" x14ac:dyDescent="0.3">
      <c r="D224" s="99"/>
      <c r="E224" s="99"/>
      <c r="F224" s="99"/>
      <c r="G224" s="99"/>
      <c r="H224" s="99"/>
      <c r="I224" s="99"/>
      <c r="J224" s="99"/>
      <c r="K224" s="99"/>
      <c r="L224" s="99"/>
      <c r="O224" s="99"/>
      <c r="P224" s="99"/>
      <c r="Q224" s="99"/>
      <c r="R224" s="99"/>
      <c r="S224" s="99"/>
    </row>
    <row r="225" spans="4:19" x14ac:dyDescent="0.3">
      <c r="D225" s="99"/>
      <c r="E225" s="99"/>
      <c r="F225" s="99"/>
      <c r="G225" s="99"/>
      <c r="H225" s="99"/>
      <c r="I225" s="99"/>
      <c r="J225" s="99"/>
      <c r="K225" s="99"/>
      <c r="L225" s="99"/>
      <c r="O225" s="99"/>
      <c r="P225" s="99"/>
      <c r="Q225" s="99"/>
      <c r="R225" s="99"/>
      <c r="S225" s="99"/>
    </row>
    <row r="226" spans="4:19" x14ac:dyDescent="0.3">
      <c r="D226" s="99"/>
      <c r="E226" s="99"/>
      <c r="F226" s="99"/>
      <c r="G226" s="99"/>
      <c r="H226" s="99"/>
      <c r="I226" s="99"/>
      <c r="J226" s="99"/>
      <c r="K226" s="99"/>
      <c r="L226" s="99"/>
      <c r="O226" s="99"/>
      <c r="P226" s="99"/>
      <c r="Q226" s="99"/>
      <c r="R226" s="99"/>
      <c r="S226" s="99"/>
    </row>
    <row r="227" spans="4:19" x14ac:dyDescent="0.3">
      <c r="D227" s="99"/>
      <c r="E227" s="99"/>
      <c r="F227" s="99"/>
      <c r="G227" s="99"/>
      <c r="H227" s="99"/>
      <c r="I227" s="99"/>
      <c r="J227" s="99"/>
      <c r="K227" s="99"/>
      <c r="L227" s="99"/>
      <c r="O227" s="99"/>
      <c r="P227" s="99"/>
      <c r="Q227" s="99"/>
      <c r="R227" s="99"/>
      <c r="S227" s="99"/>
    </row>
    <row r="228" spans="4:19" x14ac:dyDescent="0.3">
      <c r="D228" s="99"/>
      <c r="E228" s="99"/>
      <c r="F228" s="99"/>
      <c r="G228" s="99"/>
      <c r="H228" s="99"/>
      <c r="I228" s="99"/>
      <c r="J228" s="99"/>
      <c r="K228" s="99"/>
      <c r="L228" s="99"/>
      <c r="O228" s="99"/>
      <c r="P228" s="99"/>
      <c r="Q228" s="99"/>
      <c r="R228" s="99"/>
      <c r="S228" s="99"/>
    </row>
    <row r="229" spans="4:19" x14ac:dyDescent="0.3">
      <c r="D229" s="99"/>
      <c r="E229" s="99"/>
      <c r="F229" s="99"/>
      <c r="G229" s="99"/>
      <c r="H229" s="99"/>
      <c r="I229" s="99"/>
      <c r="J229" s="99"/>
      <c r="K229" s="99"/>
      <c r="L229" s="99"/>
      <c r="O229" s="99"/>
      <c r="P229" s="99"/>
      <c r="Q229" s="99"/>
      <c r="R229" s="99"/>
      <c r="S229" s="99"/>
    </row>
    <row r="230" spans="4:19" x14ac:dyDescent="0.3">
      <c r="D230" s="99"/>
      <c r="E230" s="99"/>
      <c r="F230" s="99"/>
      <c r="G230" s="99"/>
      <c r="H230" s="99"/>
      <c r="I230" s="99"/>
      <c r="J230" s="99"/>
      <c r="K230" s="99"/>
      <c r="L230" s="99"/>
      <c r="O230" s="99"/>
      <c r="P230" s="99"/>
      <c r="Q230" s="99"/>
      <c r="R230" s="99"/>
      <c r="S230" s="99"/>
    </row>
    <row r="231" spans="4:19" x14ac:dyDescent="0.3">
      <c r="D231" s="99"/>
      <c r="E231" s="99"/>
      <c r="F231" s="99"/>
      <c r="G231" s="99"/>
      <c r="H231" s="99"/>
      <c r="I231" s="99"/>
      <c r="J231" s="99"/>
      <c r="K231" s="99"/>
      <c r="L231" s="99"/>
      <c r="O231" s="99"/>
      <c r="P231" s="99"/>
      <c r="Q231" s="99"/>
      <c r="R231" s="99"/>
      <c r="S231" s="99"/>
    </row>
    <row r="232" spans="4:19" x14ac:dyDescent="0.3">
      <c r="G232" s="99"/>
      <c r="H232" s="99"/>
      <c r="I232" s="99"/>
      <c r="J232" s="99"/>
      <c r="K232" s="99"/>
      <c r="L232" s="99"/>
      <c r="O232" s="99"/>
      <c r="P232" s="99"/>
      <c r="Q232" s="99"/>
      <c r="R232" s="99"/>
      <c r="S232" s="99"/>
    </row>
  </sheetData>
  <sheetProtection selectLockedCells="1"/>
  <mergeCells count="21">
    <mergeCell ref="E29:I29"/>
    <mergeCell ref="E30:I30"/>
    <mergeCell ref="E31:I31"/>
    <mergeCell ref="E32:I32"/>
    <mergeCell ref="E33:I33"/>
    <mergeCell ref="K17:M17"/>
    <mergeCell ref="B36:F36"/>
    <mergeCell ref="B2:L2"/>
    <mergeCell ref="O2:S2"/>
    <mergeCell ref="O19:R19"/>
    <mergeCell ref="C17:I17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J29" sqref="J29"/>
    </sheetView>
  </sheetViews>
  <sheetFormatPr defaultColWidth="14.44140625" defaultRowHeight="15" customHeight="1" x14ac:dyDescent="0.3"/>
  <cols>
    <col min="1" max="1" width="12.88671875" bestFit="1" customWidth="1"/>
    <col min="2" max="3" width="10.33203125" customWidth="1"/>
    <col min="4" max="4" width="10.6640625" bestFit="1" customWidth="1"/>
    <col min="5" max="5" width="11.44140625" bestFit="1" customWidth="1"/>
    <col min="6" max="8" width="10.33203125" customWidth="1"/>
    <col min="9" max="9" width="11.44140625" bestFit="1" customWidth="1"/>
    <col min="10" max="13" width="10.33203125" customWidth="1"/>
    <col min="14" max="14" width="10.6640625" bestFit="1" customWidth="1"/>
    <col min="15" max="18" width="10.33203125" customWidth="1"/>
    <col min="19" max="19" width="10.6640625" bestFit="1" customWidth="1"/>
    <col min="20" max="31" width="10.33203125" customWidth="1"/>
    <col min="32" max="32" width="11.6640625" bestFit="1" customWidth="1"/>
    <col min="33" max="34" width="8.6640625" customWidth="1"/>
  </cols>
  <sheetData>
    <row r="1" spans="1:32" ht="14.25" customHeight="1" x14ac:dyDescent="0.3">
      <c r="A1" s="13" t="s">
        <v>45</v>
      </c>
    </row>
    <row r="2" spans="1:32" ht="14.25" customHeight="1" thickBot="1" x14ac:dyDescent="0.35">
      <c r="A2" s="40">
        <f>AB36+AC36+AD36+AE36</f>
        <v>5446</v>
      </c>
      <c r="B2" s="53" t="s">
        <v>46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ht="14.25" customHeight="1" thickBot="1" x14ac:dyDescent="0.35">
      <c r="A3" s="41">
        <f>C36+D36+Q36+E36+F36+G36+H36+I36+J36+K36+L36+M36+N36+O36+U36+V36+W36+X36+Y36+Z36+AA36</f>
        <v>77517</v>
      </c>
      <c r="B3" s="42"/>
      <c r="C3" s="43" t="s">
        <v>47</v>
      </c>
      <c r="D3" s="43" t="s">
        <v>48</v>
      </c>
      <c r="E3" s="43" t="s">
        <v>49</v>
      </c>
      <c r="F3" s="287" t="s">
        <v>164</v>
      </c>
      <c r="G3" s="43" t="s">
        <v>52</v>
      </c>
      <c r="H3" s="43" t="s">
        <v>53</v>
      </c>
      <c r="I3" s="43" t="s">
        <v>57</v>
      </c>
      <c r="J3" s="43" t="s">
        <v>61</v>
      </c>
      <c r="K3" s="43" t="s">
        <v>60</v>
      </c>
      <c r="L3" s="43" t="s">
        <v>70</v>
      </c>
      <c r="M3" s="287" t="s">
        <v>165</v>
      </c>
      <c r="N3" s="43" t="s">
        <v>62</v>
      </c>
      <c r="O3" s="43" t="s">
        <v>67</v>
      </c>
      <c r="P3" s="44" t="s">
        <v>50</v>
      </c>
      <c r="Q3" s="44" t="s">
        <v>51</v>
      </c>
      <c r="R3" s="44" t="s">
        <v>166</v>
      </c>
      <c r="S3" s="44" t="s">
        <v>54</v>
      </c>
      <c r="T3" s="44" t="s">
        <v>73</v>
      </c>
      <c r="U3" s="43" t="s">
        <v>55</v>
      </c>
      <c r="V3" s="43" t="s">
        <v>56</v>
      </c>
      <c r="W3" s="43" t="s">
        <v>63</v>
      </c>
      <c r="X3" s="43" t="s">
        <v>59</v>
      </c>
      <c r="Y3" s="43" t="s">
        <v>68</v>
      </c>
      <c r="Z3" s="43" t="s">
        <v>66</v>
      </c>
      <c r="AA3" s="52" t="s">
        <v>71</v>
      </c>
      <c r="AB3" s="45" t="s">
        <v>58</v>
      </c>
      <c r="AC3" s="45" t="s">
        <v>64</v>
      </c>
      <c r="AD3" s="45" t="s">
        <v>65</v>
      </c>
      <c r="AE3" s="45" t="s">
        <v>74</v>
      </c>
      <c r="AF3" s="46" t="s">
        <v>22</v>
      </c>
    </row>
    <row r="4" spans="1:32" ht="14.25" customHeight="1" x14ac:dyDescent="0.3">
      <c r="A4" s="132">
        <f>P36+R36+S36+T36</f>
        <v>61595</v>
      </c>
      <c r="B4" s="47"/>
      <c r="C4" s="260"/>
      <c r="D4" s="261"/>
      <c r="E4" s="261"/>
      <c r="F4" s="304"/>
      <c r="G4" s="261"/>
      <c r="H4" s="261"/>
      <c r="I4" s="261"/>
      <c r="J4" s="261"/>
      <c r="K4" s="261"/>
      <c r="L4" s="261"/>
      <c r="M4" s="304"/>
      <c r="N4" s="304"/>
      <c r="O4" s="304"/>
      <c r="P4" s="304"/>
      <c r="Q4" s="304"/>
      <c r="R4" s="304"/>
      <c r="S4" s="305"/>
      <c r="T4" s="306"/>
      <c r="U4" s="304"/>
      <c r="V4" s="304"/>
      <c r="W4" s="304"/>
      <c r="X4" s="304"/>
      <c r="Y4" s="307"/>
      <c r="Z4" s="304"/>
      <c r="AA4" s="307"/>
      <c r="AB4" s="304"/>
      <c r="AC4" s="304"/>
      <c r="AD4" s="304"/>
      <c r="AE4" s="304"/>
      <c r="AF4" s="48"/>
    </row>
    <row r="5" spans="1:32" ht="14.25" customHeight="1" x14ac:dyDescent="0.3">
      <c r="B5" s="49">
        <v>45292</v>
      </c>
      <c r="C5" s="262"/>
      <c r="D5" s="307"/>
      <c r="E5" s="307">
        <f>120+880</f>
        <v>1000</v>
      </c>
      <c r="F5" s="307">
        <v>3485</v>
      </c>
      <c r="G5" s="307"/>
      <c r="H5" s="307"/>
      <c r="I5" s="307">
        <f>80+1300</f>
        <v>1380</v>
      </c>
      <c r="J5" s="307">
        <v>120</v>
      </c>
      <c r="K5" s="307">
        <v>200</v>
      </c>
      <c r="L5" s="307"/>
      <c r="M5" s="307">
        <v>800</v>
      </c>
      <c r="N5" s="307">
        <v>635</v>
      </c>
      <c r="O5" s="307">
        <v>60</v>
      </c>
      <c r="P5" s="307"/>
      <c r="Q5" s="307">
        <v>1560</v>
      </c>
      <c r="R5" s="307">
        <v>825</v>
      </c>
      <c r="S5" s="307">
        <v>5260</v>
      </c>
      <c r="T5" s="307"/>
      <c r="U5" s="307">
        <v>90</v>
      </c>
      <c r="V5" s="307">
        <v>1620</v>
      </c>
      <c r="W5" s="307">
        <v>1070</v>
      </c>
      <c r="X5" s="307"/>
      <c r="Y5" s="307"/>
      <c r="Z5" s="307">
        <v>400</v>
      </c>
      <c r="AA5" s="307">
        <v>990</v>
      </c>
      <c r="AB5" s="307"/>
      <c r="AC5" s="307"/>
      <c r="AD5" s="307">
        <v>650</v>
      </c>
      <c r="AE5" s="307"/>
      <c r="AF5" s="36">
        <f>SUM(C5:AE5)</f>
        <v>20145</v>
      </c>
    </row>
    <row r="6" spans="1:32" ht="14.25" customHeight="1" x14ac:dyDescent="0.3">
      <c r="A6" s="40">
        <f>AB40+AC40+AD40+AE40</f>
        <v>12000</v>
      </c>
      <c r="B6" s="49">
        <v>45293</v>
      </c>
      <c r="C6" s="262">
        <v>4090</v>
      </c>
      <c r="D6" s="307"/>
      <c r="E6" s="307">
        <v>3705</v>
      </c>
      <c r="F6" s="307"/>
      <c r="G6" s="307"/>
      <c r="H6" s="307"/>
      <c r="I6" s="307"/>
      <c r="J6" s="307"/>
      <c r="K6" s="307"/>
      <c r="L6" s="307"/>
      <c r="M6" s="307"/>
      <c r="N6" s="307">
        <v>320</v>
      </c>
      <c r="O6" s="307">
        <v>60</v>
      </c>
      <c r="P6" s="307"/>
      <c r="Q6" s="307"/>
      <c r="R6" s="307"/>
      <c r="S6" s="307">
        <v>2099</v>
      </c>
      <c r="T6" s="307"/>
      <c r="U6" s="307">
        <v>860</v>
      </c>
      <c r="V6" s="307"/>
      <c r="W6" s="307"/>
      <c r="X6" s="307"/>
      <c r="Y6" s="307"/>
      <c r="Z6" s="307">
        <v>200</v>
      </c>
      <c r="AA6" s="307"/>
      <c r="AB6" s="307"/>
      <c r="AC6" s="307"/>
      <c r="AD6" s="307"/>
      <c r="AE6" s="307"/>
      <c r="AF6" s="36">
        <f t="shared" ref="AF6:AF35" si="0">SUM(C6:AE6)</f>
        <v>11334</v>
      </c>
    </row>
    <row r="7" spans="1:32" ht="14.25" customHeight="1" x14ac:dyDescent="0.3">
      <c r="A7" s="41">
        <f>C40+D40+Q40+E40+F40+G40+H40+I40+J40+K40+L40+M40+N40+O40+U40+V40+W40+X40+Y40+Z40+AA40</f>
        <v>122880</v>
      </c>
      <c r="B7" s="49">
        <v>45294</v>
      </c>
      <c r="C7" s="262"/>
      <c r="D7" s="307"/>
      <c r="E7" s="307">
        <v>1015</v>
      </c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>
        <v>1890</v>
      </c>
      <c r="T7" s="307"/>
      <c r="U7" s="307"/>
      <c r="V7" s="307"/>
      <c r="W7" s="307"/>
      <c r="X7" s="307"/>
      <c r="Y7" s="307"/>
      <c r="Z7" s="307"/>
      <c r="AA7" s="307"/>
      <c r="AB7" s="307"/>
      <c r="AC7" s="307">
        <v>90</v>
      </c>
      <c r="AD7" s="307"/>
      <c r="AE7" s="307"/>
      <c r="AF7" s="36">
        <f t="shared" si="0"/>
        <v>2995</v>
      </c>
    </row>
    <row r="8" spans="1:32" ht="14.25" customHeight="1" x14ac:dyDescent="0.3">
      <c r="A8" s="132">
        <f>P40+R40+S40+T40</f>
        <v>78600</v>
      </c>
      <c r="B8" s="49">
        <v>45295</v>
      </c>
      <c r="C8" s="262"/>
      <c r="D8" s="307"/>
      <c r="E8" s="307">
        <v>4080</v>
      </c>
      <c r="F8" s="307"/>
      <c r="G8" s="307"/>
      <c r="H8" s="307"/>
      <c r="I8" s="307">
        <v>1119</v>
      </c>
      <c r="J8" s="307">
        <v>240</v>
      </c>
      <c r="K8" s="307"/>
      <c r="L8" s="307"/>
      <c r="M8" s="307"/>
      <c r="N8" s="307">
        <v>794</v>
      </c>
      <c r="O8" s="307"/>
      <c r="P8" s="307"/>
      <c r="Q8" s="307">
        <v>190</v>
      </c>
      <c r="R8" s="307"/>
      <c r="S8" s="307">
        <v>3282</v>
      </c>
      <c r="T8" s="307"/>
      <c r="U8" s="307"/>
      <c r="V8" s="307"/>
      <c r="W8" s="307"/>
      <c r="X8" s="307"/>
      <c r="Y8" s="307"/>
      <c r="Z8" s="307">
        <v>200</v>
      </c>
      <c r="AA8" s="307"/>
      <c r="AB8" s="307"/>
      <c r="AC8" s="307"/>
      <c r="AD8" s="307"/>
      <c r="AE8" s="307"/>
      <c r="AF8" s="36">
        <f t="shared" si="0"/>
        <v>9905</v>
      </c>
    </row>
    <row r="9" spans="1:32" ht="14.25" customHeight="1" x14ac:dyDescent="0.3">
      <c r="B9" s="49">
        <v>45296</v>
      </c>
      <c r="C9" s="262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>
        <v>720</v>
      </c>
      <c r="O9" s="307">
        <v>200</v>
      </c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>
        <v>1900</v>
      </c>
      <c r="AD9" s="307">
        <v>1460</v>
      </c>
      <c r="AE9" s="307"/>
      <c r="AF9" s="36">
        <f t="shared" si="0"/>
        <v>4280</v>
      </c>
    </row>
    <row r="10" spans="1:32" ht="14.25" customHeight="1" x14ac:dyDescent="0.3">
      <c r="B10" s="49">
        <v>45297</v>
      </c>
      <c r="C10" s="262"/>
      <c r="D10" s="307"/>
      <c r="E10" s="307">
        <v>280</v>
      </c>
      <c r="F10" s="307"/>
      <c r="G10" s="307"/>
      <c r="H10" s="307"/>
      <c r="I10" s="307"/>
      <c r="J10" s="307">
        <v>240</v>
      </c>
      <c r="K10" s="307"/>
      <c r="L10" s="307"/>
      <c r="M10" s="307"/>
      <c r="N10" s="307">
        <v>95</v>
      </c>
      <c r="O10" s="307"/>
      <c r="P10" s="307"/>
      <c r="Q10" s="307"/>
      <c r="R10" s="307"/>
      <c r="S10" s="307">
        <v>5100</v>
      </c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6">
        <f t="shared" si="0"/>
        <v>5715</v>
      </c>
    </row>
    <row r="11" spans="1:32" ht="14.25" customHeight="1" x14ac:dyDescent="0.3">
      <c r="B11" s="49">
        <v>45298</v>
      </c>
      <c r="C11" s="262"/>
      <c r="D11" s="307"/>
      <c r="E11" s="307">
        <v>280</v>
      </c>
      <c r="F11" s="307"/>
      <c r="G11" s="307"/>
      <c r="H11" s="307"/>
      <c r="I11" s="307">
        <v>691</v>
      </c>
      <c r="J11" s="307"/>
      <c r="K11" s="307"/>
      <c r="L11" s="307"/>
      <c r="M11" s="307">
        <v>800</v>
      </c>
      <c r="N11" s="307"/>
      <c r="O11" s="307"/>
      <c r="P11" s="307"/>
      <c r="Q11" s="307"/>
      <c r="R11" s="307"/>
      <c r="S11" s="307">
        <v>1380</v>
      </c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6">
        <f t="shared" si="0"/>
        <v>3151</v>
      </c>
    </row>
    <row r="12" spans="1:32" ht="14.25" customHeight="1" x14ac:dyDescent="0.3">
      <c r="B12" s="49">
        <v>45299</v>
      </c>
      <c r="C12" s="262"/>
      <c r="D12" s="307"/>
      <c r="E12" s="307">
        <v>1880</v>
      </c>
      <c r="F12" s="307"/>
      <c r="G12" s="307"/>
      <c r="H12" s="307"/>
      <c r="I12" s="307"/>
      <c r="J12" s="307"/>
      <c r="K12" s="307"/>
      <c r="L12" s="307"/>
      <c r="M12" s="307"/>
      <c r="N12" s="307"/>
      <c r="O12" s="307">
        <v>190</v>
      </c>
      <c r="P12" s="307"/>
      <c r="Q12" s="307"/>
      <c r="R12" s="307"/>
      <c r="S12" s="307">
        <v>1680</v>
      </c>
      <c r="T12" s="307"/>
      <c r="U12" s="307">
        <v>580</v>
      </c>
      <c r="V12" s="307"/>
      <c r="W12" s="307"/>
      <c r="X12" s="307"/>
      <c r="Y12" s="307"/>
      <c r="Z12" s="307"/>
      <c r="AA12" s="307"/>
      <c r="AB12" s="307"/>
      <c r="AC12" s="307">
        <v>80</v>
      </c>
      <c r="AD12" s="307"/>
      <c r="AE12" s="307"/>
      <c r="AF12" s="36">
        <f t="shared" si="0"/>
        <v>4410</v>
      </c>
    </row>
    <row r="13" spans="1:32" ht="14.25" customHeight="1" x14ac:dyDescent="0.3">
      <c r="B13" s="49">
        <v>45300</v>
      </c>
      <c r="C13" s="262"/>
      <c r="D13" s="307"/>
      <c r="E13" s="307"/>
      <c r="F13" s="307">
        <v>1600</v>
      </c>
      <c r="G13" s="307"/>
      <c r="H13" s="307"/>
      <c r="I13" s="307">
        <v>1017</v>
      </c>
      <c r="J13" s="307">
        <v>240</v>
      </c>
      <c r="K13" s="307"/>
      <c r="L13" s="307"/>
      <c r="M13" s="307"/>
      <c r="N13" s="307"/>
      <c r="O13" s="307"/>
      <c r="P13" s="307"/>
      <c r="Q13" s="307"/>
      <c r="R13" s="307"/>
      <c r="S13" s="307">
        <f>2602+450</f>
        <v>3052</v>
      </c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6">
        <f t="shared" si="0"/>
        <v>5909</v>
      </c>
    </row>
    <row r="14" spans="1:32" ht="14.25" customHeight="1" x14ac:dyDescent="0.3">
      <c r="B14" s="49">
        <v>45301</v>
      </c>
      <c r="C14" s="262"/>
      <c r="D14" s="307"/>
      <c r="E14" s="307"/>
      <c r="F14" s="307"/>
      <c r="G14" s="307"/>
      <c r="H14" s="307"/>
      <c r="I14" s="307">
        <v>90</v>
      </c>
      <c r="J14" s="307"/>
      <c r="K14" s="307"/>
      <c r="L14" s="307"/>
      <c r="M14" s="307"/>
      <c r="N14" s="307">
        <f>235+50</f>
        <v>285</v>
      </c>
      <c r="O14" s="307">
        <v>120</v>
      </c>
      <c r="P14" s="307"/>
      <c r="Q14" s="307"/>
      <c r="R14" s="307"/>
      <c r="S14" s="307">
        <v>2170</v>
      </c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>
        <f>290+170</f>
        <v>460</v>
      </c>
      <c r="AE14" s="307"/>
      <c r="AF14" s="36">
        <f t="shared" si="0"/>
        <v>3125</v>
      </c>
    </row>
    <row r="15" spans="1:32" ht="14.25" customHeight="1" x14ac:dyDescent="0.3">
      <c r="B15" s="49">
        <v>45302</v>
      </c>
      <c r="C15" s="262"/>
      <c r="D15" s="307"/>
      <c r="E15" s="307">
        <v>490</v>
      </c>
      <c r="F15" s="307"/>
      <c r="G15" s="307"/>
      <c r="H15" s="307"/>
      <c r="I15" s="307">
        <v>120</v>
      </c>
      <c r="J15" s="307">
        <v>120</v>
      </c>
      <c r="K15" s="307"/>
      <c r="L15" s="307"/>
      <c r="M15" s="307">
        <v>600</v>
      </c>
      <c r="N15" s="307"/>
      <c r="O15" s="307">
        <v>140</v>
      </c>
      <c r="P15" s="307"/>
      <c r="Q15" s="307"/>
      <c r="R15" s="307"/>
      <c r="S15" s="307">
        <v>1674</v>
      </c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6">
        <f t="shared" si="0"/>
        <v>3144</v>
      </c>
    </row>
    <row r="16" spans="1:32" ht="14.25" customHeight="1" x14ac:dyDescent="0.3">
      <c r="B16" s="49">
        <v>45303</v>
      </c>
      <c r="C16" s="262"/>
      <c r="D16" s="307"/>
      <c r="E16" s="307"/>
      <c r="F16" s="307">
        <f>1500+990</f>
        <v>2490</v>
      </c>
      <c r="G16" s="307"/>
      <c r="H16" s="307"/>
      <c r="I16" s="307">
        <v>637</v>
      </c>
      <c r="J16" s="307">
        <v>240</v>
      </c>
      <c r="K16" s="307"/>
      <c r="L16" s="307"/>
      <c r="M16" s="307"/>
      <c r="N16" s="307">
        <f>1770+420</f>
        <v>2190</v>
      </c>
      <c r="O16" s="307">
        <v>102</v>
      </c>
      <c r="P16" s="307"/>
      <c r="Q16" s="307"/>
      <c r="R16" s="307"/>
      <c r="S16" s="307">
        <v>3890</v>
      </c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8"/>
      <c r="AE16" s="307"/>
      <c r="AF16" s="36">
        <f t="shared" si="0"/>
        <v>9549</v>
      </c>
    </row>
    <row r="17" spans="2:32" ht="14.25" customHeight="1" x14ac:dyDescent="0.3">
      <c r="B17" s="49">
        <v>45304</v>
      </c>
      <c r="C17" s="262"/>
      <c r="D17" s="307"/>
      <c r="E17" s="307">
        <v>1200</v>
      </c>
      <c r="F17" s="307">
        <v>500</v>
      </c>
      <c r="G17" s="307"/>
      <c r="H17" s="307"/>
      <c r="I17" s="307">
        <f>492+520</f>
        <v>1012</v>
      </c>
      <c r="J17" s="307"/>
      <c r="K17" s="307"/>
      <c r="L17" s="307"/>
      <c r="M17" s="307">
        <v>600</v>
      </c>
      <c r="N17" s="307">
        <v>180</v>
      </c>
      <c r="O17" s="307">
        <v>200</v>
      </c>
      <c r="P17" s="307"/>
      <c r="Q17" s="307">
        <v>1890</v>
      </c>
      <c r="R17" s="307"/>
      <c r="S17" s="307">
        <v>978</v>
      </c>
      <c r="T17" s="307"/>
      <c r="U17" s="307">
        <v>280</v>
      </c>
      <c r="V17" s="307"/>
      <c r="W17" s="307"/>
      <c r="X17" s="307"/>
      <c r="Y17" s="307"/>
      <c r="Z17" s="307"/>
      <c r="AA17" s="307"/>
      <c r="AB17" s="307"/>
      <c r="AC17" s="307">
        <v>120</v>
      </c>
      <c r="AD17" s="307"/>
      <c r="AE17" s="307"/>
      <c r="AF17" s="36">
        <f t="shared" si="0"/>
        <v>6960</v>
      </c>
    </row>
    <row r="18" spans="2:32" ht="14.25" customHeight="1" x14ac:dyDescent="0.3">
      <c r="B18" s="49">
        <v>45305</v>
      </c>
      <c r="C18" s="262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>
        <v>180</v>
      </c>
      <c r="P18" s="307"/>
      <c r="Q18" s="307"/>
      <c r="R18" s="307"/>
      <c r="S18" s="307">
        <v>3030</v>
      </c>
      <c r="T18" s="307"/>
      <c r="U18" s="307">
        <v>250</v>
      </c>
      <c r="V18" s="307"/>
      <c r="W18" s="307"/>
      <c r="X18" s="307"/>
      <c r="Y18" s="307"/>
      <c r="Z18" s="307"/>
      <c r="AA18" s="307">
        <v>500</v>
      </c>
      <c r="AB18" s="307"/>
      <c r="AC18" s="307"/>
      <c r="AD18" s="307"/>
      <c r="AE18" s="307"/>
      <c r="AF18" s="36">
        <f t="shared" si="0"/>
        <v>3960</v>
      </c>
    </row>
    <row r="19" spans="2:32" ht="14.25" customHeight="1" x14ac:dyDescent="0.3">
      <c r="B19" s="49">
        <v>45306</v>
      </c>
      <c r="C19" s="262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>
        <v>1575</v>
      </c>
      <c r="T19" s="307"/>
      <c r="U19" s="307"/>
      <c r="V19" s="307">
        <v>1625</v>
      </c>
      <c r="W19" s="307"/>
      <c r="X19" s="307"/>
      <c r="Y19" s="307"/>
      <c r="Z19" s="307"/>
      <c r="AA19" s="307"/>
      <c r="AB19" s="307">
        <v>96</v>
      </c>
      <c r="AC19" s="307"/>
      <c r="AD19" s="307">
        <f>310+40</f>
        <v>350</v>
      </c>
      <c r="AE19" s="307"/>
      <c r="AF19" s="36">
        <f t="shared" si="0"/>
        <v>3646</v>
      </c>
    </row>
    <row r="20" spans="2:32" ht="14.25" customHeight="1" x14ac:dyDescent="0.3">
      <c r="B20" s="49">
        <v>45307</v>
      </c>
      <c r="C20" s="262"/>
      <c r="D20" s="307"/>
      <c r="E20" s="307"/>
      <c r="F20" s="307">
        <v>520</v>
      </c>
      <c r="G20" s="307"/>
      <c r="H20" s="307"/>
      <c r="I20" s="307">
        <v>180</v>
      </c>
      <c r="J20" s="307"/>
      <c r="K20" s="307"/>
      <c r="L20" s="307"/>
      <c r="M20" s="307"/>
      <c r="N20" s="307">
        <f>90+40</f>
        <v>130</v>
      </c>
      <c r="O20" s="307">
        <v>120</v>
      </c>
      <c r="P20" s="307"/>
      <c r="Q20" s="307"/>
      <c r="R20" s="307"/>
      <c r="S20" s="307">
        <v>3945</v>
      </c>
      <c r="T20" s="307"/>
      <c r="U20" s="307"/>
      <c r="V20" s="307"/>
      <c r="W20" s="307">
        <v>1060</v>
      </c>
      <c r="X20" s="307"/>
      <c r="Y20" s="307"/>
      <c r="Z20" s="307"/>
      <c r="AA20" s="307"/>
      <c r="AB20" s="307"/>
      <c r="AC20" s="307"/>
      <c r="AD20" s="307"/>
      <c r="AE20" s="307"/>
      <c r="AF20" s="36">
        <f t="shared" si="0"/>
        <v>5955</v>
      </c>
    </row>
    <row r="21" spans="2:32" ht="14.25" customHeight="1" x14ac:dyDescent="0.3">
      <c r="B21" s="49">
        <v>45308</v>
      </c>
      <c r="C21" s="262"/>
      <c r="D21" s="307"/>
      <c r="E21" s="307">
        <v>1880</v>
      </c>
      <c r="F21" s="307"/>
      <c r="G21" s="307"/>
      <c r="H21" s="307"/>
      <c r="I21" s="307">
        <f>969+750</f>
        <v>1719</v>
      </c>
      <c r="J21" s="307"/>
      <c r="K21" s="307"/>
      <c r="L21" s="307"/>
      <c r="M21" s="307"/>
      <c r="N21" s="307">
        <v>380</v>
      </c>
      <c r="O21" s="307"/>
      <c r="P21" s="307"/>
      <c r="Q21" s="307"/>
      <c r="R21" s="307"/>
      <c r="S21" s="307">
        <v>2015</v>
      </c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6">
        <f t="shared" si="0"/>
        <v>5994</v>
      </c>
    </row>
    <row r="22" spans="2:32" ht="14.25" customHeight="1" x14ac:dyDescent="0.3">
      <c r="B22" s="49">
        <v>45309</v>
      </c>
      <c r="C22" s="262"/>
      <c r="D22" s="307"/>
      <c r="E22" s="307">
        <v>3300</v>
      </c>
      <c r="F22" s="307"/>
      <c r="G22" s="307"/>
      <c r="H22" s="307"/>
      <c r="I22" s="307"/>
      <c r="J22" s="307">
        <v>240</v>
      </c>
      <c r="K22" s="307"/>
      <c r="L22" s="307"/>
      <c r="M22" s="307">
        <v>200</v>
      </c>
      <c r="N22" s="307">
        <v>560</v>
      </c>
      <c r="O22" s="307">
        <v>126</v>
      </c>
      <c r="P22" s="307"/>
      <c r="Q22" s="307"/>
      <c r="R22" s="307"/>
      <c r="S22" s="307">
        <v>1470</v>
      </c>
      <c r="T22" s="307"/>
      <c r="U22" s="307">
        <v>100</v>
      </c>
      <c r="V22" s="307"/>
      <c r="W22" s="307">
        <v>450</v>
      </c>
      <c r="X22" s="307"/>
      <c r="Y22" s="307"/>
      <c r="Z22" s="307"/>
      <c r="AA22" s="307"/>
      <c r="AB22" s="307"/>
      <c r="AC22" s="307">
        <v>240</v>
      </c>
      <c r="AD22" s="307"/>
      <c r="AE22" s="307"/>
      <c r="AF22" s="36">
        <f t="shared" si="0"/>
        <v>6686</v>
      </c>
    </row>
    <row r="23" spans="2:32" ht="14.25" customHeight="1" x14ac:dyDescent="0.3">
      <c r="B23" s="49">
        <v>45310</v>
      </c>
      <c r="C23" s="262"/>
      <c r="D23" s="307"/>
      <c r="E23" s="307"/>
      <c r="F23" s="307"/>
      <c r="G23" s="307"/>
      <c r="H23" s="307"/>
      <c r="I23" s="307">
        <v>696</v>
      </c>
      <c r="J23" s="307"/>
      <c r="K23" s="307"/>
      <c r="L23" s="307"/>
      <c r="M23" s="307"/>
      <c r="N23" s="307"/>
      <c r="O23" s="307"/>
      <c r="P23" s="307"/>
      <c r="Q23" s="307"/>
      <c r="R23" s="307"/>
      <c r="S23" s="307">
        <v>1342</v>
      </c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6">
        <f t="shared" si="0"/>
        <v>2038</v>
      </c>
    </row>
    <row r="24" spans="2:32" ht="14.25" customHeight="1" x14ac:dyDescent="0.3">
      <c r="B24" s="49">
        <v>45311</v>
      </c>
      <c r="C24" s="262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>
        <v>140</v>
      </c>
      <c r="P24" s="307"/>
      <c r="Q24" s="307"/>
      <c r="R24" s="307"/>
      <c r="S24" s="307">
        <v>2847</v>
      </c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6">
        <f t="shared" si="0"/>
        <v>2987</v>
      </c>
    </row>
    <row r="25" spans="2:32" ht="14.25" customHeight="1" x14ac:dyDescent="0.3">
      <c r="B25" s="49">
        <v>45312</v>
      </c>
      <c r="C25" s="262"/>
      <c r="D25" s="307"/>
      <c r="E25" s="307">
        <v>1135</v>
      </c>
      <c r="F25" s="307"/>
      <c r="G25" s="307"/>
      <c r="H25" s="307"/>
      <c r="I25" s="307">
        <v>642</v>
      </c>
      <c r="J25" s="307">
        <v>240</v>
      </c>
      <c r="K25" s="307"/>
      <c r="L25" s="307"/>
      <c r="M25" s="307">
        <v>800</v>
      </c>
      <c r="N25" s="307">
        <v>160</v>
      </c>
      <c r="O25" s="307"/>
      <c r="P25" s="307"/>
      <c r="Q25" s="307"/>
      <c r="R25" s="307"/>
      <c r="S25" s="307">
        <v>2467</v>
      </c>
      <c r="T25" s="307"/>
      <c r="U25" s="307"/>
      <c r="V25" s="307"/>
      <c r="W25" s="307"/>
      <c r="X25" s="307"/>
      <c r="Y25" s="307"/>
      <c r="Z25" s="307">
        <v>200</v>
      </c>
      <c r="AA25" s="307"/>
      <c r="AB25" s="307"/>
      <c r="AC25" s="307"/>
      <c r="AD25" s="307"/>
      <c r="AE25" s="307"/>
      <c r="AF25" s="36">
        <f t="shared" si="0"/>
        <v>5644</v>
      </c>
    </row>
    <row r="26" spans="2:32" ht="14.25" customHeight="1" x14ac:dyDescent="0.3">
      <c r="B26" s="49">
        <v>45313</v>
      </c>
      <c r="C26" s="262"/>
      <c r="D26" s="307"/>
      <c r="E26" s="307">
        <v>2095</v>
      </c>
      <c r="F26" s="307">
        <v>375</v>
      </c>
      <c r="G26" s="307"/>
      <c r="H26" s="307"/>
      <c r="I26" s="307"/>
      <c r="J26" s="307"/>
      <c r="K26" s="307"/>
      <c r="L26" s="307"/>
      <c r="M26" s="307">
        <v>650</v>
      </c>
      <c r="N26" s="307">
        <v>430</v>
      </c>
      <c r="O26" s="307"/>
      <c r="P26" s="307">
        <v>3120</v>
      </c>
      <c r="Q26" s="307"/>
      <c r="R26" s="307"/>
      <c r="S26" s="307">
        <v>2310</v>
      </c>
      <c r="T26" s="307"/>
      <c r="U26" s="307"/>
      <c r="V26" s="307">
        <v>1660</v>
      </c>
      <c r="W26" s="307"/>
      <c r="X26" s="307"/>
      <c r="Y26" s="307"/>
      <c r="Z26" s="307"/>
      <c r="AA26" s="307"/>
      <c r="AB26" s="307"/>
      <c r="AC26" s="307"/>
      <c r="AD26" s="307"/>
      <c r="AE26" s="307"/>
      <c r="AF26" s="36">
        <f t="shared" si="0"/>
        <v>10640</v>
      </c>
    </row>
    <row r="27" spans="2:32" ht="14.25" customHeight="1" x14ac:dyDescent="0.3">
      <c r="B27" s="49">
        <v>45314</v>
      </c>
      <c r="C27" s="262"/>
      <c r="D27" s="307"/>
      <c r="E27" s="307">
        <v>280</v>
      </c>
      <c r="F27" s="307"/>
      <c r="G27" s="307"/>
      <c r="H27" s="307"/>
      <c r="I27" s="307">
        <v>1092</v>
      </c>
      <c r="J27" s="307"/>
      <c r="K27" s="307"/>
      <c r="L27" s="307"/>
      <c r="M27" s="307"/>
      <c r="N27" s="307"/>
      <c r="O27" s="307">
        <v>200</v>
      </c>
      <c r="P27" s="307"/>
      <c r="Q27" s="307"/>
      <c r="R27" s="307"/>
      <c r="S27" s="307">
        <v>2646</v>
      </c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6">
        <f t="shared" si="0"/>
        <v>4218</v>
      </c>
    </row>
    <row r="28" spans="2:32" ht="14.25" customHeight="1" x14ac:dyDescent="0.3">
      <c r="B28" s="49">
        <v>45315</v>
      </c>
      <c r="C28" s="262"/>
      <c r="D28" s="307"/>
      <c r="E28" s="307">
        <v>200</v>
      </c>
      <c r="F28" s="307"/>
      <c r="G28" s="307"/>
      <c r="H28" s="307"/>
      <c r="I28" s="307">
        <v>300</v>
      </c>
      <c r="J28" s="307">
        <v>120</v>
      </c>
      <c r="K28" s="307"/>
      <c r="L28" s="307"/>
      <c r="M28" s="262"/>
      <c r="N28" s="307"/>
      <c r="O28" s="307"/>
      <c r="P28" s="307"/>
      <c r="Q28" s="307"/>
      <c r="R28" s="307"/>
      <c r="S28" s="307">
        <v>1548</v>
      </c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6">
        <f t="shared" si="0"/>
        <v>2168</v>
      </c>
    </row>
    <row r="29" spans="2:32" ht="14.25" customHeight="1" x14ac:dyDescent="0.3">
      <c r="B29" s="49">
        <v>45316</v>
      </c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6">
        <f t="shared" si="0"/>
        <v>0</v>
      </c>
    </row>
    <row r="30" spans="2:32" ht="14.25" customHeight="1" x14ac:dyDescent="0.3">
      <c r="B30" s="49">
        <v>45317</v>
      </c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6">
        <f t="shared" si="0"/>
        <v>0</v>
      </c>
    </row>
    <row r="31" spans="2:32" ht="14.25" customHeight="1" x14ac:dyDescent="0.3">
      <c r="B31" s="49">
        <v>45318</v>
      </c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6">
        <f t="shared" si="0"/>
        <v>0</v>
      </c>
    </row>
    <row r="32" spans="2:32" ht="14.25" customHeight="1" x14ac:dyDescent="0.3">
      <c r="B32" s="49">
        <v>45319</v>
      </c>
      <c r="C32" s="262"/>
      <c r="D32" s="262"/>
      <c r="E32" s="263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6">
        <f t="shared" si="0"/>
        <v>0</v>
      </c>
    </row>
    <row r="33" spans="2:32" ht="14.25" customHeight="1" x14ac:dyDescent="0.3">
      <c r="B33" s="49">
        <v>45320</v>
      </c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6">
        <f t="shared" si="0"/>
        <v>0</v>
      </c>
    </row>
    <row r="34" spans="2:32" ht="14.25" customHeight="1" x14ac:dyDescent="0.3">
      <c r="B34" s="49">
        <v>45321</v>
      </c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6">
        <f t="shared" si="0"/>
        <v>0</v>
      </c>
    </row>
    <row r="35" spans="2:32" ht="14.25" customHeight="1" x14ac:dyDescent="0.3">
      <c r="B35" s="49">
        <v>45322</v>
      </c>
      <c r="C35" s="264"/>
      <c r="D35" s="264"/>
      <c r="E35" s="262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309"/>
      <c r="Q35" s="309"/>
      <c r="R35" s="309"/>
      <c r="S35" s="309"/>
      <c r="T35" s="310"/>
      <c r="U35" s="309"/>
      <c r="V35" s="309"/>
      <c r="W35" s="309"/>
      <c r="X35" s="309"/>
      <c r="Y35" s="307"/>
      <c r="Z35" s="309"/>
      <c r="AA35" s="307"/>
      <c r="AB35" s="309"/>
      <c r="AC35" s="309"/>
      <c r="AD35" s="309"/>
      <c r="AE35" s="309"/>
      <c r="AF35" s="36">
        <f t="shared" si="0"/>
        <v>0</v>
      </c>
    </row>
    <row r="36" spans="2:32" ht="14.25" customHeight="1" thickBot="1" x14ac:dyDescent="0.35">
      <c r="B36" s="49"/>
      <c r="C36" s="39">
        <f>SUM(C5:C35)</f>
        <v>4090</v>
      </c>
      <c r="D36" s="39">
        <f>SUM(D5:D35)</f>
        <v>0</v>
      </c>
      <c r="E36" s="39">
        <f>SUM(E5:E35)</f>
        <v>22820</v>
      </c>
      <c r="F36" s="39">
        <f>SUM(F5:F35)</f>
        <v>8970</v>
      </c>
      <c r="G36" s="39">
        <f t="shared" ref="G36:P36" si="1">SUM(G5:G35)</f>
        <v>0</v>
      </c>
      <c r="H36" s="39">
        <f t="shared" si="1"/>
        <v>0</v>
      </c>
      <c r="I36" s="39">
        <f t="shared" si="1"/>
        <v>10695</v>
      </c>
      <c r="J36" s="39">
        <f t="shared" si="1"/>
        <v>1800</v>
      </c>
      <c r="K36" s="39">
        <f t="shared" si="1"/>
        <v>200</v>
      </c>
      <c r="L36" s="39">
        <f t="shared" si="1"/>
        <v>0</v>
      </c>
      <c r="M36" s="39">
        <f t="shared" si="1"/>
        <v>4450</v>
      </c>
      <c r="N36" s="39">
        <f t="shared" si="1"/>
        <v>6879</v>
      </c>
      <c r="O36" s="39">
        <f t="shared" si="1"/>
        <v>1838</v>
      </c>
      <c r="P36" s="39">
        <f t="shared" si="1"/>
        <v>3120</v>
      </c>
      <c r="Q36" s="39">
        <f>SUM(Q5:Q35)</f>
        <v>3640</v>
      </c>
      <c r="R36" s="39">
        <f>SUM(R5:R35)</f>
        <v>825</v>
      </c>
      <c r="S36" s="39">
        <f>SUM(S5:S35)</f>
        <v>57650</v>
      </c>
      <c r="T36" s="39"/>
      <c r="U36" s="39">
        <f t="shared" ref="U36:AF36" si="2">SUM(U5:U35)</f>
        <v>2160</v>
      </c>
      <c r="V36" s="39">
        <f t="shared" si="2"/>
        <v>4905</v>
      </c>
      <c r="W36" s="39">
        <f t="shared" si="2"/>
        <v>2580</v>
      </c>
      <c r="X36" s="39">
        <f t="shared" si="2"/>
        <v>0</v>
      </c>
      <c r="Y36" s="39">
        <f t="shared" si="2"/>
        <v>0</v>
      </c>
      <c r="Z36" s="39">
        <f t="shared" si="2"/>
        <v>1000</v>
      </c>
      <c r="AA36" s="39">
        <f t="shared" si="2"/>
        <v>1490</v>
      </c>
      <c r="AB36" s="39">
        <f t="shared" si="2"/>
        <v>96</v>
      </c>
      <c r="AC36" s="39">
        <f t="shared" si="2"/>
        <v>2430</v>
      </c>
      <c r="AD36" s="39">
        <f t="shared" si="2"/>
        <v>2920</v>
      </c>
      <c r="AE36" s="39">
        <f t="shared" si="2"/>
        <v>0</v>
      </c>
      <c r="AF36" s="39">
        <f t="shared" si="2"/>
        <v>144558</v>
      </c>
    </row>
    <row r="37" spans="2:32" ht="14.25" customHeight="1" x14ac:dyDescent="0.3">
      <c r="AF37" s="50">
        <f>AF36-A2</f>
        <v>139112</v>
      </c>
    </row>
    <row r="38" spans="2:32" ht="14.25" customHeight="1" x14ac:dyDescent="0.3">
      <c r="C38">
        <v>4130</v>
      </c>
      <c r="D38">
        <v>6850</v>
      </c>
      <c r="E38">
        <v>29222</v>
      </c>
      <c r="F38">
        <v>11669</v>
      </c>
      <c r="G38">
        <v>0</v>
      </c>
      <c r="H38">
        <v>7210</v>
      </c>
      <c r="I38">
        <v>20546</v>
      </c>
      <c r="J38">
        <v>3000</v>
      </c>
      <c r="K38">
        <v>380</v>
      </c>
      <c r="L38">
        <v>1140</v>
      </c>
      <c r="M38">
        <v>5520</v>
      </c>
      <c r="N38">
        <v>6616</v>
      </c>
      <c r="O38">
        <v>2526</v>
      </c>
      <c r="P38">
        <v>5580</v>
      </c>
      <c r="Q38">
        <v>6995</v>
      </c>
      <c r="R38">
        <v>1650</v>
      </c>
      <c r="S38">
        <v>73360</v>
      </c>
      <c r="U38">
        <v>3430</v>
      </c>
      <c r="V38">
        <v>6980</v>
      </c>
      <c r="W38">
        <v>1220</v>
      </c>
      <c r="X38">
        <v>0</v>
      </c>
      <c r="Y38">
        <v>0</v>
      </c>
      <c r="Z38">
        <v>4740</v>
      </c>
      <c r="AA38">
        <v>1395</v>
      </c>
      <c r="AB38">
        <v>460</v>
      </c>
      <c r="AC38">
        <v>2490</v>
      </c>
      <c r="AD38">
        <v>4540</v>
      </c>
      <c r="AE38">
        <v>420</v>
      </c>
      <c r="AF38">
        <v>212239</v>
      </c>
    </row>
    <row r="39" spans="2:32" ht="14.25" customHeight="1" x14ac:dyDescent="0.3"/>
    <row r="40" spans="2:32" s="121" customFormat="1" ht="14.25" customHeight="1" x14ac:dyDescent="0.3">
      <c r="C40" s="121">
        <v>4000</v>
      </c>
      <c r="D40" s="121">
        <v>5500</v>
      </c>
      <c r="E40" s="121">
        <v>30000</v>
      </c>
      <c r="F40" s="121">
        <v>11000</v>
      </c>
      <c r="H40" s="121">
        <v>7000</v>
      </c>
      <c r="I40" s="121">
        <v>18000</v>
      </c>
      <c r="J40" s="121">
        <v>3000</v>
      </c>
      <c r="K40" s="121">
        <v>380</v>
      </c>
      <c r="L40" s="121">
        <v>1000</v>
      </c>
      <c r="M40" s="121">
        <v>5500</v>
      </c>
      <c r="N40" s="121">
        <v>6500</v>
      </c>
      <c r="O40" s="121">
        <v>2500</v>
      </c>
      <c r="P40" s="121">
        <v>3000</v>
      </c>
      <c r="Q40" s="121">
        <v>7000</v>
      </c>
      <c r="R40" s="121">
        <v>1600</v>
      </c>
      <c r="S40" s="121">
        <v>73000</v>
      </c>
      <c r="T40" s="121">
        <v>1000</v>
      </c>
      <c r="U40" s="121">
        <v>3500</v>
      </c>
      <c r="V40" s="121">
        <v>6500</v>
      </c>
      <c r="W40" s="121">
        <v>5000</v>
      </c>
      <c r="Z40" s="121">
        <v>2500</v>
      </c>
      <c r="AA40" s="121">
        <v>4000</v>
      </c>
      <c r="AB40" s="121">
        <v>1500</v>
      </c>
      <c r="AC40" s="121">
        <v>5000</v>
      </c>
      <c r="AD40" s="121">
        <v>4500</v>
      </c>
      <c r="AE40" s="121">
        <v>1000</v>
      </c>
      <c r="AF40" s="121">
        <f>SUM(C40:AE40)</f>
        <v>213480</v>
      </c>
    </row>
    <row r="41" spans="2:32" ht="14.25" customHeight="1" x14ac:dyDescent="0.3">
      <c r="C41" s="233">
        <f>+C36-C40</f>
        <v>90</v>
      </c>
      <c r="D41" s="233">
        <f t="shared" ref="D41:AE41" si="3">+D36-D40</f>
        <v>-5500</v>
      </c>
      <c r="E41" s="233">
        <f t="shared" si="3"/>
        <v>-7180</v>
      </c>
      <c r="F41" s="233">
        <f t="shared" si="3"/>
        <v>-2030</v>
      </c>
      <c r="G41" s="233">
        <f t="shared" si="3"/>
        <v>0</v>
      </c>
      <c r="H41" s="233">
        <f t="shared" si="3"/>
        <v>-7000</v>
      </c>
      <c r="I41" s="233">
        <f t="shared" si="3"/>
        <v>-7305</v>
      </c>
      <c r="J41" s="233">
        <f t="shared" si="3"/>
        <v>-1200</v>
      </c>
      <c r="K41" s="233">
        <f t="shared" si="3"/>
        <v>-180</v>
      </c>
      <c r="L41" s="233">
        <f t="shared" si="3"/>
        <v>-1000</v>
      </c>
      <c r="M41" s="233">
        <f t="shared" si="3"/>
        <v>-1050</v>
      </c>
      <c r="N41" s="233">
        <f t="shared" si="3"/>
        <v>379</v>
      </c>
      <c r="O41" s="233">
        <f t="shared" si="3"/>
        <v>-662</v>
      </c>
      <c r="P41" s="233">
        <f t="shared" si="3"/>
        <v>120</v>
      </c>
      <c r="Q41" s="233">
        <f t="shared" si="3"/>
        <v>-3360</v>
      </c>
      <c r="R41" s="233">
        <f t="shared" si="3"/>
        <v>-775</v>
      </c>
      <c r="S41" s="233">
        <f t="shared" si="3"/>
        <v>-15350</v>
      </c>
      <c r="T41" s="233">
        <f t="shared" si="3"/>
        <v>-1000</v>
      </c>
      <c r="U41" s="233">
        <f t="shared" si="3"/>
        <v>-1340</v>
      </c>
      <c r="V41" s="233">
        <f t="shared" si="3"/>
        <v>-1595</v>
      </c>
      <c r="W41" s="233">
        <f t="shared" si="3"/>
        <v>-2420</v>
      </c>
      <c r="X41" s="233">
        <f t="shared" si="3"/>
        <v>0</v>
      </c>
      <c r="Y41" s="233">
        <f t="shared" si="3"/>
        <v>0</v>
      </c>
      <c r="Z41" s="233">
        <f t="shared" si="3"/>
        <v>-1500</v>
      </c>
      <c r="AA41" s="233">
        <f t="shared" si="3"/>
        <v>-2510</v>
      </c>
      <c r="AB41" s="233">
        <f t="shared" si="3"/>
        <v>-1404</v>
      </c>
      <c r="AC41" s="233">
        <f t="shared" si="3"/>
        <v>-2570</v>
      </c>
      <c r="AD41" s="233">
        <f t="shared" si="3"/>
        <v>-1580</v>
      </c>
      <c r="AE41" s="233">
        <f t="shared" si="3"/>
        <v>-1000</v>
      </c>
      <c r="AF41" s="121">
        <f>SUM(C41:AE41)</f>
        <v>-68922</v>
      </c>
    </row>
    <row r="42" spans="2:32" ht="14.25" customHeight="1" x14ac:dyDescent="0.3">
      <c r="AF42">
        <f>-AF41-AF40</f>
        <v>-144558</v>
      </c>
    </row>
    <row r="43" spans="2:32" ht="14.25" customHeight="1" x14ac:dyDescent="0.3"/>
    <row r="44" spans="2:32" ht="14.25" customHeight="1" x14ac:dyDescent="0.3"/>
    <row r="45" spans="2:32" ht="14.25" customHeight="1" x14ac:dyDescent="0.3"/>
    <row r="46" spans="2:32" ht="14.25" customHeight="1" x14ac:dyDescent="0.3"/>
    <row r="47" spans="2:32" ht="14.25" customHeight="1" x14ac:dyDescent="0.3"/>
    <row r="48" spans="2:3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4"/>
  <sheetViews>
    <sheetView workbookViewId="0">
      <selection activeCell="E12" sqref="E12"/>
    </sheetView>
  </sheetViews>
  <sheetFormatPr defaultRowHeight="14.4" x14ac:dyDescent="0.3"/>
  <cols>
    <col min="1" max="1" width="10.33203125" style="377" bestFit="1" customWidth="1"/>
    <col min="4" max="4" width="6.6640625" bestFit="1" customWidth="1"/>
    <col min="11" max="11" width="11" bestFit="1" customWidth="1"/>
  </cols>
  <sheetData>
    <row r="1" spans="1:16" ht="31.2" x14ac:dyDescent="0.6">
      <c r="A1" s="489" t="s">
        <v>219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376"/>
      <c r="P1" s="376"/>
    </row>
    <row r="2" spans="1:16" x14ac:dyDescent="0.3">
      <c r="A2" s="379" t="s">
        <v>220</v>
      </c>
      <c r="B2" s="378" t="s">
        <v>200</v>
      </c>
      <c r="C2" s="378" t="s">
        <v>201</v>
      </c>
      <c r="D2" s="378" t="s">
        <v>202</v>
      </c>
      <c r="E2" s="378" t="s">
        <v>203</v>
      </c>
      <c r="F2" s="378" t="s">
        <v>204</v>
      </c>
      <c r="G2" s="378" t="s">
        <v>205</v>
      </c>
      <c r="H2" s="378" t="s">
        <v>206</v>
      </c>
      <c r="I2" s="378" t="s">
        <v>207</v>
      </c>
      <c r="J2" s="378" t="s">
        <v>208</v>
      </c>
      <c r="K2" s="378" t="s">
        <v>216</v>
      </c>
      <c r="L2" s="378" t="s">
        <v>217</v>
      </c>
      <c r="M2" s="380" t="s">
        <v>218</v>
      </c>
      <c r="N2" s="386" t="s">
        <v>223</v>
      </c>
    </row>
    <row r="3" spans="1:16" x14ac:dyDescent="0.3">
      <c r="A3" s="379" t="s">
        <v>221</v>
      </c>
      <c r="B3" s="378" t="s">
        <v>209</v>
      </c>
      <c r="C3" s="378" t="s">
        <v>210</v>
      </c>
      <c r="D3" s="378" t="s">
        <v>211</v>
      </c>
      <c r="E3" s="378" t="s">
        <v>211</v>
      </c>
      <c r="F3" s="378" t="s">
        <v>212</v>
      </c>
      <c r="G3" s="378" t="s">
        <v>213</v>
      </c>
      <c r="H3" s="378" t="s">
        <v>211</v>
      </c>
      <c r="I3" s="378" t="s">
        <v>214</v>
      </c>
      <c r="J3" s="378" t="s">
        <v>215</v>
      </c>
      <c r="K3" s="378" t="s">
        <v>215</v>
      </c>
      <c r="L3" s="378" t="s">
        <v>215</v>
      </c>
      <c r="M3" s="380" t="s">
        <v>211</v>
      </c>
      <c r="N3" s="386" t="s">
        <v>215</v>
      </c>
    </row>
    <row r="4" spans="1:16" x14ac:dyDescent="0.3">
      <c r="A4" s="381">
        <v>45292</v>
      </c>
      <c r="B4" s="56"/>
      <c r="C4" s="56"/>
      <c r="D4" s="56"/>
      <c r="E4" s="56"/>
      <c r="F4" s="56">
        <v>4</v>
      </c>
      <c r="G4" s="56"/>
      <c r="H4" s="56"/>
      <c r="I4" s="56"/>
      <c r="J4" s="56"/>
      <c r="K4" s="56"/>
      <c r="L4" s="56"/>
      <c r="M4" s="382"/>
      <c r="N4" s="382"/>
    </row>
    <row r="5" spans="1:16" x14ac:dyDescent="0.3">
      <c r="A5" s="381">
        <v>45293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382"/>
      <c r="N5" s="382"/>
    </row>
    <row r="6" spans="1:16" x14ac:dyDescent="0.3">
      <c r="A6" s="381">
        <v>45294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382"/>
      <c r="N6" s="382"/>
    </row>
    <row r="7" spans="1:16" x14ac:dyDescent="0.3">
      <c r="A7" s="381">
        <v>45295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382"/>
      <c r="N7" s="382"/>
    </row>
    <row r="8" spans="1:16" x14ac:dyDescent="0.3">
      <c r="A8" s="381">
        <v>45296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382"/>
      <c r="N8" s="382"/>
    </row>
    <row r="9" spans="1:16" x14ac:dyDescent="0.3">
      <c r="A9" s="381">
        <v>45297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382"/>
      <c r="N9" s="382"/>
    </row>
    <row r="10" spans="1:16" x14ac:dyDescent="0.3">
      <c r="A10" s="381">
        <v>45298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382"/>
      <c r="N10" s="382"/>
    </row>
    <row r="11" spans="1:16" x14ac:dyDescent="0.3">
      <c r="A11" s="381">
        <v>45299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382"/>
      <c r="N11" s="382"/>
    </row>
    <row r="12" spans="1:16" x14ac:dyDescent="0.3">
      <c r="A12" s="381">
        <v>45300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382"/>
      <c r="N12" s="382"/>
    </row>
    <row r="13" spans="1:16" x14ac:dyDescent="0.3">
      <c r="A13" s="381">
        <v>45301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382"/>
      <c r="N13" s="382"/>
    </row>
    <row r="14" spans="1:16" x14ac:dyDescent="0.3">
      <c r="A14" s="381">
        <v>45302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382"/>
      <c r="N14" s="382"/>
    </row>
    <row r="15" spans="1:16" x14ac:dyDescent="0.3">
      <c r="A15" s="381">
        <v>45303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382"/>
      <c r="N15" s="382"/>
    </row>
    <row r="16" spans="1:16" x14ac:dyDescent="0.3">
      <c r="A16" s="381">
        <v>45304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382"/>
      <c r="N16" s="382"/>
    </row>
    <row r="17" spans="1:14" x14ac:dyDescent="0.3">
      <c r="A17" s="381">
        <v>45305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382"/>
      <c r="N17" s="382"/>
    </row>
    <row r="18" spans="1:14" x14ac:dyDescent="0.3">
      <c r="A18" s="381">
        <v>45306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382"/>
      <c r="N18" s="382"/>
    </row>
    <row r="19" spans="1:14" x14ac:dyDescent="0.3">
      <c r="A19" s="381">
        <v>45307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382"/>
      <c r="N19" s="382"/>
    </row>
    <row r="20" spans="1:14" x14ac:dyDescent="0.3">
      <c r="A20" s="381">
        <v>45308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382"/>
      <c r="N20" s="382"/>
    </row>
    <row r="21" spans="1:14" x14ac:dyDescent="0.3">
      <c r="A21" s="381">
        <v>45309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382"/>
      <c r="N21" s="382"/>
    </row>
    <row r="22" spans="1:14" x14ac:dyDescent="0.3">
      <c r="A22" s="381">
        <v>45310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382"/>
      <c r="N22" s="382"/>
    </row>
    <row r="23" spans="1:14" x14ac:dyDescent="0.3">
      <c r="A23" s="381">
        <v>45311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382"/>
      <c r="N23" s="382"/>
    </row>
    <row r="24" spans="1:14" x14ac:dyDescent="0.3">
      <c r="A24" s="381">
        <v>45312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382"/>
      <c r="N24" s="382"/>
    </row>
    <row r="25" spans="1:14" x14ac:dyDescent="0.3">
      <c r="A25" s="381">
        <v>45313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382"/>
      <c r="N25" s="382"/>
    </row>
    <row r="26" spans="1:14" x14ac:dyDescent="0.3">
      <c r="A26" s="381">
        <v>45314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382"/>
      <c r="N26" s="382"/>
    </row>
    <row r="27" spans="1:14" x14ac:dyDescent="0.3">
      <c r="A27" s="381">
        <v>45315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382"/>
      <c r="N27" s="382"/>
    </row>
    <row r="28" spans="1:14" x14ac:dyDescent="0.3">
      <c r="A28" s="381">
        <v>45316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382"/>
      <c r="N28" s="382"/>
    </row>
    <row r="29" spans="1:14" x14ac:dyDescent="0.3">
      <c r="A29" s="381">
        <v>45317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382"/>
      <c r="N29" s="382"/>
    </row>
    <row r="30" spans="1:14" x14ac:dyDescent="0.3">
      <c r="A30" s="381">
        <v>45318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382"/>
      <c r="N30" s="382"/>
    </row>
    <row r="31" spans="1:14" x14ac:dyDescent="0.3">
      <c r="A31" s="381">
        <v>45319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382"/>
      <c r="N31" s="382"/>
    </row>
    <row r="32" spans="1:14" x14ac:dyDescent="0.3">
      <c r="A32" s="381">
        <v>45320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382"/>
      <c r="N32" s="382"/>
    </row>
    <row r="33" spans="1:14" x14ac:dyDescent="0.3">
      <c r="A33" s="381">
        <v>45321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382"/>
      <c r="N33" s="382"/>
    </row>
    <row r="34" spans="1:14" ht="15" thickBot="1" x14ac:dyDescent="0.35">
      <c r="A34" s="383">
        <v>45322</v>
      </c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5"/>
      <c r="N34" s="385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SCORECARD</vt:lpstr>
      <vt:lpstr>P&amp;L</vt:lpstr>
      <vt:lpstr>INVENTORY</vt:lpstr>
      <vt:lpstr>CASH TALLY</vt:lpstr>
      <vt:lpstr>expenses</vt:lpstr>
      <vt:lpstr>PURCHASE</vt:lpstr>
      <vt:lpstr>Waste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ashishbhandari945@gmail.com</dc:creator>
  <cp:lastModifiedBy>akshay panthri</cp:lastModifiedBy>
  <dcterms:created xsi:type="dcterms:W3CDTF">2022-01-05T17:06:12Z</dcterms:created>
  <dcterms:modified xsi:type="dcterms:W3CDTF">2024-01-24T12:44:34Z</dcterms:modified>
</cp:coreProperties>
</file>