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list" sheetId="1" r:id="rId4"/>
  </sheets>
  <definedNames>
    <definedName hidden="1" localSheetId="0" name="Z_E642FF67_21D1_4C66_8C85_6469C9FC9BB8_.wvu.FilterData">itemlist!$A$1:$C$5032</definedName>
    <definedName hidden="1" localSheetId="0" name="Z_5519B9F3_2599_44C8_804E_EADC2DF8ECEE_.wvu.FilterData">itemlist!$A$1:$C$5032</definedName>
  </definedNames>
  <calcPr/>
  <customWorkbookViews>
    <customWorkbookView activeSheetId="0" maximized="1" tabRatio="600" windowHeight="0" windowWidth="0" guid="{5519B9F3-2599-44C8-804E-EADC2DF8ECEE}" name="Multipurpose Filter"/>
    <customWorkbookView activeSheetId="0" maximized="1" tabRatio="600" windowHeight="0" windowWidth="0" guid="{E642FF67-21D1-4C66-8C85-6469C9FC9BB8}" name="Unobtained Items"/>
  </customWorkbookViews>
</workbook>
</file>

<file path=xl/sharedStrings.xml><?xml version="1.0" encoding="utf-8"?>
<sst xmlns="http://schemas.openxmlformats.org/spreadsheetml/2006/main" count="5034" uniqueCount="43">
  <si>
    <t>ID</t>
  </si>
  <si>
    <t>Category</t>
  </si>
  <si>
    <t>Name</t>
  </si>
  <si>
    <t>Tools</t>
  </si>
  <si>
    <t>Blocks/Bricks</t>
  </si>
  <si>
    <t>Weapons</t>
  </si>
  <si>
    <t>Plants</t>
  </si>
  <si>
    <t>Lighting</t>
  </si>
  <si>
    <t>Platforms/Fencing</t>
  </si>
  <si>
    <t>Ore/Bars/Gems</t>
  </si>
  <si>
    <t>Accessories</t>
  </si>
  <si>
    <t>Crafting</t>
  </si>
  <si>
    <t>Furniture (Other)</t>
  </si>
  <si>
    <t>Walls/Wallpaper</t>
  </si>
  <si>
    <t>Potions</t>
  </si>
  <si>
    <t>Miscellaneous</t>
  </si>
  <si>
    <t>Crafting Stations</t>
  </si>
  <si>
    <t>Armor</t>
  </si>
  <si>
    <t>Weapons (Thrown/Ammo)</t>
  </si>
  <si>
    <t>Keys/Boss Summons</t>
  </si>
  <si>
    <t>Chests/Crates</t>
  </si>
  <si>
    <t>Statues</t>
  </si>
  <si>
    <t>Pets/Mounts</t>
  </si>
  <si>
    <t>Vanity</t>
  </si>
  <si>
    <t>Critters</t>
  </si>
  <si>
    <t>Banners (Other)</t>
  </si>
  <si>
    <t>Food</t>
  </si>
  <si>
    <t>Wings</t>
  </si>
  <si>
    <t>Mechanisms</t>
  </si>
  <si>
    <t>Music Boxes</t>
  </si>
  <si>
    <t>Christmas</t>
  </si>
  <si>
    <t>Furniture (Sets)</t>
  </si>
  <si>
    <t>Vanity (Developer)</t>
  </si>
  <si>
    <t>Dyes/Paint</t>
  </si>
  <si>
    <t>Treasure Bags/Boss Masks</t>
  </si>
  <si>
    <t>Trophies</t>
  </si>
  <si>
    <t>Paintings</t>
  </si>
  <si>
    <t>Banners (Enemy)</t>
  </si>
  <si>
    <t>Banners (Event)</t>
  </si>
  <si>
    <t>Fish</t>
  </si>
  <si>
    <t>Minecarts</t>
  </si>
  <si>
    <t>Golf</t>
  </si>
  <si>
    <t>Kites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</si>
</sst>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43"/>
    <col customWidth="1" min="2" max="2" width="16.71"/>
    <col customWidth="1" min="3" max="3" width="26.29"/>
  </cols>
  <sheetData>
    <row r="1" ht="27.75" customHeight="1">
      <c r="A1" s="1" t="s">
        <v>0</v>
      </c>
      <c r="B1" s="1" t="s">
        <v>1</v>
      </c>
      <c r="C1" s="1" t="s">
        <v>2</v>
      </c>
    </row>
    <row r="2">
      <c r="A2" s="2">
        <v>1.0</v>
      </c>
      <c r="B2" s="3" t="s">
        <v>3</v>
      </c>
      <c r="C2" s="4" t="str">
        <f>hyperlink("https://terraria.gamepedia.com/Iron_Pickaxe","Iron Pickaxe")</f>
        <v>Iron Pickaxe</v>
      </c>
    </row>
    <row r="3">
      <c r="A3" s="2">
        <v>2.0</v>
      </c>
      <c r="B3" s="3" t="s">
        <v>4</v>
      </c>
      <c r="C3" s="4" t="str">
        <f>hyperlink("https://terraria.gamepedia.com/Dirt_Block","Dirt Block")</f>
        <v>Dirt Block</v>
      </c>
    </row>
    <row r="4">
      <c r="A4" s="2">
        <v>3.0</v>
      </c>
      <c r="B4" s="3" t="s">
        <v>4</v>
      </c>
      <c r="C4" s="4" t="str">
        <f>hyperlink("https://terraria.gamepedia.com/Stone_Block","Stone Block")</f>
        <v>Stone Block</v>
      </c>
    </row>
    <row r="5">
      <c r="A5" s="2">
        <v>4.0</v>
      </c>
      <c r="B5" s="3" t="s">
        <v>5</v>
      </c>
      <c r="C5" s="4" t="str">
        <f>hyperlink("https://terraria.gamepedia.com/Iron_Broadsword","Iron Broadsword")</f>
        <v>Iron Broadsword</v>
      </c>
    </row>
    <row r="6">
      <c r="A6" s="2">
        <v>5.0</v>
      </c>
      <c r="B6" s="3" t="s">
        <v>6</v>
      </c>
      <c r="C6" s="4" t="str">
        <f>hyperlink("https://terraria.gamepedia.com/Mushroom","Mushroom")</f>
        <v>Mushroom</v>
      </c>
    </row>
    <row r="7">
      <c r="A7" s="2">
        <v>6.0</v>
      </c>
      <c r="B7" s="3" t="s">
        <v>5</v>
      </c>
      <c r="C7" s="4" t="str">
        <f>hyperlink("https://terraria.gamepedia.com/Iron_Shortsword","Iron Shortsword")</f>
        <v>Iron Shortsword</v>
      </c>
    </row>
    <row r="8">
      <c r="A8" s="2">
        <v>7.0</v>
      </c>
      <c r="B8" s="3" t="s">
        <v>3</v>
      </c>
      <c r="C8" s="4" t="str">
        <f>hyperlink("https://terraria.gamepedia.com/Iron_Hammer","Iron Hammer")</f>
        <v>Iron Hammer</v>
      </c>
    </row>
    <row r="9">
      <c r="A9" s="2">
        <v>8.0</v>
      </c>
      <c r="B9" s="3" t="s">
        <v>7</v>
      </c>
      <c r="C9" s="4" t="str">
        <f>hyperlink("https://terraria.gamepedia.com/Torches","Torch")</f>
        <v>Torch</v>
      </c>
    </row>
    <row r="10">
      <c r="A10" s="2">
        <v>9.0</v>
      </c>
      <c r="B10" s="3" t="s">
        <v>8</v>
      </c>
      <c r="C10" s="4" t="str">
        <f>hyperlink("https://terraria.gamepedia.com/Woods","Wood")</f>
        <v>Wood</v>
      </c>
    </row>
    <row r="11">
      <c r="A11" s="2">
        <v>10.0</v>
      </c>
      <c r="B11" s="3" t="s">
        <v>3</v>
      </c>
      <c r="C11" s="4" t="str">
        <f>hyperlink("https://terraria.gamepedia.com/Iron_Axe","Iron Axe")</f>
        <v>Iron Axe</v>
      </c>
    </row>
    <row r="12">
      <c r="A12" s="2">
        <v>11.0</v>
      </c>
      <c r="B12" s="3" t="s">
        <v>9</v>
      </c>
      <c r="C12" s="4" t="str">
        <f>hyperlink("https://terraria.gamepedia.com/Iron_Ore","Iron Ore")</f>
        <v>Iron Ore</v>
      </c>
    </row>
    <row r="13">
      <c r="A13" s="2">
        <v>12.0</v>
      </c>
      <c r="B13" s="3" t="s">
        <v>9</v>
      </c>
      <c r="C13" s="4" t="str">
        <f>hyperlink("https://terraria.gamepedia.com/Copper_Ore","Copper Ore")</f>
        <v>Copper Ore</v>
      </c>
    </row>
    <row r="14">
      <c r="A14" s="2">
        <v>13.0</v>
      </c>
      <c r="B14" s="3" t="s">
        <v>9</v>
      </c>
      <c r="C14" s="4" t="str">
        <f>hyperlink("https://terraria.gamepedia.com/Gold_Ore","Gold Ore")</f>
        <v>Gold Ore</v>
      </c>
    </row>
    <row r="15">
      <c r="A15" s="2">
        <v>14.0</v>
      </c>
      <c r="B15" s="3" t="s">
        <v>9</v>
      </c>
      <c r="C15" s="4" t="str">
        <f>hyperlink("https://terraria.gamepedia.com/Silver_Ore","Silver Ore")</f>
        <v>Silver Ore</v>
      </c>
    </row>
    <row r="16">
      <c r="A16" s="2">
        <v>15.0</v>
      </c>
      <c r="B16" s="3" t="s">
        <v>10</v>
      </c>
      <c r="C16" s="4" t="str">
        <f>hyperlink("https://terraria.gamepedia.com/Copper_Watch","Copper Watch")</f>
        <v>Copper Watch</v>
      </c>
    </row>
    <row r="17">
      <c r="A17" s="2">
        <v>16.0</v>
      </c>
      <c r="B17" s="3" t="s">
        <v>10</v>
      </c>
      <c r="C17" s="4" t="str">
        <f>hyperlink("https://terraria.gamepedia.com/Silver_Watch","Silver Watch")</f>
        <v>Silver Watch</v>
      </c>
    </row>
    <row r="18">
      <c r="A18" s="2">
        <v>17.0</v>
      </c>
      <c r="B18" s="3" t="s">
        <v>10</v>
      </c>
      <c r="C18" s="4" t="str">
        <f>hyperlink("https://terraria.gamepedia.com/Gold_Watch","Gold Watch")</f>
        <v>Gold Watch</v>
      </c>
    </row>
    <row r="19">
      <c r="A19" s="2">
        <v>18.0</v>
      </c>
      <c r="B19" s="3" t="s">
        <v>10</v>
      </c>
      <c r="C19" s="4" t="str">
        <f>hyperlink("https://terraria.gamepedia.com/Depth_Meter","Depth Meter")</f>
        <v>Depth Meter</v>
      </c>
    </row>
    <row r="20">
      <c r="A20" s="2">
        <v>19.0</v>
      </c>
      <c r="B20" s="3" t="s">
        <v>9</v>
      </c>
      <c r="C20" s="4" t="str">
        <f>hyperlink("https://terraria.gamepedia.com/Gold_Bar","Gold Bar")</f>
        <v>Gold Bar</v>
      </c>
    </row>
    <row r="21">
      <c r="A21" s="2">
        <v>20.0</v>
      </c>
      <c r="B21" s="3" t="s">
        <v>9</v>
      </c>
      <c r="C21" s="4" t="str">
        <f>hyperlink("https://terraria.gamepedia.com/Copper_Bar","Copper Bar")</f>
        <v>Copper Bar</v>
      </c>
    </row>
    <row r="22">
      <c r="A22" s="2">
        <v>21.0</v>
      </c>
      <c r="B22" s="3" t="s">
        <v>9</v>
      </c>
      <c r="C22" s="4" t="str">
        <f>hyperlink("https://terraria.gamepedia.com/Silver_Bar","Silver Bar")</f>
        <v>Silver Bar</v>
      </c>
    </row>
    <row r="23">
      <c r="A23" s="2">
        <v>22.0</v>
      </c>
      <c r="B23" s="3" t="s">
        <v>9</v>
      </c>
      <c r="C23" s="4" t="str">
        <f>hyperlink("https://terraria.gamepedia.com/Iron_Bar","Iron Bar")</f>
        <v>Iron Bar</v>
      </c>
    </row>
    <row r="24">
      <c r="A24" s="2">
        <v>23.0</v>
      </c>
      <c r="B24" s="3" t="s">
        <v>11</v>
      </c>
      <c r="C24" s="4" t="str">
        <f>hyperlink("https://terraria.gamepedia.com/Gel","Gel")</f>
        <v>Gel</v>
      </c>
    </row>
    <row r="25">
      <c r="A25" s="2">
        <v>24.0</v>
      </c>
      <c r="B25" s="3" t="s">
        <v>5</v>
      </c>
      <c r="C25" s="4" t="str">
        <f>hyperlink("https://terraria.gamepedia.com/Wooden_Sword","Wooden Sword")</f>
        <v>Wooden Sword</v>
      </c>
    </row>
    <row r="26">
      <c r="A26" s="2">
        <v>25.0</v>
      </c>
      <c r="B26" s="3" t="s">
        <v>12</v>
      </c>
      <c r="C26" s="4" t="str">
        <f>hyperlink("https://terraria.gamepedia.com/Doors","Wooden Door")</f>
        <v>Wooden Door</v>
      </c>
    </row>
    <row r="27">
      <c r="A27" s="2">
        <v>26.0</v>
      </c>
      <c r="B27" s="3" t="s">
        <v>13</v>
      </c>
      <c r="C27" s="4" t="str">
        <f>hyperlink("https://terraria.gamepedia.com/Stone_Wall","Stone Wall")</f>
        <v>Stone Wall</v>
      </c>
    </row>
    <row r="28">
      <c r="A28" s="2">
        <v>27.0</v>
      </c>
      <c r="B28" s="3" t="s">
        <v>6</v>
      </c>
      <c r="C28" s="4" t="str">
        <f>hyperlink("https://terraria.gamepedia.com/Acorn","Acorn")</f>
        <v>Acorn</v>
      </c>
    </row>
    <row r="29">
      <c r="A29" s="2">
        <v>28.0</v>
      </c>
      <c r="B29" s="3" t="s">
        <v>14</v>
      </c>
      <c r="C29" s="4" t="str">
        <f>hyperlink("https://terraria.gamepedia.com/Lesser_Healing_Potion","Lesser Healing Potion")</f>
        <v>Lesser Healing Potion</v>
      </c>
    </row>
    <row r="30">
      <c r="A30" s="2">
        <v>29.0</v>
      </c>
      <c r="B30" s="3" t="s">
        <v>15</v>
      </c>
      <c r="C30" s="4" t="str">
        <f>hyperlink("https://terraria.gamepedia.com/Life_Crystal","Life Crystal")</f>
        <v>Life Crystal</v>
      </c>
    </row>
    <row r="31">
      <c r="A31" s="2">
        <v>30.0</v>
      </c>
      <c r="B31" s="3" t="s">
        <v>13</v>
      </c>
      <c r="C31" s="4" t="str">
        <f>hyperlink("https://terraria.gamepedia.com/Dirt_Wall","Dirt Wall")</f>
        <v>Dirt Wall</v>
      </c>
    </row>
    <row r="32">
      <c r="A32" s="2">
        <v>31.0</v>
      </c>
      <c r="B32" s="3" t="s">
        <v>11</v>
      </c>
      <c r="C32" s="4" t="str">
        <f>hyperlink("https://terraria.gamepedia.com/Bottle","Bottle")</f>
        <v>Bottle</v>
      </c>
    </row>
    <row r="33">
      <c r="A33" s="2">
        <v>32.0</v>
      </c>
      <c r="B33" s="3" t="s">
        <v>12</v>
      </c>
      <c r="C33" s="4" t="str">
        <f>hyperlink("https://terraria.gamepedia.com/Tables","Wooden Table")</f>
        <v>Wooden Table</v>
      </c>
    </row>
    <row r="34">
      <c r="A34" s="2">
        <v>33.0</v>
      </c>
      <c r="B34" s="3" t="s">
        <v>16</v>
      </c>
      <c r="C34" s="4" t="str">
        <f>hyperlink("https://terraria.gamepedia.com/Furnace","Furnace")</f>
        <v>Furnace</v>
      </c>
    </row>
    <row r="35">
      <c r="A35" s="2">
        <v>34.0</v>
      </c>
      <c r="B35" s="3" t="s">
        <v>12</v>
      </c>
      <c r="C35" s="4" t="str">
        <f>hyperlink("https://terraria.gamepedia.com/Chairs","Wooden Chair")</f>
        <v>Wooden Chair</v>
      </c>
    </row>
    <row r="36">
      <c r="A36" s="2">
        <v>35.0</v>
      </c>
      <c r="B36" s="3" t="s">
        <v>16</v>
      </c>
      <c r="C36" s="4" t="str">
        <f>hyperlink("https://terraria.gamepedia.com/Pre-Hardmode_Anvils","Iron Anvil")</f>
        <v>Iron Anvil</v>
      </c>
    </row>
    <row r="37">
      <c r="A37" s="2">
        <v>36.0</v>
      </c>
      <c r="B37" s="3" t="s">
        <v>12</v>
      </c>
      <c r="C37" s="4" t="str">
        <f>hyperlink("https://terraria.gamepedia.com/Work_Benches","Work Bench")</f>
        <v>Work Bench</v>
      </c>
    </row>
    <row r="38">
      <c r="A38" s="2">
        <v>37.0</v>
      </c>
      <c r="B38" s="3" t="s">
        <v>17</v>
      </c>
      <c r="C38" s="4" t="str">
        <f>hyperlink("https://terraria.gamepedia.com/Goggles","Goggles")</f>
        <v>Goggles</v>
      </c>
    </row>
    <row r="39">
      <c r="A39" s="2">
        <v>38.0</v>
      </c>
      <c r="B39" s="3" t="s">
        <v>11</v>
      </c>
      <c r="C39" s="4" t="str">
        <f>hyperlink("https://terraria.gamepedia.com/Lens","Lens")</f>
        <v>Lens</v>
      </c>
    </row>
    <row r="40">
      <c r="A40" s="2">
        <v>39.0</v>
      </c>
      <c r="B40" s="3" t="s">
        <v>5</v>
      </c>
      <c r="C40" s="4" t="str">
        <f>hyperlink("https://terraria.gamepedia.com/Wooden_Bow","Wooden Bow")</f>
        <v>Wooden Bow</v>
      </c>
    </row>
    <row r="41">
      <c r="A41" s="2">
        <v>40.0</v>
      </c>
      <c r="B41" s="3" t="s">
        <v>18</v>
      </c>
      <c r="C41" s="4" t="str">
        <f>hyperlink("https://terraria.gamepedia.com/Wooden_Arrow","Wooden Arrow")</f>
        <v>Wooden Arrow</v>
      </c>
    </row>
    <row r="42">
      <c r="A42" s="2">
        <v>41.0</v>
      </c>
      <c r="B42" s="3" t="s">
        <v>18</v>
      </c>
      <c r="C42" s="4" t="str">
        <f>hyperlink("https://terraria.gamepedia.com/Flaming_Arrow","Flaming Arrow")</f>
        <v>Flaming Arrow</v>
      </c>
    </row>
    <row r="43">
      <c r="A43" s="2">
        <v>42.0</v>
      </c>
      <c r="B43" s="3" t="s">
        <v>18</v>
      </c>
      <c r="C43" s="4" t="str">
        <f>hyperlink("https://terraria.gamepedia.com/Shuriken","Shuriken")</f>
        <v>Shuriken</v>
      </c>
    </row>
    <row r="44">
      <c r="A44" s="2">
        <v>43.0</v>
      </c>
      <c r="B44" s="3" t="s">
        <v>19</v>
      </c>
      <c r="C44" s="4" t="str">
        <f>hyperlink("https://terraria.gamepedia.com/Suspicious_Looking_Eye","Suspicious Looking Eye")</f>
        <v>Suspicious Looking Eye</v>
      </c>
    </row>
    <row r="45">
      <c r="A45" s="2">
        <v>44.0</v>
      </c>
      <c r="B45" s="3" t="s">
        <v>5</v>
      </c>
      <c r="C45" s="4" t="str">
        <f>hyperlink("https://terraria.gamepedia.com/Demon_Bow","Demon Bow")</f>
        <v>Demon Bow</v>
      </c>
    </row>
    <row r="46">
      <c r="A46" s="2">
        <v>45.0</v>
      </c>
      <c r="B46" s="3" t="s">
        <v>3</v>
      </c>
      <c r="C46" s="4" t="str">
        <f>hyperlink("https://terraria.gamepedia.com/War_Axe_of_the_Night","War Axe of the Night")</f>
        <v>War Axe of the Night</v>
      </c>
    </row>
    <row r="47">
      <c r="A47" s="2">
        <v>46.0</v>
      </c>
      <c r="B47" s="3" t="s">
        <v>5</v>
      </c>
      <c r="C47" s="4" t="str">
        <f>hyperlink("https://terraria.gamepedia.com/Light's_Bane","Light's Bane")</f>
        <v>Light's Bane</v>
      </c>
    </row>
    <row r="48">
      <c r="A48" s="2">
        <v>47.0</v>
      </c>
      <c r="B48" s="3" t="s">
        <v>18</v>
      </c>
      <c r="C48" s="4" t="str">
        <f>hyperlink("https://terraria.gamepedia.com/Unholy_Arrow","Unholy Arrow")</f>
        <v>Unholy Arrow</v>
      </c>
    </row>
    <row r="49">
      <c r="A49" s="2">
        <v>48.0</v>
      </c>
      <c r="B49" s="3" t="s">
        <v>20</v>
      </c>
      <c r="C49" s="4" t="str">
        <f>hyperlink("https://terraria.gamepedia.com/Chests","Chest")</f>
        <v>Chest</v>
      </c>
    </row>
    <row r="50">
      <c r="A50" s="2">
        <v>49.0</v>
      </c>
      <c r="B50" s="3" t="s">
        <v>10</v>
      </c>
      <c r="C50" s="4" t="str">
        <f>hyperlink("https://terraria.gamepedia.com/Band_of_Regeneration","Band of Regeneration")</f>
        <v>Band of Regeneration</v>
      </c>
    </row>
    <row r="51">
      <c r="A51" s="2">
        <v>50.0</v>
      </c>
      <c r="B51" s="3" t="s">
        <v>3</v>
      </c>
      <c r="C51" s="4" t="str">
        <f>hyperlink("https://terraria.gamepedia.com/Magic_Mirrors","Magic Mirror")</f>
        <v>Magic Mirror</v>
      </c>
    </row>
    <row r="52">
      <c r="A52" s="2">
        <v>51.0</v>
      </c>
      <c r="B52" s="3" t="s">
        <v>5</v>
      </c>
      <c r="C52" s="4" t="str">
        <f>hyperlink("https://terraria.gamepedia.com/Jester's_Arrow","Jester's Arrow")</f>
        <v>Jester's Arrow</v>
      </c>
    </row>
    <row r="53">
      <c r="A53" s="2">
        <v>52.0</v>
      </c>
      <c r="B53" s="3" t="s">
        <v>21</v>
      </c>
      <c r="C53" s="4" t="str">
        <f>hyperlink("https://terraria.gamepedia.com/Statues","Angel Statue")</f>
        <v>Angel Statue</v>
      </c>
    </row>
    <row r="54">
      <c r="A54" s="2">
        <v>53.0</v>
      </c>
      <c r="B54" s="3" t="s">
        <v>10</v>
      </c>
      <c r="C54" s="4" t="str">
        <f>hyperlink("https://terraria.gamepedia.com/Cloud_in_a_Bottle","Cloud in a Bottle")</f>
        <v>Cloud in a Bottle</v>
      </c>
    </row>
    <row r="55">
      <c r="A55" s="2">
        <v>54.0</v>
      </c>
      <c r="B55" s="3" t="s">
        <v>10</v>
      </c>
      <c r="C55" s="4" t="str">
        <f>hyperlink("https://terraria.gamepedia.com/Hermes_Boots","Hermes Boots")</f>
        <v>Hermes Boots</v>
      </c>
    </row>
    <row r="56">
      <c r="A56" s="2">
        <v>55.0</v>
      </c>
      <c r="B56" s="3" t="s">
        <v>5</v>
      </c>
      <c r="C56" s="4" t="str">
        <f>hyperlink("https://terraria.gamepedia.com/Enchanted_Boomerang","Enchanted Boomerang")</f>
        <v>Enchanted Boomerang</v>
      </c>
    </row>
    <row r="57">
      <c r="A57" s="2">
        <v>56.0</v>
      </c>
      <c r="B57" s="3" t="s">
        <v>9</v>
      </c>
      <c r="C57" s="4" t="str">
        <f>hyperlink("https://terraria.gamepedia.com/Demonite_Ore","Demonite Ore")</f>
        <v>Demonite Ore</v>
      </c>
    </row>
    <row r="58">
      <c r="A58" s="2">
        <v>57.0</v>
      </c>
      <c r="B58" s="3" t="s">
        <v>9</v>
      </c>
      <c r="C58" s="4" t="str">
        <f>hyperlink("https://terraria.gamepedia.com/Demonite_Bar","Demonite Bar")</f>
        <v>Demonite Bar</v>
      </c>
    </row>
    <row r="59">
      <c r="A59" s="2">
        <v>59.0</v>
      </c>
      <c r="B59" s="3" t="s">
        <v>6</v>
      </c>
      <c r="C59" s="4" t="str">
        <f>hyperlink("https://terraria.gamepedia.com/Corrupt_Seeds","Corrupt Seeds")</f>
        <v>Corrupt Seeds</v>
      </c>
    </row>
    <row r="60">
      <c r="A60" s="2">
        <v>60.0</v>
      </c>
      <c r="B60" s="3" t="s">
        <v>6</v>
      </c>
      <c r="C60" s="4" t="str">
        <f>hyperlink("https://terraria.gamepedia.com/Vile_Mushroom","Vile Mushroom")</f>
        <v>Vile Mushroom</v>
      </c>
    </row>
    <row r="61">
      <c r="A61" s="2">
        <v>61.0</v>
      </c>
      <c r="B61" s="3" t="s">
        <v>4</v>
      </c>
      <c r="C61" s="4" t="str">
        <f>hyperlink("https://terraria.gamepedia.com/Ebonstone_Block","Ebonstone Block")</f>
        <v>Ebonstone Block</v>
      </c>
    </row>
    <row r="62">
      <c r="A62" s="2">
        <v>62.0</v>
      </c>
      <c r="B62" s="3" t="s">
        <v>6</v>
      </c>
      <c r="C62" s="4" t="str">
        <f>hyperlink("https://terraria.gamepedia.com/Grass_Seeds","Grass Seeds")</f>
        <v>Grass Seeds</v>
      </c>
    </row>
    <row r="63">
      <c r="A63" s="2">
        <v>63.0</v>
      </c>
      <c r="B63" s="3" t="s">
        <v>6</v>
      </c>
      <c r="C63" s="4" t="str">
        <f>hyperlink("https://terraria.gamepedia.com/Sunflower","Sunflower")</f>
        <v>Sunflower</v>
      </c>
    </row>
    <row r="64">
      <c r="A64" s="2">
        <v>64.0</v>
      </c>
      <c r="B64" s="3" t="s">
        <v>5</v>
      </c>
      <c r="C64" s="4" t="str">
        <f>hyperlink("https://terraria.gamepedia.com/Vilethorn","Vilethorn")</f>
        <v>Vilethorn</v>
      </c>
    </row>
    <row r="65">
      <c r="A65" s="2">
        <v>65.0</v>
      </c>
      <c r="B65" s="3" t="s">
        <v>5</v>
      </c>
      <c r="C65" s="4" t="str">
        <f>hyperlink("https://terraria.gamepedia.com/Starfury","Starfury")</f>
        <v>Starfury</v>
      </c>
    </row>
    <row r="66">
      <c r="A66" s="2">
        <v>66.0</v>
      </c>
      <c r="B66" s="3" t="s">
        <v>15</v>
      </c>
      <c r="C66" s="4" t="str">
        <f>hyperlink("https://terraria.gamepedia.com/Thrown_Powder","Purification Powder")</f>
        <v>Purification Powder</v>
      </c>
    </row>
    <row r="67">
      <c r="A67" s="2">
        <v>67.0</v>
      </c>
      <c r="B67" s="3" t="s">
        <v>15</v>
      </c>
      <c r="C67" s="4" t="str">
        <f>hyperlink("https://terraria.gamepedia.com/Thrown_Powder","Vile Powder")</f>
        <v>Vile Powder</v>
      </c>
    </row>
    <row r="68">
      <c r="A68" s="2">
        <v>68.0</v>
      </c>
      <c r="B68" s="3" t="s">
        <v>11</v>
      </c>
      <c r="C68" s="4" t="str">
        <f>hyperlink("https://terraria.gamepedia.com/Rotten_Chunk","Rotten Chunk")</f>
        <v>Rotten Chunk</v>
      </c>
    </row>
    <row r="69">
      <c r="A69" s="2">
        <v>69.0</v>
      </c>
      <c r="B69" s="3" t="s">
        <v>11</v>
      </c>
      <c r="C69" s="4" t="str">
        <f>hyperlink("https://terraria.gamepedia.com/Worm_Tooth","Worm Tooth")</f>
        <v>Worm Tooth</v>
      </c>
    </row>
    <row r="70">
      <c r="A70" s="2">
        <v>70.0</v>
      </c>
      <c r="B70" s="3" t="s">
        <v>19</v>
      </c>
      <c r="C70" s="4" t="str">
        <f>hyperlink("https://terraria.gamepedia.com/Worm_Food","Worm Food")</f>
        <v>Worm Food</v>
      </c>
    </row>
    <row r="71">
      <c r="A71" s="2">
        <v>71.0</v>
      </c>
      <c r="B71" s="3" t="s">
        <v>15</v>
      </c>
      <c r="C71" s="4" t="str">
        <f>hyperlink("https://terraria.gamepedia.com/Coins","Copper Coin")</f>
        <v>Copper Coin</v>
      </c>
    </row>
    <row r="72">
      <c r="A72" s="2">
        <v>72.0</v>
      </c>
      <c r="B72" s="3" t="s">
        <v>15</v>
      </c>
      <c r="C72" s="4" t="str">
        <f>hyperlink("https://terraria.gamepedia.com/Coins","Silver Coin")</f>
        <v>Silver Coin</v>
      </c>
    </row>
    <row r="73">
      <c r="A73" s="2">
        <v>73.0</v>
      </c>
      <c r="B73" s="3" t="s">
        <v>15</v>
      </c>
      <c r="C73" s="4" t="str">
        <f>hyperlink("https://terraria.gamepedia.com/Coins","Gold Coin")</f>
        <v>Gold Coin</v>
      </c>
    </row>
    <row r="74">
      <c r="A74" s="2">
        <v>74.0</v>
      </c>
      <c r="B74" s="3" t="s">
        <v>15</v>
      </c>
      <c r="C74" s="4" t="str">
        <f>hyperlink("https://terraria.gamepedia.com/Coins","Platinum Coin")</f>
        <v>Platinum Coin</v>
      </c>
    </row>
    <row r="75">
      <c r="A75" s="2">
        <v>75.0</v>
      </c>
      <c r="B75" s="3" t="s">
        <v>15</v>
      </c>
      <c r="C75" s="4" t="str">
        <f>hyperlink("https://terraria.gamepedia.com/Fallen_Star","Fallen Star")</f>
        <v>Fallen Star</v>
      </c>
    </row>
    <row r="76">
      <c r="A76" s="2">
        <v>76.0</v>
      </c>
      <c r="B76" s="3" t="s">
        <v>17</v>
      </c>
      <c r="C76" s="4" t="str">
        <f>hyperlink("https://terraria.gamepedia.com/Copper_armor","Copper Greaves")</f>
        <v>Copper Greaves</v>
      </c>
    </row>
    <row r="77">
      <c r="A77" s="2">
        <v>77.0</v>
      </c>
      <c r="B77" s="3" t="s">
        <v>17</v>
      </c>
      <c r="C77" s="4" t="str">
        <f>hyperlink("https://terraria.gamepedia.com/Iron_armor","Iron Greaves")</f>
        <v>Iron Greaves</v>
      </c>
    </row>
    <row r="78">
      <c r="A78" s="2">
        <v>78.0</v>
      </c>
      <c r="B78" s="3" t="s">
        <v>17</v>
      </c>
      <c r="C78" s="4" t="str">
        <f>hyperlink("https://terraria.gamepedia.com/Silver_armor","Silver Greaves")</f>
        <v>Silver Greaves</v>
      </c>
    </row>
    <row r="79">
      <c r="A79" s="2">
        <v>79.0</v>
      </c>
      <c r="B79" s="3" t="s">
        <v>17</v>
      </c>
      <c r="C79" s="4" t="str">
        <f>hyperlink("https://terraria.gamepedia.com/Gold_armor","Gold Greaves")</f>
        <v>Gold Greaves</v>
      </c>
    </row>
    <row r="80">
      <c r="A80" s="2">
        <v>80.0</v>
      </c>
      <c r="B80" s="3" t="s">
        <v>17</v>
      </c>
      <c r="C80" s="4" t="str">
        <f>hyperlink("https://terraria.gamepedia.com/Copper_armor","Copper Chainmail")</f>
        <v>Copper Chainmail</v>
      </c>
    </row>
    <row r="81">
      <c r="A81" s="2">
        <v>81.0</v>
      </c>
      <c r="B81" s="3" t="s">
        <v>17</v>
      </c>
      <c r="C81" s="4" t="str">
        <f>hyperlink("https://terraria.gamepedia.com/Iron_armor","Iron Chainmail")</f>
        <v>Iron Chainmail</v>
      </c>
    </row>
    <row r="82">
      <c r="A82" s="2">
        <v>82.0</v>
      </c>
      <c r="B82" s="3" t="s">
        <v>17</v>
      </c>
      <c r="C82" s="4" t="str">
        <f>hyperlink("https://terraria.gamepedia.com/Silver_armor","Silver Chainmail")</f>
        <v>Silver Chainmail</v>
      </c>
    </row>
    <row r="83">
      <c r="A83" s="2">
        <v>83.0</v>
      </c>
      <c r="B83" s="3" t="s">
        <v>17</v>
      </c>
      <c r="C83" s="4" t="str">
        <f>hyperlink("https://terraria.gamepedia.com/Gold_armor","Gold Chainmail")</f>
        <v>Gold Chainmail</v>
      </c>
    </row>
    <row r="84">
      <c r="A84" s="2">
        <v>84.0</v>
      </c>
      <c r="B84" s="3" t="s">
        <v>3</v>
      </c>
      <c r="C84" s="4" t="str">
        <f>hyperlink("https://terraria.gamepedia.com/Hooks","Grappling Hook")</f>
        <v>Grappling Hook</v>
      </c>
    </row>
    <row r="85">
      <c r="A85" s="2">
        <v>85.0</v>
      </c>
      <c r="B85" s="3" t="s">
        <v>11</v>
      </c>
      <c r="C85" s="4" t="str">
        <f>hyperlink("https://terraria.gamepedia.com/Chain","Chain")</f>
        <v>Chain</v>
      </c>
    </row>
    <row r="86">
      <c r="A86" s="2">
        <v>86.0</v>
      </c>
      <c r="B86" s="3" t="s">
        <v>11</v>
      </c>
      <c r="C86" s="4" t="str">
        <f>hyperlink("https://terraria.gamepedia.com/Shadow_Scale","Shadow Scale")</f>
        <v>Shadow Scale</v>
      </c>
    </row>
    <row r="87">
      <c r="A87" s="2">
        <v>87.0</v>
      </c>
      <c r="B87" s="3" t="s">
        <v>15</v>
      </c>
      <c r="C87" s="4" t="str">
        <f>hyperlink("https://terraria.gamepedia.com/Piggy_Bank","Piggy Bank")</f>
        <v>Piggy Bank</v>
      </c>
    </row>
    <row r="88">
      <c r="A88" s="2">
        <v>88.0</v>
      </c>
      <c r="B88" s="3" t="s">
        <v>17</v>
      </c>
      <c r="C88" s="4" t="str">
        <f>hyperlink("https://terraria.gamepedia.com/Mining_armor","Mining Helmet")</f>
        <v>Mining Helmet</v>
      </c>
    </row>
    <row r="89">
      <c r="A89" s="2">
        <v>89.0</v>
      </c>
      <c r="B89" s="3" t="s">
        <v>17</v>
      </c>
      <c r="C89" s="4" t="str">
        <f>hyperlink("https://terraria.gamepedia.com/Copper_armor","Copper Helmet")</f>
        <v>Copper Helmet</v>
      </c>
    </row>
    <row r="90">
      <c r="A90" s="2">
        <v>90.0</v>
      </c>
      <c r="B90" s="3" t="s">
        <v>17</v>
      </c>
      <c r="C90" s="4" t="str">
        <f>hyperlink("https://terraria.gamepedia.com/Iron_armor","Iron Helmet")</f>
        <v>Iron Helmet</v>
      </c>
    </row>
    <row r="91">
      <c r="A91" s="2">
        <v>91.0</v>
      </c>
      <c r="B91" s="3" t="s">
        <v>17</v>
      </c>
      <c r="C91" s="4" t="str">
        <f>hyperlink("https://terraria.gamepedia.com/Silver_armor","Silver Helmet")</f>
        <v>Silver Helmet</v>
      </c>
    </row>
    <row r="92">
      <c r="A92" s="2">
        <v>92.0</v>
      </c>
      <c r="B92" s="3" t="s">
        <v>17</v>
      </c>
      <c r="C92" s="4" t="str">
        <f>hyperlink("https://terraria.gamepedia.com/Gold_armor","Gold Helmet")</f>
        <v>Gold Helmet</v>
      </c>
    </row>
    <row r="93">
      <c r="A93" s="2">
        <v>93.0</v>
      </c>
      <c r="B93" s="3" t="s">
        <v>13</v>
      </c>
      <c r="C93" s="4" t="str">
        <f>hyperlink("https://terraria.gamepedia.com/Wood_Wall","Wood Wall")</f>
        <v>Wood Wall</v>
      </c>
    </row>
    <row r="94">
      <c r="A94" s="2">
        <v>94.0</v>
      </c>
      <c r="B94" s="3" t="s">
        <v>8</v>
      </c>
      <c r="C94" s="4" t="str">
        <f>hyperlink("https://terraria.gamepedia.com/Platforms","Wood Platform")</f>
        <v>Wood Platform</v>
      </c>
    </row>
    <row r="95">
      <c r="A95" s="2">
        <v>95.0</v>
      </c>
      <c r="B95" s="3" t="s">
        <v>5</v>
      </c>
      <c r="C95" s="4" t="str">
        <f>hyperlink("https://terraria.gamepedia.com/Flintlock_Pistol","Flintlock Pistol")</f>
        <v>Flintlock Pistol</v>
      </c>
    </row>
    <row r="96">
      <c r="A96" s="2">
        <v>96.0</v>
      </c>
      <c r="B96" s="3" t="s">
        <v>5</v>
      </c>
      <c r="C96" s="4" t="str">
        <f>hyperlink("https://terraria.gamepedia.com/Musket","Musket")</f>
        <v>Musket</v>
      </c>
    </row>
    <row r="97">
      <c r="A97" s="2">
        <v>97.0</v>
      </c>
      <c r="B97" s="3" t="s">
        <v>18</v>
      </c>
      <c r="C97" s="4" t="str">
        <f>hyperlink("https://terraria.gamepedia.com/Musket_Ball","Musket Ball")</f>
        <v>Musket Ball</v>
      </c>
    </row>
    <row r="98">
      <c r="A98" s="2">
        <v>98.0</v>
      </c>
      <c r="B98" s="3" t="s">
        <v>5</v>
      </c>
      <c r="C98" s="4" t="str">
        <f>hyperlink("https://terraria.gamepedia.com/Minishark","Minishark")</f>
        <v>Minishark</v>
      </c>
    </row>
    <row r="99">
      <c r="A99" s="2">
        <v>99.0</v>
      </c>
      <c r="B99" s="3" t="s">
        <v>5</v>
      </c>
      <c r="C99" s="4" t="str">
        <f>hyperlink("https://terraria.gamepedia.com/Iron_Bow","Iron Bow")</f>
        <v>Iron Bow</v>
      </c>
    </row>
    <row r="100">
      <c r="A100" s="2">
        <v>100.0</v>
      </c>
      <c r="B100" s="3" t="s">
        <v>17</v>
      </c>
      <c r="C100" s="4" t="str">
        <f>hyperlink("https://terraria.gamepedia.com/Shadow_armor","Shadow Greaves")</f>
        <v>Shadow Greaves</v>
      </c>
    </row>
    <row r="101">
      <c r="A101" s="2">
        <v>101.0</v>
      </c>
      <c r="B101" s="3" t="s">
        <v>17</v>
      </c>
      <c r="C101" s="4" t="str">
        <f>hyperlink("https://terraria.gamepedia.com/Shadow_armor","Shadow Scalemail")</f>
        <v>Shadow Scalemail</v>
      </c>
    </row>
    <row r="102">
      <c r="A102" s="2">
        <v>102.0</v>
      </c>
      <c r="B102" s="3" t="s">
        <v>17</v>
      </c>
      <c r="C102" s="4" t="str">
        <f>hyperlink("https://terraria.gamepedia.com/Shadow_armor","Shadow Helmet")</f>
        <v>Shadow Helmet</v>
      </c>
    </row>
    <row r="103">
      <c r="A103" s="2">
        <v>103.0</v>
      </c>
      <c r="B103" s="3" t="s">
        <v>3</v>
      </c>
      <c r="C103" s="4" t="str">
        <f>hyperlink("https://terraria.gamepedia.com/Nightmare_Pickaxe","Nightmare Pickaxe")</f>
        <v>Nightmare Pickaxe</v>
      </c>
    </row>
    <row r="104">
      <c r="A104" s="2">
        <v>104.0</v>
      </c>
      <c r="B104" s="3" t="s">
        <v>5</v>
      </c>
      <c r="C104" s="4" t="str">
        <f>hyperlink("https://terraria.gamepedia.com/The_Breaker","The Breaker")</f>
        <v>The Breaker</v>
      </c>
    </row>
    <row r="105">
      <c r="A105" s="2">
        <v>105.0</v>
      </c>
      <c r="B105" s="3" t="s">
        <v>7</v>
      </c>
      <c r="C105" s="4" t="str">
        <f>hyperlink("https://terraria.gamepedia.com/Candles","Candle")</f>
        <v>Candle</v>
      </c>
    </row>
    <row r="106">
      <c r="A106" s="2">
        <v>106.0</v>
      </c>
      <c r="B106" s="3" t="s">
        <v>7</v>
      </c>
      <c r="C106" s="4" t="str">
        <f>hyperlink("https://terraria.gamepedia.com/Chandeliers","Copper Chandelier")</f>
        <v>Copper Chandelier</v>
      </c>
    </row>
    <row r="107">
      <c r="A107" s="2">
        <v>107.0</v>
      </c>
      <c r="B107" s="3" t="s">
        <v>7</v>
      </c>
      <c r="C107" s="4" t="str">
        <f>hyperlink("https://terraria.gamepedia.com/Chandeliers","Silver Chandelier")</f>
        <v>Silver Chandelier</v>
      </c>
    </row>
    <row r="108">
      <c r="A108" s="2">
        <v>108.0</v>
      </c>
      <c r="B108" s="3" t="s">
        <v>7</v>
      </c>
      <c r="C108" s="4" t="str">
        <f>hyperlink("https://terraria.gamepedia.com/Chandeliers","Gold Chandelier")</f>
        <v>Gold Chandelier</v>
      </c>
    </row>
    <row r="109">
      <c r="A109" s="2">
        <v>109.0</v>
      </c>
      <c r="B109" s="3" t="s">
        <v>15</v>
      </c>
      <c r="C109" s="4" t="str">
        <f>hyperlink("https://terraria.gamepedia.com/Mana_Crystal","Mana Crystal")</f>
        <v>Mana Crystal</v>
      </c>
    </row>
    <row r="110">
      <c r="A110" s="2">
        <v>110.0</v>
      </c>
      <c r="B110" s="3" t="s">
        <v>14</v>
      </c>
      <c r="C110" s="4" t="str">
        <f>hyperlink("https://terraria.gamepedia.com/Lesser_Mana_Potion","Lesser Mana Potion")</f>
        <v>Lesser Mana Potion</v>
      </c>
    </row>
    <row r="111">
      <c r="A111" s="2">
        <v>111.0</v>
      </c>
      <c r="B111" s="3" t="s">
        <v>10</v>
      </c>
      <c r="C111" s="4" t="str">
        <f>hyperlink("https://terraria.gamepedia.com/Band_of_Starpower","Band of Starpower")</f>
        <v>Band of Starpower</v>
      </c>
    </row>
    <row r="112">
      <c r="A112" s="2">
        <v>112.0</v>
      </c>
      <c r="B112" s="3" t="s">
        <v>5</v>
      </c>
      <c r="C112" s="4" t="str">
        <f>hyperlink("https://terraria.gamepedia.com/Flower_of_Fire","Flower of Fire")</f>
        <v>Flower of Fire</v>
      </c>
    </row>
    <row r="113">
      <c r="A113" s="2">
        <v>113.0</v>
      </c>
      <c r="B113" s="3" t="s">
        <v>5</v>
      </c>
      <c r="C113" s="4" t="str">
        <f>hyperlink("https://terraria.gamepedia.com/Magic_Missile","Magic Missile")</f>
        <v>Magic Missile</v>
      </c>
    </row>
    <row r="114">
      <c r="A114" s="2">
        <v>114.0</v>
      </c>
      <c r="B114" s="3" t="s">
        <v>3</v>
      </c>
      <c r="C114" s="4" t="str">
        <f>hyperlink("https://terraria.gamepedia.com/Dirt_Rod","Dirt Rod")</f>
        <v>Dirt Rod</v>
      </c>
    </row>
    <row r="115">
      <c r="A115" s="2">
        <v>115.0</v>
      </c>
      <c r="B115" s="3" t="s">
        <v>22</v>
      </c>
      <c r="C115" s="4" t="str">
        <f>hyperlink("https://terraria.gamepedia.com/Shadow_Orb_(item)","Shadow Orb")</f>
        <v>Shadow Orb</v>
      </c>
    </row>
    <row r="116">
      <c r="A116" s="2">
        <v>116.0</v>
      </c>
      <c r="B116" s="3" t="s">
        <v>9</v>
      </c>
      <c r="C116" s="4" t="str">
        <f>hyperlink("https://terraria.gamepedia.com/Meteorite","Meteorite")</f>
        <v>Meteorite</v>
      </c>
    </row>
    <row r="117">
      <c r="A117" s="2">
        <v>117.0</v>
      </c>
      <c r="B117" s="3" t="s">
        <v>9</v>
      </c>
      <c r="C117" s="4" t="str">
        <f>hyperlink("https://terraria.gamepedia.com/Meteorite_Bar","Meteorite Bar")</f>
        <v>Meteorite Bar</v>
      </c>
    </row>
    <row r="118">
      <c r="A118" s="2">
        <v>118.0</v>
      </c>
      <c r="B118" s="3" t="s">
        <v>11</v>
      </c>
      <c r="C118" s="4" t="str">
        <f>hyperlink("https://terraria.gamepedia.com/Hook","Hook")</f>
        <v>Hook</v>
      </c>
    </row>
    <row r="119">
      <c r="A119" s="2">
        <v>119.0</v>
      </c>
      <c r="B119" s="3" t="s">
        <v>5</v>
      </c>
      <c r="C119" s="4" t="str">
        <f>hyperlink("https://terraria.gamepedia.com/Flamarang","Flamarang")</f>
        <v>Flamarang</v>
      </c>
    </row>
    <row r="120">
      <c r="A120" s="2">
        <v>120.0</v>
      </c>
      <c r="B120" s="3" t="s">
        <v>5</v>
      </c>
      <c r="C120" s="4" t="str">
        <f>hyperlink("https://terraria.gamepedia.com/Molten_Fury","Molten Fury")</f>
        <v>Molten Fury</v>
      </c>
    </row>
    <row r="121">
      <c r="A121" s="2">
        <v>121.0</v>
      </c>
      <c r="B121" s="3" t="s">
        <v>5</v>
      </c>
      <c r="C121" s="4" t="str">
        <f>hyperlink("https://terraria.gamepedia.com/Fiery_Greatsword","Fiery Greatsword")</f>
        <v>Fiery Greatsword</v>
      </c>
    </row>
    <row r="122">
      <c r="A122" s="2">
        <v>122.0</v>
      </c>
      <c r="B122" s="3" t="s">
        <v>3</v>
      </c>
      <c r="C122" s="4" t="str">
        <f>hyperlink("https://terraria.gamepedia.com/Molten_Pickaxe","Molten Pickaxe")</f>
        <v>Molten Pickaxe</v>
      </c>
    </row>
    <row r="123">
      <c r="A123" s="2">
        <v>123.0</v>
      </c>
      <c r="B123" s="3" t="s">
        <v>17</v>
      </c>
      <c r="C123" s="4" t="str">
        <f>hyperlink("https://terraria.gamepedia.com/Meteor_armor","Meteor Helmet")</f>
        <v>Meteor Helmet</v>
      </c>
    </row>
    <row r="124">
      <c r="A124" s="2">
        <v>124.0</v>
      </c>
      <c r="B124" s="3" t="s">
        <v>17</v>
      </c>
      <c r="C124" s="4" t="str">
        <f>hyperlink("https://terraria.gamepedia.com/Meteor_armor","Meteor Suit")</f>
        <v>Meteor Suit</v>
      </c>
    </row>
    <row r="125">
      <c r="A125" s="2">
        <v>125.0</v>
      </c>
      <c r="B125" s="3" t="s">
        <v>17</v>
      </c>
      <c r="C125" s="4" t="str">
        <f>hyperlink("https://terraria.gamepedia.com/Meteor_armor","Meteor Leggings")</f>
        <v>Meteor Leggings</v>
      </c>
    </row>
    <row r="126">
      <c r="A126" s="2">
        <v>126.0</v>
      </c>
      <c r="B126" s="3" t="s">
        <v>11</v>
      </c>
      <c r="C126" s="4" t="str">
        <f>hyperlink("https://terraria.gamepedia.com/Bottled_Water","Bottled Water")</f>
        <v>Bottled Water</v>
      </c>
    </row>
    <row r="127">
      <c r="A127" s="2">
        <v>127.0</v>
      </c>
      <c r="B127" s="3" t="s">
        <v>5</v>
      </c>
      <c r="C127" s="4" t="str">
        <f>hyperlink("https://terraria.gamepedia.com/Space_Gun","Space Gun")</f>
        <v>Space Gun</v>
      </c>
    </row>
    <row r="128">
      <c r="A128" s="2">
        <v>128.0</v>
      </c>
      <c r="B128" s="3" t="s">
        <v>10</v>
      </c>
      <c r="C128" s="4" t="str">
        <f>hyperlink("https://terraria.gamepedia.com/Rocket_Boots","Rocket Boots")</f>
        <v>Rocket Boots</v>
      </c>
    </row>
    <row r="129">
      <c r="A129" s="2">
        <v>129.0</v>
      </c>
      <c r="B129" s="3" t="s">
        <v>4</v>
      </c>
      <c r="C129" s="4" t="str">
        <f>hyperlink("https://terraria.gamepedia.com/Gray_Brick","Gray Brick")</f>
        <v>Gray Brick</v>
      </c>
    </row>
    <row r="130">
      <c r="A130" s="2">
        <v>130.0</v>
      </c>
      <c r="B130" s="3" t="s">
        <v>13</v>
      </c>
      <c r="C130" s="4" t="str">
        <f>hyperlink("https://terraria.gamepedia.com/Gray_Brick_Wall","Gray Brick Wall")</f>
        <v>Gray Brick Wall</v>
      </c>
    </row>
    <row r="131">
      <c r="A131" s="2">
        <v>131.0</v>
      </c>
      <c r="B131" s="3" t="s">
        <v>4</v>
      </c>
      <c r="C131" s="4" t="str">
        <f>hyperlink("https://terraria.gamepedia.com/Red_Brick","Red Brick")</f>
        <v>Red Brick</v>
      </c>
    </row>
    <row r="132">
      <c r="A132" s="2">
        <v>132.0</v>
      </c>
      <c r="B132" s="3" t="s">
        <v>13</v>
      </c>
      <c r="C132" s="4" t="str">
        <f>hyperlink("https://terraria.gamepedia.com/Red_Brick_Wall","Red Brick Wall")</f>
        <v>Red Brick Wall</v>
      </c>
    </row>
    <row r="133">
      <c r="A133" s="2">
        <v>133.0</v>
      </c>
      <c r="B133" s="3" t="s">
        <v>4</v>
      </c>
      <c r="C133" s="4" t="str">
        <f>hyperlink("https://terraria.gamepedia.com/Clay_Block","Clay Block")</f>
        <v>Clay Block</v>
      </c>
    </row>
    <row r="134">
      <c r="A134" s="2">
        <v>134.0</v>
      </c>
      <c r="B134" s="3" t="s">
        <v>4</v>
      </c>
      <c r="C134" s="4" t="str">
        <f>hyperlink("https://terraria.gamepedia.com/Dungeon_Bricks","Blue Brick")</f>
        <v>Blue Brick</v>
      </c>
    </row>
    <row r="135">
      <c r="A135" s="2">
        <v>135.0</v>
      </c>
      <c r="B135" s="3" t="s">
        <v>13</v>
      </c>
      <c r="C135" s="4" t="str">
        <f>hyperlink("https://terraria.gamepedia.com/Dungeon_Brick_Walls","Blue Brick Wall")</f>
        <v>Blue Brick Wall</v>
      </c>
    </row>
    <row r="136">
      <c r="A136" s="2">
        <v>136.0</v>
      </c>
      <c r="B136" s="3" t="s">
        <v>7</v>
      </c>
      <c r="C136" s="4" t="str">
        <f>hyperlink("https://terraria.gamepedia.com/Lanterns","Chain Lantern")</f>
        <v>Chain Lantern</v>
      </c>
    </row>
    <row r="137">
      <c r="A137" s="2">
        <v>137.0</v>
      </c>
      <c r="B137" s="3" t="s">
        <v>4</v>
      </c>
      <c r="C137" s="4" t="str">
        <f>hyperlink("https://terraria.gamepedia.com/Dungeon_Bricks","Green Brick")</f>
        <v>Green Brick</v>
      </c>
    </row>
    <row r="138">
      <c r="A138" s="2">
        <v>138.0</v>
      </c>
      <c r="B138" s="3" t="s">
        <v>13</v>
      </c>
      <c r="C138" s="4" t="str">
        <f>hyperlink("https://terraria.gamepedia.com/Dungeon_Brick_Walls","Green Brick Wall")</f>
        <v>Green Brick Wall</v>
      </c>
    </row>
    <row r="139">
      <c r="A139" s="2">
        <v>139.0</v>
      </c>
      <c r="B139" s="3" t="s">
        <v>4</v>
      </c>
      <c r="C139" s="4" t="str">
        <f>hyperlink("https://terraria.gamepedia.com/Dungeon_Bricks","Pink Brick")</f>
        <v>Pink Brick</v>
      </c>
    </row>
    <row r="140">
      <c r="A140" s="2">
        <v>140.0</v>
      </c>
      <c r="B140" s="3" t="s">
        <v>13</v>
      </c>
      <c r="C140" s="4" t="str">
        <f>hyperlink("https://terraria.gamepedia.com/Dungeon_Brick_Walls","Pink Brick Wall")</f>
        <v>Pink Brick Wall</v>
      </c>
    </row>
    <row r="141">
      <c r="A141" s="2">
        <v>141.0</v>
      </c>
      <c r="B141" s="3" t="s">
        <v>4</v>
      </c>
      <c r="C141" s="4" t="str">
        <f>hyperlink("https://terraria.gamepedia.com/Gold_Brick","Gold Brick")</f>
        <v>Gold Brick</v>
      </c>
    </row>
    <row r="142">
      <c r="A142" s="2">
        <v>142.0</v>
      </c>
      <c r="B142" s="3" t="s">
        <v>13</v>
      </c>
      <c r="C142" s="4" t="str">
        <f>hyperlink("https://terraria.gamepedia.com/Gold_Brick_Wall","Gold Brick Wall")</f>
        <v>Gold Brick Wall</v>
      </c>
    </row>
    <row r="143">
      <c r="A143" s="2">
        <v>143.0</v>
      </c>
      <c r="B143" s="3" t="s">
        <v>4</v>
      </c>
      <c r="C143" s="4" t="str">
        <f>hyperlink("https://terraria.gamepedia.com/Silver_Brick","Silver Brick")</f>
        <v>Silver Brick</v>
      </c>
    </row>
    <row r="144">
      <c r="A144" s="2">
        <v>144.0</v>
      </c>
      <c r="B144" s="3" t="s">
        <v>13</v>
      </c>
      <c r="C144" s="4" t="str">
        <f>hyperlink("https://terraria.gamepedia.com/Silver_Brick_Wall","Silver Brick Wall")</f>
        <v>Silver Brick Wall</v>
      </c>
    </row>
    <row r="145">
      <c r="A145" s="2">
        <v>145.0</v>
      </c>
      <c r="B145" s="3" t="s">
        <v>4</v>
      </c>
      <c r="C145" s="4" t="str">
        <f>hyperlink("https://terraria.gamepedia.com/Copper_Brick","Copper Brick")</f>
        <v>Copper Brick</v>
      </c>
    </row>
    <row r="146">
      <c r="A146" s="2">
        <v>146.0</v>
      </c>
      <c r="B146" s="3" t="s">
        <v>13</v>
      </c>
      <c r="C146" s="4" t="str">
        <f>hyperlink("https://terraria.gamepedia.com/Copper_Brick_Wall","Copper Brick Wall")</f>
        <v>Copper Brick Wall</v>
      </c>
    </row>
    <row r="147">
      <c r="A147" s="2">
        <v>147.0</v>
      </c>
      <c r="B147" s="3" t="s">
        <v>4</v>
      </c>
      <c r="C147" s="4" t="str">
        <f>hyperlink("https://terraria.gamepedia.com/Spike","Spike")</f>
        <v>Spike</v>
      </c>
    </row>
    <row r="148">
      <c r="A148" s="2">
        <v>148.0</v>
      </c>
      <c r="B148" s="3" t="s">
        <v>7</v>
      </c>
      <c r="C148" s="4" t="str">
        <f>hyperlink("https://terraria.gamepedia.com/Water_Candle","Water Candle")</f>
        <v>Water Candle</v>
      </c>
    </row>
    <row r="149">
      <c r="A149" s="2">
        <v>149.0</v>
      </c>
      <c r="B149" s="3" t="s">
        <v>11</v>
      </c>
      <c r="C149" s="4" t="str">
        <f>hyperlink("https://terraria.gamepedia.com/Book","Book")</f>
        <v>Book</v>
      </c>
    </row>
    <row r="150">
      <c r="A150" s="2">
        <v>150.0</v>
      </c>
      <c r="B150" s="3" t="s">
        <v>15</v>
      </c>
      <c r="C150" s="4" t="str">
        <f>hyperlink("https://terraria.gamepedia.com/Cobweb","Cobweb")</f>
        <v>Cobweb</v>
      </c>
    </row>
    <row r="151">
      <c r="A151" s="2">
        <v>151.0</v>
      </c>
      <c r="B151" s="3" t="s">
        <v>17</v>
      </c>
      <c r="C151" s="4" t="str">
        <f>hyperlink("https://terraria.gamepedia.com/Necro_armor","Necro Helmet")</f>
        <v>Necro Helmet</v>
      </c>
    </row>
    <row r="152">
      <c r="A152" s="2">
        <v>152.0</v>
      </c>
      <c r="B152" s="3" t="s">
        <v>17</v>
      </c>
      <c r="C152" s="4" t="str">
        <f>hyperlink("https://terraria.gamepedia.com/Necro_armor","Necro Breastplate")</f>
        <v>Necro Breastplate</v>
      </c>
    </row>
    <row r="153">
      <c r="A153" s="2">
        <v>153.0</v>
      </c>
      <c r="B153" s="3" t="s">
        <v>17</v>
      </c>
      <c r="C153" s="4" t="str">
        <f>hyperlink("https://terraria.gamepedia.com/Necro_armor","Necro Greaves")</f>
        <v>Necro Greaves</v>
      </c>
    </row>
    <row r="154">
      <c r="A154" s="2">
        <v>154.0</v>
      </c>
      <c r="B154" s="3" t="s">
        <v>11</v>
      </c>
      <c r="C154" s="4" t="str">
        <f>hyperlink("https://terraria.gamepedia.com/Bone","Bone")</f>
        <v>Bone</v>
      </c>
    </row>
    <row r="155">
      <c r="A155" s="2">
        <v>155.0</v>
      </c>
      <c r="B155" s="3" t="s">
        <v>5</v>
      </c>
      <c r="C155" s="4" t="str">
        <f>hyperlink("https://terraria.gamepedia.com/Muramasa","Muramasa")</f>
        <v>Muramasa</v>
      </c>
    </row>
    <row r="156">
      <c r="A156" s="2">
        <v>156.0</v>
      </c>
      <c r="B156" s="3" t="s">
        <v>10</v>
      </c>
      <c r="C156" s="4" t="str">
        <f>hyperlink("https://terraria.gamepedia.com/Cobalt_Shield","Cobalt Shield")</f>
        <v>Cobalt Shield</v>
      </c>
    </row>
    <row r="157">
      <c r="A157" s="2">
        <v>157.0</v>
      </c>
      <c r="B157" s="3" t="s">
        <v>5</v>
      </c>
      <c r="C157" s="4" t="str">
        <f>hyperlink("https://terraria.gamepedia.com/Aqua_Scepter","Aqua Scepter")</f>
        <v>Aqua Scepter</v>
      </c>
    </row>
    <row r="158">
      <c r="A158" s="2">
        <v>158.0</v>
      </c>
      <c r="B158" s="3" t="s">
        <v>10</v>
      </c>
      <c r="C158" s="4" t="str">
        <f>hyperlink("https://terraria.gamepedia.com/Lucky_Horseshoe","Lucky Horseshoe")</f>
        <v>Lucky Horseshoe</v>
      </c>
    </row>
    <row r="159">
      <c r="A159" s="2">
        <v>159.0</v>
      </c>
      <c r="B159" s="3" t="s">
        <v>10</v>
      </c>
      <c r="C159" s="4" t="str">
        <f>hyperlink("https://terraria.gamepedia.com/Shiny_Red_Balloon","Shiny Red Balloon")</f>
        <v>Shiny Red Balloon</v>
      </c>
    </row>
    <row r="160">
      <c r="A160" s="2">
        <v>160.0</v>
      </c>
      <c r="B160" s="3" t="s">
        <v>5</v>
      </c>
      <c r="C160" s="4" t="str">
        <f>hyperlink("https://terraria.gamepedia.com/Harpoon","Harpoon")</f>
        <v>Harpoon</v>
      </c>
    </row>
    <row r="161">
      <c r="A161" s="2">
        <v>161.0</v>
      </c>
      <c r="B161" s="3" t="s">
        <v>18</v>
      </c>
      <c r="C161" s="4" t="str">
        <f>hyperlink("https://terraria.gamepedia.com/Spiky_Ball","Spiky Ball")</f>
        <v>Spiky Ball</v>
      </c>
    </row>
    <row r="162">
      <c r="A162" s="2">
        <v>162.0</v>
      </c>
      <c r="B162" s="3" t="s">
        <v>5</v>
      </c>
      <c r="C162" s="4" t="str">
        <f>hyperlink("https://terraria.gamepedia.com/Ball_O'_Hurt","Ball O' Hurt")</f>
        <v>Ball O' Hurt</v>
      </c>
    </row>
    <row r="163">
      <c r="A163" s="2">
        <v>163.0</v>
      </c>
      <c r="B163" s="3" t="s">
        <v>5</v>
      </c>
      <c r="C163" s="4" t="str">
        <f>hyperlink("https://terraria.gamepedia.com/Blue_Moon","Blue Moon")</f>
        <v>Blue Moon</v>
      </c>
    </row>
    <row r="164">
      <c r="A164" s="2">
        <v>164.0</v>
      </c>
      <c r="B164" s="3" t="s">
        <v>5</v>
      </c>
      <c r="C164" s="4" t="str">
        <f>hyperlink("https://terraria.gamepedia.com/Handgun","Handgun")</f>
        <v>Handgun</v>
      </c>
    </row>
    <row r="165">
      <c r="A165" s="2">
        <v>165.0</v>
      </c>
      <c r="B165" s="3" t="s">
        <v>5</v>
      </c>
      <c r="C165" s="4" t="str">
        <f>hyperlink("https://terraria.gamepedia.com/Water_Bolt","Water Bolt")</f>
        <v>Water Bolt</v>
      </c>
    </row>
    <row r="166">
      <c r="A166" s="2">
        <v>166.0</v>
      </c>
      <c r="B166" s="3" t="s">
        <v>18</v>
      </c>
      <c r="C166" s="4" t="str">
        <f>hyperlink("https://terraria.gamepedia.com/Bomb","Bomb")</f>
        <v>Bomb</v>
      </c>
    </row>
    <row r="167">
      <c r="A167" s="2">
        <v>167.0</v>
      </c>
      <c r="B167" s="3" t="s">
        <v>18</v>
      </c>
      <c r="C167" s="4" t="str">
        <f>hyperlink("https://terraria.gamepedia.com/Dynamite","Dynamite")</f>
        <v>Dynamite</v>
      </c>
    </row>
    <row r="168">
      <c r="A168" s="2">
        <v>168.0</v>
      </c>
      <c r="B168" s="3" t="s">
        <v>18</v>
      </c>
      <c r="C168" s="4" t="str">
        <f>hyperlink("https://terraria.gamepedia.com/Grenade","Grenade")</f>
        <v>Grenade</v>
      </c>
    </row>
    <row r="169">
      <c r="A169" s="2">
        <v>169.0</v>
      </c>
      <c r="B169" s="3" t="s">
        <v>4</v>
      </c>
      <c r="C169" s="4" t="str">
        <f>hyperlink("https://terraria.gamepedia.com/Sand_Blocks","Sand Block")</f>
        <v>Sand Block</v>
      </c>
    </row>
    <row r="170">
      <c r="A170" s="2">
        <v>170.0</v>
      </c>
      <c r="B170" s="3" t="s">
        <v>4</v>
      </c>
      <c r="C170" s="4" t="str">
        <f>hyperlink("https://terraria.gamepedia.com/Glass","Glass")</f>
        <v>Glass</v>
      </c>
    </row>
    <row r="171">
      <c r="A171" s="2">
        <v>171.0</v>
      </c>
      <c r="B171" s="3" t="s">
        <v>12</v>
      </c>
      <c r="C171" s="4" t="str">
        <f>hyperlink("https://terraria.gamepedia.com/Sign","Sign")</f>
        <v>Sign</v>
      </c>
    </row>
    <row r="172">
      <c r="A172" s="2">
        <v>172.0</v>
      </c>
      <c r="B172" s="3" t="s">
        <v>4</v>
      </c>
      <c r="C172" s="4" t="str">
        <f>hyperlink("https://terraria.gamepedia.com/Ash_Block","Ash Block")</f>
        <v>Ash Block</v>
      </c>
    </row>
    <row r="173">
      <c r="A173" s="2">
        <v>173.0</v>
      </c>
      <c r="B173" s="3" t="s">
        <v>9</v>
      </c>
      <c r="C173" s="4" t="str">
        <f>hyperlink("https://terraria.gamepedia.com/Obsidian","Obsidian")</f>
        <v>Obsidian</v>
      </c>
    </row>
    <row r="174">
      <c r="A174" s="2">
        <v>174.0</v>
      </c>
      <c r="B174" s="3" t="s">
        <v>9</v>
      </c>
      <c r="C174" s="4" t="str">
        <f>hyperlink("https://terraria.gamepedia.com/Hellstone","Hellstone")</f>
        <v>Hellstone</v>
      </c>
    </row>
    <row r="175">
      <c r="A175" s="2">
        <v>175.0</v>
      </c>
      <c r="B175" s="3" t="s">
        <v>9</v>
      </c>
      <c r="C175" s="4" t="str">
        <f>hyperlink("https://terraria.gamepedia.com/Hellstone_Bar","Hellstone Bar")</f>
        <v>Hellstone Bar</v>
      </c>
    </row>
    <row r="176">
      <c r="A176" s="2">
        <v>176.0</v>
      </c>
      <c r="B176" s="3" t="s">
        <v>4</v>
      </c>
      <c r="C176" s="4" t="str">
        <f>hyperlink("https://terraria.gamepedia.com/Mud_Block","Mud Block")</f>
        <v>Mud Block</v>
      </c>
    </row>
    <row r="177">
      <c r="A177" s="2">
        <v>177.0</v>
      </c>
      <c r="B177" s="3" t="s">
        <v>9</v>
      </c>
      <c r="C177" s="4" t="str">
        <f>hyperlink("https://terraria.gamepedia.com/Sapphire","Sapphire")</f>
        <v>Sapphire</v>
      </c>
    </row>
    <row r="178">
      <c r="A178" s="2">
        <v>178.0</v>
      </c>
      <c r="B178" s="3" t="s">
        <v>9</v>
      </c>
      <c r="C178" s="4" t="str">
        <f>hyperlink("https://terraria.gamepedia.com/Ruby","Ruby")</f>
        <v>Ruby</v>
      </c>
    </row>
    <row r="179">
      <c r="A179" s="2">
        <v>179.0</v>
      </c>
      <c r="B179" s="3" t="s">
        <v>9</v>
      </c>
      <c r="C179" s="4" t="str">
        <f>hyperlink("https://terraria.gamepedia.com/Emerald","Emerald")</f>
        <v>Emerald</v>
      </c>
    </row>
    <row r="180">
      <c r="A180" s="2">
        <v>180.0</v>
      </c>
      <c r="B180" s="3" t="s">
        <v>9</v>
      </c>
      <c r="C180" s="4" t="str">
        <f>hyperlink("https://terraria.gamepedia.com/Topaz","Topaz")</f>
        <v>Topaz</v>
      </c>
    </row>
    <row r="181">
      <c r="A181" s="2">
        <v>181.0</v>
      </c>
      <c r="B181" s="3" t="s">
        <v>9</v>
      </c>
      <c r="C181" s="4" t="str">
        <f>hyperlink("https://terraria.gamepedia.com/Amethyst","Amethyst")</f>
        <v>Amethyst</v>
      </c>
    </row>
    <row r="182">
      <c r="A182" s="2">
        <v>182.0</v>
      </c>
      <c r="B182" s="3" t="s">
        <v>9</v>
      </c>
      <c r="C182" s="4" t="str">
        <f>hyperlink("https://terraria.gamepedia.com/Diamond","Diamond")</f>
        <v>Diamond</v>
      </c>
    </row>
    <row r="183">
      <c r="A183" s="2">
        <v>183.0</v>
      </c>
      <c r="B183" s="3" t="s">
        <v>6</v>
      </c>
      <c r="C183" s="4" t="str">
        <f>hyperlink("https://terraria.gamepedia.com/Glowing_Mushroom","Glowing Mushroom")</f>
        <v>Glowing Mushroom</v>
      </c>
    </row>
    <row r="184">
      <c r="A184" s="2">
        <v>185.0</v>
      </c>
      <c r="B184" s="3" t="s">
        <v>3</v>
      </c>
      <c r="C184" s="4" t="str">
        <f>hyperlink("https://terraria.gamepedia.com/Hooks","Ivy Whip")</f>
        <v>Ivy Whip</v>
      </c>
    </row>
    <row r="185">
      <c r="A185" s="2">
        <v>186.0</v>
      </c>
      <c r="B185" s="3" t="s">
        <v>3</v>
      </c>
      <c r="C185" s="4" t="str">
        <f>hyperlink("https://terraria.gamepedia.com/Breathing_Reed","Breathing Reed")</f>
        <v>Breathing Reed</v>
      </c>
    </row>
    <row r="186">
      <c r="A186" s="2">
        <v>187.0</v>
      </c>
      <c r="B186" s="3" t="s">
        <v>10</v>
      </c>
      <c r="C186" s="4" t="str">
        <f>hyperlink("https://terraria.gamepedia.com/Flipper","Flipper")</f>
        <v>Flipper</v>
      </c>
    </row>
    <row r="187">
      <c r="A187" s="2">
        <v>188.0</v>
      </c>
      <c r="B187" s="3" t="s">
        <v>14</v>
      </c>
      <c r="C187" s="4" t="str">
        <f>hyperlink("https://terraria.gamepedia.com/Healing_Potion","Healing Potion")</f>
        <v>Healing Potion</v>
      </c>
    </row>
    <row r="188">
      <c r="A188" s="2">
        <v>189.0</v>
      </c>
      <c r="B188" s="3" t="s">
        <v>14</v>
      </c>
      <c r="C188" s="4" t="str">
        <f>hyperlink("https://terraria.gamepedia.com/Mana_Potion","Mana Potion")</f>
        <v>Mana Potion</v>
      </c>
    </row>
    <row r="189">
      <c r="A189" s="2">
        <v>190.0</v>
      </c>
      <c r="B189" s="3" t="s">
        <v>5</v>
      </c>
      <c r="C189" s="4" t="str">
        <f>hyperlink("https://terraria.gamepedia.com/Blade_of_Grass","Blade of Grass")</f>
        <v>Blade of Grass</v>
      </c>
    </row>
    <row r="190">
      <c r="A190" s="2">
        <v>191.0</v>
      </c>
      <c r="B190" s="3" t="s">
        <v>5</v>
      </c>
      <c r="C190" s="4" t="str">
        <f>hyperlink("https://terraria.gamepedia.com/Thorn_Chakram","Thorn Chakram")</f>
        <v>Thorn Chakram</v>
      </c>
    </row>
    <row r="191">
      <c r="A191" s="2">
        <v>192.0</v>
      </c>
      <c r="B191" s="3" t="s">
        <v>4</v>
      </c>
      <c r="C191" s="4" t="str">
        <f>hyperlink("https://terraria.gamepedia.com/Obsidian_Brick","Obsidian Brick")</f>
        <v>Obsidian Brick</v>
      </c>
    </row>
    <row r="192">
      <c r="A192" s="2">
        <v>193.0</v>
      </c>
      <c r="B192" s="3" t="s">
        <v>10</v>
      </c>
      <c r="C192" s="4" t="str">
        <f>hyperlink("https://terraria.gamepedia.com/Obsidian_Skull","Obsidian Skull")</f>
        <v>Obsidian Skull</v>
      </c>
    </row>
    <row r="193">
      <c r="A193" s="2">
        <v>194.0</v>
      </c>
      <c r="B193" s="3" t="s">
        <v>6</v>
      </c>
      <c r="C193" s="4" t="str">
        <f>hyperlink("https://terraria.gamepedia.com/Mushroom_Grass_Seeds","Mushroom Grass Seeds")</f>
        <v>Mushroom Grass Seeds</v>
      </c>
    </row>
    <row r="194">
      <c r="A194" s="2">
        <v>195.0</v>
      </c>
      <c r="B194" s="3" t="s">
        <v>6</v>
      </c>
      <c r="C194" s="4" t="str">
        <f>hyperlink("https://terraria.gamepedia.com/Jungle_Grass_Seeds","Jungle Grass Seeds")</f>
        <v>Jungle Grass Seeds</v>
      </c>
    </row>
    <row r="195">
      <c r="A195" s="2">
        <v>196.0</v>
      </c>
      <c r="B195" s="3" t="s">
        <v>3</v>
      </c>
      <c r="C195" s="4" t="str">
        <f>hyperlink("https://terraria.gamepedia.com/Wooden_Hammer","Wooden Hammer")</f>
        <v>Wooden Hammer</v>
      </c>
    </row>
    <row r="196">
      <c r="A196" s="2">
        <v>197.0</v>
      </c>
      <c r="B196" s="3" t="s">
        <v>5</v>
      </c>
      <c r="C196" s="4" t="str">
        <f>hyperlink("https://terraria.gamepedia.com/Star_Cannon","Star Cannon")</f>
        <v>Star Cannon</v>
      </c>
    </row>
    <row r="197">
      <c r="A197" s="2">
        <v>198.0</v>
      </c>
      <c r="B197" s="3" t="s">
        <v>5</v>
      </c>
      <c r="C197" s="4" t="str">
        <f>hyperlink("https://terraria.gamepedia.com/Phaseblades","Blue Phaseblade")</f>
        <v>Blue Phaseblade</v>
      </c>
    </row>
    <row r="198">
      <c r="A198" s="2">
        <v>199.0</v>
      </c>
      <c r="B198" s="3" t="s">
        <v>5</v>
      </c>
      <c r="C198" s="4" t="str">
        <f>hyperlink("https://terraria.gamepedia.com/Phaseblades","Red Phaseblade")</f>
        <v>Red Phaseblade</v>
      </c>
    </row>
    <row r="199">
      <c r="A199" s="2">
        <v>200.0</v>
      </c>
      <c r="B199" s="3" t="s">
        <v>5</v>
      </c>
      <c r="C199" s="4" t="str">
        <f>hyperlink("https://terraria.gamepedia.com/Phaseblades","Green Phaseblade")</f>
        <v>Green Phaseblade</v>
      </c>
    </row>
    <row r="200">
      <c r="A200" s="2">
        <v>201.0</v>
      </c>
      <c r="B200" s="3" t="s">
        <v>5</v>
      </c>
      <c r="C200" s="4" t="str">
        <f>hyperlink("https://terraria.gamepedia.com/Phaseblades","Purple Phaseblade")</f>
        <v>Purple Phaseblade</v>
      </c>
    </row>
    <row r="201">
      <c r="A201" s="2">
        <v>202.0</v>
      </c>
      <c r="B201" s="3" t="s">
        <v>5</v>
      </c>
      <c r="C201" s="4" t="str">
        <f>hyperlink("https://terraria.gamepedia.com/Phaseblades","White Phaseblade")</f>
        <v>White Phaseblade</v>
      </c>
    </row>
    <row r="202">
      <c r="A202" s="2">
        <v>203.0</v>
      </c>
      <c r="B202" s="3" t="s">
        <v>5</v>
      </c>
      <c r="C202" s="4" t="str">
        <f>hyperlink("https://terraria.gamepedia.com/Phaseblades","Yellow Phaseblade")</f>
        <v>Yellow Phaseblade</v>
      </c>
    </row>
    <row r="203">
      <c r="A203" s="2">
        <v>204.0</v>
      </c>
      <c r="B203" s="3" t="s">
        <v>3</v>
      </c>
      <c r="C203" s="4" t="str">
        <f>hyperlink("https://terraria.gamepedia.com/Meteor_Hamaxe","Meteor Hamaxe")</f>
        <v>Meteor Hamaxe</v>
      </c>
    </row>
    <row r="204">
      <c r="A204" s="2">
        <v>205.0</v>
      </c>
      <c r="B204" s="3" t="s">
        <v>3</v>
      </c>
      <c r="C204" s="4" t="str">
        <f>hyperlink("https://terraria.gamepedia.com/Buckets","Empty Bucket")</f>
        <v>Empty Bucket</v>
      </c>
    </row>
    <row r="205">
      <c r="A205" s="2">
        <v>206.0</v>
      </c>
      <c r="B205" s="3" t="s">
        <v>15</v>
      </c>
      <c r="C205" s="4" t="str">
        <f>hyperlink("https://terraria.gamepedia.com/Buckets","Water Bucket")</f>
        <v>Water Bucket</v>
      </c>
    </row>
    <row r="206">
      <c r="A206" s="2">
        <v>207.0</v>
      </c>
      <c r="B206" s="3" t="s">
        <v>11</v>
      </c>
      <c r="C206" s="4" t="str">
        <f>hyperlink("https://terraria.gamepedia.com/Buckets","Lava Bucket")</f>
        <v>Lava Bucket</v>
      </c>
    </row>
    <row r="207">
      <c r="A207" s="2">
        <v>208.0</v>
      </c>
      <c r="B207" s="3" t="s">
        <v>23</v>
      </c>
      <c r="C207" s="4" t="str">
        <f>hyperlink("https://terraria.gamepedia.com/Jungle_Rose","Jungle Rose")</f>
        <v>Jungle Rose</v>
      </c>
    </row>
    <row r="208">
      <c r="A208" s="2">
        <v>209.0</v>
      </c>
      <c r="B208" s="3" t="s">
        <v>11</v>
      </c>
      <c r="C208" s="4" t="str">
        <f>hyperlink("https://terraria.gamepedia.com/Stinger","Stinger")</f>
        <v>Stinger</v>
      </c>
    </row>
    <row r="209">
      <c r="A209" s="2">
        <v>210.0</v>
      </c>
      <c r="B209" s="3" t="s">
        <v>11</v>
      </c>
      <c r="C209" s="4" t="str">
        <f>hyperlink("https://terraria.gamepedia.com/Vine","Vine")</f>
        <v>Vine</v>
      </c>
    </row>
    <row r="210">
      <c r="A210" s="2">
        <v>211.0</v>
      </c>
      <c r="B210" s="3" t="s">
        <v>10</v>
      </c>
      <c r="C210" s="4" t="str">
        <f>hyperlink("https://terraria.gamepedia.com/Feral_Claws","Feral Claws")</f>
        <v>Feral Claws</v>
      </c>
    </row>
    <row r="211">
      <c r="A211" s="2">
        <v>212.0</v>
      </c>
      <c r="B211" s="3" t="s">
        <v>10</v>
      </c>
      <c r="C211" s="4" t="str">
        <f>hyperlink("https://terraria.gamepedia.com/Anklet_of_the_Wind","Anklet of the Wind")</f>
        <v>Anklet of the Wind</v>
      </c>
    </row>
    <row r="212">
      <c r="A212" s="2">
        <v>213.0</v>
      </c>
      <c r="B212" s="3" t="s">
        <v>5</v>
      </c>
      <c r="C212" s="4" t="str">
        <f>hyperlink("https://terraria.gamepedia.com/Staff_of_Regrowth","Staff of Regrowth")</f>
        <v>Staff of Regrowth</v>
      </c>
    </row>
    <row r="213">
      <c r="A213" s="2">
        <v>214.0</v>
      </c>
      <c r="B213" s="3" t="s">
        <v>4</v>
      </c>
      <c r="C213" s="4" t="str">
        <f>hyperlink("https://terraria.gamepedia.com/Hellstone_Brick","Hellstone Brick")</f>
        <v>Hellstone Brick</v>
      </c>
    </row>
    <row r="214">
      <c r="A214" s="2">
        <v>215.0</v>
      </c>
      <c r="B214" s="3" t="s">
        <v>15</v>
      </c>
      <c r="C214" s="4" t="str">
        <f>hyperlink("https://terraria.gamepedia.com/Whoopie_Cushion","Whoopie Cushion")</f>
        <v>Whoopie Cushion</v>
      </c>
    </row>
    <row r="215">
      <c r="A215" s="2">
        <v>216.0</v>
      </c>
      <c r="B215" s="3" t="s">
        <v>10</v>
      </c>
      <c r="C215" s="4" t="str">
        <f>hyperlink("https://terraria.gamepedia.com/Shackle","Shackle")</f>
        <v>Shackle</v>
      </c>
    </row>
    <row r="216">
      <c r="A216" s="2">
        <v>217.0</v>
      </c>
      <c r="B216" s="3" t="s">
        <v>3</v>
      </c>
      <c r="C216" s="4" t="str">
        <f>hyperlink("https://terraria.gamepedia.com/Molten_Hamaxe","Molten Hamaxe")</f>
        <v>Molten Hamaxe</v>
      </c>
    </row>
    <row r="217">
      <c r="A217" s="2">
        <v>218.0</v>
      </c>
      <c r="B217" s="3" t="s">
        <v>5</v>
      </c>
      <c r="C217" s="4" t="str">
        <f>hyperlink("https://terraria.gamepedia.com/Flamelash","Flamelash")</f>
        <v>Flamelash</v>
      </c>
    </row>
    <row r="218">
      <c r="A218" s="2">
        <v>219.0</v>
      </c>
      <c r="B218" s="3" t="s">
        <v>5</v>
      </c>
      <c r="C218" s="4" t="str">
        <f>hyperlink("https://terraria.gamepedia.com/Phoenix_Blaster","Phoenix Blaster")</f>
        <v>Phoenix Blaster</v>
      </c>
    </row>
    <row r="219">
      <c r="A219" s="2">
        <v>220.0</v>
      </c>
      <c r="B219" s="3" t="s">
        <v>5</v>
      </c>
      <c r="C219" s="4" t="str">
        <f>hyperlink("https://terraria.gamepedia.com/Sunfury","Sunfury")</f>
        <v>Sunfury</v>
      </c>
    </row>
    <row r="220">
      <c r="A220" s="2">
        <v>221.0</v>
      </c>
      <c r="B220" s="3" t="s">
        <v>16</v>
      </c>
      <c r="C220" s="4" t="str">
        <f>hyperlink("https://terraria.gamepedia.com/Hellforge","Hellforge")</f>
        <v>Hellforge</v>
      </c>
    </row>
    <row r="221">
      <c r="A221" s="2">
        <v>222.0</v>
      </c>
      <c r="B221" s="3" t="s">
        <v>12</v>
      </c>
      <c r="C221" s="4" t="str">
        <f>hyperlink("https://terraria.gamepedia.com/Clay_Pot","Clay Pot")</f>
        <v>Clay Pot</v>
      </c>
    </row>
    <row r="222">
      <c r="A222" s="2">
        <v>223.0</v>
      </c>
      <c r="B222" s="3" t="s">
        <v>10</v>
      </c>
      <c r="C222" s="4" t="str">
        <f>hyperlink("https://terraria.gamepedia.com/Nature's_Gift","Nature's Gift")</f>
        <v>Nature's Gift</v>
      </c>
    </row>
    <row r="223">
      <c r="A223" s="2">
        <v>224.0</v>
      </c>
      <c r="B223" s="3" t="s">
        <v>12</v>
      </c>
      <c r="C223" s="4" t="str">
        <f>hyperlink("https://terraria.gamepedia.com/Beds","Bed")</f>
        <v>Bed</v>
      </c>
    </row>
    <row r="224">
      <c r="A224" s="2">
        <v>225.0</v>
      </c>
      <c r="B224" s="3" t="s">
        <v>11</v>
      </c>
      <c r="C224" s="4" t="str">
        <f>hyperlink("https://terraria.gamepedia.com/Silk","Silk")</f>
        <v>Silk</v>
      </c>
    </row>
    <row r="225">
      <c r="A225" s="2">
        <v>226.0</v>
      </c>
      <c r="B225" s="3" t="s">
        <v>14</v>
      </c>
      <c r="C225" s="4" t="str">
        <f>hyperlink("https://terraria.gamepedia.com/Lesser_Restoration_Potion","Lesser Restoration Potion")</f>
        <v>Lesser Restoration Potion</v>
      </c>
    </row>
    <row r="226">
      <c r="A226" s="2">
        <v>227.0</v>
      </c>
      <c r="B226" s="3" t="s">
        <v>14</v>
      </c>
      <c r="C226" s="4" t="str">
        <f>hyperlink("https://terraria.gamepedia.com/Restoration_Potion","Restoration Potion")</f>
        <v>Restoration Potion</v>
      </c>
    </row>
    <row r="227">
      <c r="A227" s="2">
        <v>228.0</v>
      </c>
      <c r="B227" s="3" t="s">
        <v>17</v>
      </c>
      <c r="C227" s="4" t="str">
        <f>hyperlink("https://terraria.gamepedia.com/Jungle_armor","Jungle Hat")</f>
        <v>Jungle Hat</v>
      </c>
    </row>
    <row r="228">
      <c r="A228" s="2">
        <v>229.0</v>
      </c>
      <c r="B228" s="3" t="s">
        <v>17</v>
      </c>
      <c r="C228" s="4" t="str">
        <f>hyperlink("https://terraria.gamepedia.com/Jungle_armor","Jungle Shirt")</f>
        <v>Jungle Shirt</v>
      </c>
    </row>
    <row r="229">
      <c r="A229" s="2">
        <v>230.0</v>
      </c>
      <c r="B229" s="3" t="s">
        <v>17</v>
      </c>
      <c r="C229" s="4" t="str">
        <f>hyperlink("https://terraria.gamepedia.com/Jungle_armor","Jungle Pants")</f>
        <v>Jungle Pants</v>
      </c>
    </row>
    <row r="230">
      <c r="A230" s="2">
        <v>231.0</v>
      </c>
      <c r="B230" s="3" t="s">
        <v>17</v>
      </c>
      <c r="C230" s="4" t="str">
        <f>hyperlink("https://terraria.gamepedia.com/Molten_armor","Molten Helmet")</f>
        <v>Molten Helmet</v>
      </c>
    </row>
    <row r="231">
      <c r="A231" s="2">
        <v>232.0</v>
      </c>
      <c r="B231" s="3" t="s">
        <v>17</v>
      </c>
      <c r="C231" s="4" t="str">
        <f>hyperlink("https://terraria.gamepedia.com/Molten_armor","Molten Breastplate")</f>
        <v>Molten Breastplate</v>
      </c>
    </row>
    <row r="232">
      <c r="A232" s="2">
        <v>233.0</v>
      </c>
      <c r="B232" s="3" t="s">
        <v>17</v>
      </c>
      <c r="C232" s="4" t="str">
        <f>hyperlink("https://terraria.gamepedia.com/Molten_armor","Molten Greaves")</f>
        <v>Molten Greaves</v>
      </c>
    </row>
    <row r="233">
      <c r="A233" s="2">
        <v>234.0</v>
      </c>
      <c r="B233" s="3" t="s">
        <v>18</v>
      </c>
      <c r="C233" s="4" t="str">
        <f>hyperlink("https://terraria.gamepedia.com/Meteor_Shot","Meteor Shot")</f>
        <v>Meteor Shot</v>
      </c>
    </row>
    <row r="234">
      <c r="A234" s="2">
        <v>235.0</v>
      </c>
      <c r="B234" s="3" t="s">
        <v>18</v>
      </c>
      <c r="C234" s="4" t="str">
        <f>hyperlink("https://terraria.gamepedia.com/Sticky_Bomb","Sticky Bomb")</f>
        <v>Sticky Bomb</v>
      </c>
    </row>
    <row r="235">
      <c r="A235" s="2">
        <v>236.0</v>
      </c>
      <c r="B235" s="3" t="s">
        <v>11</v>
      </c>
      <c r="C235" s="4" t="str">
        <f>hyperlink("https://terraria.gamepedia.com/Black_Lens","Black Lens")</f>
        <v>Black Lens</v>
      </c>
    </row>
    <row r="236">
      <c r="A236" s="2">
        <v>237.0</v>
      </c>
      <c r="B236" s="3" t="s">
        <v>23</v>
      </c>
      <c r="C236" s="4" t="str">
        <f>hyperlink("https://terraria.gamepedia.com/Sunglasses","Sunglasses")</f>
        <v>Sunglasses</v>
      </c>
    </row>
    <row r="237">
      <c r="A237" s="2">
        <v>238.0</v>
      </c>
      <c r="B237" s="3" t="s">
        <v>23</v>
      </c>
      <c r="C237" s="4" t="str">
        <f>hyperlink("https://terraria.gamepedia.com/Wizard_Hat","Wizard Hat")</f>
        <v>Wizard Hat</v>
      </c>
    </row>
    <row r="238">
      <c r="A238" s="2">
        <v>239.0</v>
      </c>
      <c r="B238" s="3" t="s">
        <v>23</v>
      </c>
      <c r="C238" s="4" t="str">
        <f>hyperlink("https://terraria.gamepedia.com/Tuxedo_set","Top Hat")</f>
        <v>Top Hat</v>
      </c>
    </row>
    <row r="239">
      <c r="A239" s="2">
        <v>240.0</v>
      </c>
      <c r="B239" s="3" t="s">
        <v>23</v>
      </c>
      <c r="C239" s="4" t="str">
        <f>hyperlink("https://terraria.gamepedia.com/Tuxedo_set","Tuxedo Shirt")</f>
        <v>Tuxedo Shirt</v>
      </c>
    </row>
    <row r="240">
      <c r="A240" s="2">
        <v>241.0</v>
      </c>
      <c r="B240" s="3" t="s">
        <v>23</v>
      </c>
      <c r="C240" s="4" t="str">
        <f>hyperlink("https://terraria.gamepedia.com/Tuxedo_set","Tuxedo Pants")</f>
        <v>Tuxedo Pants</v>
      </c>
    </row>
    <row r="241">
      <c r="A241" s="2">
        <v>242.0</v>
      </c>
      <c r="B241" s="3" t="s">
        <v>23</v>
      </c>
      <c r="C241" s="4" t="str">
        <f>hyperlink("https://terraria.gamepedia.com/Summer_Hat","Summer Hat")</f>
        <v>Summer Hat</v>
      </c>
    </row>
    <row r="242">
      <c r="A242" s="2">
        <v>243.0</v>
      </c>
      <c r="B242" s="3" t="s">
        <v>23</v>
      </c>
      <c r="C242" s="4" t="str">
        <f>hyperlink("https://terraria.gamepedia.com/Bunny_Hood","Bunny Hood")</f>
        <v>Bunny Hood</v>
      </c>
    </row>
    <row r="243">
      <c r="A243" s="2">
        <v>244.0</v>
      </c>
      <c r="B243" s="3" t="s">
        <v>23</v>
      </c>
      <c r="C243" s="4" t="str">
        <f>hyperlink("https://terraria.gamepedia.com/Plumber's_set","Plumber's Hat")</f>
        <v>Plumber's Hat</v>
      </c>
    </row>
    <row r="244">
      <c r="A244" s="2">
        <v>245.0</v>
      </c>
      <c r="B244" s="3" t="s">
        <v>23</v>
      </c>
      <c r="C244" s="4" t="str">
        <f>hyperlink("https://terraria.gamepedia.com/Plumber's_set","Plumber's Shirt")</f>
        <v>Plumber's Shirt</v>
      </c>
    </row>
    <row r="245">
      <c r="A245" s="2">
        <v>246.0</v>
      </c>
      <c r="B245" s="3" t="s">
        <v>23</v>
      </c>
      <c r="C245" s="4" t="str">
        <f>hyperlink("https://terraria.gamepedia.com/Plumber's_set","Plumber's Pants")</f>
        <v>Plumber's Pants</v>
      </c>
    </row>
    <row r="246">
      <c r="A246" s="2">
        <v>247.0</v>
      </c>
      <c r="B246" s="3" t="s">
        <v>23</v>
      </c>
      <c r="C246" s="4" t="str">
        <f>hyperlink("https://terraria.gamepedia.com/Hero's_set","Hero's Hat")</f>
        <v>Hero's Hat</v>
      </c>
    </row>
    <row r="247">
      <c r="A247" s="2">
        <v>248.0</v>
      </c>
      <c r="B247" s="3" t="s">
        <v>23</v>
      </c>
      <c r="C247" s="4" t="str">
        <f>hyperlink("https://terraria.gamepedia.com/Hero's_set","Hero's Shirt")</f>
        <v>Hero's Shirt</v>
      </c>
    </row>
    <row r="248">
      <c r="A248" s="2">
        <v>249.0</v>
      </c>
      <c r="B248" s="3" t="s">
        <v>23</v>
      </c>
      <c r="C248" s="4" t="str">
        <f>hyperlink("https://terraria.gamepedia.com/Hero's_set","Hero's Pants")</f>
        <v>Hero's Pants</v>
      </c>
    </row>
    <row r="249">
      <c r="A249" s="2">
        <v>250.0</v>
      </c>
      <c r="B249" s="3" t="s">
        <v>24</v>
      </c>
      <c r="C249" s="4" t="str">
        <f>hyperlink("https://terraria.gamepedia.com/Fish_Bowls","Fish Bowl")</f>
        <v>Fish Bowl</v>
      </c>
    </row>
    <row r="250">
      <c r="A250" s="2">
        <v>251.0</v>
      </c>
      <c r="B250" s="3" t="s">
        <v>23</v>
      </c>
      <c r="C250" s="4" t="str">
        <f>hyperlink("https://terraria.gamepedia.com/Archaeologist's_set","Archaeologist's Hat")</f>
        <v>Archaeologist's Hat</v>
      </c>
    </row>
    <row r="251">
      <c r="A251" s="2">
        <v>252.0</v>
      </c>
      <c r="B251" s="3" t="s">
        <v>23</v>
      </c>
      <c r="C251" s="4" t="str">
        <f>hyperlink("https://terraria.gamepedia.com/Archaeologist's_set","Archaeologist's Jacket")</f>
        <v>Archaeologist's Jacket</v>
      </c>
    </row>
    <row r="252">
      <c r="A252" s="2">
        <v>253.0</v>
      </c>
      <c r="B252" s="3" t="s">
        <v>23</v>
      </c>
      <c r="C252" s="4" t="str">
        <f>hyperlink("https://terraria.gamepedia.com/Archaeologist's_set","Archaeologist's Pants")</f>
        <v>Archaeologist's Pants</v>
      </c>
    </row>
    <row r="253">
      <c r="A253" s="2">
        <v>254.0</v>
      </c>
      <c r="B253" s="3" t="s">
        <v>11</v>
      </c>
      <c r="C253" s="4" t="str">
        <f>hyperlink("https://terraria.gamepedia.com/Threads","Black Thread")</f>
        <v>Black Thread</v>
      </c>
    </row>
    <row r="254">
      <c r="A254" s="2">
        <v>255.0</v>
      </c>
      <c r="B254" s="3" t="s">
        <v>11</v>
      </c>
      <c r="C254" s="4" t="str">
        <f>hyperlink("https://terraria.gamepedia.com/Threads","Green Thread")</f>
        <v>Green Thread</v>
      </c>
    </row>
    <row r="255">
      <c r="A255" s="2">
        <v>256.0</v>
      </c>
      <c r="B255" s="3" t="s">
        <v>17</v>
      </c>
      <c r="C255" s="4" t="str">
        <f>hyperlink("https://terraria.gamepedia.com/Ninja_armor","Ninja Hood")</f>
        <v>Ninja Hood</v>
      </c>
    </row>
    <row r="256">
      <c r="A256" s="2">
        <v>257.0</v>
      </c>
      <c r="B256" s="3" t="s">
        <v>17</v>
      </c>
      <c r="C256" s="4" t="str">
        <f>hyperlink("https://terraria.gamepedia.com/Ninja_armor","Ninja Shirt")</f>
        <v>Ninja Shirt</v>
      </c>
    </row>
    <row r="257">
      <c r="A257" s="2">
        <v>258.0</v>
      </c>
      <c r="B257" s="3" t="s">
        <v>17</v>
      </c>
      <c r="C257" s="4" t="str">
        <f>hyperlink("https://terraria.gamepedia.com/Ninja_armor","Ninja Pants")</f>
        <v>Ninja Pants</v>
      </c>
    </row>
    <row r="258">
      <c r="A258" s="2">
        <v>259.0</v>
      </c>
      <c r="B258" s="3" t="s">
        <v>11</v>
      </c>
      <c r="C258" s="4" t="str">
        <f>hyperlink("https://terraria.gamepedia.com/Leather","Leather")</f>
        <v>Leather</v>
      </c>
    </row>
    <row r="259">
      <c r="A259" s="2">
        <v>260.0</v>
      </c>
      <c r="B259" s="3" t="s">
        <v>23</v>
      </c>
      <c r="C259" s="4" t="str">
        <f>hyperlink("https://terraria.gamepedia.com/Clothier's_set","Red Hat")</f>
        <v>Red Hat</v>
      </c>
    </row>
    <row r="260">
      <c r="A260" s="2">
        <v>261.0</v>
      </c>
      <c r="B260" s="3" t="s">
        <v>24</v>
      </c>
      <c r="C260" s="4" t="str">
        <f>hyperlink("https://terraria.gamepedia.com/Goldfish","Goldfish")</f>
        <v>Goldfish</v>
      </c>
    </row>
    <row r="261">
      <c r="A261" s="2">
        <v>262.0</v>
      </c>
      <c r="B261" s="3" t="s">
        <v>23</v>
      </c>
      <c r="C261" s="4" t="str">
        <f>hyperlink("https://terraria.gamepedia.com/Robe","Robe")</f>
        <v>Robe</v>
      </c>
    </row>
    <row r="262">
      <c r="A262" s="2">
        <v>263.0</v>
      </c>
      <c r="B262" s="3" t="s">
        <v>23</v>
      </c>
      <c r="C262" s="4" t="str">
        <f>hyperlink("https://terraria.gamepedia.com/Robot_Hat","Robot Hat")</f>
        <v>Robot Hat</v>
      </c>
    </row>
    <row r="263">
      <c r="A263" s="2">
        <v>264.0</v>
      </c>
      <c r="B263" s="3" t="s">
        <v>23</v>
      </c>
      <c r="C263" s="4" t="str">
        <f>hyperlink("https://terraria.gamepedia.com/Gold_Crown","Gold Crown")</f>
        <v>Gold Crown</v>
      </c>
    </row>
    <row r="264">
      <c r="A264" s="2">
        <v>265.0</v>
      </c>
      <c r="B264" s="3" t="s">
        <v>5</v>
      </c>
      <c r="C264" s="4" t="str">
        <f>hyperlink("https://terraria.gamepedia.com/Hellfire_Arrow","Hellfire Arrow")</f>
        <v>Hellfire Arrow</v>
      </c>
    </row>
    <row r="265">
      <c r="A265" s="2">
        <v>266.0</v>
      </c>
      <c r="B265" s="3" t="s">
        <v>5</v>
      </c>
      <c r="C265" s="4" t="str">
        <f>hyperlink("https://terraria.gamepedia.com/Sandgun","Sandgun")</f>
        <v>Sandgun</v>
      </c>
    </row>
    <row r="266">
      <c r="A266" s="2">
        <v>267.0</v>
      </c>
      <c r="B266" s="3" t="s">
        <v>19</v>
      </c>
      <c r="C266" s="4" t="str">
        <f>hyperlink("https://terraria.gamepedia.com/Guide_Voodoo_Doll","Guide Voodoo Doll")</f>
        <v>Guide Voodoo Doll</v>
      </c>
    </row>
    <row r="267">
      <c r="A267" s="2">
        <v>268.0</v>
      </c>
      <c r="B267" s="3" t="s">
        <v>17</v>
      </c>
      <c r="C267" s="4" t="str">
        <f>hyperlink("https://terraria.gamepedia.com/Diving_Helmet","Diving Helmet")</f>
        <v>Diving Helmet</v>
      </c>
    </row>
    <row r="268">
      <c r="A268" s="2">
        <v>269.0</v>
      </c>
      <c r="B268" s="3" t="s">
        <v>23</v>
      </c>
      <c r="C268" s="4" t="str">
        <f>hyperlink("https://terraria.gamepedia.com/Familiar_set","Familiar Shirt")</f>
        <v>Familiar Shirt</v>
      </c>
    </row>
    <row r="269">
      <c r="A269" s="2">
        <v>270.0</v>
      </c>
      <c r="B269" s="3" t="s">
        <v>23</v>
      </c>
      <c r="C269" s="4" t="str">
        <f>hyperlink("https://terraria.gamepedia.com/Familiar_set","Familiar Pants")</f>
        <v>Familiar Pants</v>
      </c>
    </row>
    <row r="270">
      <c r="A270" s="2">
        <v>271.0</v>
      </c>
      <c r="B270" s="3" t="s">
        <v>23</v>
      </c>
      <c r="C270" s="4" t="str">
        <f>hyperlink("https://terraria.gamepedia.com/Familiar_set","Familiar Wig")</f>
        <v>Familiar Wig</v>
      </c>
    </row>
    <row r="271">
      <c r="A271" s="2">
        <v>272.0</v>
      </c>
      <c r="B271" s="3" t="s">
        <v>5</v>
      </c>
      <c r="C271" s="4" t="str">
        <f>hyperlink("https://terraria.gamepedia.com/Demon_Scythe","Demon Scythe")</f>
        <v>Demon Scythe</v>
      </c>
    </row>
    <row r="272">
      <c r="A272" s="2">
        <v>273.0</v>
      </c>
      <c r="B272" s="3" t="s">
        <v>5</v>
      </c>
      <c r="C272" s="4" t="str">
        <f>hyperlink("https://terraria.gamepedia.com/Night's_Edge","Night's Edge")</f>
        <v>Night's Edge</v>
      </c>
    </row>
    <row r="273">
      <c r="A273" s="2">
        <v>274.0</v>
      </c>
      <c r="B273" s="3" t="s">
        <v>5</v>
      </c>
      <c r="C273" s="4" t="str">
        <f>hyperlink("https://terraria.gamepedia.com/Dark_Lance","Dark Lance")</f>
        <v>Dark Lance</v>
      </c>
    </row>
    <row r="274">
      <c r="A274" s="2">
        <v>275.0</v>
      </c>
      <c r="B274" s="3" t="s">
        <v>11</v>
      </c>
      <c r="C274" s="4" t="str">
        <f>hyperlink("https://terraria.gamepedia.com/Coral","Coral")</f>
        <v>Coral</v>
      </c>
    </row>
    <row r="275">
      <c r="A275" s="2">
        <v>276.0</v>
      </c>
      <c r="B275" s="3" t="s">
        <v>6</v>
      </c>
      <c r="C275" s="4" t="str">
        <f>hyperlink("https://terraria.gamepedia.com/Cactus","Cactus")</f>
        <v>Cactus</v>
      </c>
    </row>
    <row r="276">
      <c r="A276" s="2">
        <v>277.0</v>
      </c>
      <c r="B276" s="3" t="s">
        <v>5</v>
      </c>
      <c r="C276" s="4" t="str">
        <f>hyperlink("https://terraria.gamepedia.com/Trident","Trident")</f>
        <v>Trident</v>
      </c>
    </row>
    <row r="277">
      <c r="A277" s="2">
        <v>278.0</v>
      </c>
      <c r="B277" s="3" t="s">
        <v>18</v>
      </c>
      <c r="C277" s="4" t="str">
        <f>hyperlink("https://terraria.gamepedia.com/Silver_Bullet","Silver Bullet")</f>
        <v>Silver Bullet</v>
      </c>
    </row>
    <row r="278">
      <c r="A278" s="2">
        <v>279.0</v>
      </c>
      <c r="B278" s="3" t="s">
        <v>18</v>
      </c>
      <c r="C278" s="4" t="str">
        <f>hyperlink("https://terraria.gamepedia.com/Throwing_Knife","Throwing Knife")</f>
        <v>Throwing Knife</v>
      </c>
    </row>
    <row r="279">
      <c r="A279" s="2">
        <v>280.0</v>
      </c>
      <c r="B279" s="3" t="s">
        <v>5</v>
      </c>
      <c r="C279" s="4" t="str">
        <f>hyperlink("https://terraria.gamepedia.com/Spear","Spear")</f>
        <v>Spear</v>
      </c>
    </row>
    <row r="280">
      <c r="A280" s="2">
        <v>281.0</v>
      </c>
      <c r="B280" s="3" t="s">
        <v>5</v>
      </c>
      <c r="C280" s="4" t="str">
        <f>hyperlink("https://terraria.gamepedia.com/Blowpipe","Blowpipe")</f>
        <v>Blowpipe</v>
      </c>
    </row>
    <row r="281">
      <c r="A281" s="2">
        <v>282.0</v>
      </c>
      <c r="B281" s="3" t="s">
        <v>15</v>
      </c>
      <c r="C281" s="4" t="str">
        <f>hyperlink("https://terraria.gamepedia.com/Glowstick","Glowstick")</f>
        <v>Glowstick</v>
      </c>
    </row>
    <row r="282">
      <c r="A282" s="2">
        <v>283.0</v>
      </c>
      <c r="B282" s="3" t="s">
        <v>18</v>
      </c>
      <c r="C282" s="4" t="str">
        <f>hyperlink("https://terraria.gamepedia.com/Seed","Seed")</f>
        <v>Seed</v>
      </c>
    </row>
    <row r="283">
      <c r="A283" s="2">
        <v>284.0</v>
      </c>
      <c r="B283" s="3" t="s">
        <v>5</v>
      </c>
      <c r="C283" s="4" t="str">
        <f>hyperlink("https://terraria.gamepedia.com/Wooden_Boomerang","Wooden Boomerang")</f>
        <v>Wooden Boomerang</v>
      </c>
    </row>
    <row r="284">
      <c r="A284" s="2">
        <v>285.0</v>
      </c>
      <c r="B284" s="3" t="s">
        <v>10</v>
      </c>
      <c r="C284" s="4" t="str">
        <f>hyperlink("https://terraria.gamepedia.com/Aglet","Aglet")</f>
        <v>Aglet</v>
      </c>
    </row>
    <row r="285">
      <c r="A285" s="2">
        <v>286.0</v>
      </c>
      <c r="B285" s="3" t="s">
        <v>15</v>
      </c>
      <c r="C285" s="4" t="str">
        <f>hyperlink("https://terraria.gamepedia.com/Sticky_Glowstick","Sticky Glowstick")</f>
        <v>Sticky Glowstick</v>
      </c>
    </row>
    <row r="286">
      <c r="A286" s="2">
        <v>287.0</v>
      </c>
      <c r="B286" s="3" t="s">
        <v>18</v>
      </c>
      <c r="C286" s="4" t="str">
        <f>hyperlink("https://terraria.gamepedia.com/Poisoned_Knife","Poisoned Knife")</f>
        <v>Poisoned Knife</v>
      </c>
    </row>
    <row r="287">
      <c r="A287" s="2">
        <v>288.0</v>
      </c>
      <c r="B287" s="3" t="s">
        <v>14</v>
      </c>
      <c r="C287" s="4" t="str">
        <f>hyperlink("https://terraria.gamepedia.com/Obsidian_Skin_Potion","Obsidian Skin Potion")</f>
        <v>Obsidian Skin Potion</v>
      </c>
    </row>
    <row r="288">
      <c r="A288" s="2">
        <v>289.0</v>
      </c>
      <c r="B288" s="3" t="s">
        <v>14</v>
      </c>
      <c r="C288" s="4" t="str">
        <f>hyperlink("https://terraria.gamepedia.com/Regeneration_Potion","Regeneration Potion")</f>
        <v>Regeneration Potion</v>
      </c>
    </row>
    <row r="289">
      <c r="A289" s="2">
        <v>290.0</v>
      </c>
      <c r="B289" s="3" t="s">
        <v>14</v>
      </c>
      <c r="C289" s="4" t="str">
        <f>hyperlink("https://terraria.gamepedia.com/Swiftness_Potion","Swiftness Potion")</f>
        <v>Swiftness Potion</v>
      </c>
    </row>
    <row r="290">
      <c r="A290" s="2">
        <v>291.0</v>
      </c>
      <c r="B290" s="3" t="s">
        <v>14</v>
      </c>
      <c r="C290" s="4" t="str">
        <f>hyperlink("https://terraria.gamepedia.com/Gills_Potion","Gills Potion")</f>
        <v>Gills Potion</v>
      </c>
    </row>
    <row r="291">
      <c r="A291" s="2">
        <v>292.0</v>
      </c>
      <c r="B291" s="3" t="s">
        <v>14</v>
      </c>
      <c r="C291" s="4" t="str">
        <f>hyperlink("https://terraria.gamepedia.com/Ironskin_Potion","Ironskin Potion")</f>
        <v>Ironskin Potion</v>
      </c>
    </row>
    <row r="292">
      <c r="A292" s="2">
        <v>293.0</v>
      </c>
      <c r="B292" s="3" t="s">
        <v>14</v>
      </c>
      <c r="C292" s="4" t="str">
        <f>hyperlink("https://terraria.gamepedia.com/Mana_Regeneration_Potion","Mana Regeneration Potion")</f>
        <v>Mana Regeneration Potion</v>
      </c>
    </row>
    <row r="293">
      <c r="A293" s="2">
        <v>294.0</v>
      </c>
      <c r="B293" s="3" t="s">
        <v>14</v>
      </c>
      <c r="C293" s="4" t="str">
        <f>hyperlink("https://terraria.gamepedia.com/Magic_Power_Potion","Magic Power Potion")</f>
        <v>Magic Power Potion</v>
      </c>
    </row>
    <row r="294">
      <c r="A294" s="2">
        <v>295.0</v>
      </c>
      <c r="B294" s="3" t="s">
        <v>14</v>
      </c>
      <c r="C294" s="4" t="str">
        <f>hyperlink("https://terraria.gamepedia.com/Featherfall_Potion","Featherfall Potion")</f>
        <v>Featherfall Potion</v>
      </c>
    </row>
    <row r="295">
      <c r="A295" s="2">
        <v>296.0</v>
      </c>
      <c r="B295" s="3" t="s">
        <v>14</v>
      </c>
      <c r="C295" s="4" t="str">
        <f>hyperlink("https://terraria.gamepedia.com/Spelunker_Potion","Spelunker Potion")</f>
        <v>Spelunker Potion</v>
      </c>
    </row>
    <row r="296">
      <c r="A296" s="2">
        <v>297.0</v>
      </c>
      <c r="B296" s="3" t="s">
        <v>14</v>
      </c>
      <c r="C296" s="4" t="str">
        <f>hyperlink("https://terraria.gamepedia.com/Invisibility_Potion","Invisibility Potion")</f>
        <v>Invisibility Potion</v>
      </c>
    </row>
    <row r="297">
      <c r="A297" s="2">
        <v>298.0</v>
      </c>
      <c r="B297" s="3" t="s">
        <v>14</v>
      </c>
      <c r="C297" s="4" t="str">
        <f>hyperlink("https://terraria.gamepedia.com/Shine_Potion","Shine Potion")</f>
        <v>Shine Potion</v>
      </c>
    </row>
    <row r="298">
      <c r="A298" s="2">
        <v>299.0</v>
      </c>
      <c r="B298" s="3" t="s">
        <v>14</v>
      </c>
      <c r="C298" s="4" t="str">
        <f>hyperlink("https://terraria.gamepedia.com/Night_Owl_Potion","Night Owl Potion")</f>
        <v>Night Owl Potion</v>
      </c>
    </row>
    <row r="299">
      <c r="A299" s="2">
        <v>300.0</v>
      </c>
      <c r="B299" s="3" t="s">
        <v>14</v>
      </c>
      <c r="C299" s="4" t="str">
        <f>hyperlink("https://terraria.gamepedia.com/Battle_Potion","Battle Potion")</f>
        <v>Battle Potion</v>
      </c>
    </row>
    <row r="300">
      <c r="A300" s="2">
        <v>301.0</v>
      </c>
      <c r="B300" s="3" t="s">
        <v>14</v>
      </c>
      <c r="C300" s="4" t="str">
        <f>hyperlink("https://terraria.gamepedia.com/Thorns_Potion","Thorns Potion")</f>
        <v>Thorns Potion</v>
      </c>
    </row>
    <row r="301">
      <c r="A301" s="2">
        <v>302.0</v>
      </c>
      <c r="B301" s="3" t="s">
        <v>14</v>
      </c>
      <c r="C301" s="4" t="str">
        <f>hyperlink("https://terraria.gamepedia.com/Water_Walking_Potion","Water Walking Potion")</f>
        <v>Water Walking Potion</v>
      </c>
    </row>
    <row r="302">
      <c r="A302" s="2">
        <v>303.0</v>
      </c>
      <c r="B302" s="3" t="s">
        <v>14</v>
      </c>
      <c r="C302" s="4" t="str">
        <f>hyperlink("https://terraria.gamepedia.com/Archery_Potion","Archery Potion")</f>
        <v>Archery Potion</v>
      </c>
    </row>
    <row r="303">
      <c r="A303" s="2">
        <v>304.0</v>
      </c>
      <c r="B303" s="3" t="s">
        <v>14</v>
      </c>
      <c r="C303" s="4" t="str">
        <f>hyperlink("https://terraria.gamepedia.com/Hunter_Potion","Hunter Potion")</f>
        <v>Hunter Potion</v>
      </c>
    </row>
    <row r="304">
      <c r="A304" s="2">
        <v>305.0</v>
      </c>
      <c r="B304" s="3" t="s">
        <v>14</v>
      </c>
      <c r="C304" s="4" t="str">
        <f>hyperlink("https://terraria.gamepedia.com/Gravitation_Potion","Gravitation Potion")</f>
        <v>Gravitation Potion</v>
      </c>
    </row>
    <row r="305">
      <c r="A305" s="2">
        <v>306.0</v>
      </c>
      <c r="B305" s="3" t="s">
        <v>20</v>
      </c>
      <c r="C305" s="4" t="str">
        <f>hyperlink("https://terraria.gamepedia.com/Gold_Chest","Gold Chest")</f>
        <v>Gold Chest</v>
      </c>
    </row>
    <row r="306">
      <c r="A306" s="2">
        <v>307.0</v>
      </c>
      <c r="B306" s="3" t="s">
        <v>6</v>
      </c>
      <c r="C306" s="4" t="str">
        <f>hyperlink("https://terraria.gamepedia.com/Daybloom_Seeds","Daybloom Seeds")</f>
        <v>Daybloom Seeds</v>
      </c>
    </row>
    <row r="307">
      <c r="A307" s="2">
        <v>308.0</v>
      </c>
      <c r="B307" s="3" t="s">
        <v>6</v>
      </c>
      <c r="C307" s="4" t="str">
        <f>hyperlink("https://terraria.gamepedia.com/Moonglow_Seeds","Moonglow Seeds")</f>
        <v>Moonglow Seeds</v>
      </c>
    </row>
    <row r="308">
      <c r="A308" s="2">
        <v>309.0</v>
      </c>
      <c r="B308" s="3" t="s">
        <v>6</v>
      </c>
      <c r="C308" s="4" t="str">
        <f>hyperlink("https://terraria.gamepedia.com/Blinkroot_Seeds","Blinkroot Seeds")</f>
        <v>Blinkroot Seeds</v>
      </c>
    </row>
    <row r="309">
      <c r="A309" s="2">
        <v>310.0</v>
      </c>
      <c r="B309" s="3" t="s">
        <v>6</v>
      </c>
      <c r="C309" s="4" t="str">
        <f>hyperlink("https://terraria.gamepedia.com/Deathweed_Seeds","Deathweed Seeds")</f>
        <v>Deathweed Seeds</v>
      </c>
    </row>
    <row r="310">
      <c r="A310" s="2">
        <v>311.0</v>
      </c>
      <c r="B310" s="3" t="s">
        <v>6</v>
      </c>
      <c r="C310" s="4" t="str">
        <f>hyperlink("https://terraria.gamepedia.com/Waterleaf_Seeds","Waterleaf Seeds")</f>
        <v>Waterleaf Seeds</v>
      </c>
    </row>
    <row r="311">
      <c r="A311" s="2">
        <v>312.0</v>
      </c>
      <c r="B311" s="3" t="s">
        <v>6</v>
      </c>
      <c r="C311" s="4" t="str">
        <f>hyperlink("https://terraria.gamepedia.com/Fireblossom_Seeds","Fireblossom Seeds")</f>
        <v>Fireblossom Seeds</v>
      </c>
    </row>
    <row r="312">
      <c r="A312" s="2">
        <v>313.0</v>
      </c>
      <c r="B312" s="3" t="s">
        <v>6</v>
      </c>
      <c r="C312" s="4" t="str">
        <f>hyperlink("https://terraria.gamepedia.com/Daybloom","Daybloom")</f>
        <v>Daybloom</v>
      </c>
    </row>
    <row r="313">
      <c r="A313" s="2">
        <v>314.0</v>
      </c>
      <c r="B313" s="3" t="s">
        <v>6</v>
      </c>
      <c r="C313" s="4" t="str">
        <f>hyperlink("https://terraria.gamepedia.com/Moonglow","Moonglow")</f>
        <v>Moonglow</v>
      </c>
    </row>
    <row r="314">
      <c r="A314" s="2">
        <v>315.0</v>
      </c>
      <c r="B314" s="3" t="s">
        <v>6</v>
      </c>
      <c r="C314" s="4" t="str">
        <f>hyperlink("https://terraria.gamepedia.com/Blinkroot","Blinkroot")</f>
        <v>Blinkroot</v>
      </c>
    </row>
    <row r="315">
      <c r="A315" s="2">
        <v>316.0</v>
      </c>
      <c r="B315" s="3" t="s">
        <v>6</v>
      </c>
      <c r="C315" s="4" t="str">
        <f>hyperlink("https://terraria.gamepedia.com/Deathweed","Deathweed")</f>
        <v>Deathweed</v>
      </c>
    </row>
    <row r="316">
      <c r="A316" s="2">
        <v>317.0</v>
      </c>
      <c r="B316" s="3" t="s">
        <v>6</v>
      </c>
      <c r="C316" s="4" t="str">
        <f>hyperlink("https://terraria.gamepedia.com/Waterleaf","Waterleaf")</f>
        <v>Waterleaf</v>
      </c>
    </row>
    <row r="317">
      <c r="A317" s="2">
        <v>318.0</v>
      </c>
      <c r="B317" s="3" t="s">
        <v>6</v>
      </c>
      <c r="C317" s="4" t="str">
        <f>hyperlink("https://terraria.gamepedia.com/Fireblossom","Fireblossom")</f>
        <v>Fireblossom</v>
      </c>
    </row>
    <row r="318">
      <c r="A318" s="2">
        <v>319.0</v>
      </c>
      <c r="B318" s="3" t="s">
        <v>11</v>
      </c>
      <c r="C318" s="4" t="str">
        <f>hyperlink("https://terraria.gamepedia.com/Shark_Fin","Shark Fin")</f>
        <v>Shark Fin</v>
      </c>
    </row>
    <row r="319">
      <c r="A319" s="2">
        <v>320.0</v>
      </c>
      <c r="B319" s="3" t="s">
        <v>11</v>
      </c>
      <c r="C319" s="4" t="str">
        <f>hyperlink("https://terraria.gamepedia.com/Feather","Feather")</f>
        <v>Feather</v>
      </c>
    </row>
    <row r="320">
      <c r="A320" s="2">
        <v>321.0</v>
      </c>
      <c r="B320" s="3" t="s">
        <v>12</v>
      </c>
      <c r="C320" s="4" t="str">
        <f>hyperlink("https://terraria.gamepedia.com/Tombstones","Tombstone")</f>
        <v>Tombstone</v>
      </c>
    </row>
    <row r="321">
      <c r="A321" s="2">
        <v>322.0</v>
      </c>
      <c r="B321" s="3" t="s">
        <v>23</v>
      </c>
      <c r="C321" s="4" t="str">
        <f>hyperlink("https://terraria.gamepedia.com/Mime_Mask","Mime Mask")</f>
        <v>Mime Mask</v>
      </c>
    </row>
    <row r="322">
      <c r="A322" s="2">
        <v>323.0</v>
      </c>
      <c r="B322" s="3" t="s">
        <v>11</v>
      </c>
      <c r="C322" s="4" t="str">
        <f>hyperlink("https://terraria.gamepedia.com/Antlion_Mandible","Antlion Mandible")</f>
        <v>Antlion Mandible</v>
      </c>
    </row>
    <row r="323">
      <c r="A323" s="2">
        <v>324.0</v>
      </c>
      <c r="B323" s="3" t="s">
        <v>11</v>
      </c>
      <c r="C323" s="4" t="str">
        <f>hyperlink("https://terraria.gamepedia.com/Illegal_Gun_Parts","Illegal Gun Parts")</f>
        <v>Illegal Gun Parts</v>
      </c>
    </row>
    <row r="324">
      <c r="A324" s="2">
        <v>325.0</v>
      </c>
      <c r="B324" s="3" t="s">
        <v>23</v>
      </c>
      <c r="C324" s="4" t="str">
        <f>hyperlink("https://terraria.gamepedia.com/The_Doctor's_set","The Doctor's Shirt")</f>
        <v>The Doctor's Shirt</v>
      </c>
    </row>
    <row r="325">
      <c r="A325" s="2">
        <v>326.0</v>
      </c>
      <c r="B325" s="3" t="s">
        <v>23</v>
      </c>
      <c r="C325" s="4" t="str">
        <f>hyperlink("https://terraria.gamepedia.com/The_Doctor's_set","The Doctor's Pants")</f>
        <v>The Doctor's Pants</v>
      </c>
    </row>
    <row r="326">
      <c r="A326" s="2">
        <v>327.0</v>
      </c>
      <c r="B326" s="3" t="s">
        <v>19</v>
      </c>
      <c r="C326" s="4" t="str">
        <f>hyperlink("https://terraria.gamepedia.com/Golden_Key","Golden Key")</f>
        <v>Golden Key</v>
      </c>
    </row>
    <row r="327">
      <c r="A327" s="2">
        <v>328.0</v>
      </c>
      <c r="B327" s="3" t="s">
        <v>20</v>
      </c>
      <c r="C327" s="4" t="str">
        <f>hyperlink("https://terraria.gamepedia.com/Shadow_Chest","Shadow Chest")</f>
        <v>Shadow Chest</v>
      </c>
    </row>
    <row r="328">
      <c r="A328" s="2">
        <v>329.0</v>
      </c>
      <c r="B328" s="3" t="s">
        <v>19</v>
      </c>
      <c r="C328" s="4" t="str">
        <f>hyperlink("https://terraria.gamepedia.com/Shadow_Key","Shadow Key")</f>
        <v>Shadow Key</v>
      </c>
    </row>
    <row r="329">
      <c r="A329" s="2">
        <v>330.0</v>
      </c>
      <c r="B329" s="3" t="s">
        <v>13</v>
      </c>
      <c r="C329" s="4" t="str">
        <f>hyperlink("https://terraria.gamepedia.com/Obsidian_Brick_Wall_(natural)","Obsidian Brick Wall")</f>
        <v>Obsidian Brick Wall</v>
      </c>
    </row>
    <row r="330">
      <c r="A330" s="2">
        <v>331.0</v>
      </c>
      <c r="B330" s="3" t="s">
        <v>11</v>
      </c>
      <c r="C330" s="4" t="str">
        <f>hyperlink("https://terraria.gamepedia.com/Jungle_Spores","Jungle Spores")</f>
        <v>Jungle Spores</v>
      </c>
    </row>
    <row r="331">
      <c r="A331" s="2">
        <v>332.0</v>
      </c>
      <c r="B331" s="3" t="s">
        <v>16</v>
      </c>
      <c r="C331" s="4" t="str">
        <f>hyperlink("https://terraria.gamepedia.com/Loom","Loom")</f>
        <v>Loom</v>
      </c>
    </row>
    <row r="332">
      <c r="A332" s="2">
        <v>333.0</v>
      </c>
      <c r="B332" s="3" t="s">
        <v>12</v>
      </c>
      <c r="C332" s="4" t="str">
        <f>hyperlink("https://terraria.gamepedia.com/Pianos","Piano")</f>
        <v>Piano</v>
      </c>
    </row>
    <row r="333">
      <c r="A333" s="2">
        <v>334.0</v>
      </c>
      <c r="B333" s="3" t="s">
        <v>12</v>
      </c>
      <c r="C333" s="4" t="str">
        <f>hyperlink("https://terraria.gamepedia.com/Dressers","Dresser")</f>
        <v>Dresser</v>
      </c>
    </row>
    <row r="334">
      <c r="A334" s="2">
        <v>335.0</v>
      </c>
      <c r="B334" s="3" t="s">
        <v>12</v>
      </c>
      <c r="C334" s="4" t="str">
        <f>hyperlink("https://terraria.gamepedia.com/Benches","Bench")</f>
        <v>Bench</v>
      </c>
    </row>
    <row r="335">
      <c r="A335" s="2">
        <v>336.0</v>
      </c>
      <c r="B335" s="3" t="s">
        <v>12</v>
      </c>
      <c r="C335" s="4" t="str">
        <f>hyperlink("https://terraria.gamepedia.com/Bathtubs","Bathtub")</f>
        <v>Bathtub</v>
      </c>
    </row>
    <row r="336">
      <c r="A336" s="2">
        <v>337.0</v>
      </c>
      <c r="B336" s="3" t="s">
        <v>25</v>
      </c>
      <c r="C336" s="4" t="str">
        <f>hyperlink("https://terraria.gamepedia.com/Banners_(decorative)","Red Banner")</f>
        <v>Red Banner</v>
      </c>
    </row>
    <row r="337">
      <c r="A337" s="2">
        <v>338.0</v>
      </c>
      <c r="B337" s="3" t="s">
        <v>25</v>
      </c>
      <c r="C337" s="4" t="str">
        <f>hyperlink("https://terraria.gamepedia.com/Banners_(decorative)","Green Banner")</f>
        <v>Green Banner</v>
      </c>
    </row>
    <row r="338">
      <c r="A338" s="2">
        <v>339.0</v>
      </c>
      <c r="B338" s="3" t="s">
        <v>25</v>
      </c>
      <c r="C338" s="4" t="str">
        <f>hyperlink("https://terraria.gamepedia.com/Banners_(decorative)","Blue Banner")</f>
        <v>Blue Banner</v>
      </c>
    </row>
    <row r="339">
      <c r="A339" s="2">
        <v>340.0</v>
      </c>
      <c r="B339" s="3" t="s">
        <v>25</v>
      </c>
      <c r="C339" s="4" t="str">
        <f>hyperlink("https://terraria.gamepedia.com/Banners_(decorative)","Yellow Banner")</f>
        <v>Yellow Banner</v>
      </c>
    </row>
    <row r="340">
      <c r="A340" s="2">
        <v>341.0</v>
      </c>
      <c r="B340" s="3" t="s">
        <v>7</v>
      </c>
      <c r="C340" s="4" t="str">
        <f>hyperlink("https://terraria.gamepedia.com/Lamp_Post","Lamp Post")</f>
        <v>Lamp Post</v>
      </c>
    </row>
    <row r="341">
      <c r="A341" s="2">
        <v>342.0</v>
      </c>
      <c r="B341" s="3" t="s">
        <v>7</v>
      </c>
      <c r="C341" s="4" t="str">
        <f>hyperlink("https://terraria.gamepedia.com/Tiki_Torch","Tiki Torch")</f>
        <v>Tiki Torch</v>
      </c>
    </row>
    <row r="342">
      <c r="A342" s="2">
        <v>343.0</v>
      </c>
      <c r="B342" s="3" t="s">
        <v>12</v>
      </c>
      <c r="C342" s="4" t="str">
        <f>hyperlink("https://terraria.gamepedia.com/Barrel","Barrel")</f>
        <v>Barrel</v>
      </c>
    </row>
    <row r="343">
      <c r="A343" s="2">
        <v>344.0</v>
      </c>
      <c r="B343" s="3" t="s">
        <v>7</v>
      </c>
      <c r="C343" s="4" t="str">
        <f>hyperlink("https://terraria.gamepedia.com/Lanterns","Chinese Lantern")</f>
        <v>Chinese Lantern</v>
      </c>
    </row>
    <row r="344">
      <c r="A344" s="2">
        <v>345.0</v>
      </c>
      <c r="B344" s="3" t="s">
        <v>16</v>
      </c>
      <c r="C344" s="4" t="str">
        <f>hyperlink("https://terraria.gamepedia.com/Cooking_Pots","Cooking Pot")</f>
        <v>Cooking Pot</v>
      </c>
    </row>
    <row r="345">
      <c r="A345" s="2">
        <v>346.0</v>
      </c>
      <c r="B345" s="3" t="s">
        <v>15</v>
      </c>
      <c r="C345" s="4" t="str">
        <f>hyperlink("https://terraria.gamepedia.com/Safe","Safe")</f>
        <v>Safe</v>
      </c>
    </row>
    <row r="346">
      <c r="A346" s="2">
        <v>347.0</v>
      </c>
      <c r="B346" s="3" t="s">
        <v>7</v>
      </c>
      <c r="C346" s="4" t="str">
        <f>hyperlink("https://terraria.gamepedia.com/Skull_Lantern","Skull Lantern")</f>
        <v>Skull Lantern</v>
      </c>
    </row>
    <row r="347">
      <c r="A347" s="2">
        <v>348.0</v>
      </c>
      <c r="B347" s="3" t="s">
        <v>12</v>
      </c>
      <c r="C347" s="4" t="str">
        <f>hyperlink("https://terraria.gamepedia.com/Trash_Can","Trash Can")</f>
        <v>Trash Can</v>
      </c>
    </row>
    <row r="348">
      <c r="A348" s="2">
        <v>349.0</v>
      </c>
      <c r="B348" s="3" t="s">
        <v>7</v>
      </c>
      <c r="C348" s="4" t="str">
        <f>hyperlink("https://terraria.gamepedia.com/Candelabras","Candelabra")</f>
        <v>Candelabra</v>
      </c>
    </row>
    <row r="349">
      <c r="A349" s="2">
        <v>350.0</v>
      </c>
      <c r="B349" s="3" t="s">
        <v>12</v>
      </c>
      <c r="C349" s="4" t="str">
        <f>hyperlink("https://terraria.gamepedia.com/Pink_Vase","Pink Vase")</f>
        <v>Pink Vase</v>
      </c>
    </row>
    <row r="350">
      <c r="A350" s="2">
        <v>351.0</v>
      </c>
      <c r="B350" s="3" t="s">
        <v>12</v>
      </c>
      <c r="C350" s="4" t="str">
        <f>hyperlink("https://terraria.gamepedia.com/Mug","Mug")</f>
        <v>Mug</v>
      </c>
    </row>
    <row r="351">
      <c r="A351" s="2">
        <v>352.0</v>
      </c>
      <c r="B351" s="3" t="s">
        <v>16</v>
      </c>
      <c r="C351" s="4" t="str">
        <f>hyperlink("https://terraria.gamepedia.com/Keg","Keg")</f>
        <v>Keg</v>
      </c>
    </row>
    <row r="352">
      <c r="A352" s="2">
        <v>353.0</v>
      </c>
      <c r="B352" s="3" t="s">
        <v>26</v>
      </c>
      <c r="C352" s="4" t="str">
        <f>hyperlink("https://terraria.gamepedia.com/Ale","Ale")</f>
        <v>Ale</v>
      </c>
    </row>
    <row r="353">
      <c r="A353" s="2">
        <v>354.0</v>
      </c>
      <c r="B353" s="3" t="s">
        <v>12</v>
      </c>
      <c r="C353" s="4" t="str">
        <f>hyperlink("https://terraria.gamepedia.com/Bookcases","Bookcase")</f>
        <v>Bookcase</v>
      </c>
    </row>
    <row r="354">
      <c r="A354" s="2">
        <v>355.0</v>
      </c>
      <c r="B354" s="3" t="s">
        <v>12</v>
      </c>
      <c r="C354" s="4" t="str">
        <f>hyperlink("https://terraria.gamepedia.com/Throne","Throne")</f>
        <v>Throne</v>
      </c>
    </row>
    <row r="355">
      <c r="A355" s="2">
        <v>356.0</v>
      </c>
      <c r="B355" s="3" t="s">
        <v>12</v>
      </c>
      <c r="C355" s="4" t="str">
        <f>hyperlink("https://terraria.gamepedia.com/Bowls","Bowl")</f>
        <v>Bowl</v>
      </c>
    </row>
    <row r="356">
      <c r="A356" s="2">
        <v>357.0</v>
      </c>
      <c r="B356" s="3" t="s">
        <v>26</v>
      </c>
      <c r="C356" s="4" t="str">
        <f>hyperlink("https://terraria.gamepedia.com/Bowl_of_Soup","Bowl of Soup")</f>
        <v>Bowl of Soup</v>
      </c>
    </row>
    <row r="357">
      <c r="A357" s="2">
        <v>358.0</v>
      </c>
      <c r="B357" s="3" t="s">
        <v>12</v>
      </c>
      <c r="C357" s="4" t="str">
        <f>hyperlink("https://terraria.gamepedia.com/Toilets","Toilet")</f>
        <v>Toilet</v>
      </c>
    </row>
    <row r="358">
      <c r="A358" s="2">
        <v>359.0</v>
      </c>
      <c r="B358" s="3" t="s">
        <v>12</v>
      </c>
      <c r="C358" s="4" t="str">
        <f>hyperlink("https://terraria.gamepedia.com/Grandfather_Clocks","Grandfather Clock")</f>
        <v>Grandfather Clock</v>
      </c>
    </row>
    <row r="359">
      <c r="A359" s="2">
        <v>360.0</v>
      </c>
      <c r="B359" s="3" t="s">
        <v>21</v>
      </c>
      <c r="C359" s="4" t="str">
        <f>hyperlink("https://terraria.gamepedia.com/Statues","Armor Statue")</f>
        <v>Armor Statue</v>
      </c>
    </row>
    <row r="360">
      <c r="A360" s="2">
        <v>361.0</v>
      </c>
      <c r="B360" s="3" t="s">
        <v>19</v>
      </c>
      <c r="C360" s="4" t="str">
        <f>hyperlink("https://terraria.gamepedia.com/Goblin_Battle_Standard","Goblin Battle Standard")</f>
        <v>Goblin Battle Standard</v>
      </c>
    </row>
    <row r="361">
      <c r="A361" s="2">
        <v>362.0</v>
      </c>
      <c r="B361" s="3" t="s">
        <v>11</v>
      </c>
      <c r="C361" s="4" t="str">
        <f>hyperlink("https://terraria.gamepedia.com/Tattered_Cloth","Tattered Cloth")</f>
        <v>Tattered Cloth</v>
      </c>
    </row>
    <row r="362">
      <c r="A362" s="2">
        <v>363.0</v>
      </c>
      <c r="B362" s="3" t="s">
        <v>16</v>
      </c>
      <c r="C362" s="4" t="str">
        <f>hyperlink("https://terraria.gamepedia.com/Sawmill","Sawmill")</f>
        <v>Sawmill</v>
      </c>
    </row>
    <row r="363">
      <c r="A363" s="2">
        <v>364.0</v>
      </c>
      <c r="B363" s="3" t="s">
        <v>9</v>
      </c>
      <c r="C363" s="4" t="str">
        <f>hyperlink("https://terraria.gamepedia.com/Cobalt_Ore","Cobalt Ore")</f>
        <v>Cobalt Ore</v>
      </c>
    </row>
    <row r="364">
      <c r="A364" s="2">
        <v>365.0</v>
      </c>
      <c r="B364" s="3" t="s">
        <v>9</v>
      </c>
      <c r="C364" s="4" t="str">
        <f>hyperlink("https://terraria.gamepedia.com/Mythril_Ore","Mythril Ore")</f>
        <v>Mythril Ore</v>
      </c>
    </row>
    <row r="365">
      <c r="A365" s="2">
        <v>366.0</v>
      </c>
      <c r="B365" s="3" t="s">
        <v>9</v>
      </c>
      <c r="C365" s="4" t="str">
        <f>hyperlink("https://terraria.gamepedia.com/Adamantite_Ore","Adamantite Ore")</f>
        <v>Adamantite Ore</v>
      </c>
    </row>
    <row r="366">
      <c r="A366" s="2">
        <v>367.0</v>
      </c>
      <c r="B366" s="3" t="s">
        <v>3</v>
      </c>
      <c r="C366" s="4" t="str">
        <f>hyperlink("https://terraria.gamepedia.com/Pwnhammer","Pwnhammer")</f>
        <v>Pwnhammer</v>
      </c>
    </row>
    <row r="367">
      <c r="A367" s="2">
        <v>368.0</v>
      </c>
      <c r="B367" s="3" t="s">
        <v>5</v>
      </c>
      <c r="C367" s="4" t="str">
        <f>hyperlink("https://terraria.gamepedia.com/Excalibur","Excalibur")</f>
        <v>Excalibur</v>
      </c>
    </row>
    <row r="368">
      <c r="A368" s="2">
        <v>369.0</v>
      </c>
      <c r="B368" s="3" t="s">
        <v>6</v>
      </c>
      <c r="C368" s="4" t="str">
        <f>hyperlink("https://terraria.gamepedia.com/Hallowed_Seeds","Hallowed Seeds")</f>
        <v>Hallowed Seeds</v>
      </c>
    </row>
    <row r="369">
      <c r="A369" s="2">
        <v>370.0</v>
      </c>
      <c r="B369" s="3" t="s">
        <v>4</v>
      </c>
      <c r="C369" s="4" t="str">
        <f>hyperlink("https://terraria.gamepedia.com/Sand_Blocks","Ebonsand Block")</f>
        <v>Ebonsand Block</v>
      </c>
    </row>
    <row r="370">
      <c r="A370" s="2">
        <v>371.0</v>
      </c>
      <c r="B370" s="3" t="s">
        <v>17</v>
      </c>
      <c r="C370" s="4" t="str">
        <f>hyperlink("https://terraria.gamepedia.com/Cobalt_armor","Cobalt Hat")</f>
        <v>Cobalt Hat</v>
      </c>
    </row>
    <row r="371">
      <c r="A371" s="2">
        <v>372.0</v>
      </c>
      <c r="B371" s="3" t="s">
        <v>17</v>
      </c>
      <c r="C371" s="4" t="str">
        <f>hyperlink("https://terraria.gamepedia.com/Cobalt_armor","Cobalt Helmet")</f>
        <v>Cobalt Helmet</v>
      </c>
    </row>
    <row r="372">
      <c r="A372" s="2">
        <v>373.0</v>
      </c>
      <c r="B372" s="3" t="s">
        <v>17</v>
      </c>
      <c r="C372" s="4" t="str">
        <f>hyperlink("https://terraria.gamepedia.com/Cobalt_armor","Cobalt Mask")</f>
        <v>Cobalt Mask</v>
      </c>
    </row>
    <row r="373">
      <c r="A373" s="2">
        <v>374.0</v>
      </c>
      <c r="B373" s="3" t="s">
        <v>17</v>
      </c>
      <c r="C373" s="4" t="str">
        <f>hyperlink("https://terraria.gamepedia.com/Cobalt_armor","Cobalt Breastplate")</f>
        <v>Cobalt Breastplate</v>
      </c>
    </row>
    <row r="374">
      <c r="A374" s="2">
        <v>375.0</v>
      </c>
      <c r="B374" s="3" t="s">
        <v>17</v>
      </c>
      <c r="C374" s="4" t="str">
        <f>hyperlink("https://terraria.gamepedia.com/Cobalt_armor","Cobalt Leggings")</f>
        <v>Cobalt Leggings</v>
      </c>
    </row>
    <row r="375">
      <c r="A375" s="2">
        <v>376.0</v>
      </c>
      <c r="B375" s="3" t="s">
        <v>17</v>
      </c>
      <c r="C375" s="4" t="str">
        <f>hyperlink("https://terraria.gamepedia.com/Mythril_armor","Mythril Hood")</f>
        <v>Mythril Hood</v>
      </c>
    </row>
    <row r="376">
      <c r="A376" s="2">
        <v>377.0</v>
      </c>
      <c r="B376" s="3" t="s">
        <v>17</v>
      </c>
      <c r="C376" s="4" t="str">
        <f>hyperlink("https://terraria.gamepedia.com/Mythril_armor","Mythril Helmet")</f>
        <v>Mythril Helmet</v>
      </c>
    </row>
    <row r="377">
      <c r="A377" s="2">
        <v>378.0</v>
      </c>
      <c r="B377" s="3" t="s">
        <v>17</v>
      </c>
      <c r="C377" s="4" t="str">
        <f>hyperlink("https://terraria.gamepedia.com/Mythril_armor","Mythril Hat")</f>
        <v>Mythril Hat</v>
      </c>
    </row>
    <row r="378">
      <c r="A378" s="2">
        <v>379.0</v>
      </c>
      <c r="B378" s="3" t="s">
        <v>17</v>
      </c>
      <c r="C378" s="4" t="str">
        <f>hyperlink("https://terraria.gamepedia.com/Mythril_armor","Mythril Chainmail")</f>
        <v>Mythril Chainmail</v>
      </c>
    </row>
    <row r="379">
      <c r="A379" s="2">
        <v>380.0</v>
      </c>
      <c r="B379" s="3" t="s">
        <v>17</v>
      </c>
      <c r="C379" s="4" t="str">
        <f>hyperlink("https://terraria.gamepedia.com/Mythril_armor","Mythril Greaves")</f>
        <v>Mythril Greaves</v>
      </c>
    </row>
    <row r="380">
      <c r="A380" s="2">
        <v>381.0</v>
      </c>
      <c r="B380" s="3" t="s">
        <v>9</v>
      </c>
      <c r="C380" s="4" t="str">
        <f>hyperlink("https://terraria.gamepedia.com/Cobalt_Bar","Cobalt Bar")</f>
        <v>Cobalt Bar</v>
      </c>
    </row>
    <row r="381">
      <c r="A381" s="2">
        <v>382.0</v>
      </c>
      <c r="B381" s="3" t="s">
        <v>9</v>
      </c>
      <c r="C381" s="4" t="str">
        <f>hyperlink("https://terraria.gamepedia.com/Mythril_Bar","Mythril Bar")</f>
        <v>Mythril Bar</v>
      </c>
    </row>
    <row r="382">
      <c r="A382" s="2">
        <v>383.0</v>
      </c>
      <c r="B382" s="3" t="s">
        <v>3</v>
      </c>
      <c r="C382" s="4" t="str">
        <f>hyperlink("https://terraria.gamepedia.com/Cobalt_Chainsaw","Cobalt Chainsaw")</f>
        <v>Cobalt Chainsaw</v>
      </c>
    </row>
    <row r="383">
      <c r="A383" s="2">
        <v>384.0</v>
      </c>
      <c r="B383" s="3" t="s">
        <v>3</v>
      </c>
      <c r="C383" s="4" t="str">
        <f>hyperlink("https://terraria.gamepedia.com/Mythril_Chainsaw","Mythril Chainsaw")</f>
        <v>Mythril Chainsaw</v>
      </c>
    </row>
    <row r="384">
      <c r="A384" s="2">
        <v>385.0</v>
      </c>
      <c r="B384" s="3" t="s">
        <v>3</v>
      </c>
      <c r="C384" s="4" t="str">
        <f>hyperlink("https://terraria.gamepedia.com/Cobalt_Drill","Cobalt Drill")</f>
        <v>Cobalt Drill</v>
      </c>
    </row>
    <row r="385">
      <c r="A385" s="2">
        <v>386.0</v>
      </c>
      <c r="B385" s="3" t="s">
        <v>3</v>
      </c>
      <c r="C385" s="4" t="str">
        <f>hyperlink("https://terraria.gamepedia.com/Mythril_Drill","Mythril Drill")</f>
        <v>Mythril Drill</v>
      </c>
    </row>
    <row r="386">
      <c r="A386" s="2">
        <v>387.0</v>
      </c>
      <c r="B386" s="3" t="s">
        <v>3</v>
      </c>
      <c r="C386" s="4" t="str">
        <f>hyperlink("https://terraria.gamepedia.com/Adamantite_Chainsaw","Adamantite Chainsaw")</f>
        <v>Adamantite Chainsaw</v>
      </c>
    </row>
    <row r="387">
      <c r="A387" s="2">
        <v>388.0</v>
      </c>
      <c r="B387" s="3" t="s">
        <v>3</v>
      </c>
      <c r="C387" s="4" t="str">
        <f>hyperlink("https://terraria.gamepedia.com/Adamantite_Drill","Adamantite Drill")</f>
        <v>Adamantite Drill</v>
      </c>
    </row>
    <row r="388">
      <c r="A388" s="2">
        <v>389.0</v>
      </c>
      <c r="B388" s="3" t="s">
        <v>5</v>
      </c>
      <c r="C388" s="4" t="str">
        <f>hyperlink("https://terraria.gamepedia.com/Dao_of_Pow","Dao of Pow")</f>
        <v>Dao of Pow</v>
      </c>
    </row>
    <row r="389">
      <c r="A389" s="2">
        <v>390.0</v>
      </c>
      <c r="B389" s="3" t="s">
        <v>5</v>
      </c>
      <c r="C389" s="4" t="str">
        <f>hyperlink("https://terraria.gamepedia.com/Mythril_Halberd","Mythril Halberd")</f>
        <v>Mythril Halberd</v>
      </c>
    </row>
    <row r="390">
      <c r="A390" s="2">
        <v>391.0</v>
      </c>
      <c r="B390" s="3" t="s">
        <v>9</v>
      </c>
      <c r="C390" s="4" t="str">
        <f>hyperlink("https://terraria.gamepedia.com/Adamantite_Bar","Adamantite Bar")</f>
        <v>Adamantite Bar</v>
      </c>
    </row>
    <row r="391">
      <c r="A391" s="2">
        <v>392.0</v>
      </c>
      <c r="B391" s="3" t="s">
        <v>13</v>
      </c>
      <c r="C391" s="4" t="str">
        <f>hyperlink("https://terraria.gamepedia.com/Glass_Wall","Glass Wall")</f>
        <v>Glass Wall</v>
      </c>
    </row>
    <row r="392">
      <c r="A392" s="2">
        <v>393.0</v>
      </c>
      <c r="B392" s="3" t="s">
        <v>10</v>
      </c>
      <c r="C392" s="4" t="str">
        <f>hyperlink("https://terraria.gamepedia.com/Compass","Compass")</f>
        <v>Compass</v>
      </c>
    </row>
    <row r="393">
      <c r="A393" s="2">
        <v>394.0</v>
      </c>
      <c r="B393" s="3" t="s">
        <v>10</v>
      </c>
      <c r="C393" s="4" t="str">
        <f>hyperlink("https://terraria.gamepedia.com/Diving_Gear","Diving Gear")</f>
        <v>Diving Gear</v>
      </c>
    </row>
    <row r="394">
      <c r="A394" s="2">
        <v>395.0</v>
      </c>
      <c r="B394" s="3" t="s">
        <v>10</v>
      </c>
      <c r="C394" s="4" t="str">
        <f>hyperlink("https://terraria.gamepedia.com/GPS","GPS")</f>
        <v>GPS</v>
      </c>
    </row>
    <row r="395">
      <c r="A395" s="2">
        <v>396.0</v>
      </c>
      <c r="B395" s="3" t="s">
        <v>10</v>
      </c>
      <c r="C395" s="4" t="str">
        <f>hyperlink("https://terraria.gamepedia.com/Obsidian_Horseshoe","Obsidian Horseshoe")</f>
        <v>Obsidian Horseshoe</v>
      </c>
    </row>
    <row r="396">
      <c r="A396" s="2">
        <v>397.0</v>
      </c>
      <c r="B396" s="3" t="s">
        <v>10</v>
      </c>
      <c r="C396" s="4" t="str">
        <f>hyperlink("https://terraria.gamepedia.com/Obsidian_Shield","Obsidian Shield")</f>
        <v>Obsidian Shield</v>
      </c>
    </row>
    <row r="397">
      <c r="A397" s="2">
        <v>398.0</v>
      </c>
      <c r="B397" s="3" t="s">
        <v>16</v>
      </c>
      <c r="C397" s="4" t="str">
        <f>hyperlink("https://terraria.gamepedia.com/Tinkerer's_Workshop","Tinkerer's Workshop")</f>
        <v>Tinkerer's Workshop</v>
      </c>
    </row>
    <row r="398">
      <c r="A398" s="2">
        <v>399.0</v>
      </c>
      <c r="B398" s="3" t="s">
        <v>10</v>
      </c>
      <c r="C398" s="4" t="str">
        <f>hyperlink("https://terraria.gamepedia.com/Cloud_in_a_Balloon","Cloud in a Balloon")</f>
        <v>Cloud in a Balloon</v>
      </c>
    </row>
    <row r="399">
      <c r="A399" s="2">
        <v>400.0</v>
      </c>
      <c r="B399" s="3" t="s">
        <v>17</v>
      </c>
      <c r="C399" s="4" t="str">
        <f>hyperlink("https://terraria.gamepedia.com/Adamantite_armor","Adamantite Headgear")</f>
        <v>Adamantite Headgear</v>
      </c>
    </row>
    <row r="400">
      <c r="A400" s="2">
        <v>401.0</v>
      </c>
      <c r="B400" s="3" t="s">
        <v>17</v>
      </c>
      <c r="C400" s="4" t="str">
        <f>hyperlink("https://terraria.gamepedia.com/Adamantite_armor","Adamantite Helmet")</f>
        <v>Adamantite Helmet</v>
      </c>
    </row>
    <row r="401">
      <c r="A401" s="2">
        <v>402.0</v>
      </c>
      <c r="B401" s="3" t="s">
        <v>17</v>
      </c>
      <c r="C401" s="4" t="str">
        <f>hyperlink("https://terraria.gamepedia.com/Adamantite_armor","Adamantite Mask")</f>
        <v>Adamantite Mask</v>
      </c>
    </row>
    <row r="402">
      <c r="A402" s="2">
        <v>403.0</v>
      </c>
      <c r="B402" s="3" t="s">
        <v>17</v>
      </c>
      <c r="C402" s="4" t="str">
        <f>hyperlink("https://terraria.gamepedia.com/Adamantite_armor","Adamantite Breastplate")</f>
        <v>Adamantite Breastplate</v>
      </c>
    </row>
    <row r="403">
      <c r="A403" s="2">
        <v>404.0</v>
      </c>
      <c r="B403" s="3" t="s">
        <v>17</v>
      </c>
      <c r="C403" s="4" t="str">
        <f>hyperlink("https://terraria.gamepedia.com/Adamantite_armor","Adamantite Leggings")</f>
        <v>Adamantite Leggings</v>
      </c>
    </row>
    <row r="404">
      <c r="A404" s="2">
        <v>405.0</v>
      </c>
      <c r="B404" s="3" t="s">
        <v>10</v>
      </c>
      <c r="C404" s="4" t="str">
        <f>hyperlink("https://terraria.gamepedia.com/Spectre_Boots","Spectre Boots")</f>
        <v>Spectre Boots</v>
      </c>
    </row>
    <row r="405">
      <c r="A405" s="2">
        <v>406.0</v>
      </c>
      <c r="B405" s="3" t="s">
        <v>5</v>
      </c>
      <c r="C405" s="4" t="str">
        <f>hyperlink("https://terraria.gamepedia.com/Adamantite_Glaive","Adamantite Glaive")</f>
        <v>Adamantite Glaive</v>
      </c>
    </row>
    <row r="406">
      <c r="A406" s="2">
        <v>407.0</v>
      </c>
      <c r="B406" s="3" t="s">
        <v>10</v>
      </c>
      <c r="C406" s="4" t="str">
        <f>hyperlink("https://terraria.gamepedia.com/Toolbelt","Toolbelt")</f>
        <v>Toolbelt</v>
      </c>
    </row>
    <row r="407">
      <c r="A407" s="2">
        <v>408.0</v>
      </c>
      <c r="B407" s="3" t="s">
        <v>4</v>
      </c>
      <c r="C407" s="4" t="str">
        <f>hyperlink("https://terraria.gamepedia.com/Sand_Blocks","Pearlsand Block")</f>
        <v>Pearlsand Block</v>
      </c>
    </row>
    <row r="408">
      <c r="A408" s="2">
        <v>409.0</v>
      </c>
      <c r="B408" s="3" t="s">
        <v>4</v>
      </c>
      <c r="C408" s="4" t="str">
        <f>hyperlink("https://terraria.gamepedia.com/Pearlstone_Block","Pearlstone Block")</f>
        <v>Pearlstone Block</v>
      </c>
    </row>
    <row r="409">
      <c r="A409" s="2">
        <v>410.0</v>
      </c>
      <c r="B409" s="3" t="s">
        <v>17</v>
      </c>
      <c r="C409" s="4" t="str">
        <f>hyperlink("https://terraria.gamepedia.com/Mining_armor","Mining Shirt")</f>
        <v>Mining Shirt</v>
      </c>
    </row>
    <row r="410">
      <c r="A410" s="2">
        <v>411.0</v>
      </c>
      <c r="B410" s="3" t="s">
        <v>17</v>
      </c>
      <c r="C410" s="4" t="str">
        <f>hyperlink("https://terraria.gamepedia.com/Mining_armor","Mining Pants")</f>
        <v>Mining Pants</v>
      </c>
    </row>
    <row r="411">
      <c r="A411" s="2">
        <v>412.0</v>
      </c>
      <c r="B411" s="3" t="s">
        <v>4</v>
      </c>
      <c r="C411" s="4" t="str">
        <f>hyperlink("https://terraria.gamepedia.com/Pearlstone_Brick","Pearlstone Brick")</f>
        <v>Pearlstone Brick</v>
      </c>
    </row>
    <row r="412">
      <c r="A412" s="2">
        <v>413.0</v>
      </c>
      <c r="B412" s="3" t="s">
        <v>4</v>
      </c>
      <c r="C412" s="4" t="str">
        <f>hyperlink("https://terraria.gamepedia.com/Iridescent_Brick","Iridescent Brick")</f>
        <v>Iridescent Brick</v>
      </c>
    </row>
    <row r="413">
      <c r="A413" s="2">
        <v>414.0</v>
      </c>
      <c r="B413" s="3" t="s">
        <v>4</v>
      </c>
      <c r="C413" s="4" t="str">
        <f>hyperlink("https://terraria.gamepedia.com/Mudstone_Brick","Mudstone Brick")</f>
        <v>Mudstone Brick</v>
      </c>
    </row>
    <row r="414">
      <c r="A414" s="2">
        <v>415.0</v>
      </c>
      <c r="B414" s="3" t="s">
        <v>4</v>
      </c>
      <c r="C414" s="4" t="str">
        <f>hyperlink("https://terraria.gamepedia.com/Cobalt_Brick","Cobalt Brick")</f>
        <v>Cobalt Brick</v>
      </c>
    </row>
    <row r="415">
      <c r="A415" s="2">
        <v>416.0</v>
      </c>
      <c r="B415" s="3" t="s">
        <v>4</v>
      </c>
      <c r="C415" s="4" t="str">
        <f>hyperlink("https://terraria.gamepedia.com/Mythril_Brick","Mythril Brick")</f>
        <v>Mythril Brick</v>
      </c>
    </row>
    <row r="416">
      <c r="A416" s="2">
        <v>417.0</v>
      </c>
      <c r="B416" s="3" t="s">
        <v>13</v>
      </c>
      <c r="C416" s="4" t="str">
        <f>hyperlink("https://terraria.gamepedia.com/Pearlstone_Brick_Wall","Pearlstone Brick Wall")</f>
        <v>Pearlstone Brick Wall</v>
      </c>
    </row>
    <row r="417">
      <c r="A417" s="2">
        <v>418.0</v>
      </c>
      <c r="B417" s="3" t="s">
        <v>13</v>
      </c>
      <c r="C417" s="4" t="str">
        <f>hyperlink("https://terraria.gamepedia.com/Iridescent_Brick_Wall","Iridescent Brick Wall")</f>
        <v>Iridescent Brick Wall</v>
      </c>
    </row>
    <row r="418">
      <c r="A418" s="2">
        <v>419.0</v>
      </c>
      <c r="B418" s="3" t="s">
        <v>13</v>
      </c>
      <c r="C418" s="4" t="str">
        <f>hyperlink("https://terraria.gamepedia.com/Mudstone_Brick_Wall","Mudstone Brick Wall")</f>
        <v>Mudstone Brick Wall</v>
      </c>
    </row>
    <row r="419">
      <c r="A419" s="2">
        <v>420.0</v>
      </c>
      <c r="B419" s="3" t="s">
        <v>13</v>
      </c>
      <c r="C419" s="4" t="str">
        <f>hyperlink("https://terraria.gamepedia.com/Cobalt_Brick_Wall","Cobalt Brick Wall")</f>
        <v>Cobalt Brick Wall</v>
      </c>
    </row>
    <row r="420">
      <c r="A420" s="2">
        <v>421.0</v>
      </c>
      <c r="B420" s="3" t="s">
        <v>13</v>
      </c>
      <c r="C420" s="4" t="str">
        <f>hyperlink("https://terraria.gamepedia.com/Mythril_Brick_Wall","Mythril Brick Wall")</f>
        <v>Mythril Brick Wall</v>
      </c>
    </row>
    <row r="421">
      <c r="A421" s="2">
        <v>422.0</v>
      </c>
      <c r="B421" s="3" t="s">
        <v>18</v>
      </c>
      <c r="C421" s="4" t="str">
        <f>hyperlink("https://terraria.gamepedia.com/Thrown_Water","Holy Water")</f>
        <v>Holy Water</v>
      </c>
    </row>
    <row r="422">
      <c r="A422" s="2">
        <v>423.0</v>
      </c>
      <c r="B422" s="3" t="s">
        <v>18</v>
      </c>
      <c r="C422" s="4" t="str">
        <f>hyperlink("https://terraria.gamepedia.com/Thrown_Water","Unholy Water")</f>
        <v>Unholy Water</v>
      </c>
    </row>
    <row r="423">
      <c r="A423" s="2">
        <v>424.0</v>
      </c>
      <c r="B423" s="3" t="s">
        <v>4</v>
      </c>
      <c r="C423" s="4" t="str">
        <f>hyperlink("https://terraria.gamepedia.com/Silt_Block","Silt Block")</f>
        <v>Silt Block</v>
      </c>
    </row>
    <row r="424">
      <c r="A424" s="2">
        <v>425.0</v>
      </c>
      <c r="B424" s="3" t="s">
        <v>22</v>
      </c>
      <c r="C424" s="4" t="str">
        <f>hyperlink("https://terraria.gamepedia.com/Fairy_Bell","Fairy Bell")</f>
        <v>Fairy Bell</v>
      </c>
    </row>
    <row r="425">
      <c r="A425" s="2">
        <v>426.0</v>
      </c>
      <c r="B425" s="3" t="s">
        <v>5</v>
      </c>
      <c r="C425" s="4" t="str">
        <f>hyperlink("https://terraria.gamepedia.com/Breaker_Blade","Breaker Blade")</f>
        <v>Breaker Blade</v>
      </c>
    </row>
    <row r="426">
      <c r="A426" s="2">
        <v>427.0</v>
      </c>
      <c r="B426" s="3" t="s">
        <v>7</v>
      </c>
      <c r="C426" s="4" t="str">
        <f>hyperlink("https://terraria.gamepedia.com/Torches","Blue Torch")</f>
        <v>Blue Torch</v>
      </c>
    </row>
    <row r="427">
      <c r="A427" s="2">
        <v>428.0</v>
      </c>
      <c r="B427" s="3" t="s">
        <v>7</v>
      </c>
      <c r="C427" s="4" t="str">
        <f>hyperlink("https://terraria.gamepedia.com/Torches","Red Torch")</f>
        <v>Red Torch</v>
      </c>
    </row>
    <row r="428">
      <c r="A428" s="2">
        <v>429.0</v>
      </c>
      <c r="B428" s="3" t="s">
        <v>7</v>
      </c>
      <c r="C428" s="4" t="str">
        <f>hyperlink("https://terraria.gamepedia.com/Torches","Green Torch")</f>
        <v>Green Torch</v>
      </c>
    </row>
    <row r="429">
      <c r="A429" s="2">
        <v>430.0</v>
      </c>
      <c r="B429" s="3" t="s">
        <v>7</v>
      </c>
      <c r="C429" s="4" t="str">
        <f>hyperlink("https://terraria.gamepedia.com/Torches","Purple Torch")</f>
        <v>Purple Torch</v>
      </c>
    </row>
    <row r="430">
      <c r="A430" s="2">
        <v>431.0</v>
      </c>
      <c r="B430" s="3" t="s">
        <v>7</v>
      </c>
      <c r="C430" s="4" t="str">
        <f>hyperlink("https://terraria.gamepedia.com/Torches","White Torch")</f>
        <v>White Torch</v>
      </c>
    </row>
    <row r="431">
      <c r="A431" s="2">
        <v>432.0</v>
      </c>
      <c r="B431" s="3" t="s">
        <v>7</v>
      </c>
      <c r="C431" s="4" t="str">
        <f>hyperlink("https://terraria.gamepedia.com/Torches","Yellow Torch")</f>
        <v>Yellow Torch</v>
      </c>
    </row>
    <row r="432">
      <c r="A432" s="2">
        <v>433.0</v>
      </c>
      <c r="B432" s="3" t="s">
        <v>7</v>
      </c>
      <c r="C432" s="4" t="str">
        <f>hyperlink("https://terraria.gamepedia.com/Torches","Demon Torch")</f>
        <v>Demon Torch</v>
      </c>
    </row>
    <row r="433">
      <c r="A433" s="2">
        <v>434.0</v>
      </c>
      <c r="B433" s="3" t="s">
        <v>5</v>
      </c>
      <c r="C433" s="4" t="str">
        <f>hyperlink("https://terraria.gamepedia.com/Clockwork_Assault_Rifle","Clockwork Assault Rifle")</f>
        <v>Clockwork Assault Rifle</v>
      </c>
    </row>
    <row r="434">
      <c r="A434" s="2">
        <v>435.0</v>
      </c>
      <c r="B434" s="3" t="s">
        <v>5</v>
      </c>
      <c r="C434" s="4" t="str">
        <f>hyperlink("https://terraria.gamepedia.com/Cobalt_Repeater","Cobalt Repeater")</f>
        <v>Cobalt Repeater</v>
      </c>
    </row>
    <row r="435">
      <c r="A435" s="2">
        <v>436.0</v>
      </c>
      <c r="B435" s="3" t="s">
        <v>5</v>
      </c>
      <c r="C435" s="4" t="str">
        <f>hyperlink("https://terraria.gamepedia.com/Mythril_Repeater","Mythril Repeater")</f>
        <v>Mythril Repeater</v>
      </c>
    </row>
    <row r="436">
      <c r="A436" s="2">
        <v>437.0</v>
      </c>
      <c r="B436" s="3" t="s">
        <v>3</v>
      </c>
      <c r="C436" s="4" t="str">
        <f>hyperlink("https://terraria.gamepedia.com/Dual_Hook","Dual Hook")</f>
        <v>Dual Hook</v>
      </c>
    </row>
    <row r="437">
      <c r="A437" s="2">
        <v>438.0</v>
      </c>
      <c r="B437" s="3" t="s">
        <v>21</v>
      </c>
      <c r="C437" s="4" t="str">
        <f>hyperlink("https://terraria.gamepedia.com/Statues","Star Statue")</f>
        <v>Star Statue</v>
      </c>
    </row>
    <row r="438">
      <c r="A438" s="2">
        <v>439.0</v>
      </c>
      <c r="B438" s="3" t="s">
        <v>21</v>
      </c>
      <c r="C438" s="4" t="str">
        <f>hyperlink("https://terraria.gamepedia.com/Statues","Sword Statue")</f>
        <v>Sword Statue</v>
      </c>
    </row>
    <row r="439">
      <c r="A439" s="2">
        <v>440.0</v>
      </c>
      <c r="B439" s="3" t="s">
        <v>21</v>
      </c>
      <c r="C439" s="4" t="str">
        <f>hyperlink("https://terraria.gamepedia.com/Statues","Slime Statue")</f>
        <v>Slime Statue</v>
      </c>
    </row>
    <row r="440">
      <c r="A440" s="2">
        <v>441.0</v>
      </c>
      <c r="B440" s="3" t="s">
        <v>21</v>
      </c>
      <c r="C440" s="4" t="str">
        <f>hyperlink("https://terraria.gamepedia.com/Statues","Goblin Statue")</f>
        <v>Goblin Statue</v>
      </c>
    </row>
    <row r="441">
      <c r="A441" s="2">
        <v>442.0</v>
      </c>
      <c r="B441" s="3" t="s">
        <v>21</v>
      </c>
      <c r="C441" s="4" t="str">
        <f>hyperlink("https://terraria.gamepedia.com/Statues","Shield Statue")</f>
        <v>Shield Statue</v>
      </c>
    </row>
    <row r="442">
      <c r="A442" s="2">
        <v>443.0</v>
      </c>
      <c r="B442" s="3" t="s">
        <v>21</v>
      </c>
      <c r="C442" s="4" t="str">
        <f>hyperlink("https://terraria.gamepedia.com/Statues","Bat Statue")</f>
        <v>Bat Statue</v>
      </c>
    </row>
    <row r="443">
      <c r="A443" s="2">
        <v>444.0</v>
      </c>
      <c r="B443" s="3" t="s">
        <v>21</v>
      </c>
      <c r="C443" s="4" t="str">
        <f>hyperlink("https://terraria.gamepedia.com/Statues","Fish Statue")</f>
        <v>Fish Statue</v>
      </c>
    </row>
    <row r="444">
      <c r="A444" s="2">
        <v>445.0</v>
      </c>
      <c r="B444" s="3" t="s">
        <v>21</v>
      </c>
      <c r="C444" s="4" t="str">
        <f>hyperlink("https://terraria.gamepedia.com/Statues","Bunny Statue")</f>
        <v>Bunny Statue</v>
      </c>
    </row>
    <row r="445">
      <c r="A445" s="2">
        <v>446.0</v>
      </c>
      <c r="B445" s="3" t="s">
        <v>21</v>
      </c>
      <c r="C445" s="4" t="str">
        <f>hyperlink("https://terraria.gamepedia.com/Statues","Skeleton Statue")</f>
        <v>Skeleton Statue</v>
      </c>
    </row>
    <row r="446">
      <c r="A446" s="2">
        <v>447.0</v>
      </c>
      <c r="B446" s="3" t="s">
        <v>21</v>
      </c>
      <c r="C446" s="4" t="str">
        <f>hyperlink("https://terraria.gamepedia.com/Statues","Reaper Statue")</f>
        <v>Reaper Statue</v>
      </c>
    </row>
    <row r="447">
      <c r="A447" s="2">
        <v>448.0</v>
      </c>
      <c r="B447" s="3" t="s">
        <v>21</v>
      </c>
      <c r="C447" s="4" t="str">
        <f>hyperlink("https://terraria.gamepedia.com/Statues","Woman Statue")</f>
        <v>Woman Statue</v>
      </c>
    </row>
    <row r="448">
      <c r="A448" s="2">
        <v>449.0</v>
      </c>
      <c r="B448" s="3" t="s">
        <v>21</v>
      </c>
      <c r="C448" s="4" t="str">
        <f>hyperlink("https://terraria.gamepedia.com/Statues","Imp Statue")</f>
        <v>Imp Statue</v>
      </c>
    </row>
    <row r="449">
      <c r="A449" s="2">
        <v>450.0</v>
      </c>
      <c r="B449" s="3" t="s">
        <v>21</v>
      </c>
      <c r="C449" s="4" t="str">
        <f>hyperlink("https://terraria.gamepedia.com/Statues","Gargoyle Statue")</f>
        <v>Gargoyle Statue</v>
      </c>
    </row>
    <row r="450">
      <c r="A450" s="2">
        <v>451.0</v>
      </c>
      <c r="B450" s="3" t="s">
        <v>21</v>
      </c>
      <c r="C450" s="4" t="str">
        <f>hyperlink("https://terraria.gamepedia.com/Statues","Gloom Statue")</f>
        <v>Gloom Statue</v>
      </c>
    </row>
    <row r="451">
      <c r="A451" s="2">
        <v>452.0</v>
      </c>
      <c r="B451" s="3" t="s">
        <v>21</v>
      </c>
      <c r="C451" s="4" t="str">
        <f>hyperlink("https://terraria.gamepedia.com/Statues","Hornet Statue")</f>
        <v>Hornet Statue</v>
      </c>
    </row>
    <row r="452">
      <c r="A452" s="2">
        <v>453.0</v>
      </c>
      <c r="B452" s="3" t="s">
        <v>21</v>
      </c>
      <c r="C452" s="4" t="str">
        <f>hyperlink("https://terraria.gamepedia.com/Statues","Bomb Statue")</f>
        <v>Bomb Statue</v>
      </c>
    </row>
    <row r="453">
      <c r="A453" s="2">
        <v>454.0</v>
      </c>
      <c r="B453" s="3" t="s">
        <v>21</v>
      </c>
      <c r="C453" s="4" t="str">
        <f>hyperlink("https://terraria.gamepedia.com/Statues","Crab Statue")</f>
        <v>Crab Statue</v>
      </c>
    </row>
    <row r="454">
      <c r="A454" s="2">
        <v>455.0</v>
      </c>
      <c r="B454" s="3" t="s">
        <v>21</v>
      </c>
      <c r="C454" s="4" t="str">
        <f>hyperlink("https://terraria.gamepedia.com/Statues","Hammer Statue")</f>
        <v>Hammer Statue</v>
      </c>
    </row>
    <row r="455">
      <c r="A455" s="2">
        <v>456.0</v>
      </c>
      <c r="B455" s="3" t="s">
        <v>21</v>
      </c>
      <c r="C455" s="4" t="str">
        <f>hyperlink("https://terraria.gamepedia.com/Statues","Potion Statue")</f>
        <v>Potion Statue</v>
      </c>
    </row>
    <row r="456">
      <c r="A456" s="2">
        <v>457.0</v>
      </c>
      <c r="B456" s="3" t="s">
        <v>21</v>
      </c>
      <c r="C456" s="4" t="str">
        <f>hyperlink("https://terraria.gamepedia.com/Statues","Spear Statue")</f>
        <v>Spear Statue</v>
      </c>
    </row>
    <row r="457">
      <c r="A457" s="2">
        <v>458.0</v>
      </c>
      <c r="B457" s="3" t="s">
        <v>21</v>
      </c>
      <c r="C457" s="4" t="str">
        <f>hyperlink("https://terraria.gamepedia.com/Statues","Cross Statue")</f>
        <v>Cross Statue</v>
      </c>
    </row>
    <row r="458">
      <c r="A458" s="2">
        <v>459.0</v>
      </c>
      <c r="B458" s="3" t="s">
        <v>21</v>
      </c>
      <c r="C458" s="4" t="str">
        <f>hyperlink("https://terraria.gamepedia.com/Statues","Jellyfish Statue")</f>
        <v>Jellyfish Statue</v>
      </c>
    </row>
    <row r="459">
      <c r="A459" s="2">
        <v>460.0</v>
      </c>
      <c r="B459" s="3" t="s">
        <v>21</v>
      </c>
      <c r="C459" s="4" t="str">
        <f>hyperlink("https://terraria.gamepedia.com/Statues","Bow Statue")</f>
        <v>Bow Statue</v>
      </c>
    </row>
    <row r="460">
      <c r="A460" s="2">
        <v>461.0</v>
      </c>
      <c r="B460" s="3" t="s">
        <v>21</v>
      </c>
      <c r="C460" s="4" t="str">
        <f>hyperlink("https://terraria.gamepedia.com/Statues","Boomerang Statue")</f>
        <v>Boomerang Statue</v>
      </c>
    </row>
    <row r="461">
      <c r="A461" s="2">
        <v>462.0</v>
      </c>
      <c r="B461" s="3" t="s">
        <v>21</v>
      </c>
      <c r="C461" s="4" t="str">
        <f>hyperlink("https://terraria.gamepedia.com/Statues","Boot Statue")</f>
        <v>Boot Statue</v>
      </c>
    </row>
    <row r="462">
      <c r="A462" s="2">
        <v>463.0</v>
      </c>
      <c r="B462" s="3" t="s">
        <v>21</v>
      </c>
      <c r="C462" s="4" t="str">
        <f>hyperlink("https://terraria.gamepedia.com/Statues","Chest Statue")</f>
        <v>Chest Statue</v>
      </c>
    </row>
    <row r="463">
      <c r="A463" s="2">
        <v>464.0</v>
      </c>
      <c r="B463" s="3" t="s">
        <v>21</v>
      </c>
      <c r="C463" s="4" t="str">
        <f>hyperlink("https://terraria.gamepedia.com/Statues","Bird Statue")</f>
        <v>Bird Statue</v>
      </c>
    </row>
    <row r="464">
      <c r="A464" s="2">
        <v>465.0</v>
      </c>
      <c r="B464" s="3" t="s">
        <v>21</v>
      </c>
      <c r="C464" s="4" t="str">
        <f>hyperlink("https://terraria.gamepedia.com/Statues","Axe Statue")</f>
        <v>Axe Statue</v>
      </c>
    </row>
    <row r="465">
      <c r="A465" s="2">
        <v>466.0</v>
      </c>
      <c r="B465" s="3" t="s">
        <v>21</v>
      </c>
      <c r="C465" s="4" t="str">
        <f>hyperlink("https://terraria.gamepedia.com/Statues","Corrupt Statue")</f>
        <v>Corrupt Statue</v>
      </c>
    </row>
    <row r="466">
      <c r="A466" s="2">
        <v>467.0</v>
      </c>
      <c r="B466" s="3" t="s">
        <v>21</v>
      </c>
      <c r="C466" s="4" t="str">
        <f>hyperlink("https://terraria.gamepedia.com/Statues","Tree Statue")</f>
        <v>Tree Statue</v>
      </c>
    </row>
    <row r="467">
      <c r="A467" s="2">
        <v>468.0</v>
      </c>
      <c r="B467" s="3" t="s">
        <v>21</v>
      </c>
      <c r="C467" s="4" t="str">
        <f>hyperlink("https://terraria.gamepedia.com/Statues","Anvil Statue")</f>
        <v>Anvil Statue</v>
      </c>
    </row>
    <row r="468">
      <c r="A468" s="2">
        <v>469.0</v>
      </c>
      <c r="B468" s="3" t="s">
        <v>21</v>
      </c>
      <c r="C468" s="4" t="str">
        <f>hyperlink("https://terraria.gamepedia.com/Statues","Pickaxe Statue")</f>
        <v>Pickaxe Statue</v>
      </c>
    </row>
    <row r="469">
      <c r="A469" s="2">
        <v>470.0</v>
      </c>
      <c r="B469" s="3" t="s">
        <v>21</v>
      </c>
      <c r="C469" s="4" t="str">
        <f>hyperlink("https://terraria.gamepedia.com/Statues","Mushroom Statue")</f>
        <v>Mushroom Statue</v>
      </c>
    </row>
    <row r="470">
      <c r="A470" s="2">
        <v>471.0</v>
      </c>
      <c r="B470" s="3" t="s">
        <v>21</v>
      </c>
      <c r="C470" s="4" t="str">
        <f>hyperlink("https://terraria.gamepedia.com/Statues","Eyeball Statue")</f>
        <v>Eyeball Statue</v>
      </c>
    </row>
    <row r="471">
      <c r="A471" s="2">
        <v>472.0</v>
      </c>
      <c r="B471" s="3" t="s">
        <v>21</v>
      </c>
      <c r="C471" s="4" t="str">
        <f>hyperlink("https://terraria.gamepedia.com/Statues","Pillar Statue")</f>
        <v>Pillar Statue</v>
      </c>
    </row>
    <row r="472">
      <c r="A472" s="2">
        <v>473.0</v>
      </c>
      <c r="B472" s="3" t="s">
        <v>21</v>
      </c>
      <c r="C472" s="4" t="str">
        <f>hyperlink("https://terraria.gamepedia.com/Statues","Heart Statue")</f>
        <v>Heart Statue</v>
      </c>
    </row>
    <row r="473">
      <c r="A473" s="2">
        <v>474.0</v>
      </c>
      <c r="B473" s="3" t="s">
        <v>21</v>
      </c>
      <c r="C473" s="4" t="str">
        <f>hyperlink("https://terraria.gamepedia.com/Statues","Pot Statue")</f>
        <v>Pot Statue</v>
      </c>
    </row>
    <row r="474">
      <c r="A474" s="2">
        <v>475.0</v>
      </c>
      <c r="B474" s="3" t="s">
        <v>21</v>
      </c>
      <c r="C474" s="4" t="str">
        <f>hyperlink("https://terraria.gamepedia.com/Statues","Sunflower Statue")</f>
        <v>Sunflower Statue</v>
      </c>
    </row>
    <row r="475">
      <c r="A475" s="2">
        <v>476.0</v>
      </c>
      <c r="B475" s="3" t="s">
        <v>21</v>
      </c>
      <c r="C475" s="4" t="str">
        <f>hyperlink("https://terraria.gamepedia.com/Statues","King Statue")</f>
        <v>King Statue</v>
      </c>
    </row>
    <row r="476">
      <c r="A476" s="2">
        <v>477.0</v>
      </c>
      <c r="B476" s="3" t="s">
        <v>21</v>
      </c>
      <c r="C476" s="4" t="str">
        <f>hyperlink("https://terraria.gamepedia.com/Statues","Queen Statue")</f>
        <v>Queen Statue</v>
      </c>
    </row>
    <row r="477">
      <c r="A477" s="2">
        <v>478.0</v>
      </c>
      <c r="B477" s="3" t="s">
        <v>21</v>
      </c>
      <c r="C477" s="4" t="str">
        <f>hyperlink("https://terraria.gamepedia.com/Statues","Piranha Statue")</f>
        <v>Piranha Statue</v>
      </c>
    </row>
    <row r="478">
      <c r="A478" s="2">
        <v>479.0</v>
      </c>
      <c r="B478" s="3" t="s">
        <v>13</v>
      </c>
      <c r="C478" s="4" t="str">
        <f>hyperlink("https://terraria.gamepedia.com/Planked_Wall","Planked Wall")</f>
        <v>Planked Wall</v>
      </c>
    </row>
    <row r="479">
      <c r="A479" s="2">
        <v>480.0</v>
      </c>
      <c r="B479" s="3" t="s">
        <v>8</v>
      </c>
      <c r="C479" s="4" t="str">
        <f>hyperlink("https://terraria.gamepedia.com/Beams","Wooden Beam")</f>
        <v>Wooden Beam</v>
      </c>
    </row>
    <row r="480">
      <c r="A480" s="2">
        <v>481.0</v>
      </c>
      <c r="B480" s="3" t="s">
        <v>5</v>
      </c>
      <c r="C480" s="4" t="str">
        <f>hyperlink("https://terraria.gamepedia.com/Adamantite_Repeater","Adamantite Repeater")</f>
        <v>Adamantite Repeater</v>
      </c>
    </row>
    <row r="481">
      <c r="A481" s="2">
        <v>482.0</v>
      </c>
      <c r="B481" s="3" t="s">
        <v>5</v>
      </c>
      <c r="C481" s="4" t="str">
        <f>hyperlink("https://terraria.gamepedia.com/Adamantite_Sword","Adamantite Sword")</f>
        <v>Adamantite Sword</v>
      </c>
    </row>
    <row r="482">
      <c r="A482" s="2">
        <v>483.0</v>
      </c>
      <c r="B482" s="3" t="s">
        <v>5</v>
      </c>
      <c r="C482" s="4" t="str">
        <f>hyperlink("https://terraria.gamepedia.com/Cobalt_Sword","Cobalt Sword")</f>
        <v>Cobalt Sword</v>
      </c>
    </row>
    <row r="483">
      <c r="A483" s="2">
        <v>484.0</v>
      </c>
      <c r="B483" s="3" t="s">
        <v>5</v>
      </c>
      <c r="C483" s="4" t="str">
        <f>hyperlink("https://terraria.gamepedia.com/Mythril_Sword","Mythril Sword")</f>
        <v>Mythril Sword</v>
      </c>
    </row>
    <row r="484">
      <c r="A484" s="2">
        <v>485.0</v>
      </c>
      <c r="B484" s="3" t="s">
        <v>10</v>
      </c>
      <c r="C484" s="4" t="str">
        <f>hyperlink("https://terraria.gamepedia.com/Moon_Charm","Moon Charm")</f>
        <v>Moon Charm</v>
      </c>
    </row>
    <row r="485">
      <c r="A485" s="2">
        <v>486.0</v>
      </c>
      <c r="B485" s="3" t="s">
        <v>10</v>
      </c>
      <c r="C485" s="4" t="str">
        <f>hyperlink("https://terraria.gamepedia.com/Ruler","Ruler")</f>
        <v>Ruler</v>
      </c>
    </row>
    <row r="486">
      <c r="A486" s="2">
        <v>487.0</v>
      </c>
      <c r="B486" s="3" t="s">
        <v>12</v>
      </c>
      <c r="C486" s="4" t="str">
        <f>hyperlink("https://terraria.gamepedia.com/Crystal_Ball","Crystal Ball")</f>
        <v>Crystal Ball</v>
      </c>
    </row>
    <row r="487">
      <c r="A487" s="2">
        <v>488.0</v>
      </c>
      <c r="B487" s="3" t="s">
        <v>12</v>
      </c>
      <c r="C487" s="4" t="str">
        <f>hyperlink("https://terraria.gamepedia.com/Disco_Ball","Disco Ball")</f>
        <v>Disco Ball</v>
      </c>
    </row>
    <row r="488">
      <c r="A488" s="2">
        <v>489.0</v>
      </c>
      <c r="B488" s="3" t="s">
        <v>10</v>
      </c>
      <c r="C488" s="4" t="str">
        <f>hyperlink("https://terraria.gamepedia.com/Sorcerer_Emblem","Sorcerer Emblem")</f>
        <v>Sorcerer Emblem</v>
      </c>
    </row>
    <row r="489">
      <c r="A489" s="2">
        <v>490.0</v>
      </c>
      <c r="B489" s="3" t="s">
        <v>10</v>
      </c>
      <c r="C489" s="4" t="str">
        <f>hyperlink("https://terraria.gamepedia.com/Warrior_Emblem","Warrior Emblem")</f>
        <v>Warrior Emblem</v>
      </c>
    </row>
    <row r="490">
      <c r="A490" s="2">
        <v>491.0</v>
      </c>
      <c r="B490" s="3" t="s">
        <v>10</v>
      </c>
      <c r="C490" s="4" t="str">
        <f>hyperlink("https://terraria.gamepedia.com/Ranger_Emblem","Ranger Emblem")</f>
        <v>Ranger Emblem</v>
      </c>
    </row>
    <row r="491">
      <c r="A491" s="2">
        <v>492.0</v>
      </c>
      <c r="B491" s="3" t="s">
        <v>27</v>
      </c>
      <c r="C491" s="4" t="str">
        <f>hyperlink("https://terraria.gamepedia.com/Wings","Demon Wings")</f>
        <v>Demon Wings</v>
      </c>
    </row>
    <row r="492">
      <c r="A492" s="2">
        <v>493.0</v>
      </c>
      <c r="B492" s="3" t="s">
        <v>27</v>
      </c>
      <c r="C492" s="4" t="str">
        <f>hyperlink("https://terraria.gamepedia.com/Wings","Angel Wings")</f>
        <v>Angel Wings</v>
      </c>
    </row>
    <row r="493">
      <c r="A493" s="2">
        <v>494.0</v>
      </c>
      <c r="B493" s="3" t="s">
        <v>5</v>
      </c>
      <c r="C493" s="4" t="str">
        <f>hyperlink("https://terraria.gamepedia.com/Magical_Harp","Magical Harp")</f>
        <v>Magical Harp</v>
      </c>
    </row>
    <row r="494">
      <c r="A494" s="2">
        <v>495.0</v>
      </c>
      <c r="B494" s="3" t="s">
        <v>5</v>
      </c>
      <c r="C494" s="4" t="str">
        <f>hyperlink("https://terraria.gamepedia.com/Rainbow_Rod","Rainbow Rod")</f>
        <v>Rainbow Rod</v>
      </c>
    </row>
    <row r="495">
      <c r="A495" s="2">
        <v>496.0</v>
      </c>
      <c r="B495" s="3" t="s">
        <v>3</v>
      </c>
      <c r="C495" s="4" t="str">
        <f>hyperlink("https://terraria.gamepedia.com/Ice_Rod","Ice Rod")</f>
        <v>Ice Rod</v>
      </c>
    </row>
    <row r="496">
      <c r="A496" s="2">
        <v>497.0</v>
      </c>
      <c r="B496" s="3" t="s">
        <v>10</v>
      </c>
      <c r="C496" s="4" t="str">
        <f>hyperlink("https://terraria.gamepedia.com/Neptune's_Shell","Neptune's Shell")</f>
        <v>Neptune's Shell</v>
      </c>
    </row>
    <row r="497">
      <c r="A497" s="2">
        <v>498.0</v>
      </c>
      <c r="B497" s="3" t="s">
        <v>12</v>
      </c>
      <c r="C497" s="4" t="str">
        <f>hyperlink("https://terraria.gamepedia.com/Mannequin","Mannequin")</f>
        <v>Mannequin</v>
      </c>
    </row>
    <row r="498">
      <c r="A498" s="2">
        <v>499.0</v>
      </c>
      <c r="B498" s="3" t="s">
        <v>14</v>
      </c>
      <c r="C498" s="4" t="str">
        <f>hyperlink("https://terraria.gamepedia.com/Greater_Healing_Potion","Greater Healing Potion")</f>
        <v>Greater Healing Potion</v>
      </c>
    </row>
    <row r="499">
      <c r="A499" s="2">
        <v>500.0</v>
      </c>
      <c r="B499" s="3" t="s">
        <v>14</v>
      </c>
      <c r="C499" s="4" t="str">
        <f>hyperlink("https://terraria.gamepedia.com/Greater_Mana_Potion","Greater Mana Potion")</f>
        <v>Greater Mana Potion</v>
      </c>
    </row>
    <row r="500">
      <c r="A500" s="2">
        <v>501.0</v>
      </c>
      <c r="B500" s="3" t="s">
        <v>11</v>
      </c>
      <c r="C500" s="4" t="str">
        <f>hyperlink("https://terraria.gamepedia.com/Pixie_Dust","Pixie Dust")</f>
        <v>Pixie Dust</v>
      </c>
    </row>
    <row r="501">
      <c r="A501" s="2">
        <v>502.0</v>
      </c>
      <c r="B501" s="3" t="s">
        <v>11</v>
      </c>
      <c r="C501" s="4" t="str">
        <f>hyperlink("https://terraria.gamepedia.com/Crystal_Shard","Crystal Shard")</f>
        <v>Crystal Shard</v>
      </c>
    </row>
    <row r="502">
      <c r="A502" s="2">
        <v>503.0</v>
      </c>
      <c r="B502" s="3" t="s">
        <v>23</v>
      </c>
      <c r="C502" s="4" t="str">
        <f>hyperlink("https://terraria.gamepedia.com/Clown_set","Clown Hat")</f>
        <v>Clown Hat</v>
      </c>
    </row>
    <row r="503">
      <c r="A503" s="2">
        <v>504.0</v>
      </c>
      <c r="B503" s="3" t="s">
        <v>23</v>
      </c>
      <c r="C503" s="4" t="str">
        <f>hyperlink("https://terraria.gamepedia.com/Clown_set","Clown Shirt")</f>
        <v>Clown Shirt</v>
      </c>
    </row>
    <row r="504">
      <c r="A504" s="2">
        <v>505.0</v>
      </c>
      <c r="B504" s="3" t="s">
        <v>23</v>
      </c>
      <c r="C504" s="4" t="str">
        <f>hyperlink("https://terraria.gamepedia.com/Clown_set","Clown Pants")</f>
        <v>Clown Pants</v>
      </c>
    </row>
    <row r="505">
      <c r="A505" s="2">
        <v>506.0</v>
      </c>
      <c r="B505" s="3" t="s">
        <v>5</v>
      </c>
      <c r="C505" s="4" t="str">
        <f>hyperlink("https://terraria.gamepedia.com/Flamethrower","Flamethrower")</f>
        <v>Flamethrower</v>
      </c>
    </row>
    <row r="506">
      <c r="A506" s="2">
        <v>507.0</v>
      </c>
      <c r="B506" s="3" t="s">
        <v>11</v>
      </c>
      <c r="C506" s="4" t="str">
        <f>hyperlink("https://terraria.gamepedia.com/Bell","Bell")</f>
        <v>Bell</v>
      </c>
    </row>
    <row r="507">
      <c r="A507" s="2">
        <v>508.0</v>
      </c>
      <c r="B507" s="3" t="s">
        <v>15</v>
      </c>
      <c r="C507" s="4" t="str">
        <f>hyperlink("https://terraria.gamepedia.com/Harp","Harp")</f>
        <v>Harp</v>
      </c>
    </row>
    <row r="508">
      <c r="A508" s="2">
        <v>509.0</v>
      </c>
      <c r="B508" s="3" t="s">
        <v>3</v>
      </c>
      <c r="C508" s="4" t="str">
        <f>hyperlink("https://terraria.gamepedia.com/Wrenches","Red Wrench")</f>
        <v>Red Wrench</v>
      </c>
    </row>
    <row r="509">
      <c r="A509" s="2">
        <v>510.0</v>
      </c>
      <c r="B509" s="3" t="s">
        <v>3</v>
      </c>
      <c r="C509" s="4" t="str">
        <f>hyperlink("https://terraria.gamepedia.com/Wire_Cutter","Wire Cutter")</f>
        <v>Wire Cutter</v>
      </c>
    </row>
    <row r="510">
      <c r="A510" s="2">
        <v>511.0</v>
      </c>
      <c r="B510" s="3" t="s">
        <v>28</v>
      </c>
      <c r="C510" s="4" t="str">
        <f>hyperlink("https://terraria.gamepedia.com/Active_Stone_Block","Active Stone Block")</f>
        <v>Active Stone Block</v>
      </c>
    </row>
    <row r="511">
      <c r="A511" s="2">
        <v>512.0</v>
      </c>
      <c r="B511" s="3" t="s">
        <v>4</v>
      </c>
      <c r="C511" s="4" t="str">
        <f>hyperlink("https://terraria.gamepedia.com/Active_Stone_Block","Inactive Stone Block")</f>
        <v>Inactive Stone Block</v>
      </c>
    </row>
    <row r="512">
      <c r="A512" s="2">
        <v>513.0</v>
      </c>
      <c r="B512" s="3" t="s">
        <v>28</v>
      </c>
      <c r="C512" s="4" t="str">
        <f>hyperlink("https://terraria.gamepedia.com/Lever","Lever")</f>
        <v>Lever</v>
      </c>
    </row>
    <row r="513">
      <c r="A513" s="2">
        <v>514.0</v>
      </c>
      <c r="B513" s="3" t="s">
        <v>5</v>
      </c>
      <c r="C513" s="4" t="str">
        <f>hyperlink("https://terraria.gamepedia.com/Laser_Rifle","Laser Rifle")</f>
        <v>Laser Rifle</v>
      </c>
    </row>
    <row r="514">
      <c r="A514" s="2">
        <v>515.0</v>
      </c>
      <c r="B514" s="3" t="s">
        <v>18</v>
      </c>
      <c r="C514" s="4" t="str">
        <f>hyperlink("https://terraria.gamepedia.com/Crystal_Bullet","Crystal Bullet")</f>
        <v>Crystal Bullet</v>
      </c>
    </row>
    <row r="515">
      <c r="A515" s="2">
        <v>516.0</v>
      </c>
      <c r="B515" s="3" t="s">
        <v>18</v>
      </c>
      <c r="C515" s="4" t="str">
        <f>hyperlink("https://terraria.gamepedia.com/Holy_Arrow","Holy Arrow")</f>
        <v>Holy Arrow</v>
      </c>
    </row>
    <row r="516">
      <c r="A516" s="2">
        <v>517.0</v>
      </c>
      <c r="B516" s="3" t="s">
        <v>5</v>
      </c>
      <c r="C516" s="4" t="str">
        <f>hyperlink("https://terraria.gamepedia.com/Magic_Dagger","Magic Dagger")</f>
        <v>Magic Dagger</v>
      </c>
    </row>
    <row r="517">
      <c r="A517" s="2">
        <v>518.0</v>
      </c>
      <c r="B517" s="3" t="s">
        <v>5</v>
      </c>
      <c r="C517" s="4" t="str">
        <f>hyperlink("https://terraria.gamepedia.com/Crystal_Storm","Crystal Storm")</f>
        <v>Crystal Storm</v>
      </c>
    </row>
    <row r="518">
      <c r="A518" s="2">
        <v>519.0</v>
      </c>
      <c r="B518" s="3" t="s">
        <v>5</v>
      </c>
      <c r="C518" s="4" t="str">
        <f>hyperlink("https://terraria.gamepedia.com/Cursed_Flames","Cursed Flames")</f>
        <v>Cursed Flames</v>
      </c>
    </row>
    <row r="519">
      <c r="A519" s="2">
        <v>520.0</v>
      </c>
      <c r="B519" s="3" t="s">
        <v>11</v>
      </c>
      <c r="C519" s="4" t="str">
        <f>hyperlink("https://terraria.gamepedia.com/Soul_of_Light","Soul of Light")</f>
        <v>Soul of Light</v>
      </c>
    </row>
    <row r="520">
      <c r="A520" s="2">
        <v>521.0</v>
      </c>
      <c r="B520" s="3" t="s">
        <v>11</v>
      </c>
      <c r="C520" s="4" t="str">
        <f>hyperlink("https://terraria.gamepedia.com/Soul_of_Night","Soul of Night")</f>
        <v>Soul of Night</v>
      </c>
    </row>
    <row r="521">
      <c r="A521" s="2">
        <v>522.0</v>
      </c>
      <c r="B521" s="3" t="s">
        <v>11</v>
      </c>
      <c r="C521" s="4" t="str">
        <f>hyperlink("https://terraria.gamepedia.com/Cursed_Flame","Cursed Flame")</f>
        <v>Cursed Flame</v>
      </c>
    </row>
    <row r="522">
      <c r="A522" s="2">
        <v>523.0</v>
      </c>
      <c r="B522" s="3" t="s">
        <v>7</v>
      </c>
      <c r="C522" s="4" t="str">
        <f>hyperlink("https://terraria.gamepedia.com/Torches","Cursed Torch")</f>
        <v>Cursed Torch</v>
      </c>
    </row>
    <row r="523">
      <c r="A523" s="2">
        <v>524.0</v>
      </c>
      <c r="B523" s="3" t="s">
        <v>16</v>
      </c>
      <c r="C523" s="4" t="str">
        <f>hyperlink("https://terraria.gamepedia.com/Hardmode_Forges","Adamantite Forge")</f>
        <v>Adamantite Forge</v>
      </c>
    </row>
    <row r="524">
      <c r="A524" s="2">
        <v>525.0</v>
      </c>
      <c r="B524" s="3" t="s">
        <v>16</v>
      </c>
      <c r="C524" s="4" t="str">
        <f>hyperlink("https://terraria.gamepedia.com/Hardmode_Anvils","Mythril Anvil")</f>
        <v>Mythril Anvil</v>
      </c>
    </row>
    <row r="525">
      <c r="A525" s="2">
        <v>526.0</v>
      </c>
      <c r="B525" s="3" t="s">
        <v>11</v>
      </c>
      <c r="C525" s="4" t="str">
        <f>hyperlink("https://terraria.gamepedia.com/Unicorn_Horn","Unicorn Horn")</f>
        <v>Unicorn Horn</v>
      </c>
    </row>
    <row r="526">
      <c r="A526" s="2">
        <v>527.0</v>
      </c>
      <c r="B526" s="3" t="s">
        <v>11</v>
      </c>
      <c r="C526" s="4" t="str">
        <f>hyperlink("https://terraria.gamepedia.com/Dark_Shard","Dark Shard")</f>
        <v>Dark Shard</v>
      </c>
    </row>
    <row r="527">
      <c r="A527" s="2">
        <v>528.0</v>
      </c>
      <c r="B527" s="3" t="s">
        <v>11</v>
      </c>
      <c r="C527" s="4" t="str">
        <f>hyperlink("https://terraria.gamepedia.com/Light_Shard","Light Shard")</f>
        <v>Light Shard</v>
      </c>
    </row>
    <row r="528">
      <c r="A528" s="2">
        <v>529.0</v>
      </c>
      <c r="B528" s="3" t="s">
        <v>28</v>
      </c>
      <c r="C528" s="4" t="str">
        <f>hyperlink("https://terraria.gamepedia.com/Pressure_Plates","Red Pressure Plate")</f>
        <v>Red Pressure Plate</v>
      </c>
    </row>
    <row r="529">
      <c r="A529" s="2">
        <v>530.0</v>
      </c>
      <c r="B529" s="3" t="s">
        <v>28</v>
      </c>
      <c r="C529" s="4" t="str">
        <f>hyperlink("https://terraria.gamepedia.com/Wire","Wire")</f>
        <v>Wire</v>
      </c>
    </row>
    <row r="530">
      <c r="A530" s="2">
        <v>531.0</v>
      </c>
      <c r="B530" s="3" t="s">
        <v>11</v>
      </c>
      <c r="C530" s="4" t="str">
        <f>hyperlink("https://terraria.gamepedia.com/Spell_Tome","Spell Tome")</f>
        <v>Spell Tome</v>
      </c>
    </row>
    <row r="531">
      <c r="A531" s="2">
        <v>532.0</v>
      </c>
      <c r="B531" s="3" t="s">
        <v>10</v>
      </c>
      <c r="C531" s="4" t="str">
        <f>hyperlink("https://terraria.gamepedia.com/Star_Cloak","Star Cloak")</f>
        <v>Star Cloak</v>
      </c>
    </row>
    <row r="532">
      <c r="A532" s="2">
        <v>533.0</v>
      </c>
      <c r="B532" s="3" t="s">
        <v>5</v>
      </c>
      <c r="C532" s="4" t="str">
        <f>hyperlink("https://terraria.gamepedia.com/Megashark","Megashark")</f>
        <v>Megashark</v>
      </c>
    </row>
    <row r="533">
      <c r="A533" s="2">
        <v>534.0</v>
      </c>
      <c r="B533" s="3" t="s">
        <v>5</v>
      </c>
      <c r="C533" s="4" t="str">
        <f>hyperlink("https://terraria.gamepedia.com/Shotgun","Shotgun")</f>
        <v>Shotgun</v>
      </c>
    </row>
    <row r="534">
      <c r="A534" s="2">
        <v>535.0</v>
      </c>
      <c r="B534" s="3" t="s">
        <v>10</v>
      </c>
      <c r="C534" s="4" t="str">
        <f>hyperlink("https://terraria.gamepedia.com/Philosopher's_Stone","Philosopher's Stone")</f>
        <v>Philosopher's Stone</v>
      </c>
    </row>
    <row r="535">
      <c r="A535" s="2">
        <v>536.0</v>
      </c>
      <c r="B535" s="3" t="s">
        <v>10</v>
      </c>
      <c r="C535" s="4" t="str">
        <f>hyperlink("https://terraria.gamepedia.com/Titan_Glove","Titan Glove")</f>
        <v>Titan Glove</v>
      </c>
    </row>
    <row r="536">
      <c r="A536" s="2">
        <v>537.0</v>
      </c>
      <c r="B536" s="3" t="s">
        <v>5</v>
      </c>
      <c r="C536" s="4" t="str">
        <f>hyperlink("https://terraria.gamepedia.com/Cobalt_Naginata","Cobalt Naginata")</f>
        <v>Cobalt Naginata</v>
      </c>
    </row>
    <row r="537">
      <c r="A537" s="2">
        <v>538.0</v>
      </c>
      <c r="B537" s="3" t="s">
        <v>28</v>
      </c>
      <c r="C537" s="4" t="str">
        <f>hyperlink("https://terraria.gamepedia.com/Switch","Switch")</f>
        <v>Switch</v>
      </c>
    </row>
    <row r="538">
      <c r="A538" s="2">
        <v>539.0</v>
      </c>
      <c r="B538" s="3" t="s">
        <v>28</v>
      </c>
      <c r="C538" s="4" t="str">
        <f>hyperlink("https://terraria.gamepedia.com/Dart_Trap","Dart Trap")</f>
        <v>Dart Trap</v>
      </c>
    </row>
    <row r="539">
      <c r="A539" s="2">
        <v>540.0</v>
      </c>
      <c r="B539" s="3" t="s">
        <v>18</v>
      </c>
      <c r="C539" s="4" t="str">
        <f>hyperlink("https://terraria.gamepedia.com/Boulder","Boulder")</f>
        <v>Boulder</v>
      </c>
    </row>
    <row r="540">
      <c r="A540" s="2">
        <v>541.0</v>
      </c>
      <c r="B540" s="3" t="s">
        <v>28</v>
      </c>
      <c r="C540" s="4" t="str">
        <f>hyperlink("https://terraria.gamepedia.com/Pressure_Plates","Green Pressure Plate")</f>
        <v>Green Pressure Plate</v>
      </c>
    </row>
    <row r="541">
      <c r="A541" s="2">
        <v>542.0</v>
      </c>
      <c r="B541" s="3" t="s">
        <v>28</v>
      </c>
      <c r="C541" s="4" t="str">
        <f>hyperlink("https://terraria.gamepedia.com/Pressure_Plates","Gray Pressure Plate")</f>
        <v>Gray Pressure Plate</v>
      </c>
    </row>
    <row r="542">
      <c r="A542" s="2">
        <v>543.0</v>
      </c>
      <c r="B542" s="3" t="s">
        <v>28</v>
      </c>
      <c r="C542" s="4" t="str">
        <f>hyperlink("https://terraria.gamepedia.com/Pressure_Plates","Brown Pressure Plate")</f>
        <v>Brown Pressure Plate</v>
      </c>
    </row>
    <row r="543">
      <c r="A543" s="2">
        <v>544.0</v>
      </c>
      <c r="B543" s="3" t="s">
        <v>19</v>
      </c>
      <c r="C543" s="4" t="str">
        <f>hyperlink("https://terraria.gamepedia.com/Mechanical_Eye","Mechanical Eye")</f>
        <v>Mechanical Eye</v>
      </c>
    </row>
    <row r="544">
      <c r="A544" s="2">
        <v>545.0</v>
      </c>
      <c r="B544" s="3" t="s">
        <v>18</v>
      </c>
      <c r="C544" s="4" t="str">
        <f>hyperlink("https://terraria.gamepedia.com/Cursed_Arrow","Cursed Arrow")</f>
        <v>Cursed Arrow</v>
      </c>
    </row>
    <row r="545">
      <c r="A545" s="2">
        <v>546.0</v>
      </c>
      <c r="B545" s="3" t="s">
        <v>18</v>
      </c>
      <c r="C545" s="4" t="str">
        <f>hyperlink("https://terraria.gamepedia.com/Cursed_Bullet","Cursed Bullet")</f>
        <v>Cursed Bullet</v>
      </c>
    </row>
    <row r="546">
      <c r="A546" s="2">
        <v>547.0</v>
      </c>
      <c r="B546" s="3" t="s">
        <v>11</v>
      </c>
      <c r="C546" s="4" t="str">
        <f>hyperlink("https://terraria.gamepedia.com/Soul_of_Fright","Soul of Fright")</f>
        <v>Soul of Fright</v>
      </c>
    </row>
    <row r="547">
      <c r="A547" s="2">
        <v>548.0</v>
      </c>
      <c r="B547" s="3" t="s">
        <v>11</v>
      </c>
      <c r="C547" s="4" t="str">
        <f>hyperlink("https://terraria.gamepedia.com/Soul_of_Might","Soul of Might")</f>
        <v>Soul of Might</v>
      </c>
    </row>
    <row r="548">
      <c r="A548" s="2">
        <v>549.0</v>
      </c>
      <c r="B548" s="3" t="s">
        <v>11</v>
      </c>
      <c r="C548" s="4" t="str">
        <f>hyperlink("https://terraria.gamepedia.com/Soul_of_Sight","Soul of Sight")</f>
        <v>Soul of Sight</v>
      </c>
    </row>
    <row r="549">
      <c r="A549" s="2">
        <v>550.0</v>
      </c>
      <c r="B549" s="3" t="s">
        <v>5</v>
      </c>
      <c r="C549" s="4" t="str">
        <f>hyperlink("https://terraria.gamepedia.com/Gungnir","Gungnir")</f>
        <v>Gungnir</v>
      </c>
    </row>
    <row r="550">
      <c r="A550" s="2">
        <v>551.0</v>
      </c>
      <c r="B550" s="3" t="s">
        <v>17</v>
      </c>
      <c r="C550" s="4" t="str">
        <f>hyperlink("https://terraria.gamepedia.com/Hallowed_armor","Hallowed Plate Mail")</f>
        <v>Hallowed Plate Mail</v>
      </c>
    </row>
    <row r="551">
      <c r="A551" s="2">
        <v>552.0</v>
      </c>
      <c r="B551" s="3" t="s">
        <v>17</v>
      </c>
      <c r="C551" s="4" t="str">
        <f>hyperlink("https://terraria.gamepedia.com/Hallowed_armor","Hallowed Greaves")</f>
        <v>Hallowed Greaves</v>
      </c>
    </row>
    <row r="552">
      <c r="A552" s="2">
        <v>553.0</v>
      </c>
      <c r="B552" s="3" t="s">
        <v>17</v>
      </c>
      <c r="C552" s="4" t="str">
        <f>hyperlink("https://terraria.gamepedia.com/Hallowed_armor","Hallowed Helmet")</f>
        <v>Hallowed Helmet</v>
      </c>
    </row>
    <row r="553">
      <c r="A553" s="2">
        <v>554.0</v>
      </c>
      <c r="B553" s="3" t="s">
        <v>10</v>
      </c>
      <c r="C553" s="4" t="str">
        <f>hyperlink("https://terraria.gamepedia.com/Cross_Necklace","Cross Necklace")</f>
        <v>Cross Necklace</v>
      </c>
    </row>
    <row r="554">
      <c r="A554" s="2">
        <v>555.0</v>
      </c>
      <c r="B554" s="3" t="s">
        <v>10</v>
      </c>
      <c r="C554" s="4" t="str">
        <f>hyperlink("https://terraria.gamepedia.com/Mana_Flower","Mana Flower")</f>
        <v>Mana Flower</v>
      </c>
    </row>
    <row r="555">
      <c r="A555" s="2">
        <v>556.0</v>
      </c>
      <c r="B555" s="3" t="s">
        <v>19</v>
      </c>
      <c r="C555" s="4" t="str">
        <f>hyperlink("https://terraria.gamepedia.com/Mechanical_Worm","Mechanical Worm")</f>
        <v>Mechanical Worm</v>
      </c>
    </row>
    <row r="556">
      <c r="A556" s="2">
        <v>557.0</v>
      </c>
      <c r="B556" s="3" t="s">
        <v>19</v>
      </c>
      <c r="C556" s="4" t="str">
        <f>hyperlink("https://terraria.gamepedia.com/Mechanical_Skull","Mechanical Skull")</f>
        <v>Mechanical Skull</v>
      </c>
    </row>
    <row r="557">
      <c r="A557" s="2">
        <v>558.0</v>
      </c>
      <c r="B557" s="3" t="s">
        <v>17</v>
      </c>
      <c r="C557" s="4" t="str">
        <f>hyperlink("https://terraria.gamepedia.com/Hallowed_armor","Hallowed Headgear")</f>
        <v>Hallowed Headgear</v>
      </c>
    </row>
    <row r="558">
      <c r="A558" s="2">
        <v>559.0</v>
      </c>
      <c r="B558" s="3" t="s">
        <v>17</v>
      </c>
      <c r="C558" s="4" t="str">
        <f>hyperlink("https://terraria.gamepedia.com/Hallowed_armor","Hallowed Mask")</f>
        <v>Hallowed Mask</v>
      </c>
    </row>
    <row r="559">
      <c r="A559" s="2">
        <v>560.0</v>
      </c>
      <c r="B559" s="3" t="s">
        <v>19</v>
      </c>
      <c r="C559" s="4" t="str">
        <f>hyperlink("https://terraria.gamepedia.com/Slime_Crown","Slime Crown")</f>
        <v>Slime Crown</v>
      </c>
    </row>
    <row r="560">
      <c r="A560" s="2">
        <v>561.0</v>
      </c>
      <c r="B560" s="3" t="s">
        <v>5</v>
      </c>
      <c r="C560" s="4" t="str">
        <f>hyperlink("https://terraria.gamepedia.com/Light_Disc","Light Disc")</f>
        <v>Light Disc</v>
      </c>
    </row>
    <row r="561">
      <c r="A561" s="2">
        <v>562.0</v>
      </c>
      <c r="B561" s="3" t="s">
        <v>29</v>
      </c>
      <c r="C561" s="4" t="str">
        <f>hyperlink("https://terraria.gamepedia.com/Music_Boxes","Music Box (Overworld Day)")</f>
        <v>Music Box (Overworld Day)</v>
      </c>
    </row>
    <row r="562">
      <c r="A562" s="2">
        <v>563.0</v>
      </c>
      <c r="B562" s="3" t="s">
        <v>29</v>
      </c>
      <c r="C562" s="4" t="str">
        <f>hyperlink("https://terraria.gamepedia.com/Music_Boxes","Music Box (Eerie)")</f>
        <v>Music Box (Eerie)</v>
      </c>
    </row>
    <row r="563">
      <c r="A563" s="2">
        <v>564.0</v>
      </c>
      <c r="B563" s="3" t="s">
        <v>29</v>
      </c>
      <c r="C563" s="4" t="str">
        <f>hyperlink("https://terraria.gamepedia.com/Music_Boxes","Music Box (Night)")</f>
        <v>Music Box (Night)</v>
      </c>
    </row>
    <row r="564">
      <c r="A564" s="2">
        <v>565.0</v>
      </c>
      <c r="B564" s="3" t="s">
        <v>29</v>
      </c>
      <c r="C564" s="4" t="str">
        <f>hyperlink("https://terraria.gamepedia.com/Music_Boxes","Music Box (Title)")</f>
        <v>Music Box (Title)</v>
      </c>
    </row>
    <row r="565">
      <c r="A565" s="2">
        <v>566.0</v>
      </c>
      <c r="B565" s="3" t="s">
        <v>29</v>
      </c>
      <c r="C565" s="4" t="str">
        <f>hyperlink("https://terraria.gamepedia.com/Music_Boxes","Music Box (Underground)")</f>
        <v>Music Box (Underground)</v>
      </c>
    </row>
    <row r="566">
      <c r="A566" s="2">
        <v>567.0</v>
      </c>
      <c r="B566" s="3" t="s">
        <v>29</v>
      </c>
      <c r="C566" s="4" t="str">
        <f>hyperlink("https://terraria.gamepedia.com/Music_Boxes","Music Box (Boss 1)")</f>
        <v>Music Box (Boss 1)</v>
      </c>
    </row>
    <row r="567">
      <c r="A567" s="2">
        <v>568.0</v>
      </c>
      <c r="B567" s="3" t="s">
        <v>29</v>
      </c>
      <c r="C567" s="4" t="str">
        <f>hyperlink("https://terraria.gamepedia.com/Music_Boxes","Music Box (Jungle)")</f>
        <v>Music Box (Jungle)</v>
      </c>
    </row>
    <row r="568">
      <c r="A568" s="2">
        <v>569.0</v>
      </c>
      <c r="B568" s="3" t="s">
        <v>29</v>
      </c>
      <c r="C568" s="4" t="str">
        <f>hyperlink("https://terraria.gamepedia.com/Music_Boxes","Music Box (Corruption)")</f>
        <v>Music Box (Corruption)</v>
      </c>
    </row>
    <row r="569">
      <c r="A569" s="2">
        <v>570.0</v>
      </c>
      <c r="B569" s="3" t="s">
        <v>29</v>
      </c>
      <c r="C569" s="4" t="str">
        <f>hyperlink("https://terraria.gamepedia.com/Music_Boxes","Music Box (Underground Corruption)")</f>
        <v>Music Box (Underground Corruption)</v>
      </c>
    </row>
    <row r="570">
      <c r="A570" s="2">
        <v>571.0</v>
      </c>
      <c r="B570" s="3" t="s">
        <v>29</v>
      </c>
      <c r="C570" s="4" t="str">
        <f>hyperlink("https://terraria.gamepedia.com/Music_Boxes","Music Box (The Hallow)")</f>
        <v>Music Box (The Hallow)</v>
      </c>
    </row>
    <row r="571">
      <c r="A571" s="2">
        <v>572.0</v>
      </c>
      <c r="B571" s="3" t="s">
        <v>29</v>
      </c>
      <c r="C571" s="4" t="str">
        <f>hyperlink("https://terraria.gamepedia.com/Music_Boxes","Music Box (Boss 2)")</f>
        <v>Music Box (Boss 2)</v>
      </c>
    </row>
    <row r="572">
      <c r="A572" s="2">
        <v>573.0</v>
      </c>
      <c r="B572" s="3" t="s">
        <v>29</v>
      </c>
      <c r="C572" s="4" t="str">
        <f>hyperlink("https://terraria.gamepedia.com/Music_Boxes","Music Box (Underground Hallow)")</f>
        <v>Music Box (Underground Hallow)</v>
      </c>
    </row>
    <row r="573">
      <c r="A573" s="2">
        <v>574.0</v>
      </c>
      <c r="B573" s="3" t="s">
        <v>29</v>
      </c>
      <c r="C573" s="4" t="str">
        <f>hyperlink("https://terraria.gamepedia.com/Music_Boxes","Music Box (Boss 3)")</f>
        <v>Music Box (Boss 3)</v>
      </c>
    </row>
    <row r="574">
      <c r="A574" s="2">
        <v>575.0</v>
      </c>
      <c r="B574" s="3" t="s">
        <v>11</v>
      </c>
      <c r="C574" s="4" t="str">
        <f>hyperlink("https://terraria.gamepedia.com/Soul_of_Flight","Soul of Flight")</f>
        <v>Soul of Flight</v>
      </c>
    </row>
    <row r="575">
      <c r="A575" s="2">
        <v>576.0</v>
      </c>
      <c r="B575" s="3" t="s">
        <v>29</v>
      </c>
      <c r="C575" s="4" t="str">
        <f>hyperlink("https://terraria.gamepedia.com/Music_Boxes","Music Box")</f>
        <v>Music Box</v>
      </c>
    </row>
    <row r="576">
      <c r="A576" s="2">
        <v>577.0</v>
      </c>
      <c r="B576" s="3" t="s">
        <v>4</v>
      </c>
      <c r="C576" s="4" t="str">
        <f>hyperlink("https://terraria.gamepedia.com/Demonite_Brick","Demonite Brick")</f>
        <v>Demonite Brick</v>
      </c>
    </row>
    <row r="577">
      <c r="A577" s="2">
        <v>578.0</v>
      </c>
      <c r="B577" s="3" t="s">
        <v>5</v>
      </c>
      <c r="C577" s="4" t="str">
        <f>hyperlink("https://terraria.gamepedia.com/Hallowed_Repeater","Hallowed Repeater")</f>
        <v>Hallowed Repeater</v>
      </c>
    </row>
    <row r="578">
      <c r="A578" s="2">
        <v>579.0</v>
      </c>
      <c r="B578" s="3" t="s">
        <v>3</v>
      </c>
      <c r="C578" s="4" t="str">
        <f>hyperlink("https://terraria.gamepedia.com/Drax","Drax")</f>
        <v>Drax</v>
      </c>
    </row>
    <row r="579">
      <c r="A579" s="2">
        <v>580.0</v>
      </c>
      <c r="B579" s="3" t="s">
        <v>18</v>
      </c>
      <c r="C579" s="4" t="str">
        <f>hyperlink("https://terraria.gamepedia.com/Explosives","Explosives")</f>
        <v>Explosives</v>
      </c>
    </row>
    <row r="580">
      <c r="A580" s="2">
        <v>581.0</v>
      </c>
      <c r="B580" s="3" t="s">
        <v>28</v>
      </c>
      <c r="C580" s="4" t="str">
        <f>hyperlink("https://terraria.gamepedia.com/Pumps","Inlet Pump")</f>
        <v>Inlet Pump</v>
      </c>
    </row>
    <row r="581">
      <c r="A581" s="2">
        <v>582.0</v>
      </c>
      <c r="B581" s="3" t="s">
        <v>28</v>
      </c>
      <c r="C581" s="4" t="str">
        <f>hyperlink("https://terraria.gamepedia.com/Pumps","Outlet Pump")</f>
        <v>Outlet Pump</v>
      </c>
    </row>
    <row r="582">
      <c r="A582" s="2">
        <v>583.0</v>
      </c>
      <c r="B582" s="3" t="s">
        <v>28</v>
      </c>
      <c r="C582" s="4" t="str">
        <f>hyperlink("https://terraria.gamepedia.com/Timers","1 Second Timer")</f>
        <v>1 Second Timer</v>
      </c>
    </row>
    <row r="583">
      <c r="A583" s="2">
        <v>584.0</v>
      </c>
      <c r="B583" s="3" t="s">
        <v>28</v>
      </c>
      <c r="C583" s="4" t="str">
        <f>hyperlink("https://terraria.gamepedia.com/Timers","3 Second Timer")</f>
        <v>3 Second Timer</v>
      </c>
    </row>
    <row r="584">
      <c r="A584" s="2">
        <v>585.0</v>
      </c>
      <c r="B584" s="3" t="s">
        <v>28</v>
      </c>
      <c r="C584" s="4" t="str">
        <f>hyperlink("https://terraria.gamepedia.com/Timers","5 Second Timer")</f>
        <v>5 Second Timer</v>
      </c>
    </row>
    <row r="585">
      <c r="A585" s="2">
        <v>586.0</v>
      </c>
      <c r="B585" s="3" t="s">
        <v>4</v>
      </c>
      <c r="C585" s="4" t="str">
        <f>hyperlink("https://terraria.gamepedia.com/Candy_Cane_Blocks","Candy Cane Block")</f>
        <v>Candy Cane Block</v>
      </c>
    </row>
    <row r="586">
      <c r="A586" s="2">
        <v>587.0</v>
      </c>
      <c r="B586" s="3" t="s">
        <v>13</v>
      </c>
      <c r="C586" s="4" t="str">
        <f>hyperlink("https://terraria.gamepedia.com/Candy_Cane_Walls","Candy Cane Wall")</f>
        <v>Candy Cane Wall</v>
      </c>
    </row>
    <row r="587">
      <c r="A587" s="2">
        <v>588.0</v>
      </c>
      <c r="B587" s="3" t="s">
        <v>23</v>
      </c>
      <c r="C587" s="4" t="str">
        <f>hyperlink("https://terraria.gamepedia.com/Santa_set","Santa Hat")</f>
        <v>Santa Hat</v>
      </c>
    </row>
    <row r="588">
      <c r="A588" s="2">
        <v>589.0</v>
      </c>
      <c r="B588" s="3" t="s">
        <v>23</v>
      </c>
      <c r="C588" s="4" t="str">
        <f>hyperlink("https://terraria.gamepedia.com/Santa_set","Santa Shirt")</f>
        <v>Santa Shirt</v>
      </c>
    </row>
    <row r="589">
      <c r="A589" s="2">
        <v>590.0</v>
      </c>
      <c r="B589" s="3" t="s">
        <v>23</v>
      </c>
      <c r="C589" s="4" t="str">
        <f>hyperlink("https://terraria.gamepedia.com/Santa_set","Santa Pants")</f>
        <v>Santa Pants</v>
      </c>
    </row>
    <row r="590">
      <c r="A590" s="2">
        <v>591.0</v>
      </c>
      <c r="B590" s="3" t="s">
        <v>4</v>
      </c>
      <c r="C590" s="4" t="str">
        <f>hyperlink("https://terraria.gamepedia.com/Candy_Cane_Blocks","Green Candy Cane Block")</f>
        <v>Green Candy Cane Block</v>
      </c>
    </row>
    <row r="591">
      <c r="A591" s="2">
        <v>592.0</v>
      </c>
      <c r="B591" s="3" t="s">
        <v>13</v>
      </c>
      <c r="C591" s="4" t="str">
        <f>hyperlink("https://terraria.gamepedia.com/Candy_Cane_Walls","Green Candy Cane Wall")</f>
        <v>Green Candy Cane Wall</v>
      </c>
    </row>
    <row r="592">
      <c r="A592" s="2">
        <v>593.0</v>
      </c>
      <c r="B592" s="3" t="s">
        <v>4</v>
      </c>
      <c r="C592" s="4" t="str">
        <f>hyperlink("https://terraria.gamepedia.com/Snow_Block","Snow Block")</f>
        <v>Snow Block</v>
      </c>
    </row>
    <row r="593">
      <c r="A593" s="2">
        <v>594.0</v>
      </c>
      <c r="B593" s="3" t="s">
        <v>4</v>
      </c>
      <c r="C593" s="4" t="str">
        <f>hyperlink("https://terraria.gamepedia.com/Snow_Brick","Snow Brick")</f>
        <v>Snow Brick</v>
      </c>
    </row>
    <row r="594">
      <c r="A594" s="2">
        <v>595.0</v>
      </c>
      <c r="B594" s="3" t="s">
        <v>13</v>
      </c>
      <c r="C594" s="4" t="str">
        <f>hyperlink("https://terraria.gamepedia.com/Snow_Brick_Wall","Snow Brick Wall")</f>
        <v>Snow Brick Wall</v>
      </c>
    </row>
    <row r="595">
      <c r="A595" s="2">
        <v>596.0</v>
      </c>
      <c r="B595" s="3" t="s">
        <v>30</v>
      </c>
      <c r="C595" s="4" t="str">
        <f>hyperlink("https://terraria.gamepedia.com/Christmas_Lights","Blue Light")</f>
        <v>Blue Light</v>
      </c>
    </row>
    <row r="596">
      <c r="A596" s="2">
        <v>597.0</v>
      </c>
      <c r="B596" s="3" t="s">
        <v>30</v>
      </c>
      <c r="C596" s="4" t="str">
        <f>hyperlink("https://terraria.gamepedia.com/Christmas_Lights","Red Light")</f>
        <v>Red Light</v>
      </c>
    </row>
    <row r="597">
      <c r="A597" s="2">
        <v>598.0</v>
      </c>
      <c r="B597" s="3" t="s">
        <v>30</v>
      </c>
      <c r="C597" s="4" t="str">
        <f>hyperlink("https://terraria.gamepedia.com/Christmas_Lights","Green Light")</f>
        <v>Green Light</v>
      </c>
    </row>
    <row r="598">
      <c r="A598" s="2">
        <v>602.0</v>
      </c>
      <c r="B598" s="3" t="s">
        <v>19</v>
      </c>
      <c r="C598" s="4" t="str">
        <f>hyperlink("https://terraria.gamepedia.com/Snow_Globe","Snow Globe")</f>
        <v>Snow Globe</v>
      </c>
    </row>
    <row r="599">
      <c r="A599" s="2">
        <v>603.0</v>
      </c>
      <c r="B599" s="3" t="s">
        <v>22</v>
      </c>
      <c r="C599" s="4" t="str">
        <f>hyperlink("https://terraria.gamepedia.com/Carrot","Carrot")</f>
        <v>Carrot</v>
      </c>
    </row>
    <row r="600">
      <c r="A600" s="2">
        <v>604.0</v>
      </c>
      <c r="B600" s="3" t="s">
        <v>4</v>
      </c>
      <c r="C600" s="4" t="str">
        <f>hyperlink("https://terraria.gamepedia.com/Adamantite_Beam","Adamantite Beam")</f>
        <v>Adamantite Beam</v>
      </c>
    </row>
    <row r="601">
      <c r="A601" s="2">
        <v>605.0</v>
      </c>
      <c r="B601" s="3" t="s">
        <v>13</v>
      </c>
      <c r="C601" s="4" t="str">
        <f>hyperlink("https://terraria.gamepedia.com/Adamantite_Beam_Wall","Adamantite Beam Wall")</f>
        <v>Adamantite Beam Wall</v>
      </c>
    </row>
    <row r="602">
      <c r="A602" s="2">
        <v>606.0</v>
      </c>
      <c r="B602" s="3" t="s">
        <v>13</v>
      </c>
      <c r="C602" s="4" t="str">
        <f>hyperlink("https://terraria.gamepedia.com/Demonite_Brick_Wall","Demonite Brick Wall")</f>
        <v>Demonite Brick Wall</v>
      </c>
    </row>
    <row r="603">
      <c r="A603" s="2">
        <v>607.0</v>
      </c>
      <c r="B603" s="3" t="s">
        <v>4</v>
      </c>
      <c r="C603" s="4" t="str">
        <f>hyperlink("https://terraria.gamepedia.com/Sandstone_Brick","Sandstone Brick")</f>
        <v>Sandstone Brick</v>
      </c>
    </row>
    <row r="604">
      <c r="A604" s="2">
        <v>608.0</v>
      </c>
      <c r="B604" s="3" t="s">
        <v>13</v>
      </c>
      <c r="C604" s="4" t="str">
        <f>hyperlink("https://terraria.gamepedia.com/Sandstone_Brick_Wall","Sandstone Brick Wall")</f>
        <v>Sandstone Brick Wall</v>
      </c>
    </row>
    <row r="605">
      <c r="A605" s="2">
        <v>609.0</v>
      </c>
      <c r="B605" s="3" t="s">
        <v>4</v>
      </c>
      <c r="C605" s="4" t="str">
        <f>hyperlink("https://terraria.gamepedia.com/Ebonstone_Brick","Ebonstone Brick")</f>
        <v>Ebonstone Brick</v>
      </c>
    </row>
    <row r="606">
      <c r="A606" s="2">
        <v>610.0</v>
      </c>
      <c r="B606" s="3" t="s">
        <v>13</v>
      </c>
      <c r="C606" s="4" t="str">
        <f>hyperlink("https://terraria.gamepedia.com/Ebonstone_Brick_Wall","Ebonstone Brick Wall")</f>
        <v>Ebonstone Brick Wall</v>
      </c>
    </row>
    <row r="607">
      <c r="A607" s="2">
        <v>611.0</v>
      </c>
      <c r="B607" s="3" t="s">
        <v>4</v>
      </c>
      <c r="C607" s="4" t="str">
        <f>hyperlink("https://terraria.gamepedia.com/Stucco","Red Stucco")</f>
        <v>Red Stucco</v>
      </c>
    </row>
    <row r="608">
      <c r="A608" s="2">
        <v>612.0</v>
      </c>
      <c r="B608" s="3" t="s">
        <v>4</v>
      </c>
      <c r="C608" s="4" t="str">
        <f>hyperlink("https://terraria.gamepedia.com/Stucco","Yellow Stucco")</f>
        <v>Yellow Stucco</v>
      </c>
    </row>
    <row r="609">
      <c r="A609" s="2">
        <v>613.0</v>
      </c>
      <c r="B609" s="3" t="s">
        <v>4</v>
      </c>
      <c r="C609" s="4" t="str">
        <f>hyperlink("https://terraria.gamepedia.com/Stucco","Green Stucco")</f>
        <v>Green Stucco</v>
      </c>
    </row>
    <row r="610">
      <c r="A610" s="2">
        <v>614.0</v>
      </c>
      <c r="B610" s="3" t="s">
        <v>4</v>
      </c>
      <c r="C610" s="4" t="str">
        <f>hyperlink("https://terraria.gamepedia.com/Stucco","Gray Stucco")</f>
        <v>Gray Stucco</v>
      </c>
    </row>
    <row r="611">
      <c r="A611" s="2">
        <v>615.0</v>
      </c>
      <c r="B611" s="3" t="s">
        <v>13</v>
      </c>
      <c r="C611" s="4" t="str">
        <f>hyperlink("https://terraria.gamepedia.com/Stucco_Walls","Red Stucco Wall")</f>
        <v>Red Stucco Wall</v>
      </c>
    </row>
    <row r="612">
      <c r="A612" s="2">
        <v>616.0</v>
      </c>
      <c r="B612" s="3" t="s">
        <v>13</v>
      </c>
      <c r="C612" s="4" t="str">
        <f>hyperlink("https://terraria.gamepedia.com/Stucco_Walls","Yellow Stucco Wall")</f>
        <v>Yellow Stucco Wall</v>
      </c>
    </row>
    <row r="613">
      <c r="A613" s="2">
        <v>617.0</v>
      </c>
      <c r="B613" s="3" t="s">
        <v>13</v>
      </c>
      <c r="C613" s="4" t="str">
        <f>hyperlink("https://terraria.gamepedia.com/Stucco_Walls","Green Stucco Wall")</f>
        <v>Green Stucco Wall</v>
      </c>
    </row>
    <row r="614">
      <c r="A614" s="2">
        <v>618.0</v>
      </c>
      <c r="B614" s="3" t="s">
        <v>13</v>
      </c>
      <c r="C614" s="4" t="str">
        <f>hyperlink("https://terraria.gamepedia.com/Stucco_Walls","Gray Stucco Wall")</f>
        <v>Gray Stucco Wall</v>
      </c>
    </row>
    <row r="615">
      <c r="A615" s="2">
        <v>619.0</v>
      </c>
      <c r="B615" s="3" t="s">
        <v>8</v>
      </c>
      <c r="C615" s="4" t="str">
        <f>hyperlink("https://terraria.gamepedia.com/Ebonwood","Ebonwood")</f>
        <v>Ebonwood</v>
      </c>
    </row>
    <row r="616">
      <c r="A616" s="2">
        <v>620.0</v>
      </c>
      <c r="B616" s="3" t="s">
        <v>8</v>
      </c>
      <c r="C616" s="4" t="str">
        <f>hyperlink("https://terraria.gamepedia.com/Rich_Mahogany","Rich Mahogany")</f>
        <v>Rich Mahogany</v>
      </c>
    </row>
    <row r="617">
      <c r="A617" s="2">
        <v>621.0</v>
      </c>
      <c r="B617" s="3" t="s">
        <v>8</v>
      </c>
      <c r="C617" s="4" t="str">
        <f>hyperlink("https://terraria.gamepedia.com/Pearlwood","Pearlwood")</f>
        <v>Pearlwood</v>
      </c>
    </row>
    <row r="618">
      <c r="A618" s="2">
        <v>622.0</v>
      </c>
      <c r="B618" s="3" t="s">
        <v>13</v>
      </c>
      <c r="C618" s="4" t="str">
        <f>hyperlink("https://terraria.gamepedia.com/Ebonwood_Wall","Ebonwood Wall")</f>
        <v>Ebonwood Wall</v>
      </c>
    </row>
    <row r="619">
      <c r="A619" s="2">
        <v>623.0</v>
      </c>
      <c r="B619" s="3" t="s">
        <v>13</v>
      </c>
      <c r="C619" s="4" t="str">
        <f>hyperlink("https://terraria.gamepedia.com/Rich_Mahogany_Wall","Rich Mahogany Wall")</f>
        <v>Rich Mahogany Wall</v>
      </c>
    </row>
    <row r="620">
      <c r="A620" s="2">
        <v>624.0</v>
      </c>
      <c r="B620" s="3" t="s">
        <v>13</v>
      </c>
      <c r="C620" s="4" t="str">
        <f>hyperlink("https://terraria.gamepedia.com/Pearlwood_Wall","Pearlwood Wall")</f>
        <v>Pearlwood Wall</v>
      </c>
    </row>
    <row r="621">
      <c r="A621" s="2">
        <v>625.0</v>
      </c>
      <c r="B621" s="3" t="s">
        <v>20</v>
      </c>
      <c r="C621" s="4" t="str">
        <f>hyperlink("https://terraria.gamepedia.com/Chests","Ebonwood Chest")</f>
        <v>Ebonwood Chest</v>
      </c>
    </row>
    <row r="622">
      <c r="A622" s="2">
        <v>626.0</v>
      </c>
      <c r="B622" s="3" t="s">
        <v>20</v>
      </c>
      <c r="C622" s="4" t="str">
        <f>hyperlink("https://terraria.gamepedia.com/Rich_Mahogany_Chest","Rich Mahogany Chest")</f>
        <v>Rich Mahogany Chest</v>
      </c>
    </row>
    <row r="623">
      <c r="A623" s="2">
        <v>627.0</v>
      </c>
      <c r="B623" s="3" t="s">
        <v>20</v>
      </c>
      <c r="C623" s="4" t="str">
        <f>hyperlink("https://terraria.gamepedia.com/Chests","Pearlwood Chest")</f>
        <v>Pearlwood Chest</v>
      </c>
    </row>
    <row r="624">
      <c r="A624" s="2">
        <v>628.0</v>
      </c>
      <c r="B624" s="3" t="s">
        <v>31</v>
      </c>
      <c r="C624" s="4" t="str">
        <f>hyperlink("https://terraria.gamepedia.com/Chairs","Ebonwood Chair")</f>
        <v>Ebonwood Chair</v>
      </c>
    </row>
    <row r="625">
      <c r="A625" s="2">
        <v>629.0</v>
      </c>
      <c r="B625" s="3" t="s">
        <v>31</v>
      </c>
      <c r="C625" s="4" t="str">
        <f>hyperlink("https://terraria.gamepedia.com/Chairs","Rich Mahogany Chair")</f>
        <v>Rich Mahogany Chair</v>
      </c>
    </row>
    <row r="626">
      <c r="A626" s="2">
        <v>630.0</v>
      </c>
      <c r="B626" s="3" t="s">
        <v>31</v>
      </c>
      <c r="C626" s="4" t="str">
        <f>hyperlink("https://terraria.gamepedia.com/Chairs","Pearlwood Chair")</f>
        <v>Pearlwood Chair</v>
      </c>
    </row>
    <row r="627">
      <c r="A627" s="2">
        <v>631.0</v>
      </c>
      <c r="B627" s="3" t="s">
        <v>8</v>
      </c>
      <c r="C627" s="4" t="str">
        <f>hyperlink("https://terraria.gamepedia.com/Platforms","Ebonwood Platform")</f>
        <v>Ebonwood Platform</v>
      </c>
    </row>
    <row r="628">
      <c r="A628" s="2">
        <v>632.0</v>
      </c>
      <c r="B628" s="3" t="s">
        <v>8</v>
      </c>
      <c r="C628" s="4" t="str">
        <f>hyperlink("https://terraria.gamepedia.com/Platforms","Rich Mahogany Platform")</f>
        <v>Rich Mahogany Platform</v>
      </c>
    </row>
    <row r="629">
      <c r="A629" s="2">
        <v>633.0</v>
      </c>
      <c r="B629" s="3" t="s">
        <v>8</v>
      </c>
      <c r="C629" s="4" t="str">
        <f>hyperlink("https://terraria.gamepedia.com/Platforms","Pearlwood Platform")</f>
        <v>Pearlwood Platform</v>
      </c>
    </row>
    <row r="630">
      <c r="A630" s="2">
        <v>634.0</v>
      </c>
      <c r="B630" s="3" t="s">
        <v>8</v>
      </c>
      <c r="C630" s="4" t="str">
        <f>hyperlink("https://terraria.gamepedia.com/Platforms","Bone Platform")</f>
        <v>Bone Platform</v>
      </c>
    </row>
    <row r="631">
      <c r="A631" s="2">
        <v>635.0</v>
      </c>
      <c r="B631" s="3" t="s">
        <v>31</v>
      </c>
      <c r="C631" s="4" t="str">
        <f>hyperlink("https://terraria.gamepedia.com/Work_Benches","Ebonwood Work Bench")</f>
        <v>Ebonwood Work Bench</v>
      </c>
    </row>
    <row r="632">
      <c r="A632" s="2">
        <v>636.0</v>
      </c>
      <c r="B632" s="3" t="s">
        <v>31</v>
      </c>
      <c r="C632" s="4" t="str">
        <f>hyperlink("https://terraria.gamepedia.com/Work_Benches","Rich Mahogany Work Bench")</f>
        <v>Rich Mahogany Work Bench</v>
      </c>
    </row>
    <row r="633">
      <c r="A633" s="2">
        <v>637.0</v>
      </c>
      <c r="B633" s="3" t="s">
        <v>31</v>
      </c>
      <c r="C633" s="4" t="str">
        <f>hyperlink("https://terraria.gamepedia.com/Work_Benches","Pearlwood Work Bench")</f>
        <v>Pearlwood Work Bench</v>
      </c>
    </row>
    <row r="634">
      <c r="A634" s="2">
        <v>638.0</v>
      </c>
      <c r="B634" s="3" t="s">
        <v>31</v>
      </c>
      <c r="C634" s="4" t="str">
        <f>hyperlink("https://terraria.gamepedia.com/Tables","Ebonwood Table")</f>
        <v>Ebonwood Table</v>
      </c>
    </row>
    <row r="635">
      <c r="A635" s="2">
        <v>639.0</v>
      </c>
      <c r="B635" s="3" t="s">
        <v>31</v>
      </c>
      <c r="C635" s="4" t="str">
        <f>hyperlink("https://terraria.gamepedia.com/Tables","Rich Mahogany Table")</f>
        <v>Rich Mahogany Table</v>
      </c>
    </row>
    <row r="636">
      <c r="A636" s="2">
        <v>640.0</v>
      </c>
      <c r="B636" s="3" t="s">
        <v>31</v>
      </c>
      <c r="C636" s="4" t="str">
        <f>hyperlink("https://terraria.gamepedia.com/Tables","Pearlwood Table")</f>
        <v>Pearlwood Table</v>
      </c>
    </row>
    <row r="637">
      <c r="A637" s="2">
        <v>641.0</v>
      </c>
      <c r="B637" s="3" t="s">
        <v>31</v>
      </c>
      <c r="C637" s="4" t="str">
        <f>hyperlink("https://terraria.gamepedia.com/Pianos","Ebonwood Piano")</f>
        <v>Ebonwood Piano</v>
      </c>
    </row>
    <row r="638">
      <c r="A638" s="2">
        <v>642.0</v>
      </c>
      <c r="B638" s="3" t="s">
        <v>31</v>
      </c>
      <c r="C638" s="4" t="str">
        <f>hyperlink("https://terraria.gamepedia.com/Pianos","Rich Mahogany Piano")</f>
        <v>Rich Mahogany Piano</v>
      </c>
    </row>
    <row r="639">
      <c r="A639" s="2">
        <v>643.0</v>
      </c>
      <c r="B639" s="3" t="s">
        <v>31</v>
      </c>
      <c r="C639" s="4" t="str">
        <f>hyperlink("https://terraria.gamepedia.com/Pianos","Pearlwood Piano")</f>
        <v>Pearlwood Piano</v>
      </c>
    </row>
    <row r="640">
      <c r="A640" s="2">
        <v>644.0</v>
      </c>
      <c r="B640" s="3" t="s">
        <v>31</v>
      </c>
      <c r="C640" s="4" t="str">
        <f>hyperlink("https://terraria.gamepedia.com/Beds","Ebonwood Bed")</f>
        <v>Ebonwood Bed</v>
      </c>
    </row>
    <row r="641">
      <c r="A641" s="2">
        <v>645.0</v>
      </c>
      <c r="B641" s="3" t="s">
        <v>31</v>
      </c>
      <c r="C641" s="4" t="str">
        <f>hyperlink("https://terraria.gamepedia.com/Beds","Rich Mahogany Bed")</f>
        <v>Rich Mahogany Bed</v>
      </c>
    </row>
    <row r="642">
      <c r="A642" s="2">
        <v>646.0</v>
      </c>
      <c r="B642" s="3" t="s">
        <v>31</v>
      </c>
      <c r="C642" s="4" t="str">
        <f>hyperlink("https://terraria.gamepedia.com/Beds","Pearlwood Bed")</f>
        <v>Pearlwood Bed</v>
      </c>
    </row>
    <row r="643">
      <c r="A643" s="2">
        <v>647.0</v>
      </c>
      <c r="B643" s="3" t="s">
        <v>31</v>
      </c>
      <c r="C643" s="4" t="str">
        <f>hyperlink("https://terraria.gamepedia.com/Dressers","Ebonwood Dresser")</f>
        <v>Ebonwood Dresser</v>
      </c>
    </row>
    <row r="644">
      <c r="A644" s="2">
        <v>648.0</v>
      </c>
      <c r="B644" s="3" t="s">
        <v>31</v>
      </c>
      <c r="C644" s="4" t="str">
        <f>hyperlink("https://terraria.gamepedia.com/Dressers","Rich Mahogany Dresser")</f>
        <v>Rich Mahogany Dresser</v>
      </c>
    </row>
    <row r="645">
      <c r="A645" s="2">
        <v>649.0</v>
      </c>
      <c r="B645" s="3" t="s">
        <v>31</v>
      </c>
      <c r="C645" s="4" t="str">
        <f>hyperlink("https://terraria.gamepedia.com/Dressers","Pearlwood Dresser")</f>
        <v>Pearlwood Dresser</v>
      </c>
    </row>
    <row r="646">
      <c r="A646" s="2">
        <v>650.0</v>
      </c>
      <c r="B646" s="3" t="s">
        <v>31</v>
      </c>
      <c r="C646" s="4" t="str">
        <f>hyperlink("https://terraria.gamepedia.com/Doors","Ebonwood Door")</f>
        <v>Ebonwood Door</v>
      </c>
    </row>
    <row r="647">
      <c r="A647" s="2">
        <v>651.0</v>
      </c>
      <c r="B647" s="3" t="s">
        <v>31</v>
      </c>
      <c r="C647" s="4" t="str">
        <f>hyperlink("https://terraria.gamepedia.com/Doors","Rich Mahogany Door")</f>
        <v>Rich Mahogany Door</v>
      </c>
    </row>
    <row r="648">
      <c r="A648" s="2">
        <v>652.0</v>
      </c>
      <c r="B648" s="3" t="s">
        <v>31</v>
      </c>
      <c r="C648" s="4" t="str">
        <f>hyperlink("https://terraria.gamepedia.com/Doors","Pearlwood Door")</f>
        <v>Pearlwood Door</v>
      </c>
    </row>
    <row r="649">
      <c r="A649" s="2">
        <v>653.0</v>
      </c>
      <c r="B649" s="3" t="s">
        <v>5</v>
      </c>
      <c r="C649" s="4" t="str">
        <f>hyperlink("https://terraria.gamepedia.com/Ebonwood_Sword","Ebonwood Sword")</f>
        <v>Ebonwood Sword</v>
      </c>
    </row>
    <row r="650">
      <c r="A650" s="2">
        <v>654.0</v>
      </c>
      <c r="B650" s="3" t="s">
        <v>3</v>
      </c>
      <c r="C650" s="4" t="str">
        <f>hyperlink("https://terraria.gamepedia.com/Ebonwood_Hammer","Ebonwood Hammer")</f>
        <v>Ebonwood Hammer</v>
      </c>
    </row>
    <row r="651">
      <c r="A651" s="2">
        <v>655.0</v>
      </c>
      <c r="B651" s="3" t="s">
        <v>5</v>
      </c>
      <c r="C651" s="4" t="str">
        <f>hyperlink("https://terraria.gamepedia.com/Ebonwood_Bow","Ebonwood Bow")</f>
        <v>Ebonwood Bow</v>
      </c>
    </row>
    <row r="652">
      <c r="A652" s="2">
        <v>656.0</v>
      </c>
      <c r="B652" s="3" t="s">
        <v>5</v>
      </c>
      <c r="C652" s="4" t="str">
        <f>hyperlink("https://terraria.gamepedia.com/Rich_Mahogany_Sword","Rich Mahogany Sword")</f>
        <v>Rich Mahogany Sword</v>
      </c>
    </row>
    <row r="653">
      <c r="A653" s="2">
        <v>657.0</v>
      </c>
      <c r="B653" s="3" t="s">
        <v>3</v>
      </c>
      <c r="C653" s="4" t="str">
        <f>hyperlink("https://terraria.gamepedia.com/Rich_Mahogany_Hammer","Rich Mahogany Hammer")</f>
        <v>Rich Mahogany Hammer</v>
      </c>
    </row>
    <row r="654">
      <c r="A654" s="2">
        <v>658.0</v>
      </c>
      <c r="B654" s="3" t="s">
        <v>5</v>
      </c>
      <c r="C654" s="4" t="str">
        <f>hyperlink("https://terraria.gamepedia.com/Rich_Mahogany_Bow","Rich Mahogany Bow")</f>
        <v>Rich Mahogany Bow</v>
      </c>
    </row>
    <row r="655">
      <c r="A655" s="2">
        <v>659.0</v>
      </c>
      <c r="B655" s="3" t="s">
        <v>5</v>
      </c>
      <c r="C655" s="4" t="str">
        <f>hyperlink("https://terraria.gamepedia.com/Pearlwood_Sword","Pearlwood Sword")</f>
        <v>Pearlwood Sword</v>
      </c>
    </row>
    <row r="656">
      <c r="A656" s="2">
        <v>660.0</v>
      </c>
      <c r="B656" s="3" t="s">
        <v>3</v>
      </c>
      <c r="C656" s="4" t="str">
        <f>hyperlink("https://terraria.gamepedia.com/Pearlwood_Hammer","Pearlwood Hammer")</f>
        <v>Pearlwood Hammer</v>
      </c>
    </row>
    <row r="657">
      <c r="A657" s="2">
        <v>661.0</v>
      </c>
      <c r="B657" s="3" t="s">
        <v>5</v>
      </c>
      <c r="C657" s="4" t="str">
        <f>hyperlink("https://terraria.gamepedia.com/Pearlwood_Bow","Pearlwood Bow")</f>
        <v>Pearlwood Bow</v>
      </c>
    </row>
    <row r="658">
      <c r="A658" s="2">
        <v>662.0</v>
      </c>
      <c r="B658" s="3" t="s">
        <v>4</v>
      </c>
      <c r="C658" s="4" t="str">
        <f>hyperlink("https://terraria.gamepedia.com/Rainbow_Brick","Rainbow Brick")</f>
        <v>Rainbow Brick</v>
      </c>
    </row>
    <row r="659">
      <c r="A659" s="2">
        <v>663.0</v>
      </c>
      <c r="B659" s="3" t="s">
        <v>13</v>
      </c>
      <c r="C659" s="4" t="str">
        <f>hyperlink("https://terraria.gamepedia.com/Rainbow_Brick_Wall","Rainbow Brick Wall")</f>
        <v>Rainbow Brick Wall</v>
      </c>
    </row>
    <row r="660">
      <c r="A660" s="2">
        <v>664.0</v>
      </c>
      <c r="B660" s="3" t="s">
        <v>4</v>
      </c>
      <c r="C660" s="4" t="str">
        <f>hyperlink("https://terraria.gamepedia.com/Ice_Blocks","Ice Block")</f>
        <v>Ice Block</v>
      </c>
    </row>
    <row r="661">
      <c r="A661" s="2">
        <v>665.0</v>
      </c>
      <c r="B661" s="3" t="s">
        <v>27</v>
      </c>
      <c r="C661" s="4" t="str">
        <f>hyperlink("https://terraria.gamepedia.com/Wings","Red's Wings")</f>
        <v>Red's Wings</v>
      </c>
    </row>
    <row r="662">
      <c r="A662" s="2">
        <v>666.0</v>
      </c>
      <c r="B662" s="3" t="s">
        <v>32</v>
      </c>
      <c r="C662" s="4" t="str">
        <f>hyperlink("https://terraria.gamepedia.com/Red's_set","Red's Helmet")</f>
        <v>Red's Helmet</v>
      </c>
    </row>
    <row r="663">
      <c r="A663" s="2">
        <v>667.0</v>
      </c>
      <c r="B663" s="3" t="s">
        <v>32</v>
      </c>
      <c r="C663" s="4" t="str">
        <f>hyperlink("https://terraria.gamepedia.com/Red's_set","Red's Breastplate")</f>
        <v>Red's Breastplate</v>
      </c>
    </row>
    <row r="664">
      <c r="A664" s="2">
        <v>668.0</v>
      </c>
      <c r="B664" s="3" t="s">
        <v>32</v>
      </c>
      <c r="C664" s="4" t="str">
        <f>hyperlink("https://terraria.gamepedia.com/Red's_set","Red's Leggings")</f>
        <v>Red's Leggings</v>
      </c>
    </row>
    <row r="665">
      <c r="A665" s="2">
        <v>669.0</v>
      </c>
      <c r="B665" s="3" t="s">
        <v>22</v>
      </c>
      <c r="C665" s="4" t="str">
        <f>hyperlink("https://terraria.gamepedia.com/Fish_(item)","Fish (item)")</f>
        <v>Fish (item)</v>
      </c>
    </row>
    <row r="666">
      <c r="A666" s="2">
        <v>670.0</v>
      </c>
      <c r="B666" s="3" t="s">
        <v>5</v>
      </c>
      <c r="C666" s="4" t="str">
        <f>hyperlink("https://terraria.gamepedia.com/Ice_Boomerang","Ice Boomerang")</f>
        <v>Ice Boomerang</v>
      </c>
    </row>
    <row r="667">
      <c r="A667" s="2">
        <v>671.0</v>
      </c>
      <c r="B667" s="3" t="s">
        <v>5</v>
      </c>
      <c r="C667" s="4" t="str">
        <f>hyperlink("https://terraria.gamepedia.com/Keybrand","Keybrand")</f>
        <v>Keybrand</v>
      </c>
    </row>
    <row r="668">
      <c r="A668" s="2">
        <v>672.0</v>
      </c>
      <c r="B668" s="3" t="s">
        <v>5</v>
      </c>
      <c r="C668" s="4" t="str">
        <f>hyperlink("https://terraria.gamepedia.com/Cutlass","Cutlass")</f>
        <v>Cutlass</v>
      </c>
    </row>
    <row r="669">
      <c r="A669" s="2">
        <v>673.0</v>
      </c>
      <c r="B669" s="3" t="s">
        <v>31</v>
      </c>
      <c r="C669" s="4" t="str">
        <f>hyperlink("https://terraria.gamepedia.com/Work_Benches","Boreal Wood Work Bench")</f>
        <v>Boreal Wood Work Bench</v>
      </c>
    </row>
    <row r="670">
      <c r="A670" s="2">
        <v>674.0</v>
      </c>
      <c r="B670" s="3" t="s">
        <v>5</v>
      </c>
      <c r="C670" s="4" t="str">
        <f>hyperlink("https://terraria.gamepedia.com/True_Excalibur","True Excalibur")</f>
        <v>True Excalibur</v>
      </c>
    </row>
    <row r="671">
      <c r="A671" s="2">
        <v>675.0</v>
      </c>
      <c r="B671" s="3" t="s">
        <v>5</v>
      </c>
      <c r="C671" s="4" t="str">
        <f>hyperlink("https://terraria.gamepedia.com/True_Night's_Edge","True Night's Edge")</f>
        <v>True Night's Edge</v>
      </c>
    </row>
    <row r="672">
      <c r="A672" s="2">
        <v>676.0</v>
      </c>
      <c r="B672" s="3" t="s">
        <v>5</v>
      </c>
      <c r="C672" s="4" t="str">
        <f>hyperlink("https://terraria.gamepedia.com/Frostbrand","Frostbrand")</f>
        <v>Frostbrand</v>
      </c>
    </row>
    <row r="673">
      <c r="A673" s="2">
        <v>677.0</v>
      </c>
      <c r="B673" s="3" t="s">
        <v>31</v>
      </c>
      <c r="C673" s="4" t="str">
        <f>hyperlink("https://terraria.gamepedia.com/Tables","Boreal Wood Table")</f>
        <v>Boreal Wood Table</v>
      </c>
    </row>
    <row r="674">
      <c r="A674" s="2">
        <v>678.0</v>
      </c>
      <c r="B674" s="3" t="s">
        <v>14</v>
      </c>
      <c r="C674" s="4" t="str">
        <f>hyperlink("https://terraria.gamepedia.com/Red_Potion","Red Potion")</f>
        <v>Red Potion</v>
      </c>
    </row>
    <row r="675">
      <c r="A675" s="2">
        <v>679.0</v>
      </c>
      <c r="B675" s="3" t="s">
        <v>5</v>
      </c>
      <c r="C675" s="4" t="str">
        <f>hyperlink("https://terraria.gamepedia.com/Tactical_Shotgun","Tactical Shotgun")</f>
        <v>Tactical Shotgun</v>
      </c>
    </row>
    <row r="676">
      <c r="A676" s="2">
        <v>680.0</v>
      </c>
      <c r="B676" s="3" t="s">
        <v>20</v>
      </c>
      <c r="C676" s="4" t="str">
        <f>hyperlink("https://terraria.gamepedia.com/Ivy_Chest","Ivy Chest")</f>
        <v>Ivy Chest</v>
      </c>
    </row>
    <row r="677">
      <c r="A677" s="2">
        <v>681.0</v>
      </c>
      <c r="B677" s="3" t="s">
        <v>20</v>
      </c>
      <c r="C677" s="4" t="str">
        <f>hyperlink("https://terraria.gamepedia.com/Frozen_Chest","Frozen Chest")</f>
        <v>Frozen Chest</v>
      </c>
    </row>
    <row r="678">
      <c r="A678" s="2">
        <v>682.0</v>
      </c>
      <c r="B678" s="3" t="s">
        <v>5</v>
      </c>
      <c r="C678" s="4" t="str">
        <f>hyperlink("https://terraria.gamepedia.com/Marrow","Marrow")</f>
        <v>Marrow</v>
      </c>
    </row>
    <row r="679">
      <c r="A679" s="2">
        <v>683.0</v>
      </c>
      <c r="B679" s="3" t="s">
        <v>5</v>
      </c>
      <c r="C679" s="4" t="str">
        <f>hyperlink("https://terraria.gamepedia.com/Unholy_Trident","Unholy Trident")</f>
        <v>Unholy Trident</v>
      </c>
    </row>
    <row r="680">
      <c r="A680" s="2">
        <v>684.0</v>
      </c>
      <c r="B680" s="3" t="s">
        <v>17</v>
      </c>
      <c r="C680" s="4" t="str">
        <f>hyperlink("https://terraria.gamepedia.com/Frost_armor","Frost Helmet")</f>
        <v>Frost Helmet</v>
      </c>
    </row>
    <row r="681">
      <c r="A681" s="2">
        <v>685.0</v>
      </c>
      <c r="B681" s="3" t="s">
        <v>17</v>
      </c>
      <c r="C681" s="4" t="str">
        <f>hyperlink("https://terraria.gamepedia.com/Frost_armor","Frost Breastplate")</f>
        <v>Frost Breastplate</v>
      </c>
    </row>
    <row r="682">
      <c r="A682" s="2">
        <v>686.0</v>
      </c>
      <c r="B682" s="3" t="s">
        <v>17</v>
      </c>
      <c r="C682" s="4" t="str">
        <f>hyperlink("https://terraria.gamepedia.com/Frost_armor","Frost Leggings")</f>
        <v>Frost Leggings</v>
      </c>
    </row>
    <row r="683">
      <c r="A683" s="2">
        <v>687.0</v>
      </c>
      <c r="B683" s="3" t="s">
        <v>17</v>
      </c>
      <c r="C683" s="4" t="str">
        <f>hyperlink("https://terraria.gamepedia.com/Tin_armor","Tin Helmet")</f>
        <v>Tin Helmet</v>
      </c>
    </row>
    <row r="684">
      <c r="A684" s="2">
        <v>688.0</v>
      </c>
      <c r="B684" s="3" t="s">
        <v>17</v>
      </c>
      <c r="C684" s="4" t="str">
        <f>hyperlink("https://terraria.gamepedia.com/Tin_armor","Tin Chainmail")</f>
        <v>Tin Chainmail</v>
      </c>
    </row>
    <row r="685">
      <c r="A685" s="2">
        <v>689.0</v>
      </c>
      <c r="B685" s="3" t="s">
        <v>17</v>
      </c>
      <c r="C685" s="4" t="str">
        <f>hyperlink("https://terraria.gamepedia.com/Tin_armor","Tin Greaves")</f>
        <v>Tin Greaves</v>
      </c>
    </row>
    <row r="686">
      <c r="A686" s="2">
        <v>690.0</v>
      </c>
      <c r="B686" s="3" t="s">
        <v>17</v>
      </c>
      <c r="C686" s="4" t="str">
        <f>hyperlink("https://terraria.gamepedia.com/Lead_armor","Lead Helmet")</f>
        <v>Lead Helmet</v>
      </c>
    </row>
    <row r="687">
      <c r="A687" s="2">
        <v>691.0</v>
      </c>
      <c r="B687" s="3" t="s">
        <v>17</v>
      </c>
      <c r="C687" s="4" t="str">
        <f>hyperlink("https://terraria.gamepedia.com/Lead_armor","Lead Chainmail")</f>
        <v>Lead Chainmail</v>
      </c>
    </row>
    <row r="688">
      <c r="A688" s="2">
        <v>692.0</v>
      </c>
      <c r="B688" s="3" t="s">
        <v>17</v>
      </c>
      <c r="C688" s="4" t="str">
        <f>hyperlink("https://terraria.gamepedia.com/Lead_armor","Lead Greaves")</f>
        <v>Lead Greaves</v>
      </c>
    </row>
    <row r="689">
      <c r="A689" s="2">
        <v>693.0</v>
      </c>
      <c r="B689" s="3" t="s">
        <v>17</v>
      </c>
      <c r="C689" s="4" t="str">
        <f>hyperlink("https://terraria.gamepedia.com/Tungsten_armor","Tungsten Helmet")</f>
        <v>Tungsten Helmet</v>
      </c>
    </row>
    <row r="690">
      <c r="A690" s="2">
        <v>694.0</v>
      </c>
      <c r="B690" s="3" t="s">
        <v>17</v>
      </c>
      <c r="C690" s="4" t="str">
        <f>hyperlink("https://terraria.gamepedia.com/Tungsten_armor","Tungsten Chainmail")</f>
        <v>Tungsten Chainmail</v>
      </c>
    </row>
    <row r="691">
      <c r="A691" s="2">
        <v>695.0</v>
      </c>
      <c r="B691" s="3" t="s">
        <v>17</v>
      </c>
      <c r="C691" s="4" t="str">
        <f>hyperlink("https://terraria.gamepedia.com/Tungsten_armor","Tungsten Greaves")</f>
        <v>Tungsten Greaves</v>
      </c>
    </row>
    <row r="692">
      <c r="A692" s="2">
        <v>696.0</v>
      </c>
      <c r="B692" s="3" t="s">
        <v>17</v>
      </c>
      <c r="C692" s="4" t="str">
        <f>hyperlink("https://terraria.gamepedia.com/Platinum_armor","Platinum Helmet")</f>
        <v>Platinum Helmet</v>
      </c>
    </row>
    <row r="693">
      <c r="A693" s="2">
        <v>697.0</v>
      </c>
      <c r="B693" s="3" t="s">
        <v>17</v>
      </c>
      <c r="C693" s="4" t="str">
        <f>hyperlink("https://terraria.gamepedia.com/Platinum_armor","Platinum Chainmail")</f>
        <v>Platinum Chainmail</v>
      </c>
    </row>
    <row r="694">
      <c r="A694" s="2">
        <v>698.0</v>
      </c>
      <c r="B694" s="3" t="s">
        <v>17</v>
      </c>
      <c r="C694" s="4" t="str">
        <f>hyperlink("https://terraria.gamepedia.com/Platinum_armor","Platinum Greaves")</f>
        <v>Platinum Greaves</v>
      </c>
    </row>
    <row r="695">
      <c r="A695" s="2">
        <v>699.0</v>
      </c>
      <c r="B695" s="3" t="s">
        <v>9</v>
      </c>
      <c r="C695" s="4" t="str">
        <f>hyperlink("https://terraria.gamepedia.com/Tin_Ore","Tin Ore")</f>
        <v>Tin Ore</v>
      </c>
    </row>
    <row r="696">
      <c r="A696" s="2">
        <v>700.0</v>
      </c>
      <c r="B696" s="3" t="s">
        <v>9</v>
      </c>
      <c r="C696" s="4" t="str">
        <f>hyperlink("https://terraria.gamepedia.com/Lead_Ore","Lead Ore")</f>
        <v>Lead Ore</v>
      </c>
    </row>
    <row r="697">
      <c r="A697" s="2">
        <v>701.0</v>
      </c>
      <c r="B697" s="3" t="s">
        <v>9</v>
      </c>
      <c r="C697" s="4" t="str">
        <f>hyperlink("https://terraria.gamepedia.com/Tungsten_Ore","Tungsten Ore")</f>
        <v>Tungsten Ore</v>
      </c>
    </row>
    <row r="698">
      <c r="A698" s="2">
        <v>702.0</v>
      </c>
      <c r="B698" s="3" t="s">
        <v>9</v>
      </c>
      <c r="C698" s="4" t="str">
        <f>hyperlink("https://terraria.gamepedia.com/Platinum_Ore","Platinum Ore")</f>
        <v>Platinum Ore</v>
      </c>
    </row>
    <row r="699">
      <c r="A699" s="2">
        <v>703.0</v>
      </c>
      <c r="B699" s="3" t="s">
        <v>9</v>
      </c>
      <c r="C699" s="4" t="str">
        <f>hyperlink("https://terraria.gamepedia.com/Tin_Bar","Tin Bar")</f>
        <v>Tin Bar</v>
      </c>
    </row>
    <row r="700">
      <c r="A700" s="2">
        <v>704.0</v>
      </c>
      <c r="B700" s="3" t="s">
        <v>9</v>
      </c>
      <c r="C700" s="4" t="str">
        <f>hyperlink("https://terraria.gamepedia.com/Lead_Bar","Lead Bar")</f>
        <v>Lead Bar</v>
      </c>
    </row>
    <row r="701">
      <c r="A701" s="2">
        <v>705.0</v>
      </c>
      <c r="B701" s="3" t="s">
        <v>9</v>
      </c>
      <c r="C701" s="4" t="str">
        <f>hyperlink("https://terraria.gamepedia.com/Tungsten_Bar","Tungsten Bar")</f>
        <v>Tungsten Bar</v>
      </c>
    </row>
    <row r="702">
      <c r="A702" s="2">
        <v>706.0</v>
      </c>
      <c r="B702" s="3" t="s">
        <v>9</v>
      </c>
      <c r="C702" s="4" t="str">
        <f>hyperlink("https://terraria.gamepedia.com/Platinum_Bar","Platinum Bar")</f>
        <v>Platinum Bar</v>
      </c>
    </row>
    <row r="703">
      <c r="A703" s="2">
        <v>707.0</v>
      </c>
      <c r="B703" s="3" t="s">
        <v>10</v>
      </c>
      <c r="C703" s="4" t="str">
        <f>hyperlink("https://terraria.gamepedia.com/Tin_Watch","Tin Watch")</f>
        <v>Tin Watch</v>
      </c>
    </row>
    <row r="704">
      <c r="A704" s="2">
        <v>708.0</v>
      </c>
      <c r="B704" s="3" t="s">
        <v>10</v>
      </c>
      <c r="C704" s="4" t="str">
        <f>hyperlink("https://terraria.gamepedia.com/Tungsten_Watch","Tungsten Watch")</f>
        <v>Tungsten Watch</v>
      </c>
    </row>
    <row r="705">
      <c r="A705" s="2">
        <v>709.0</v>
      </c>
      <c r="B705" s="3" t="s">
        <v>10</v>
      </c>
      <c r="C705" s="4" t="str">
        <f>hyperlink("https://terraria.gamepedia.com/Platinum_Watch","Platinum Watch")</f>
        <v>Platinum Watch</v>
      </c>
    </row>
    <row r="706">
      <c r="A706" s="2">
        <v>710.0</v>
      </c>
      <c r="B706" s="3" t="s">
        <v>7</v>
      </c>
      <c r="C706" s="4" t="str">
        <f>hyperlink("https://terraria.gamepedia.com/Chandeliers","Tin Chandelier")</f>
        <v>Tin Chandelier</v>
      </c>
    </row>
    <row r="707">
      <c r="A707" s="2">
        <v>711.0</v>
      </c>
      <c r="B707" s="3" t="s">
        <v>7</v>
      </c>
      <c r="C707" s="4" t="str">
        <f>hyperlink("https://terraria.gamepedia.com/Chandeliers","Tungsten Chandelier")</f>
        <v>Tungsten Chandelier</v>
      </c>
    </row>
    <row r="708">
      <c r="A708" s="2">
        <v>712.0</v>
      </c>
      <c r="B708" s="3" t="s">
        <v>7</v>
      </c>
      <c r="C708" s="4" t="str">
        <f>hyperlink("https://terraria.gamepedia.com/Chandeliers","Platinum Chandelier")</f>
        <v>Platinum Chandelier</v>
      </c>
    </row>
    <row r="709">
      <c r="A709" s="2">
        <v>713.0</v>
      </c>
      <c r="B709" s="3" t="s">
        <v>7</v>
      </c>
      <c r="C709" s="4" t="str">
        <f>hyperlink("https://terraria.gamepedia.com/Candles","Platinum Candle")</f>
        <v>Platinum Candle</v>
      </c>
    </row>
    <row r="710">
      <c r="A710" s="2">
        <v>714.0</v>
      </c>
      <c r="B710" s="3" t="s">
        <v>7</v>
      </c>
      <c r="C710" s="4" t="str">
        <f>hyperlink("https://terraria.gamepedia.com/Candelabras","Platinum Candelabra")</f>
        <v>Platinum Candelabra</v>
      </c>
    </row>
    <row r="711">
      <c r="A711" s="2">
        <v>715.0</v>
      </c>
      <c r="B711" s="3" t="s">
        <v>23</v>
      </c>
      <c r="C711" s="4" t="str">
        <f>hyperlink("https://terraria.gamepedia.com/Platinum_Crown","Platinum Crown")</f>
        <v>Platinum Crown</v>
      </c>
    </row>
    <row r="712">
      <c r="A712" s="2">
        <v>716.0</v>
      </c>
      <c r="B712" s="3" t="s">
        <v>16</v>
      </c>
      <c r="C712" s="4" t="str">
        <f>hyperlink("https://terraria.gamepedia.com/Pre-Hardmode_Anvils","Lead Anvil")</f>
        <v>Lead Anvil</v>
      </c>
    </row>
    <row r="713">
      <c r="A713" s="2">
        <v>717.0</v>
      </c>
      <c r="B713" s="3" t="s">
        <v>4</v>
      </c>
      <c r="C713" s="4" t="str">
        <f>hyperlink("https://terraria.gamepedia.com/Tin_Brick","Tin Brick")</f>
        <v>Tin Brick</v>
      </c>
    </row>
    <row r="714">
      <c r="A714" s="2">
        <v>718.0</v>
      </c>
      <c r="B714" s="3" t="s">
        <v>4</v>
      </c>
      <c r="C714" s="4" t="str">
        <f>hyperlink("https://terraria.gamepedia.com/Tungsten_Brick","Tungsten Brick")</f>
        <v>Tungsten Brick</v>
      </c>
    </row>
    <row r="715">
      <c r="A715" s="2">
        <v>719.0</v>
      </c>
      <c r="B715" s="3" t="s">
        <v>4</v>
      </c>
      <c r="C715" s="4" t="str">
        <f>hyperlink("https://terraria.gamepedia.com/Platinum_Brick","Platinum Brick")</f>
        <v>Platinum Brick</v>
      </c>
    </row>
    <row r="716">
      <c r="A716" s="2">
        <v>720.0</v>
      </c>
      <c r="B716" s="3" t="s">
        <v>13</v>
      </c>
      <c r="C716" s="4" t="str">
        <f>hyperlink("https://terraria.gamepedia.com/Tin_Brick_Wall","Tin Brick Wall")</f>
        <v>Tin Brick Wall</v>
      </c>
    </row>
    <row r="717">
      <c r="A717" s="2">
        <v>721.0</v>
      </c>
      <c r="B717" s="3" t="s">
        <v>13</v>
      </c>
      <c r="C717" s="4" t="str">
        <f>hyperlink("https://terraria.gamepedia.com/Tungsten_Brick_Wall","Tungsten Brick Wall")</f>
        <v>Tungsten Brick Wall</v>
      </c>
    </row>
    <row r="718">
      <c r="A718" s="2">
        <v>722.0</v>
      </c>
      <c r="B718" s="3" t="s">
        <v>13</v>
      </c>
      <c r="C718" s="4" t="str">
        <f>hyperlink("https://terraria.gamepedia.com/Platinum_Brick_Wall","Platinum Brick Wall")</f>
        <v>Platinum Brick Wall</v>
      </c>
    </row>
    <row r="719">
      <c r="A719" s="2">
        <v>723.0</v>
      </c>
      <c r="B719" s="3" t="s">
        <v>5</v>
      </c>
      <c r="C719" s="4" t="str">
        <f>hyperlink("https://terraria.gamepedia.com/Beam_Sword","Beam Sword")</f>
        <v>Beam Sword</v>
      </c>
    </row>
    <row r="720">
      <c r="A720" s="2">
        <v>724.0</v>
      </c>
      <c r="B720" s="3" t="s">
        <v>5</v>
      </c>
      <c r="C720" s="4" t="str">
        <f>hyperlink("https://terraria.gamepedia.com/Ice_Blade","Ice Blade")</f>
        <v>Ice Blade</v>
      </c>
    </row>
    <row r="721">
      <c r="A721" s="2">
        <v>725.0</v>
      </c>
      <c r="B721" s="3" t="s">
        <v>5</v>
      </c>
      <c r="C721" s="4" t="str">
        <f>hyperlink("https://terraria.gamepedia.com/Ice_Bow","Ice Bow")</f>
        <v>Ice Bow</v>
      </c>
    </row>
    <row r="722">
      <c r="A722" s="2">
        <v>726.0</v>
      </c>
      <c r="B722" s="3" t="s">
        <v>5</v>
      </c>
      <c r="C722" s="4" t="str">
        <f>hyperlink("https://terraria.gamepedia.com/Frost_Staff","Frost Staff")</f>
        <v>Frost Staff</v>
      </c>
    </row>
    <row r="723">
      <c r="A723" s="2">
        <v>727.0</v>
      </c>
      <c r="B723" s="3" t="s">
        <v>17</v>
      </c>
      <c r="C723" s="4" t="str">
        <f>hyperlink("https://terraria.gamepedia.com/Wood_armor","Wood Helmet")</f>
        <v>Wood Helmet</v>
      </c>
    </row>
    <row r="724">
      <c r="A724" s="2">
        <v>728.0</v>
      </c>
      <c r="B724" s="3" t="s">
        <v>17</v>
      </c>
      <c r="C724" s="4" t="str">
        <f>hyperlink("https://terraria.gamepedia.com/Wood_armor","Wood Breastplate")</f>
        <v>Wood Breastplate</v>
      </c>
    </row>
    <row r="725">
      <c r="A725" s="2">
        <v>729.0</v>
      </c>
      <c r="B725" s="3" t="s">
        <v>17</v>
      </c>
      <c r="C725" s="4" t="str">
        <f>hyperlink("https://terraria.gamepedia.com/Wood_armor","Wood Greaves")</f>
        <v>Wood Greaves</v>
      </c>
    </row>
    <row r="726">
      <c r="A726" s="2">
        <v>730.0</v>
      </c>
      <c r="B726" s="3" t="s">
        <v>17</v>
      </c>
      <c r="C726" s="4" t="str">
        <f>hyperlink("https://terraria.gamepedia.com/Ebonwood_armor","Ebonwood Helmet")</f>
        <v>Ebonwood Helmet</v>
      </c>
    </row>
    <row r="727">
      <c r="A727" s="2">
        <v>731.0</v>
      </c>
      <c r="B727" s="3" t="s">
        <v>17</v>
      </c>
      <c r="C727" s="4" t="str">
        <f>hyperlink("https://terraria.gamepedia.com/Ebonwood_armor","Ebonwood Breastplate")</f>
        <v>Ebonwood Breastplate</v>
      </c>
    </row>
    <row r="728">
      <c r="A728" s="2">
        <v>732.0</v>
      </c>
      <c r="B728" s="3" t="s">
        <v>17</v>
      </c>
      <c r="C728" s="4" t="str">
        <f>hyperlink("https://terraria.gamepedia.com/Ebonwood_armor","Ebonwood Greaves")</f>
        <v>Ebonwood Greaves</v>
      </c>
    </row>
    <row r="729">
      <c r="A729" s="2">
        <v>733.0</v>
      </c>
      <c r="B729" s="3" t="s">
        <v>17</v>
      </c>
      <c r="C729" s="4" t="str">
        <f>hyperlink("https://terraria.gamepedia.com/Rich_Mahogany_armor","Rich Mahogany Helmet")</f>
        <v>Rich Mahogany Helmet</v>
      </c>
    </row>
    <row r="730">
      <c r="A730" s="2">
        <v>734.0</v>
      </c>
      <c r="B730" s="3" t="s">
        <v>17</v>
      </c>
      <c r="C730" s="4" t="str">
        <f>hyperlink("https://terraria.gamepedia.com/Rich_Mahogany_armor","Rich Mahogany Breastplate")</f>
        <v>Rich Mahogany Breastplate</v>
      </c>
    </row>
    <row r="731">
      <c r="A731" s="2">
        <v>735.0</v>
      </c>
      <c r="B731" s="3" t="s">
        <v>17</v>
      </c>
      <c r="C731" s="4" t="str">
        <f>hyperlink("https://terraria.gamepedia.com/Rich_Mahogany_armor","Rich Mahogany Greaves")</f>
        <v>Rich Mahogany Greaves</v>
      </c>
    </row>
    <row r="732">
      <c r="A732" s="2">
        <v>736.0</v>
      </c>
      <c r="B732" s="3" t="s">
        <v>17</v>
      </c>
      <c r="C732" s="4" t="str">
        <f>hyperlink("https://terraria.gamepedia.com/Pearlwood_armor","Pearlwood Helmet")</f>
        <v>Pearlwood Helmet</v>
      </c>
    </row>
    <row r="733">
      <c r="A733" s="2">
        <v>737.0</v>
      </c>
      <c r="B733" s="3" t="s">
        <v>17</v>
      </c>
      <c r="C733" s="4" t="str">
        <f>hyperlink("https://terraria.gamepedia.com/Pearlwood_armor","Pearlwood Breastplate")</f>
        <v>Pearlwood Breastplate</v>
      </c>
    </row>
    <row r="734">
      <c r="A734" s="2">
        <v>738.0</v>
      </c>
      <c r="B734" s="3" t="s">
        <v>17</v>
      </c>
      <c r="C734" s="4" t="str">
        <f>hyperlink("https://terraria.gamepedia.com/Pearlwood_armor","Pearlwood Greaves")</f>
        <v>Pearlwood Greaves</v>
      </c>
    </row>
    <row r="735">
      <c r="A735" s="2">
        <v>739.0</v>
      </c>
      <c r="B735" s="3" t="s">
        <v>5</v>
      </c>
      <c r="C735" s="4" t="str">
        <f>hyperlink("https://terraria.gamepedia.com/Amethyst_Staff","Amethyst Staff")</f>
        <v>Amethyst Staff</v>
      </c>
    </row>
    <row r="736">
      <c r="A736" s="2">
        <v>740.0</v>
      </c>
      <c r="B736" s="3" t="s">
        <v>5</v>
      </c>
      <c r="C736" s="4" t="str">
        <f>hyperlink("https://terraria.gamepedia.com/Topaz_Staff","Topaz Staff")</f>
        <v>Topaz Staff</v>
      </c>
    </row>
    <row r="737">
      <c r="A737" s="2">
        <v>741.0</v>
      </c>
      <c r="B737" s="3" t="s">
        <v>5</v>
      </c>
      <c r="C737" s="4" t="str">
        <f>hyperlink("https://terraria.gamepedia.com/Sapphire_Staff","Sapphire Staff")</f>
        <v>Sapphire Staff</v>
      </c>
    </row>
    <row r="738">
      <c r="A738" s="2">
        <v>742.0</v>
      </c>
      <c r="B738" s="3" t="s">
        <v>5</v>
      </c>
      <c r="C738" s="4" t="str">
        <f>hyperlink("https://terraria.gamepedia.com/Emerald_Staff","Emerald Staff")</f>
        <v>Emerald Staff</v>
      </c>
    </row>
    <row r="739">
      <c r="A739" s="2">
        <v>743.0</v>
      </c>
      <c r="B739" s="3" t="s">
        <v>5</v>
      </c>
      <c r="C739" s="4" t="str">
        <f>hyperlink("https://terraria.gamepedia.com/Ruby_Staff","Ruby Staff")</f>
        <v>Ruby Staff</v>
      </c>
    </row>
    <row r="740">
      <c r="A740" s="2">
        <v>744.0</v>
      </c>
      <c r="B740" s="3" t="s">
        <v>5</v>
      </c>
      <c r="C740" s="4" t="str">
        <f>hyperlink("https://terraria.gamepedia.com/Diamond_Staff","Diamond Staff")</f>
        <v>Diamond Staff</v>
      </c>
    </row>
    <row r="741">
      <c r="A741" s="2">
        <v>745.0</v>
      </c>
      <c r="B741" s="3" t="s">
        <v>13</v>
      </c>
      <c r="C741" s="4" t="str">
        <f>hyperlink("https://terraria.gamepedia.com/Grass_Wall","Grass Wall")</f>
        <v>Grass Wall</v>
      </c>
    </row>
    <row r="742">
      <c r="A742" s="2">
        <v>746.0</v>
      </c>
      <c r="B742" s="3" t="s">
        <v>13</v>
      </c>
      <c r="C742" s="4" t="str">
        <f>hyperlink("https://terraria.gamepedia.com/Jungle_Wall","Jungle Wall")</f>
        <v>Jungle Wall</v>
      </c>
    </row>
    <row r="743">
      <c r="A743" s="2">
        <v>747.0</v>
      </c>
      <c r="B743" s="3" t="s">
        <v>13</v>
      </c>
      <c r="C743" s="4" t="str">
        <f>hyperlink("https://terraria.gamepedia.com/Flower_Wall","Flower Wall")</f>
        <v>Flower Wall</v>
      </c>
    </row>
    <row r="744">
      <c r="A744" s="2">
        <v>748.0</v>
      </c>
      <c r="B744" s="3" t="s">
        <v>27</v>
      </c>
      <c r="C744" s="4" t="str">
        <f>hyperlink("https://terraria.gamepedia.com/Wings","Jetpack")</f>
        <v>Jetpack</v>
      </c>
    </row>
    <row r="745">
      <c r="A745" s="2">
        <v>749.0</v>
      </c>
      <c r="B745" s="3" t="s">
        <v>27</v>
      </c>
      <c r="C745" s="4" t="str">
        <f>hyperlink("https://terraria.gamepedia.com/Wings","Butterfly Wings")</f>
        <v>Butterfly Wings</v>
      </c>
    </row>
    <row r="746">
      <c r="A746" s="2">
        <v>750.0</v>
      </c>
      <c r="B746" s="3" t="s">
        <v>13</v>
      </c>
      <c r="C746" s="4" t="str">
        <f>hyperlink("https://terraria.gamepedia.com/Cactus_Wall","Cactus Wall")</f>
        <v>Cactus Wall</v>
      </c>
    </row>
    <row r="747">
      <c r="A747" s="2">
        <v>751.0</v>
      </c>
      <c r="B747" s="3" t="s">
        <v>4</v>
      </c>
      <c r="C747" s="4" t="str">
        <f>hyperlink("https://terraria.gamepedia.com/Cloud","Cloud")</f>
        <v>Cloud</v>
      </c>
    </row>
    <row r="748">
      <c r="A748" s="2">
        <v>752.0</v>
      </c>
      <c r="B748" s="3" t="s">
        <v>13</v>
      </c>
      <c r="C748" s="4" t="str">
        <f>hyperlink("https://terraria.gamepedia.com/Cloud_Wall","Cloud Wall")</f>
        <v>Cloud Wall</v>
      </c>
    </row>
    <row r="749">
      <c r="A749" s="2">
        <v>753.0</v>
      </c>
      <c r="B749" s="3" t="s">
        <v>22</v>
      </c>
      <c r="C749" s="4" t="str">
        <f>hyperlink("https://terraria.gamepedia.com/Fishing","Seaweed")</f>
        <v>Seaweed</v>
      </c>
    </row>
    <row r="750">
      <c r="A750" s="2">
        <v>754.0</v>
      </c>
      <c r="B750" s="3" t="s">
        <v>23</v>
      </c>
      <c r="C750" s="4" t="str">
        <f>hyperlink("https://terraria.gamepedia.com/Rune_set","Rune Hat")</f>
        <v>Rune Hat</v>
      </c>
    </row>
    <row r="751">
      <c r="A751" s="2">
        <v>755.0</v>
      </c>
      <c r="B751" s="3" t="s">
        <v>23</v>
      </c>
      <c r="C751" s="4" t="str">
        <f>hyperlink("https://terraria.gamepedia.com/Rune_set","Rune Robe")</f>
        <v>Rune Robe</v>
      </c>
    </row>
    <row r="752">
      <c r="A752" s="2">
        <v>756.0</v>
      </c>
      <c r="B752" s="3" t="s">
        <v>5</v>
      </c>
      <c r="C752" s="4" t="str">
        <f>hyperlink("https://terraria.gamepedia.com/Mushroom_Spear","Mushroom Spear")</f>
        <v>Mushroom Spear</v>
      </c>
    </row>
    <row r="753">
      <c r="A753" s="2">
        <v>757.0</v>
      </c>
      <c r="B753" s="3" t="s">
        <v>5</v>
      </c>
      <c r="C753" s="4" t="str">
        <f>hyperlink("https://terraria.gamepedia.com/Terra_Blade","Terra Blade")</f>
        <v>Terra Blade</v>
      </c>
    </row>
    <row r="754">
      <c r="A754" s="2">
        <v>758.0</v>
      </c>
      <c r="B754" s="3" t="s">
        <v>5</v>
      </c>
      <c r="C754" s="4" t="str">
        <f>hyperlink("https://terraria.gamepedia.com/Grenade_Launcher","Grenade Launcher")</f>
        <v>Grenade Launcher</v>
      </c>
    </row>
    <row r="755">
      <c r="A755" s="2">
        <v>759.0</v>
      </c>
      <c r="B755" s="3" t="s">
        <v>5</v>
      </c>
      <c r="C755" s="4" t="str">
        <f>hyperlink("https://terraria.gamepedia.com/Rocket_Launcher","Rocket Launcher")</f>
        <v>Rocket Launcher</v>
      </c>
    </row>
    <row r="756">
      <c r="A756" s="2">
        <v>760.0</v>
      </c>
      <c r="B756" s="3" t="s">
        <v>5</v>
      </c>
      <c r="C756" s="4" t="str">
        <f>hyperlink("https://terraria.gamepedia.com/Proximity_Mine_Launcher","Proximity Mine Launcher")</f>
        <v>Proximity Mine Launcher</v>
      </c>
    </row>
    <row r="757">
      <c r="A757" s="2">
        <v>761.0</v>
      </c>
      <c r="B757" s="3" t="s">
        <v>27</v>
      </c>
      <c r="C757" s="4" t="str">
        <f>hyperlink("https://terraria.gamepedia.com/Wings","Fairy Wings")</f>
        <v>Fairy Wings</v>
      </c>
    </row>
    <row r="758">
      <c r="A758" s="2">
        <v>762.0</v>
      </c>
      <c r="B758" s="3" t="s">
        <v>4</v>
      </c>
      <c r="C758" s="4" t="str">
        <f>hyperlink("https://terraria.gamepedia.com/Slime_Block","Slime Block")</f>
        <v>Slime Block</v>
      </c>
    </row>
    <row r="759">
      <c r="A759" s="2">
        <v>763.0</v>
      </c>
      <c r="B759" s="3" t="s">
        <v>4</v>
      </c>
      <c r="C759" s="4" t="str">
        <f>hyperlink("https://terraria.gamepedia.com/Flesh_Block","Flesh Block")</f>
        <v>Flesh Block</v>
      </c>
    </row>
    <row r="760">
      <c r="A760" s="2">
        <v>764.0</v>
      </c>
      <c r="B760" s="3" t="s">
        <v>13</v>
      </c>
      <c r="C760" s="4" t="str">
        <f>hyperlink("https://terraria.gamepedia.com/Mushroom_Wall","Mushroom Wall")</f>
        <v>Mushroom Wall</v>
      </c>
    </row>
    <row r="761">
      <c r="A761" s="2">
        <v>765.0</v>
      </c>
      <c r="B761" s="3" t="s">
        <v>4</v>
      </c>
      <c r="C761" s="4" t="str">
        <f>hyperlink("https://terraria.gamepedia.com/Rain_Cloud","Rain Cloud")</f>
        <v>Rain Cloud</v>
      </c>
    </row>
    <row r="762">
      <c r="A762" s="2">
        <v>766.0</v>
      </c>
      <c r="B762" s="3" t="s">
        <v>4</v>
      </c>
      <c r="C762" s="4" t="str">
        <f>hyperlink("https://terraria.gamepedia.com/Bone_Block","Bone Block")</f>
        <v>Bone Block</v>
      </c>
    </row>
    <row r="763">
      <c r="A763" s="2">
        <v>767.0</v>
      </c>
      <c r="B763" s="3" t="s">
        <v>4</v>
      </c>
      <c r="C763" s="4" t="str">
        <f>hyperlink("https://terraria.gamepedia.com/Frozen_Slime_Block","Frozen Slime Block")</f>
        <v>Frozen Slime Block</v>
      </c>
    </row>
    <row r="764">
      <c r="A764" s="2">
        <v>768.0</v>
      </c>
      <c r="B764" s="3" t="s">
        <v>13</v>
      </c>
      <c r="C764" s="4" t="str">
        <f>hyperlink("https://terraria.gamepedia.com/Bone_Block_Wall","Bone Block Wall")</f>
        <v>Bone Block Wall</v>
      </c>
    </row>
    <row r="765">
      <c r="A765" s="2">
        <v>769.0</v>
      </c>
      <c r="B765" s="3" t="s">
        <v>13</v>
      </c>
      <c r="C765" s="4" t="str">
        <f>hyperlink("https://terraria.gamepedia.com/Slime_Block_Wall","Slime Block Wall")</f>
        <v>Slime Block Wall</v>
      </c>
    </row>
    <row r="766">
      <c r="A766" s="2">
        <v>770.0</v>
      </c>
      <c r="B766" s="3" t="s">
        <v>13</v>
      </c>
      <c r="C766" s="4" t="str">
        <f>hyperlink("https://terraria.gamepedia.com/Flesh_Block_Wall","Flesh Block Wall")</f>
        <v>Flesh Block Wall</v>
      </c>
    </row>
    <row r="767">
      <c r="A767" s="2">
        <v>771.0</v>
      </c>
      <c r="B767" s="3" t="s">
        <v>18</v>
      </c>
      <c r="C767" s="4" t="str">
        <f>hyperlink("https://terraria.gamepedia.com/Rockets","Rocket I")</f>
        <v>Rocket I</v>
      </c>
    </row>
    <row r="768">
      <c r="A768" s="2">
        <v>772.0</v>
      </c>
      <c r="B768" s="3" t="s">
        <v>18</v>
      </c>
      <c r="C768" s="4" t="str">
        <f>hyperlink("https://terraria.gamepedia.com/Rockets","Rocket II")</f>
        <v>Rocket II</v>
      </c>
    </row>
    <row r="769">
      <c r="A769" s="2">
        <v>773.0</v>
      </c>
      <c r="B769" s="3" t="s">
        <v>18</v>
      </c>
      <c r="C769" s="4" t="str">
        <f>hyperlink("https://terraria.gamepedia.com/Rockets","Rocket III")</f>
        <v>Rocket III</v>
      </c>
    </row>
    <row r="770">
      <c r="A770" s="2">
        <v>774.0</v>
      </c>
      <c r="B770" s="3" t="s">
        <v>18</v>
      </c>
      <c r="C770" s="4" t="str">
        <f>hyperlink("https://terraria.gamepedia.com/Rockets","Rocket IV")</f>
        <v>Rocket IV</v>
      </c>
    </row>
    <row r="771">
      <c r="A771" s="2">
        <v>775.0</v>
      </c>
      <c r="B771" s="3" t="s">
        <v>4</v>
      </c>
      <c r="C771" s="4" t="str">
        <f>hyperlink("https://terraria.gamepedia.com/Asphalt_Block","Asphalt Block")</f>
        <v>Asphalt Block</v>
      </c>
    </row>
    <row r="772">
      <c r="A772" s="2">
        <v>776.0</v>
      </c>
      <c r="B772" s="3" t="s">
        <v>3</v>
      </c>
      <c r="C772" s="4" t="str">
        <f>hyperlink("https://terraria.gamepedia.com/Cobalt_Pickaxe","Cobalt Pickaxe")</f>
        <v>Cobalt Pickaxe</v>
      </c>
    </row>
    <row r="773">
      <c r="A773" s="2">
        <v>777.0</v>
      </c>
      <c r="B773" s="3" t="s">
        <v>3</v>
      </c>
      <c r="C773" s="4" t="str">
        <f>hyperlink("https://terraria.gamepedia.com/Mythril_Pickaxe","Mythril Pickaxe")</f>
        <v>Mythril Pickaxe</v>
      </c>
    </row>
    <row r="774">
      <c r="A774" s="2">
        <v>778.0</v>
      </c>
      <c r="B774" s="3" t="s">
        <v>3</v>
      </c>
      <c r="C774" s="4" t="str">
        <f>hyperlink("https://terraria.gamepedia.com/Adamantite_Pickaxe","Adamantite Pickaxe")</f>
        <v>Adamantite Pickaxe</v>
      </c>
    </row>
    <row r="775">
      <c r="A775" s="2">
        <v>779.0</v>
      </c>
      <c r="B775" s="3" t="s">
        <v>3</v>
      </c>
      <c r="C775" s="4" t="str">
        <f>hyperlink("https://terraria.gamepedia.com/Clentaminator","Clentaminator")</f>
        <v>Clentaminator</v>
      </c>
    </row>
    <row r="776">
      <c r="A776" s="2">
        <v>780.0</v>
      </c>
      <c r="B776" s="3" t="s">
        <v>15</v>
      </c>
      <c r="C776" s="4" t="str">
        <f>hyperlink("https://terraria.gamepedia.com/Clentaminator","Green Solution")</f>
        <v>Green Solution</v>
      </c>
    </row>
    <row r="777">
      <c r="A777" s="2">
        <v>781.0</v>
      </c>
      <c r="B777" s="3" t="s">
        <v>15</v>
      </c>
      <c r="C777" s="4" t="str">
        <f>hyperlink("https://terraria.gamepedia.com/Clentaminator","Blue Solution")</f>
        <v>Blue Solution</v>
      </c>
    </row>
    <row r="778">
      <c r="A778" s="2">
        <v>782.0</v>
      </c>
      <c r="B778" s="3" t="s">
        <v>15</v>
      </c>
      <c r="C778" s="4" t="str">
        <f>hyperlink("https://terraria.gamepedia.com/Clentaminator","Purple Solution")</f>
        <v>Purple Solution</v>
      </c>
    </row>
    <row r="779">
      <c r="A779" s="2">
        <v>783.0</v>
      </c>
      <c r="B779" s="3" t="s">
        <v>15</v>
      </c>
      <c r="C779" s="4" t="str">
        <f>hyperlink("https://terraria.gamepedia.com/Clentaminator","Dark Blue Solution")</f>
        <v>Dark Blue Solution</v>
      </c>
    </row>
    <row r="780">
      <c r="A780" s="2">
        <v>784.0</v>
      </c>
      <c r="B780" s="3" t="s">
        <v>15</v>
      </c>
      <c r="C780" s="4" t="str">
        <f>hyperlink("https://terraria.gamepedia.com/Clentaminator","Red Solution")</f>
        <v>Red Solution</v>
      </c>
    </row>
    <row r="781">
      <c r="A781" s="2">
        <v>785.0</v>
      </c>
      <c r="B781" s="3" t="s">
        <v>27</v>
      </c>
      <c r="C781" s="4" t="str">
        <f>hyperlink("https://terraria.gamepedia.com/Wings","Harpy Wings")</f>
        <v>Harpy Wings</v>
      </c>
    </row>
    <row r="782">
      <c r="A782" s="2">
        <v>786.0</v>
      </c>
      <c r="B782" s="3" t="s">
        <v>27</v>
      </c>
      <c r="C782" s="4" t="str">
        <f>hyperlink("https://terraria.gamepedia.com/Wings","Bone Wings")</f>
        <v>Bone Wings</v>
      </c>
    </row>
    <row r="783">
      <c r="A783" s="2">
        <v>787.0</v>
      </c>
      <c r="B783" s="3" t="s">
        <v>3</v>
      </c>
      <c r="C783" s="4" t="str">
        <f>hyperlink("https://terraria.gamepedia.com/Hammush","Hammush")</f>
        <v>Hammush</v>
      </c>
    </row>
    <row r="784">
      <c r="A784" s="2">
        <v>788.0</v>
      </c>
      <c r="B784" s="3" t="s">
        <v>5</v>
      </c>
      <c r="C784" s="4" t="str">
        <f>hyperlink("https://terraria.gamepedia.com/Nettle_Burst","Nettle Burst")</f>
        <v>Nettle Burst</v>
      </c>
    </row>
    <row r="785">
      <c r="A785" s="2">
        <v>789.0</v>
      </c>
      <c r="B785" s="3" t="s">
        <v>25</v>
      </c>
      <c r="C785" s="4" t="str">
        <f>hyperlink("https://terraria.gamepedia.com/Banners_(decorative)","Ankh Banner")</f>
        <v>Ankh Banner</v>
      </c>
    </row>
    <row r="786">
      <c r="A786" s="2">
        <v>790.0</v>
      </c>
      <c r="B786" s="3" t="s">
        <v>25</v>
      </c>
      <c r="C786" s="4" t="str">
        <f>hyperlink("https://terraria.gamepedia.com/Banners_(decorative)","Snake Banner")</f>
        <v>Snake Banner</v>
      </c>
    </row>
    <row r="787">
      <c r="A787" s="2">
        <v>791.0</v>
      </c>
      <c r="B787" s="3" t="s">
        <v>25</v>
      </c>
      <c r="C787" s="4" t="str">
        <f>hyperlink("https://terraria.gamepedia.com/Banners_(decorative)","Omega Banner")</f>
        <v>Omega Banner</v>
      </c>
    </row>
    <row r="788">
      <c r="A788" s="2">
        <v>792.0</v>
      </c>
      <c r="B788" s="3" t="s">
        <v>17</v>
      </c>
      <c r="C788" s="4" t="str">
        <f>hyperlink("https://terraria.gamepedia.com/Crimson_armor","Crimson Helmet")</f>
        <v>Crimson Helmet</v>
      </c>
    </row>
    <row r="789">
      <c r="A789" s="2">
        <v>793.0</v>
      </c>
      <c r="B789" s="3" t="s">
        <v>17</v>
      </c>
      <c r="C789" s="4" t="str">
        <f>hyperlink("https://terraria.gamepedia.com/Crimson_armor","Crimson Scalemail")</f>
        <v>Crimson Scalemail</v>
      </c>
    </row>
    <row r="790">
      <c r="A790" s="2">
        <v>794.0</v>
      </c>
      <c r="B790" s="3" t="s">
        <v>17</v>
      </c>
      <c r="C790" s="4" t="str">
        <f>hyperlink("https://terraria.gamepedia.com/Crimson_armor","Crimson Greaves")</f>
        <v>Crimson Greaves</v>
      </c>
    </row>
    <row r="791">
      <c r="A791" s="2">
        <v>795.0</v>
      </c>
      <c r="B791" s="3" t="s">
        <v>5</v>
      </c>
      <c r="C791" s="4" t="str">
        <f>hyperlink("https://terraria.gamepedia.com/Blood_Butcherer","Blood Butcherer")</f>
        <v>Blood Butcherer</v>
      </c>
    </row>
    <row r="792">
      <c r="A792" s="2">
        <v>796.0</v>
      </c>
      <c r="B792" s="3" t="s">
        <v>5</v>
      </c>
      <c r="C792" s="4" t="str">
        <f>hyperlink("https://terraria.gamepedia.com/Tendon_Bow","Tendon Bow")</f>
        <v>Tendon Bow</v>
      </c>
    </row>
    <row r="793">
      <c r="A793" s="2">
        <v>797.0</v>
      </c>
      <c r="B793" s="3" t="s">
        <v>3</v>
      </c>
      <c r="C793" s="4" t="str">
        <f>hyperlink("https://terraria.gamepedia.com/Flesh_Grinder","Flesh Grinder")</f>
        <v>Flesh Grinder</v>
      </c>
    </row>
    <row r="794">
      <c r="A794" s="2">
        <v>798.0</v>
      </c>
      <c r="B794" s="3" t="s">
        <v>3</v>
      </c>
      <c r="C794" s="4" t="str">
        <f>hyperlink("https://terraria.gamepedia.com/Deathbringer_Pickaxe","Deathbringer Pickaxe")</f>
        <v>Deathbringer Pickaxe</v>
      </c>
    </row>
    <row r="795">
      <c r="A795" s="2">
        <v>799.0</v>
      </c>
      <c r="B795" s="3" t="s">
        <v>5</v>
      </c>
      <c r="C795" s="4" t="str">
        <f>hyperlink("https://terraria.gamepedia.com/Blood_Lust_Cluster","Blood Lust Cluster")</f>
        <v>Blood Lust Cluster</v>
      </c>
    </row>
    <row r="796">
      <c r="A796" s="2">
        <v>800.0</v>
      </c>
      <c r="B796" s="3" t="s">
        <v>5</v>
      </c>
      <c r="C796" s="4" t="str">
        <f>hyperlink("https://terraria.gamepedia.com/The_Undertaker","The Undertaker")</f>
        <v>The Undertaker</v>
      </c>
    </row>
    <row r="797">
      <c r="A797" s="2">
        <v>801.0</v>
      </c>
      <c r="B797" s="3" t="s">
        <v>5</v>
      </c>
      <c r="C797" s="4" t="str">
        <f>hyperlink("https://terraria.gamepedia.com/The_Meatball","The Meatball")</f>
        <v>The Meatball</v>
      </c>
    </row>
    <row r="798">
      <c r="A798" s="2">
        <v>802.0</v>
      </c>
      <c r="B798" s="3" t="s">
        <v>5</v>
      </c>
      <c r="C798" s="4" t="str">
        <f>hyperlink("https://terraria.gamepedia.com/The_Rotted_Fork","The Rotted Fork")</f>
        <v>The Rotted Fork</v>
      </c>
    </row>
    <row r="799">
      <c r="A799" s="2">
        <v>803.0</v>
      </c>
      <c r="B799" s="3" t="s">
        <v>17</v>
      </c>
      <c r="C799" s="4" t="str">
        <f>hyperlink("https://terraria.gamepedia.com/Snow_armor","Snow Hood")</f>
        <v>Snow Hood</v>
      </c>
    </row>
    <row r="800">
      <c r="A800" s="2">
        <v>804.0</v>
      </c>
      <c r="B800" s="3" t="s">
        <v>17</v>
      </c>
      <c r="C800" s="4" t="str">
        <f>hyperlink("https://terraria.gamepedia.com/Snow_armor","Snow Coat")</f>
        <v>Snow Coat</v>
      </c>
    </row>
    <row r="801">
      <c r="A801" s="2">
        <v>805.0</v>
      </c>
      <c r="B801" s="3" t="s">
        <v>17</v>
      </c>
      <c r="C801" s="4" t="str">
        <f>hyperlink("https://terraria.gamepedia.com/Snow_armor","Snow Pants")</f>
        <v>Snow Pants</v>
      </c>
    </row>
    <row r="802">
      <c r="A802" s="2">
        <v>806.0</v>
      </c>
      <c r="B802" s="3" t="s">
        <v>31</v>
      </c>
      <c r="C802" s="4" t="str">
        <f>hyperlink("https://terraria.gamepedia.com/Chairs","Living Wood Chair")</f>
        <v>Living Wood Chair</v>
      </c>
    </row>
    <row r="803">
      <c r="A803" s="2">
        <v>807.0</v>
      </c>
      <c r="B803" s="3" t="s">
        <v>31</v>
      </c>
      <c r="C803" s="4" t="str">
        <f>hyperlink("https://terraria.gamepedia.com/Chairs","Cactus Chair")</f>
        <v>Cactus Chair</v>
      </c>
    </row>
    <row r="804">
      <c r="A804" s="2">
        <v>808.0</v>
      </c>
      <c r="B804" s="3" t="s">
        <v>31</v>
      </c>
      <c r="C804" s="4" t="str">
        <f>hyperlink("https://terraria.gamepedia.com/Chairs","Bone Chair")</f>
        <v>Bone Chair</v>
      </c>
    </row>
    <row r="805">
      <c r="A805" s="2">
        <v>809.0</v>
      </c>
      <c r="B805" s="3" t="s">
        <v>31</v>
      </c>
      <c r="C805" s="4" t="str">
        <f>hyperlink("https://terraria.gamepedia.com/Chairs","Flesh Chair")</f>
        <v>Flesh Chair</v>
      </c>
    </row>
    <row r="806">
      <c r="A806" s="2">
        <v>810.0</v>
      </c>
      <c r="B806" s="3" t="s">
        <v>31</v>
      </c>
      <c r="C806" s="4" t="str">
        <f>hyperlink("https://terraria.gamepedia.com/Chairs","Mushroom Chair")</f>
        <v>Mushroom Chair</v>
      </c>
    </row>
    <row r="807">
      <c r="A807" s="2">
        <v>811.0</v>
      </c>
      <c r="B807" s="3" t="s">
        <v>31</v>
      </c>
      <c r="C807" s="4" t="str">
        <f>hyperlink("https://terraria.gamepedia.com/Work_Benches","Bone Work Bench")</f>
        <v>Bone Work Bench</v>
      </c>
    </row>
    <row r="808">
      <c r="A808" s="2">
        <v>812.0</v>
      </c>
      <c r="B808" s="3" t="s">
        <v>31</v>
      </c>
      <c r="C808" s="4" t="str">
        <f>hyperlink("https://terraria.gamepedia.com/Work_Benches","Cactus Work Bench")</f>
        <v>Cactus Work Bench</v>
      </c>
    </row>
    <row r="809">
      <c r="A809" s="2">
        <v>813.0</v>
      </c>
      <c r="B809" s="3" t="s">
        <v>31</v>
      </c>
      <c r="C809" s="4" t="str">
        <f>hyperlink("https://terraria.gamepedia.com/Work_Benches","Flesh Work Bench")</f>
        <v>Flesh Work Bench</v>
      </c>
    </row>
    <row r="810">
      <c r="A810" s="2">
        <v>814.0</v>
      </c>
      <c r="B810" s="3" t="s">
        <v>31</v>
      </c>
      <c r="C810" s="4" t="str">
        <f>hyperlink("https://terraria.gamepedia.com/Work_Benches","Mushroom Work Bench")</f>
        <v>Mushroom Work Bench</v>
      </c>
    </row>
    <row r="811">
      <c r="A811" s="2">
        <v>815.0</v>
      </c>
      <c r="B811" s="3" t="s">
        <v>31</v>
      </c>
      <c r="C811" s="4" t="str">
        <f>hyperlink("https://terraria.gamepedia.com/Work_Benches","Slime Work Bench")</f>
        <v>Slime Work Bench</v>
      </c>
    </row>
    <row r="812">
      <c r="A812" s="2">
        <v>816.0</v>
      </c>
      <c r="B812" s="3" t="s">
        <v>31</v>
      </c>
      <c r="C812" s="4" t="str">
        <f>hyperlink("https://terraria.gamepedia.com/Doors","Cactus Door")</f>
        <v>Cactus Door</v>
      </c>
    </row>
    <row r="813">
      <c r="A813" s="2">
        <v>817.0</v>
      </c>
      <c r="B813" s="3" t="s">
        <v>31</v>
      </c>
      <c r="C813" s="4" t="str">
        <f>hyperlink("https://terraria.gamepedia.com/Doors","Flesh Door")</f>
        <v>Flesh Door</v>
      </c>
    </row>
    <row r="814">
      <c r="A814" s="2">
        <v>818.0</v>
      </c>
      <c r="B814" s="3" t="s">
        <v>31</v>
      </c>
      <c r="C814" s="4" t="str">
        <f>hyperlink("https://terraria.gamepedia.com/Doors","Mushroom Door")</f>
        <v>Mushroom Door</v>
      </c>
    </row>
    <row r="815">
      <c r="A815" s="2">
        <v>819.0</v>
      </c>
      <c r="B815" s="3" t="s">
        <v>31</v>
      </c>
      <c r="C815" s="4" t="str">
        <f>hyperlink("https://terraria.gamepedia.com/Doors","Living Wood Door")</f>
        <v>Living Wood Door</v>
      </c>
    </row>
    <row r="816">
      <c r="A816" s="2">
        <v>820.0</v>
      </c>
      <c r="B816" s="3" t="s">
        <v>31</v>
      </c>
      <c r="C816" s="4" t="str">
        <f>hyperlink("https://terraria.gamepedia.com/Doors","Bone Door")</f>
        <v>Bone Door</v>
      </c>
    </row>
    <row r="817">
      <c r="A817" s="2">
        <v>821.0</v>
      </c>
      <c r="B817" s="3" t="s">
        <v>27</v>
      </c>
      <c r="C817" s="4" t="str">
        <f>hyperlink("https://terraria.gamepedia.com/Wings","Flame Wings")</f>
        <v>Flame Wings</v>
      </c>
    </row>
    <row r="818">
      <c r="A818" s="2">
        <v>822.0</v>
      </c>
      <c r="B818" s="3" t="s">
        <v>27</v>
      </c>
      <c r="C818" s="4" t="str">
        <f>hyperlink("https://terraria.gamepedia.com/Wings","Frozen Wings")</f>
        <v>Frozen Wings</v>
      </c>
    </row>
    <row r="819">
      <c r="A819" s="2">
        <v>823.0</v>
      </c>
      <c r="B819" s="3" t="s">
        <v>27</v>
      </c>
      <c r="C819" s="4" t="str">
        <f>hyperlink("https://terraria.gamepedia.com/Wings","Spectre Wings")</f>
        <v>Spectre Wings</v>
      </c>
    </row>
    <row r="820">
      <c r="A820" s="2">
        <v>824.0</v>
      </c>
      <c r="B820" s="3" t="s">
        <v>4</v>
      </c>
      <c r="C820" s="4" t="str">
        <f>hyperlink("https://terraria.gamepedia.com/Sunplate_Block","Sunplate Block")</f>
        <v>Sunplate Block</v>
      </c>
    </row>
    <row r="821">
      <c r="A821" s="2">
        <v>825.0</v>
      </c>
      <c r="B821" s="3" t="s">
        <v>13</v>
      </c>
      <c r="C821" s="4" t="str">
        <f>hyperlink("https://terraria.gamepedia.com/Disc_Wall","Disc Wall")</f>
        <v>Disc Wall</v>
      </c>
    </row>
    <row r="822">
      <c r="A822" s="2">
        <v>826.0</v>
      </c>
      <c r="B822" s="3" t="s">
        <v>31</v>
      </c>
      <c r="C822" s="4" t="str">
        <f>hyperlink("https://terraria.gamepedia.com/Chairs","Skyware Chair")</f>
        <v>Skyware Chair</v>
      </c>
    </row>
    <row r="823">
      <c r="A823" s="2">
        <v>827.0</v>
      </c>
      <c r="B823" s="3" t="s">
        <v>31</v>
      </c>
      <c r="C823" s="4" t="str">
        <f>hyperlink("https://terraria.gamepedia.com/Tables","Bone Table")</f>
        <v>Bone Table</v>
      </c>
    </row>
    <row r="824">
      <c r="A824" s="2">
        <v>828.0</v>
      </c>
      <c r="B824" s="3" t="s">
        <v>31</v>
      </c>
      <c r="C824" s="4" t="str">
        <f>hyperlink("https://terraria.gamepedia.com/Tables","Flesh Table")</f>
        <v>Flesh Table</v>
      </c>
    </row>
    <row r="825">
      <c r="A825" s="2">
        <v>829.0</v>
      </c>
      <c r="B825" s="3" t="s">
        <v>31</v>
      </c>
      <c r="C825" s="4" t="str">
        <f>hyperlink("https://terraria.gamepedia.com/Tables","Living Wood Table")</f>
        <v>Living Wood Table</v>
      </c>
    </row>
    <row r="826">
      <c r="A826" s="2">
        <v>830.0</v>
      </c>
      <c r="B826" s="3" t="s">
        <v>31</v>
      </c>
      <c r="C826" s="4" t="str">
        <f>hyperlink("https://terraria.gamepedia.com/Tables","Skyware Table")</f>
        <v>Skyware Table</v>
      </c>
    </row>
    <row r="827">
      <c r="A827" s="2">
        <v>831.0</v>
      </c>
      <c r="B827" s="3" t="s">
        <v>20</v>
      </c>
      <c r="C827" s="4" t="str">
        <f>hyperlink("https://terraria.gamepedia.com/Living_Wood_Chest","Living Wood Chest")</f>
        <v>Living Wood Chest</v>
      </c>
    </row>
    <row r="828">
      <c r="A828" s="2">
        <v>832.0</v>
      </c>
      <c r="B828" s="3" t="s">
        <v>3</v>
      </c>
      <c r="C828" s="4" t="str">
        <f>hyperlink("https://terraria.gamepedia.com/Block-placing_wands","Living Wood Wand")</f>
        <v>Living Wood Wand</v>
      </c>
    </row>
    <row r="829">
      <c r="A829" s="2">
        <v>833.0</v>
      </c>
      <c r="B829" s="3" t="s">
        <v>4</v>
      </c>
      <c r="C829" s="4" t="str">
        <f>hyperlink("https://terraria.gamepedia.com/Ice_Blocks","Purple Ice Block")</f>
        <v>Purple Ice Block</v>
      </c>
    </row>
    <row r="830">
      <c r="A830" s="2">
        <v>834.0</v>
      </c>
      <c r="B830" s="3" t="s">
        <v>4</v>
      </c>
      <c r="C830" s="4" t="str">
        <f>hyperlink("https://terraria.gamepedia.com/Ice_Blocks","Pink Ice Block")</f>
        <v>Pink Ice Block</v>
      </c>
    </row>
    <row r="831">
      <c r="A831" s="2">
        <v>835.0</v>
      </c>
      <c r="B831" s="3" t="s">
        <v>4</v>
      </c>
      <c r="C831" s="4" t="str">
        <f>hyperlink("https://terraria.gamepedia.com/Ice_Blocks","Red Ice Block")</f>
        <v>Red Ice Block</v>
      </c>
    </row>
    <row r="832">
      <c r="A832" s="2">
        <v>836.0</v>
      </c>
      <c r="B832" s="3" t="s">
        <v>4</v>
      </c>
      <c r="C832" s="4" t="str">
        <f>hyperlink("https://terraria.gamepedia.com/Crimstone_Block","Crimstone Block")</f>
        <v>Crimstone Block</v>
      </c>
    </row>
    <row r="833">
      <c r="A833" s="2">
        <v>837.0</v>
      </c>
      <c r="B833" s="3" t="s">
        <v>31</v>
      </c>
      <c r="C833" s="4" t="str">
        <f>hyperlink("https://terraria.gamepedia.com/Doors","Skyware Door")</f>
        <v>Skyware Door</v>
      </c>
    </row>
    <row r="834">
      <c r="A834" s="2">
        <v>838.0</v>
      </c>
      <c r="B834" s="3" t="s">
        <v>20</v>
      </c>
      <c r="C834" s="4" t="str">
        <f>hyperlink("https://terraria.gamepedia.com/Skyware_Chest","Skyware Chest")</f>
        <v>Skyware Chest</v>
      </c>
    </row>
    <row r="835">
      <c r="A835" s="2">
        <v>839.0</v>
      </c>
      <c r="B835" s="3" t="s">
        <v>23</v>
      </c>
      <c r="C835" s="4" t="str">
        <f>hyperlink("https://terraria.gamepedia.com/Steampunk_set","Steampunk Hat")</f>
        <v>Steampunk Hat</v>
      </c>
    </row>
    <row r="836">
      <c r="A836" s="2">
        <v>840.0</v>
      </c>
      <c r="B836" s="3" t="s">
        <v>23</v>
      </c>
      <c r="C836" s="4" t="str">
        <f>hyperlink("https://terraria.gamepedia.com/Steampunk_set","Steampunk Shirt")</f>
        <v>Steampunk Shirt</v>
      </c>
    </row>
    <row r="837">
      <c r="A837" s="2">
        <v>841.0</v>
      </c>
      <c r="B837" s="3" t="s">
        <v>23</v>
      </c>
      <c r="C837" s="4" t="str">
        <f>hyperlink("https://terraria.gamepedia.com/Steampunk_set","Steampunk Pants")</f>
        <v>Steampunk Pants</v>
      </c>
    </row>
    <row r="838">
      <c r="A838" s="2">
        <v>842.0</v>
      </c>
      <c r="B838" s="3" t="s">
        <v>23</v>
      </c>
      <c r="C838" s="4" t="str">
        <f>hyperlink("https://terraria.gamepedia.com/Bee_set","Bee Hat")</f>
        <v>Bee Hat</v>
      </c>
    </row>
    <row r="839">
      <c r="A839" s="2">
        <v>843.0</v>
      </c>
      <c r="B839" s="3" t="s">
        <v>23</v>
      </c>
      <c r="C839" s="4" t="str">
        <f>hyperlink("https://terraria.gamepedia.com/Bee_set","Bee Shirt")</f>
        <v>Bee Shirt</v>
      </c>
    </row>
    <row r="840">
      <c r="A840" s="2">
        <v>844.0</v>
      </c>
      <c r="B840" s="3" t="s">
        <v>23</v>
      </c>
      <c r="C840" s="4" t="str">
        <f>hyperlink("https://terraria.gamepedia.com/Bee_set","Bee Pants")</f>
        <v>Bee Pants</v>
      </c>
    </row>
    <row r="841">
      <c r="A841" s="2">
        <v>845.0</v>
      </c>
      <c r="B841" s="3" t="s">
        <v>25</v>
      </c>
      <c r="C841" s="4" t="str">
        <f>hyperlink("https://terraria.gamepedia.com/Banners_(decorative)","World Banner")</f>
        <v>World Banner</v>
      </c>
    </row>
    <row r="842">
      <c r="A842" s="2">
        <v>846.0</v>
      </c>
      <c r="B842" s="3" t="s">
        <v>25</v>
      </c>
      <c r="C842" s="4" t="str">
        <f>hyperlink("https://terraria.gamepedia.com/Banners_(decorative)","Sun Banner")</f>
        <v>Sun Banner</v>
      </c>
    </row>
    <row r="843">
      <c r="A843" s="2">
        <v>847.0</v>
      </c>
      <c r="B843" s="3" t="s">
        <v>25</v>
      </c>
      <c r="C843" s="4" t="str">
        <f>hyperlink("https://terraria.gamepedia.com/Banners_(decorative)","Gravity Banner")</f>
        <v>Gravity Banner</v>
      </c>
    </row>
    <row r="844">
      <c r="A844" s="2">
        <v>848.0</v>
      </c>
      <c r="B844" s="3" t="s">
        <v>23</v>
      </c>
      <c r="C844" s="4" t="str">
        <f>hyperlink("https://terraria.gamepedia.com/Pharaoh's_set","Pharaoh's Mask")</f>
        <v>Pharaoh's Mask</v>
      </c>
    </row>
    <row r="845">
      <c r="A845" s="2">
        <v>849.0</v>
      </c>
      <c r="B845" s="3" t="s">
        <v>28</v>
      </c>
      <c r="C845" s="4" t="str">
        <f>hyperlink("https://terraria.gamepedia.com/Actuator","Actuator")</f>
        <v>Actuator</v>
      </c>
    </row>
    <row r="846">
      <c r="A846" s="2">
        <v>850.0</v>
      </c>
      <c r="B846" s="3" t="s">
        <v>3</v>
      </c>
      <c r="C846" s="4" t="str">
        <f>hyperlink("https://terraria.gamepedia.com/Wrenches","Blue Wrench")</f>
        <v>Blue Wrench</v>
      </c>
    </row>
    <row r="847">
      <c r="A847" s="2">
        <v>851.0</v>
      </c>
      <c r="B847" s="3" t="s">
        <v>3</v>
      </c>
      <c r="C847" s="4" t="str">
        <f>hyperlink("https://terraria.gamepedia.com/Wrenches","Green Wrench")</f>
        <v>Green Wrench</v>
      </c>
    </row>
    <row r="848">
      <c r="A848" s="2">
        <v>852.0</v>
      </c>
      <c r="B848" s="3" t="s">
        <v>28</v>
      </c>
      <c r="C848" s="4" t="str">
        <f>hyperlink("https://terraria.gamepedia.com/Pressure_Plates","Blue Pressure Plate")</f>
        <v>Blue Pressure Plate</v>
      </c>
    </row>
    <row r="849">
      <c r="A849" s="2">
        <v>853.0</v>
      </c>
      <c r="B849" s="3" t="s">
        <v>28</v>
      </c>
      <c r="C849" s="4" t="str">
        <f>hyperlink("https://terraria.gamepedia.com/Pressure_Plates","Yellow Pressure Plate")</f>
        <v>Yellow Pressure Plate</v>
      </c>
    </row>
    <row r="850">
      <c r="A850" s="2">
        <v>854.0</v>
      </c>
      <c r="B850" s="3" t="s">
        <v>10</v>
      </c>
      <c r="C850" s="4" t="str">
        <f>hyperlink("https://terraria.gamepedia.com/Discount_Card","Discount Card")</f>
        <v>Discount Card</v>
      </c>
    </row>
    <row r="851">
      <c r="A851" s="2">
        <v>855.0</v>
      </c>
      <c r="B851" s="3" t="s">
        <v>10</v>
      </c>
      <c r="C851" s="4" t="str">
        <f>hyperlink("https://terraria.gamepedia.com/Lucky_Coin","Lucky Coin")</f>
        <v>Lucky Coin</v>
      </c>
    </row>
    <row r="852">
      <c r="A852" s="2">
        <v>856.0</v>
      </c>
      <c r="B852" s="3" t="s">
        <v>23</v>
      </c>
      <c r="C852" s="4" t="str">
        <f>hyperlink("https://terraria.gamepedia.com/Unicorn_on_a_Stick","Unicorn on a Stick")</f>
        <v>Unicorn on a Stick</v>
      </c>
    </row>
    <row r="853">
      <c r="A853" s="2">
        <v>857.0</v>
      </c>
      <c r="B853" s="3" t="s">
        <v>10</v>
      </c>
      <c r="C853" s="4" t="str">
        <f>hyperlink("https://terraria.gamepedia.com/Sandstorm_in_a_Bottle","Sandstorm in a Bottle")</f>
        <v>Sandstorm in a Bottle</v>
      </c>
    </row>
    <row r="854">
      <c r="A854" s="2">
        <v>858.0</v>
      </c>
      <c r="B854" s="3" t="s">
        <v>31</v>
      </c>
      <c r="C854" s="4" t="str">
        <f>hyperlink("https://terraria.gamepedia.com/Sofas","Boreal Wood Sofa")</f>
        <v>Boreal Wood Sofa</v>
      </c>
    </row>
    <row r="855">
      <c r="A855" s="2">
        <v>859.0</v>
      </c>
      <c r="B855" s="3" t="s">
        <v>15</v>
      </c>
      <c r="C855" s="4" t="str">
        <f>hyperlink("https://terraria.gamepedia.com/Beach_Ball","Beach Ball")</f>
        <v>Beach Ball</v>
      </c>
    </row>
    <row r="856">
      <c r="A856" s="2">
        <v>860.0</v>
      </c>
      <c r="B856" s="3" t="s">
        <v>10</v>
      </c>
      <c r="C856" s="4" t="str">
        <f>hyperlink("https://terraria.gamepedia.com/Charm_of_Myths","Charm of Myths")</f>
        <v>Charm of Myths</v>
      </c>
    </row>
    <row r="857">
      <c r="A857" s="2">
        <v>861.0</v>
      </c>
      <c r="B857" s="3" t="s">
        <v>10</v>
      </c>
      <c r="C857" s="4" t="str">
        <f>hyperlink("https://terraria.gamepedia.com/Moon_Shell","Moon Shell")</f>
        <v>Moon Shell</v>
      </c>
    </row>
    <row r="858">
      <c r="A858" s="2">
        <v>862.0</v>
      </c>
      <c r="B858" s="3" t="s">
        <v>10</v>
      </c>
      <c r="C858" s="4" t="str">
        <f>hyperlink("https://terraria.gamepedia.com/Star_Veil","Star Veil")</f>
        <v>Star Veil</v>
      </c>
    </row>
    <row r="859">
      <c r="A859" s="2">
        <v>863.0</v>
      </c>
      <c r="B859" s="3" t="s">
        <v>10</v>
      </c>
      <c r="C859" s="4" t="str">
        <f>hyperlink("https://terraria.gamepedia.com/Water_Walking_Boots","Water Walking Boots")</f>
        <v>Water Walking Boots</v>
      </c>
    </row>
    <row r="860">
      <c r="A860" s="2">
        <v>864.0</v>
      </c>
      <c r="B860" s="3" t="s">
        <v>23</v>
      </c>
      <c r="C860" s="4" t="str">
        <f>hyperlink("https://terraria.gamepedia.com/Princess_set_(Clothier)","Tiara")</f>
        <v>Tiara</v>
      </c>
    </row>
    <row r="861">
      <c r="A861" s="2">
        <v>865.0</v>
      </c>
      <c r="B861" s="3" t="s">
        <v>23</v>
      </c>
      <c r="C861" s="4" t="str">
        <f>hyperlink("https://terraria.gamepedia.com/Princess_set","Princess Dress")</f>
        <v>Princess Dress</v>
      </c>
    </row>
    <row r="862">
      <c r="A862" s="2">
        <v>866.0</v>
      </c>
      <c r="B862" s="3" t="s">
        <v>23</v>
      </c>
      <c r="C862" s="4" t="str">
        <f>hyperlink("https://terraria.gamepedia.com/Pharaoh's_set","Pharaoh's Robe")</f>
        <v>Pharaoh's Robe</v>
      </c>
    </row>
    <row r="863">
      <c r="A863" s="2">
        <v>867.0</v>
      </c>
      <c r="B863" s="3" t="s">
        <v>23</v>
      </c>
      <c r="C863" s="4" t="str">
        <f>hyperlink("https://terraria.gamepedia.com/Green_Cap","Green Cap")</f>
        <v>Green Cap</v>
      </c>
    </row>
    <row r="864">
      <c r="A864" s="2">
        <v>868.0</v>
      </c>
      <c r="B864" s="3" t="s">
        <v>23</v>
      </c>
      <c r="C864" s="4" t="str">
        <f>hyperlink("https://terraria.gamepedia.com/Mushroom_Cap","Mushroom Cap")</f>
        <v>Mushroom Cap</v>
      </c>
    </row>
    <row r="865">
      <c r="A865" s="2">
        <v>869.0</v>
      </c>
      <c r="B865" s="3" t="s">
        <v>23</v>
      </c>
      <c r="C865" s="4" t="str">
        <f>hyperlink("https://terraria.gamepedia.com/Tam_O'_Shanter","Tam O' Shanter")</f>
        <v>Tam O' Shanter</v>
      </c>
    </row>
    <row r="866">
      <c r="A866" s="2">
        <v>870.0</v>
      </c>
      <c r="B866" s="3" t="s">
        <v>23</v>
      </c>
      <c r="C866" s="4" t="str">
        <f>hyperlink("https://terraria.gamepedia.com/Mummy_set","Mummy Mask")</f>
        <v>Mummy Mask</v>
      </c>
    </row>
    <row r="867">
      <c r="A867" s="2">
        <v>871.0</v>
      </c>
      <c r="B867" s="3" t="s">
        <v>23</v>
      </c>
      <c r="C867" s="4" t="str">
        <f>hyperlink("https://terraria.gamepedia.com/Mummy_set","Mummy Shirt")</f>
        <v>Mummy Shirt</v>
      </c>
    </row>
    <row r="868">
      <c r="A868" s="2">
        <v>872.0</v>
      </c>
      <c r="B868" s="3" t="s">
        <v>23</v>
      </c>
      <c r="C868" s="4" t="str">
        <f>hyperlink("https://terraria.gamepedia.com/Mummy_set","Mummy Pants")</f>
        <v>Mummy Pants</v>
      </c>
    </row>
    <row r="869">
      <c r="A869" s="2">
        <v>873.0</v>
      </c>
      <c r="B869" s="3" t="s">
        <v>23</v>
      </c>
      <c r="C869" s="4" t="str">
        <f>hyperlink("https://terraria.gamepedia.com/Cowboy_set","Cowboy Hat")</f>
        <v>Cowboy Hat</v>
      </c>
    </row>
    <row r="870">
      <c r="A870" s="2">
        <v>874.0</v>
      </c>
      <c r="B870" s="3" t="s">
        <v>23</v>
      </c>
      <c r="C870" s="4" t="str">
        <f>hyperlink("https://terraria.gamepedia.com/Cowboy_set","Cowboy Jacket")</f>
        <v>Cowboy Jacket</v>
      </c>
    </row>
    <row r="871">
      <c r="A871" s="2">
        <v>875.0</v>
      </c>
      <c r="B871" s="3" t="s">
        <v>23</v>
      </c>
      <c r="C871" s="4" t="str">
        <f>hyperlink("https://terraria.gamepedia.com/Cowboy_set","Cowboy Pants")</f>
        <v>Cowboy Pants</v>
      </c>
    </row>
    <row r="872">
      <c r="A872" s="2">
        <v>876.0</v>
      </c>
      <c r="B872" s="3" t="s">
        <v>23</v>
      </c>
      <c r="C872" s="4" t="str">
        <f>hyperlink("https://terraria.gamepedia.com/Pirate_set","Pirate Hat")</f>
        <v>Pirate Hat</v>
      </c>
    </row>
    <row r="873">
      <c r="A873" s="2">
        <v>877.0</v>
      </c>
      <c r="B873" s="3" t="s">
        <v>23</v>
      </c>
      <c r="C873" s="4" t="str">
        <f>hyperlink("https://terraria.gamepedia.com/Pirate_set","Pirate Shirt")</f>
        <v>Pirate Shirt</v>
      </c>
    </row>
    <row r="874">
      <c r="A874" s="2">
        <v>878.0</v>
      </c>
      <c r="B874" s="3" t="s">
        <v>23</v>
      </c>
      <c r="C874" s="4" t="str">
        <f>hyperlink("https://terraria.gamepedia.com/Pirate_set","Pirate Pants")</f>
        <v>Pirate Pants</v>
      </c>
    </row>
    <row r="875">
      <c r="A875" s="2">
        <v>879.0</v>
      </c>
      <c r="B875" s="3" t="s">
        <v>17</v>
      </c>
      <c r="C875" s="4" t="str">
        <f>hyperlink("https://terraria.gamepedia.com/Viking_Helmet","Viking Helmet")</f>
        <v>Viking Helmet</v>
      </c>
    </row>
    <row r="876">
      <c r="A876" s="2">
        <v>880.0</v>
      </c>
      <c r="B876" s="3" t="s">
        <v>9</v>
      </c>
      <c r="C876" s="4" t="str">
        <f>hyperlink("https://terraria.gamepedia.com/Crimtane_Ore","Crimtane Ore")</f>
        <v>Crimtane Ore</v>
      </c>
    </row>
    <row r="877">
      <c r="A877" s="2">
        <v>881.0</v>
      </c>
      <c r="B877" s="3" t="s">
        <v>5</v>
      </c>
      <c r="C877" s="4" t="str">
        <f>hyperlink("https://terraria.gamepedia.com/Cactus_Sword","Cactus Sword")</f>
        <v>Cactus Sword</v>
      </c>
    </row>
    <row r="878">
      <c r="A878" s="2">
        <v>882.0</v>
      </c>
      <c r="B878" s="3" t="s">
        <v>3</v>
      </c>
      <c r="C878" s="4" t="str">
        <f>hyperlink("https://terraria.gamepedia.com/Cactus_Pickaxe","Cactus Pickaxe")</f>
        <v>Cactus Pickaxe</v>
      </c>
    </row>
    <row r="879">
      <c r="A879" s="2">
        <v>883.0</v>
      </c>
      <c r="B879" s="3" t="s">
        <v>4</v>
      </c>
      <c r="C879" s="4" t="str">
        <f>hyperlink("https://terraria.gamepedia.com/Ice_Brick","Ice Brick")</f>
        <v>Ice Brick</v>
      </c>
    </row>
    <row r="880">
      <c r="A880" s="2">
        <v>884.0</v>
      </c>
      <c r="B880" s="3" t="s">
        <v>13</v>
      </c>
      <c r="C880" s="4" t="str">
        <f>hyperlink("https://terraria.gamepedia.com/Ice_Brick_Wall","Ice Brick Wall")</f>
        <v>Ice Brick Wall</v>
      </c>
    </row>
    <row r="881">
      <c r="A881" s="2">
        <v>885.0</v>
      </c>
      <c r="B881" s="3" t="s">
        <v>10</v>
      </c>
      <c r="C881" s="4" t="str">
        <f>hyperlink("https://terraria.gamepedia.com/Adhesive_Bandage","Adhesive Bandage")</f>
        <v>Adhesive Bandage</v>
      </c>
    </row>
    <row r="882">
      <c r="A882" s="2">
        <v>886.0</v>
      </c>
      <c r="B882" s="3" t="s">
        <v>10</v>
      </c>
      <c r="C882" s="4" t="str">
        <f>hyperlink("https://terraria.gamepedia.com/Armor_Polish","Armor Polish")</f>
        <v>Armor Polish</v>
      </c>
    </row>
    <row r="883">
      <c r="A883" s="2">
        <v>887.0</v>
      </c>
      <c r="B883" s="3" t="s">
        <v>10</v>
      </c>
      <c r="C883" s="4" t="str">
        <f>hyperlink("https://terraria.gamepedia.com/Bezoar","Bezoar")</f>
        <v>Bezoar</v>
      </c>
    </row>
    <row r="884">
      <c r="A884" s="2">
        <v>888.0</v>
      </c>
      <c r="B884" s="3" t="s">
        <v>10</v>
      </c>
      <c r="C884" s="4" t="str">
        <f>hyperlink("https://terraria.gamepedia.com/Blindfold","Blindfold")</f>
        <v>Blindfold</v>
      </c>
    </row>
    <row r="885">
      <c r="A885" s="2">
        <v>889.0</v>
      </c>
      <c r="B885" s="3" t="s">
        <v>10</v>
      </c>
      <c r="C885" s="4" t="str">
        <f>hyperlink("https://terraria.gamepedia.com/Fast_Clock","Fast Clock")</f>
        <v>Fast Clock</v>
      </c>
    </row>
    <row r="886">
      <c r="A886" s="2">
        <v>890.0</v>
      </c>
      <c r="B886" s="3" t="s">
        <v>10</v>
      </c>
      <c r="C886" s="4" t="str">
        <f>hyperlink("https://terraria.gamepedia.com/Megaphone","Megaphone")</f>
        <v>Megaphone</v>
      </c>
    </row>
    <row r="887">
      <c r="A887" s="2">
        <v>891.0</v>
      </c>
      <c r="B887" s="3" t="s">
        <v>10</v>
      </c>
      <c r="C887" s="4" t="str">
        <f>hyperlink("https://terraria.gamepedia.com/Nazar","Nazar")</f>
        <v>Nazar</v>
      </c>
    </row>
    <row r="888">
      <c r="A888" s="2">
        <v>892.0</v>
      </c>
      <c r="B888" s="3" t="s">
        <v>10</v>
      </c>
      <c r="C888" s="4" t="str">
        <f>hyperlink("https://terraria.gamepedia.com/Vitamins","Vitamins")</f>
        <v>Vitamins</v>
      </c>
    </row>
    <row r="889">
      <c r="A889" s="2">
        <v>893.0</v>
      </c>
      <c r="B889" s="3" t="s">
        <v>10</v>
      </c>
      <c r="C889" s="4" t="str">
        <f>hyperlink("https://terraria.gamepedia.com/Trifold_Map","Trifold Map")</f>
        <v>Trifold Map</v>
      </c>
    </row>
    <row r="890">
      <c r="A890" s="2">
        <v>894.0</v>
      </c>
      <c r="B890" s="3" t="s">
        <v>17</v>
      </c>
      <c r="C890" s="4" t="str">
        <f>hyperlink("https://terraria.gamepedia.com/Cactus_armor","Cactus Helmet")</f>
        <v>Cactus Helmet</v>
      </c>
    </row>
    <row r="891">
      <c r="A891" s="2">
        <v>895.0</v>
      </c>
      <c r="B891" s="3" t="s">
        <v>17</v>
      </c>
      <c r="C891" s="4" t="str">
        <f>hyperlink("https://terraria.gamepedia.com/Cactus_armor","Cactus Breastplate")</f>
        <v>Cactus Breastplate</v>
      </c>
    </row>
    <row r="892">
      <c r="A892" s="2">
        <v>896.0</v>
      </c>
      <c r="B892" s="3" t="s">
        <v>17</v>
      </c>
      <c r="C892" s="4" t="str">
        <f>hyperlink("https://terraria.gamepedia.com/Cactus_armor","Cactus Leggings")</f>
        <v>Cactus Leggings</v>
      </c>
    </row>
    <row r="893">
      <c r="A893" s="2">
        <v>897.0</v>
      </c>
      <c r="B893" s="3" t="s">
        <v>10</v>
      </c>
      <c r="C893" s="4" t="str">
        <f>hyperlink("https://terraria.gamepedia.com/Power_Glove","Power Glove")</f>
        <v>Power Glove</v>
      </c>
    </row>
    <row r="894">
      <c r="A894" s="2">
        <v>898.0</v>
      </c>
      <c r="B894" s="3" t="s">
        <v>10</v>
      </c>
      <c r="C894" s="4" t="str">
        <f>hyperlink("https://terraria.gamepedia.com/Lightning_Boots","Lightning Boots")</f>
        <v>Lightning Boots</v>
      </c>
    </row>
    <row r="895">
      <c r="A895" s="2">
        <v>899.0</v>
      </c>
      <c r="B895" s="3" t="s">
        <v>10</v>
      </c>
      <c r="C895" s="4" t="str">
        <f>hyperlink("https://terraria.gamepedia.com/Sun_Stone","Sun Stone")</f>
        <v>Sun Stone</v>
      </c>
    </row>
    <row r="896">
      <c r="A896" s="2">
        <v>900.0</v>
      </c>
      <c r="B896" s="3" t="s">
        <v>10</v>
      </c>
      <c r="C896" s="4" t="str">
        <f>hyperlink("https://terraria.gamepedia.com/Moon_Stone","Moon Stone")</f>
        <v>Moon Stone</v>
      </c>
    </row>
    <row r="897">
      <c r="A897" s="2">
        <v>901.0</v>
      </c>
      <c r="B897" s="3" t="s">
        <v>10</v>
      </c>
      <c r="C897" s="4" t="str">
        <f>hyperlink("https://terraria.gamepedia.com/Armor_Bracing","Armor Bracing")</f>
        <v>Armor Bracing</v>
      </c>
    </row>
    <row r="898">
      <c r="A898" s="2">
        <v>902.0</v>
      </c>
      <c r="B898" s="3" t="s">
        <v>10</v>
      </c>
      <c r="C898" s="4" t="str">
        <f>hyperlink("https://terraria.gamepedia.com/Medicated_Bandage","Medicated Bandage")</f>
        <v>Medicated Bandage</v>
      </c>
    </row>
    <row r="899">
      <c r="A899" s="2">
        <v>903.0</v>
      </c>
      <c r="B899" s="3" t="s">
        <v>10</v>
      </c>
      <c r="C899" s="4" t="str">
        <f>hyperlink("https://terraria.gamepedia.com/The_Plan","The Plan")</f>
        <v>The Plan</v>
      </c>
    </row>
    <row r="900">
      <c r="A900" s="2">
        <v>904.0</v>
      </c>
      <c r="B900" s="3" t="s">
        <v>10</v>
      </c>
      <c r="C900" s="4" t="str">
        <f>hyperlink("https://terraria.gamepedia.com/Countercurse_Mantra","Countercurse Mantra")</f>
        <v>Countercurse Mantra</v>
      </c>
    </row>
    <row r="901">
      <c r="A901" s="2">
        <v>905.0</v>
      </c>
      <c r="B901" s="3" t="s">
        <v>5</v>
      </c>
      <c r="C901" s="4" t="str">
        <f>hyperlink("https://terraria.gamepedia.com/Coin_Gun","Coin Gun")</f>
        <v>Coin Gun</v>
      </c>
    </row>
    <row r="902">
      <c r="A902" s="2">
        <v>906.0</v>
      </c>
      <c r="B902" s="3" t="s">
        <v>10</v>
      </c>
      <c r="C902" s="4" t="str">
        <f>hyperlink("https://terraria.gamepedia.com/Lava_Charm","Lava Charm")</f>
        <v>Lava Charm</v>
      </c>
    </row>
    <row r="903">
      <c r="A903" s="2">
        <v>907.0</v>
      </c>
      <c r="B903" s="3" t="s">
        <v>10</v>
      </c>
      <c r="C903" s="4" t="str">
        <f>hyperlink("https://terraria.gamepedia.com/Obsidian_Water_Walking_Boots","Obsidian Water Walking Boots")</f>
        <v>Obsidian Water Walking Boots</v>
      </c>
    </row>
    <row r="904">
      <c r="A904" s="2">
        <v>908.0</v>
      </c>
      <c r="B904" s="3" t="s">
        <v>10</v>
      </c>
      <c r="C904" s="4" t="str">
        <f>hyperlink("https://terraria.gamepedia.com/Lava_Waders","Lava Waders")</f>
        <v>Lava Waders</v>
      </c>
    </row>
    <row r="905">
      <c r="A905" s="2">
        <v>909.0</v>
      </c>
      <c r="B905" s="3" t="s">
        <v>12</v>
      </c>
      <c r="C905" s="4" t="str">
        <f>hyperlink("https://terraria.gamepedia.com/Water_fountains","Pure Water Fountain")</f>
        <v>Pure Water Fountain</v>
      </c>
    </row>
    <row r="906">
      <c r="A906" s="2">
        <v>910.0</v>
      </c>
      <c r="B906" s="3" t="s">
        <v>12</v>
      </c>
      <c r="C906" s="4" t="str">
        <f>hyperlink("https://terraria.gamepedia.com/Water_fountains","Desert Water Fountain")</f>
        <v>Desert Water Fountain</v>
      </c>
    </row>
    <row r="907">
      <c r="A907" s="2">
        <v>911.0</v>
      </c>
      <c r="B907" s="3" t="s">
        <v>8</v>
      </c>
      <c r="C907" s="4" t="str">
        <f>hyperlink("https://terraria.gamepedia.com/Shadewood","Shadewood")</f>
        <v>Shadewood</v>
      </c>
    </row>
    <row r="908">
      <c r="A908" s="2">
        <v>912.0</v>
      </c>
      <c r="B908" s="3" t="s">
        <v>31</v>
      </c>
      <c r="C908" s="4" t="str">
        <f>hyperlink("https://terraria.gamepedia.com/Doors","Shadewood Door")</f>
        <v>Shadewood Door</v>
      </c>
    </row>
    <row r="909">
      <c r="A909" s="2">
        <v>913.0</v>
      </c>
      <c r="B909" s="3" t="s">
        <v>8</v>
      </c>
      <c r="C909" s="4" t="str">
        <f>hyperlink("https://terraria.gamepedia.com/Platforms","Shadewood Platform")</f>
        <v>Shadewood Platform</v>
      </c>
    </row>
    <row r="910">
      <c r="A910" s="2">
        <v>914.0</v>
      </c>
      <c r="B910" s="3" t="s">
        <v>20</v>
      </c>
      <c r="C910" s="4" t="str">
        <f>hyperlink("https://terraria.gamepedia.com/Chests","Shadewood Chest")</f>
        <v>Shadewood Chest</v>
      </c>
    </row>
    <row r="911">
      <c r="A911" s="2">
        <v>915.0</v>
      </c>
      <c r="B911" s="3" t="s">
        <v>31</v>
      </c>
      <c r="C911" s="4" t="str">
        <f>hyperlink("https://terraria.gamepedia.com/Chairs","Shadewood Chair")</f>
        <v>Shadewood Chair</v>
      </c>
    </row>
    <row r="912">
      <c r="A912" s="2">
        <v>916.0</v>
      </c>
      <c r="B912" s="3" t="s">
        <v>31</v>
      </c>
      <c r="C912" s="4" t="str">
        <f>hyperlink("https://terraria.gamepedia.com/Work_Benches","Shadewood Work Bench")</f>
        <v>Shadewood Work Bench</v>
      </c>
    </row>
    <row r="913">
      <c r="A913" s="2">
        <v>917.0</v>
      </c>
      <c r="B913" s="3" t="s">
        <v>31</v>
      </c>
      <c r="C913" s="4" t="str">
        <f>hyperlink("https://terraria.gamepedia.com/Tables","Shadewood Table")</f>
        <v>Shadewood Table</v>
      </c>
    </row>
    <row r="914">
      <c r="A914" s="2">
        <v>918.0</v>
      </c>
      <c r="B914" s="3" t="s">
        <v>31</v>
      </c>
      <c r="C914" s="4" t="str">
        <f>hyperlink("https://terraria.gamepedia.com/Dressers","Shadewood Dresser")</f>
        <v>Shadewood Dresser</v>
      </c>
    </row>
    <row r="915">
      <c r="A915" s="2">
        <v>919.0</v>
      </c>
      <c r="B915" s="3" t="s">
        <v>31</v>
      </c>
      <c r="C915" s="4" t="str">
        <f>hyperlink("https://terraria.gamepedia.com/Pianos","Shadewood Piano")</f>
        <v>Shadewood Piano</v>
      </c>
    </row>
    <row r="916">
      <c r="A916" s="2">
        <v>920.0</v>
      </c>
      <c r="B916" s="3" t="s">
        <v>31</v>
      </c>
      <c r="C916" s="4" t="str">
        <f>hyperlink("https://terraria.gamepedia.com/Beds","Shadewood Bed")</f>
        <v>Shadewood Bed</v>
      </c>
    </row>
    <row r="917">
      <c r="A917" s="2">
        <v>921.0</v>
      </c>
      <c r="B917" s="3" t="s">
        <v>5</v>
      </c>
      <c r="C917" s="4" t="str">
        <f>hyperlink("https://terraria.gamepedia.com/Shadewood_Sword","Shadewood Sword")</f>
        <v>Shadewood Sword</v>
      </c>
    </row>
    <row r="918">
      <c r="A918" s="2">
        <v>922.0</v>
      </c>
      <c r="B918" s="3" t="s">
        <v>3</v>
      </c>
      <c r="C918" s="4" t="str">
        <f>hyperlink("https://terraria.gamepedia.com/Shadewood_Hammer","Shadewood Hammer")</f>
        <v>Shadewood Hammer</v>
      </c>
    </row>
    <row r="919">
      <c r="A919" s="2">
        <v>923.0</v>
      </c>
      <c r="B919" s="3" t="s">
        <v>5</v>
      </c>
      <c r="C919" s="4" t="str">
        <f>hyperlink("https://terraria.gamepedia.com/Shadewood_Bow","Shadewood Bow")</f>
        <v>Shadewood Bow</v>
      </c>
    </row>
    <row r="920">
      <c r="A920" s="2">
        <v>924.0</v>
      </c>
      <c r="B920" s="3" t="s">
        <v>17</v>
      </c>
      <c r="C920" s="4" t="str">
        <f>hyperlink("https://terraria.gamepedia.com/Shadewood_armor","Shadewood Helmet")</f>
        <v>Shadewood Helmet</v>
      </c>
    </row>
    <row r="921">
      <c r="A921" s="2">
        <v>925.0</v>
      </c>
      <c r="B921" s="3" t="s">
        <v>17</v>
      </c>
      <c r="C921" s="4" t="str">
        <f>hyperlink("https://terraria.gamepedia.com/Shadewood_armor","Shadewood Breastplate")</f>
        <v>Shadewood Breastplate</v>
      </c>
    </row>
    <row r="922">
      <c r="A922" s="2">
        <v>926.0</v>
      </c>
      <c r="B922" s="3" t="s">
        <v>17</v>
      </c>
      <c r="C922" s="4" t="str">
        <f>hyperlink("https://terraria.gamepedia.com/Shadewood_armor","Shadewood Greaves")</f>
        <v>Shadewood Greaves</v>
      </c>
    </row>
    <row r="923">
      <c r="A923" s="2">
        <v>927.0</v>
      </c>
      <c r="B923" s="3" t="s">
        <v>13</v>
      </c>
      <c r="C923" s="4" t="str">
        <f>hyperlink("https://terraria.gamepedia.com/Shadewood_Wall","Shadewood Wall")</f>
        <v>Shadewood Wall</v>
      </c>
    </row>
    <row r="924">
      <c r="A924" s="2">
        <v>928.0</v>
      </c>
      <c r="B924" s="3" t="s">
        <v>5</v>
      </c>
      <c r="C924" s="4" t="str">
        <f>hyperlink("https://terraria.gamepedia.com/Cannon","Cannon")</f>
        <v>Cannon</v>
      </c>
    </row>
    <row r="925">
      <c r="A925" s="2">
        <v>929.0</v>
      </c>
      <c r="B925" s="3" t="s">
        <v>18</v>
      </c>
      <c r="C925" s="4" t="str">
        <f>hyperlink("https://terraria.gamepedia.com/Cannonball","Cannonball")</f>
        <v>Cannonball</v>
      </c>
    </row>
    <row r="926">
      <c r="A926" s="2">
        <v>930.0</v>
      </c>
      <c r="B926" s="3" t="s">
        <v>5</v>
      </c>
      <c r="C926" s="4" t="str">
        <f>hyperlink("https://terraria.gamepedia.com/Flare_Gun","Flare Gun")</f>
        <v>Flare Gun</v>
      </c>
    </row>
    <row r="927">
      <c r="A927" s="2">
        <v>931.0</v>
      </c>
      <c r="B927" s="3" t="s">
        <v>18</v>
      </c>
      <c r="C927" s="4" t="str">
        <f>hyperlink("https://terraria.gamepedia.com/Flare_Gun","Flare")</f>
        <v>Flare</v>
      </c>
    </row>
    <row r="928">
      <c r="A928" s="2">
        <v>932.0</v>
      </c>
      <c r="B928" s="3" t="s">
        <v>3</v>
      </c>
      <c r="C928" s="4" t="str">
        <f>hyperlink("https://terraria.gamepedia.com/Block-placing_wands","Bone Wand")</f>
        <v>Bone Wand</v>
      </c>
    </row>
    <row r="929">
      <c r="A929" s="2">
        <v>933.0</v>
      </c>
      <c r="B929" s="3" t="s">
        <v>3</v>
      </c>
      <c r="C929" s="4" t="str">
        <f>hyperlink("https://terraria.gamepedia.com/Block-placing_wands","Leaf Wand")</f>
        <v>Leaf Wand</v>
      </c>
    </row>
    <row r="930">
      <c r="A930" s="2">
        <v>934.0</v>
      </c>
      <c r="B930" s="3" t="s">
        <v>10</v>
      </c>
      <c r="C930" s="4" t="str">
        <f>hyperlink("https://terraria.gamepedia.com/Flying_Carpet","Flying Carpet")</f>
        <v>Flying Carpet</v>
      </c>
    </row>
    <row r="931">
      <c r="A931" s="2">
        <v>935.0</v>
      </c>
      <c r="B931" s="3" t="s">
        <v>10</v>
      </c>
      <c r="C931" s="4" t="str">
        <f>hyperlink("https://terraria.gamepedia.com/Avenger_Emblem","Avenger Emblem")</f>
        <v>Avenger Emblem</v>
      </c>
    </row>
    <row r="932">
      <c r="A932" s="2">
        <v>936.0</v>
      </c>
      <c r="B932" s="3" t="s">
        <v>10</v>
      </c>
      <c r="C932" s="4" t="str">
        <f>hyperlink("https://terraria.gamepedia.com/Mechanical_Glove","Mechanical Glove")</f>
        <v>Mechanical Glove</v>
      </c>
    </row>
    <row r="933">
      <c r="A933" s="2">
        <v>937.0</v>
      </c>
      <c r="B933" s="3" t="s">
        <v>5</v>
      </c>
      <c r="C933" s="4" t="str">
        <f>hyperlink("https://terraria.gamepedia.com/Land_Mine","Land Mine")</f>
        <v>Land Mine</v>
      </c>
    </row>
    <row r="934">
      <c r="A934" s="2">
        <v>938.0</v>
      </c>
      <c r="B934" s="3" t="s">
        <v>10</v>
      </c>
      <c r="C934" s="4" t="str">
        <f>hyperlink("https://terraria.gamepedia.com/Paladin's_Shield","Paladin's Shield")</f>
        <v>Paladin's Shield</v>
      </c>
    </row>
    <row r="935">
      <c r="A935" s="2">
        <v>939.0</v>
      </c>
      <c r="B935" s="3" t="s">
        <v>3</v>
      </c>
      <c r="C935" s="4" t="str">
        <f>hyperlink("https://terraria.gamepedia.com/Hooks","Web Slinger")</f>
        <v>Web Slinger</v>
      </c>
    </row>
    <row r="936">
      <c r="A936" s="2">
        <v>940.0</v>
      </c>
      <c r="B936" s="3" t="s">
        <v>12</v>
      </c>
      <c r="C936" s="4" t="str">
        <f>hyperlink("https://terraria.gamepedia.com/Water_fountains","Jungle Water Fountain")</f>
        <v>Jungle Water Fountain</v>
      </c>
    </row>
    <row r="937">
      <c r="A937" s="2">
        <v>941.0</v>
      </c>
      <c r="B937" s="3" t="s">
        <v>12</v>
      </c>
      <c r="C937" s="4" t="str">
        <f>hyperlink("https://terraria.gamepedia.com/Water_fountains","Icy Water Fountain")</f>
        <v>Icy Water Fountain</v>
      </c>
    </row>
    <row r="938">
      <c r="A938" s="2">
        <v>942.0</v>
      </c>
      <c r="B938" s="3" t="s">
        <v>12</v>
      </c>
      <c r="C938" s="4" t="str">
        <f>hyperlink("https://terraria.gamepedia.com/Water_fountains","Corrupt Water Fountain")</f>
        <v>Corrupt Water Fountain</v>
      </c>
    </row>
    <row r="939">
      <c r="A939" s="2">
        <v>943.0</v>
      </c>
      <c r="B939" s="3" t="s">
        <v>12</v>
      </c>
      <c r="C939" s="4" t="str">
        <f>hyperlink("https://terraria.gamepedia.com/Water_fountains","Crimson Water Fountain")</f>
        <v>Crimson Water Fountain</v>
      </c>
    </row>
    <row r="940">
      <c r="A940" s="2">
        <v>944.0</v>
      </c>
      <c r="B940" s="3" t="s">
        <v>12</v>
      </c>
      <c r="C940" s="4" t="str">
        <f>hyperlink("https://terraria.gamepedia.com/Water_fountains","Hallowed Water Fountain")</f>
        <v>Hallowed Water Fountain</v>
      </c>
    </row>
    <row r="941">
      <c r="A941" s="2">
        <v>945.0</v>
      </c>
      <c r="B941" s="3" t="s">
        <v>12</v>
      </c>
      <c r="C941" s="4" t="str">
        <f>hyperlink("https://terraria.gamepedia.com/Water_fountains","Blood Water Fountain")</f>
        <v>Blood Water Fountain</v>
      </c>
    </row>
    <row r="942">
      <c r="A942" s="2">
        <v>946.0</v>
      </c>
      <c r="B942" s="3" t="s">
        <v>23</v>
      </c>
      <c r="C942" s="4" t="str">
        <f>hyperlink("https://terraria.gamepedia.com/Umbrella","Umbrella")</f>
        <v>Umbrella</v>
      </c>
    </row>
    <row r="943">
      <c r="A943" s="2">
        <v>947.0</v>
      </c>
      <c r="B943" s="3" t="s">
        <v>9</v>
      </c>
      <c r="C943" s="4" t="str">
        <f>hyperlink("https://terraria.gamepedia.com/Chlorophyte_Ore","Chlorophyte Ore")</f>
        <v>Chlorophyte Ore</v>
      </c>
    </row>
    <row r="944">
      <c r="A944" s="2">
        <v>948.0</v>
      </c>
      <c r="B944" s="3" t="s">
        <v>27</v>
      </c>
      <c r="C944" s="4" t="str">
        <f>hyperlink("https://terraria.gamepedia.com/Wings","Steampunk Wings")</f>
        <v>Steampunk Wings</v>
      </c>
    </row>
    <row r="945">
      <c r="A945" s="2">
        <v>949.0</v>
      </c>
      <c r="B945" s="3" t="s">
        <v>18</v>
      </c>
      <c r="C945" s="4" t="str">
        <f>hyperlink("https://terraria.gamepedia.com/Snowball","Snowball")</f>
        <v>Snowball</v>
      </c>
    </row>
    <row r="946">
      <c r="A946" s="2">
        <v>950.0</v>
      </c>
      <c r="B946" s="3" t="s">
        <v>10</v>
      </c>
      <c r="C946" s="4" t="str">
        <f>hyperlink("https://terraria.gamepedia.com/Ice_Skates","Ice Skates")</f>
        <v>Ice Skates</v>
      </c>
    </row>
    <row r="947">
      <c r="A947" s="2">
        <v>951.0</v>
      </c>
      <c r="B947" s="3" t="s">
        <v>5</v>
      </c>
      <c r="C947" s="4" t="str">
        <f>hyperlink("https://terraria.gamepedia.com/Snowball_Launcher","Snowball Launcher")</f>
        <v>Snowball Launcher</v>
      </c>
    </row>
    <row r="948">
      <c r="A948" s="2">
        <v>952.0</v>
      </c>
      <c r="B948" s="3" t="s">
        <v>20</v>
      </c>
      <c r="C948" s="4" t="str">
        <f>hyperlink("https://terraria.gamepedia.com/Web_Covered_Chest","Web Covered Chest")</f>
        <v>Web Covered Chest</v>
      </c>
    </row>
    <row r="949">
      <c r="A949" s="2">
        <v>953.0</v>
      </c>
      <c r="B949" s="3" t="s">
        <v>10</v>
      </c>
      <c r="C949" s="4" t="str">
        <f>hyperlink("https://terraria.gamepedia.com/Climbing_Claws","Climbing Claws")</f>
        <v>Climbing Claws</v>
      </c>
    </row>
    <row r="950">
      <c r="A950" s="2">
        <v>954.0</v>
      </c>
      <c r="B950" s="3" t="s">
        <v>17</v>
      </c>
      <c r="C950" s="4" t="str">
        <f>hyperlink("https://terraria.gamepedia.com/Iron_armor","Ancient Iron Helmet")</f>
        <v>Ancient Iron Helmet</v>
      </c>
    </row>
    <row r="951">
      <c r="A951" s="2">
        <v>955.0</v>
      </c>
      <c r="B951" s="3" t="s">
        <v>17</v>
      </c>
      <c r="C951" s="4" t="str">
        <f>hyperlink("https://terraria.gamepedia.com/Gold_armor","Ancient Gold Helmet")</f>
        <v>Ancient Gold Helmet</v>
      </c>
    </row>
    <row r="952">
      <c r="A952" s="2">
        <v>956.0</v>
      </c>
      <c r="B952" s="3" t="s">
        <v>17</v>
      </c>
      <c r="C952" s="4" t="str">
        <f>hyperlink("https://terraria.gamepedia.com/Ancient_Shadow_armor","Ancient Shadow Helmet")</f>
        <v>Ancient Shadow Helmet</v>
      </c>
    </row>
    <row r="953">
      <c r="A953" s="2">
        <v>957.0</v>
      </c>
      <c r="B953" s="3" t="s">
        <v>17</v>
      </c>
      <c r="C953" s="4" t="str">
        <f>hyperlink("https://terraria.gamepedia.com/Ancient_Shadow_armor","Ancient Shadow Scalemail")</f>
        <v>Ancient Shadow Scalemail</v>
      </c>
    </row>
    <row r="954">
      <c r="A954" s="2">
        <v>958.0</v>
      </c>
      <c r="B954" s="3" t="s">
        <v>17</v>
      </c>
      <c r="C954" s="4" t="str">
        <f>hyperlink("https://terraria.gamepedia.com/Ancient_Shadow_armor","Ancient Shadow Greaves")</f>
        <v>Ancient Shadow Greaves</v>
      </c>
    </row>
    <row r="955">
      <c r="A955" s="2">
        <v>959.0</v>
      </c>
      <c r="B955" s="3" t="s">
        <v>17</v>
      </c>
      <c r="C955" s="4" t="str">
        <f>hyperlink("https://terraria.gamepedia.com/Necro_armor","Ancient Necro Helmet")</f>
        <v>Ancient Necro Helmet</v>
      </c>
    </row>
    <row r="956">
      <c r="A956" s="2">
        <v>960.0</v>
      </c>
      <c r="B956" s="3" t="s">
        <v>17</v>
      </c>
      <c r="C956" s="4" t="str">
        <f>hyperlink("https://terraria.gamepedia.com/Ancient_Cobalt_armor","Ancient Cobalt Helmet")</f>
        <v>Ancient Cobalt Helmet</v>
      </c>
    </row>
    <row r="957">
      <c r="A957" s="2">
        <v>961.0</v>
      </c>
      <c r="B957" s="3" t="s">
        <v>17</v>
      </c>
      <c r="C957" s="4" t="str">
        <f>hyperlink("https://terraria.gamepedia.com/Ancient_Cobalt_armor","Ancient Cobalt Breastplate")</f>
        <v>Ancient Cobalt Breastplate</v>
      </c>
    </row>
    <row r="958">
      <c r="A958" s="2">
        <v>962.0</v>
      </c>
      <c r="B958" s="3" t="s">
        <v>17</v>
      </c>
      <c r="C958" s="4" t="str">
        <f>hyperlink("https://terraria.gamepedia.com/Ancient_Cobalt_armor","Ancient Cobalt Leggings")</f>
        <v>Ancient Cobalt Leggings</v>
      </c>
    </row>
    <row r="959">
      <c r="A959" s="2">
        <v>963.0</v>
      </c>
      <c r="B959" s="3" t="s">
        <v>10</v>
      </c>
      <c r="C959" s="4" t="str">
        <f>hyperlink("https://terraria.gamepedia.com/Black_Belt","Black Belt")</f>
        <v>Black Belt</v>
      </c>
    </row>
    <row r="960">
      <c r="A960" s="2">
        <v>964.0</v>
      </c>
      <c r="B960" s="3" t="s">
        <v>5</v>
      </c>
      <c r="C960" s="4" t="str">
        <f>hyperlink("https://terraria.gamepedia.com/Boomstick","Boomstick")</f>
        <v>Boomstick</v>
      </c>
    </row>
    <row r="961">
      <c r="A961" s="2">
        <v>965.0</v>
      </c>
      <c r="B961" s="3" t="s">
        <v>15</v>
      </c>
      <c r="C961" s="4" t="str">
        <f>hyperlink("https://terraria.gamepedia.com/Ropes","Rope")</f>
        <v>Rope</v>
      </c>
    </row>
    <row r="962">
      <c r="A962" s="2">
        <v>966.0</v>
      </c>
      <c r="B962" s="3" t="s">
        <v>7</v>
      </c>
      <c r="C962" s="4" t="str">
        <f>hyperlink("https://terraria.gamepedia.com/Campfires","Campfire")</f>
        <v>Campfire</v>
      </c>
    </row>
    <row r="963">
      <c r="A963" s="2">
        <v>967.0</v>
      </c>
      <c r="B963" s="3" t="s">
        <v>26</v>
      </c>
      <c r="C963" s="4" t="str">
        <f>hyperlink("https://terraria.gamepedia.com/Marshmallow","Marshmallow")</f>
        <v>Marshmallow</v>
      </c>
    </row>
    <row r="964">
      <c r="A964" s="2">
        <v>968.0</v>
      </c>
      <c r="B964" s="3" t="s">
        <v>15</v>
      </c>
      <c r="C964" s="4" t="str">
        <f>hyperlink("https://terraria.gamepedia.com/Marshmallow_on_a_Stick","Marshmallow on a Stick")</f>
        <v>Marshmallow on a Stick</v>
      </c>
    </row>
    <row r="965">
      <c r="A965" s="2">
        <v>969.0</v>
      </c>
      <c r="B965" s="3" t="s">
        <v>26</v>
      </c>
      <c r="C965" s="4" t="str">
        <f>hyperlink("https://terraria.gamepedia.com/Cooked_Marshmallow","Cooked Marshmallow")</f>
        <v>Cooked Marshmallow</v>
      </c>
    </row>
    <row r="966">
      <c r="A966" s="2">
        <v>970.0</v>
      </c>
      <c r="B966" s="3" t="s">
        <v>15</v>
      </c>
      <c r="C966" s="4" t="str">
        <f>hyperlink("https://terraria.gamepedia.com/Firework_Rockets","Red Rocket")</f>
        <v>Red Rocket</v>
      </c>
    </row>
    <row r="967">
      <c r="A967" s="2">
        <v>971.0</v>
      </c>
      <c r="B967" s="3" t="s">
        <v>15</v>
      </c>
      <c r="C967" s="4" t="str">
        <f>hyperlink("https://terraria.gamepedia.com/Firework_Rockets","Green Rocket")</f>
        <v>Green Rocket</v>
      </c>
    </row>
    <row r="968">
      <c r="A968" s="2">
        <v>972.0</v>
      </c>
      <c r="B968" s="3" t="s">
        <v>15</v>
      </c>
      <c r="C968" s="4" t="str">
        <f>hyperlink("https://terraria.gamepedia.com/Firework_Rockets","Blue Rocket")</f>
        <v>Blue Rocket</v>
      </c>
    </row>
    <row r="969">
      <c r="A969" s="2">
        <v>973.0</v>
      </c>
      <c r="B969" s="3" t="s">
        <v>15</v>
      </c>
      <c r="C969" s="4" t="str">
        <f>hyperlink("https://terraria.gamepedia.com/Firework_Rockets","Yellow Rocket")</f>
        <v>Yellow Rocket</v>
      </c>
    </row>
    <row r="970">
      <c r="A970" s="2">
        <v>974.0</v>
      </c>
      <c r="B970" s="3" t="s">
        <v>7</v>
      </c>
      <c r="C970" s="4" t="str">
        <f>hyperlink("https://terraria.gamepedia.com/Torches","Ice Torch")</f>
        <v>Ice Torch</v>
      </c>
    </row>
    <row r="971">
      <c r="A971" s="2">
        <v>975.0</v>
      </c>
      <c r="B971" s="3" t="s">
        <v>10</v>
      </c>
      <c r="C971" s="4" t="str">
        <f>hyperlink("https://terraria.gamepedia.com/Shoe_Spikes","Shoe Spikes")</f>
        <v>Shoe Spikes</v>
      </c>
    </row>
    <row r="972">
      <c r="A972" s="2">
        <v>976.0</v>
      </c>
      <c r="B972" s="3" t="s">
        <v>10</v>
      </c>
      <c r="C972" s="4" t="str">
        <f>hyperlink("https://terraria.gamepedia.com/Tiger_Climbing_Gear","Tiger Climbing Gear")</f>
        <v>Tiger Climbing Gear</v>
      </c>
    </row>
    <row r="973">
      <c r="A973" s="2">
        <v>977.0</v>
      </c>
      <c r="B973" s="3" t="s">
        <v>10</v>
      </c>
      <c r="C973" s="4" t="str">
        <f>hyperlink("https://terraria.gamepedia.com/Tabi","Tabi")</f>
        <v>Tabi</v>
      </c>
    </row>
    <row r="974">
      <c r="A974" s="2">
        <v>978.0</v>
      </c>
      <c r="B974" s="3" t="s">
        <v>17</v>
      </c>
      <c r="C974" s="4" t="str">
        <f>hyperlink("https://terraria.gamepedia.com/Pink_Snow_armor","Pink Snow Hood")</f>
        <v>Pink Snow Hood</v>
      </c>
    </row>
    <row r="975">
      <c r="A975" s="2">
        <v>979.0</v>
      </c>
      <c r="B975" s="3" t="s">
        <v>17</v>
      </c>
      <c r="C975" s="4" t="str">
        <f>hyperlink("https://terraria.gamepedia.com/Pink_Snow_armor","Pink Snow Coat")</f>
        <v>Pink Snow Coat</v>
      </c>
    </row>
    <row r="976">
      <c r="A976" s="2">
        <v>980.0</v>
      </c>
      <c r="B976" s="3" t="s">
        <v>17</v>
      </c>
      <c r="C976" s="4" t="str">
        <f>hyperlink("https://terraria.gamepedia.com/Pink_Snow_armor","Pink Snow Pants")</f>
        <v>Pink Snow Pants</v>
      </c>
    </row>
    <row r="977">
      <c r="A977" s="2">
        <v>981.0</v>
      </c>
      <c r="B977" s="3" t="s">
        <v>11</v>
      </c>
      <c r="C977" s="4" t="str">
        <f>hyperlink("https://terraria.gamepedia.com/Threads","Pink Thread")</f>
        <v>Pink Thread</v>
      </c>
    </row>
    <row r="978">
      <c r="A978" s="2">
        <v>982.0</v>
      </c>
      <c r="B978" s="3" t="s">
        <v>10</v>
      </c>
      <c r="C978" s="4" t="str">
        <f>hyperlink("https://terraria.gamepedia.com/Mana_Regeneration_Band","Mana Regeneration Band")</f>
        <v>Mana Regeneration Band</v>
      </c>
    </row>
    <row r="979">
      <c r="A979" s="2">
        <v>983.0</v>
      </c>
      <c r="B979" s="3" t="s">
        <v>10</v>
      </c>
      <c r="C979" s="4" t="str">
        <f>hyperlink("https://terraria.gamepedia.com/Sandstorm_in_a_Balloon","Sandstorm in a Balloon")</f>
        <v>Sandstorm in a Balloon</v>
      </c>
    </row>
    <row r="980">
      <c r="A980" s="2">
        <v>984.0</v>
      </c>
      <c r="B980" s="3" t="s">
        <v>10</v>
      </c>
      <c r="C980" s="4" t="str">
        <f>hyperlink("https://terraria.gamepedia.com/Master_Ninja_Gear","Master Ninja Gear")</f>
        <v>Master Ninja Gear</v>
      </c>
    </row>
    <row r="981">
      <c r="A981" s="2">
        <v>985.0</v>
      </c>
      <c r="B981" s="3" t="s">
        <v>15</v>
      </c>
      <c r="C981" s="4" t="str">
        <f>hyperlink("https://terraria.gamepedia.com/Rope_Coils","Rope Coil")</f>
        <v>Rope Coil</v>
      </c>
    </row>
    <row r="982">
      <c r="A982" s="2">
        <v>986.0</v>
      </c>
      <c r="B982" s="3" t="s">
        <v>5</v>
      </c>
      <c r="C982" s="4" t="str">
        <f>hyperlink("https://terraria.gamepedia.com/Blowgun","Blowgun")</f>
        <v>Blowgun</v>
      </c>
    </row>
    <row r="983">
      <c r="A983" s="2">
        <v>987.0</v>
      </c>
      <c r="B983" s="3" t="s">
        <v>10</v>
      </c>
      <c r="C983" s="4" t="str">
        <f>hyperlink("https://terraria.gamepedia.com/Blizzard_in_a_Bottle","Blizzard in a Bottle")</f>
        <v>Blizzard in a Bottle</v>
      </c>
    </row>
    <row r="984">
      <c r="A984" s="2">
        <v>988.0</v>
      </c>
      <c r="B984" s="3" t="s">
        <v>18</v>
      </c>
      <c r="C984" s="4" t="str">
        <f>hyperlink("https://terraria.gamepedia.com/Frostburn_Arrow","Frostburn Arrow")</f>
        <v>Frostburn Arrow</v>
      </c>
    </row>
    <row r="985">
      <c r="A985" s="2">
        <v>989.0</v>
      </c>
      <c r="B985" s="3" t="s">
        <v>5</v>
      </c>
      <c r="C985" s="4" t="str">
        <f>hyperlink("https://terraria.gamepedia.com/Enchanted_Sword_(item)","Enchanted Sword")</f>
        <v>Enchanted Sword</v>
      </c>
    </row>
    <row r="986">
      <c r="A986" s="2">
        <v>990.0</v>
      </c>
      <c r="B986" s="3" t="s">
        <v>3</v>
      </c>
      <c r="C986" s="4" t="str">
        <f>hyperlink("https://terraria.gamepedia.com/Pickaxe_Axe","Pickaxe Axe")</f>
        <v>Pickaxe Axe</v>
      </c>
    </row>
    <row r="987">
      <c r="A987" s="2">
        <v>991.0</v>
      </c>
      <c r="B987" s="3" t="s">
        <v>3</v>
      </c>
      <c r="C987" s="4" t="str">
        <f>hyperlink("https://terraria.gamepedia.com/Cobalt_Waraxe","Cobalt Waraxe")</f>
        <v>Cobalt Waraxe</v>
      </c>
    </row>
    <row r="988">
      <c r="A988" s="2">
        <v>992.0</v>
      </c>
      <c r="B988" s="3" t="s">
        <v>3</v>
      </c>
      <c r="C988" s="4" t="str">
        <f>hyperlink("https://terraria.gamepedia.com/Mythril_Waraxe","Mythril Waraxe")</f>
        <v>Mythril Waraxe</v>
      </c>
    </row>
    <row r="989">
      <c r="A989" s="2">
        <v>993.0</v>
      </c>
      <c r="B989" s="3" t="s">
        <v>3</v>
      </c>
      <c r="C989" s="4" t="str">
        <f>hyperlink("https://terraria.gamepedia.com/Adamantite_Waraxe","Adamantite Waraxe")</f>
        <v>Adamantite Waraxe</v>
      </c>
    </row>
    <row r="990">
      <c r="A990" s="2">
        <v>994.0</v>
      </c>
      <c r="B990" s="3" t="s">
        <v>22</v>
      </c>
      <c r="C990" s="4" t="str">
        <f>hyperlink("https://terraria.gamepedia.com/Eater's_Bone","Eater's Bone")</f>
        <v>Eater's Bone</v>
      </c>
    </row>
    <row r="991">
      <c r="A991" s="2">
        <v>995.0</v>
      </c>
      <c r="B991" s="3" t="s">
        <v>16</v>
      </c>
      <c r="C991" s="4" t="str">
        <f>hyperlink("https://terraria.gamepedia.com/Blend-O-Matic","Blend-O-Matic")</f>
        <v>Blend-O-Matic</v>
      </c>
    </row>
    <row r="992">
      <c r="A992" s="2">
        <v>996.0</v>
      </c>
      <c r="B992" s="3" t="s">
        <v>16</v>
      </c>
      <c r="C992" s="4" t="str">
        <f>hyperlink("https://terraria.gamepedia.com/Meat_Grinder","Meat Grinder")</f>
        <v>Meat Grinder</v>
      </c>
    </row>
    <row r="993">
      <c r="A993" s="2">
        <v>997.0</v>
      </c>
      <c r="B993" s="3" t="s">
        <v>16</v>
      </c>
      <c r="C993" s="4" t="str">
        <f>hyperlink("https://terraria.gamepedia.com/Extractinator","Extractinator")</f>
        <v>Extractinator</v>
      </c>
    </row>
    <row r="994">
      <c r="A994" s="2">
        <v>998.0</v>
      </c>
      <c r="B994" s="3" t="s">
        <v>16</v>
      </c>
      <c r="C994" s="4" t="str">
        <f>hyperlink("https://terraria.gamepedia.com/Solidifier","Solidifier")</f>
        <v>Solidifier</v>
      </c>
    </row>
    <row r="995">
      <c r="A995" s="2">
        <v>999.0</v>
      </c>
      <c r="B995" s="3" t="s">
        <v>9</v>
      </c>
      <c r="C995" s="4" t="str">
        <f>hyperlink("https://terraria.gamepedia.com/Amber","Amber")</f>
        <v>Amber</v>
      </c>
    </row>
    <row r="996">
      <c r="A996" s="2">
        <v>1000.0</v>
      </c>
      <c r="B996" s="3" t="s">
        <v>5</v>
      </c>
      <c r="C996" s="4" t="str">
        <f>hyperlink("https://terraria.gamepedia.com/Confetti_Gun","Confetti Gun")</f>
        <v>Confetti Gun</v>
      </c>
    </row>
    <row r="997">
      <c r="A997" s="2">
        <v>1001.0</v>
      </c>
      <c r="B997" s="3" t="s">
        <v>17</v>
      </c>
      <c r="C997" s="4" t="str">
        <f>hyperlink("https://terraria.gamepedia.com/Chlorophyte_armor","Chlorophyte Mask")</f>
        <v>Chlorophyte Mask</v>
      </c>
    </row>
    <row r="998">
      <c r="A998" s="2">
        <v>1002.0</v>
      </c>
      <c r="B998" s="3" t="s">
        <v>17</v>
      </c>
      <c r="C998" s="4" t="str">
        <f>hyperlink("https://terraria.gamepedia.com/Chlorophyte_armor","Chlorophyte Helmet")</f>
        <v>Chlorophyte Helmet</v>
      </c>
    </row>
    <row r="999">
      <c r="A999" s="2">
        <v>1003.0</v>
      </c>
      <c r="B999" s="3" t="s">
        <v>17</v>
      </c>
      <c r="C999" s="4" t="str">
        <f>hyperlink("https://terraria.gamepedia.com/Chlorophyte_armor","Chlorophyte Headgear")</f>
        <v>Chlorophyte Headgear</v>
      </c>
    </row>
    <row r="1000">
      <c r="A1000" s="2">
        <v>1004.0</v>
      </c>
      <c r="B1000" s="3" t="s">
        <v>17</v>
      </c>
      <c r="C1000" s="4" t="str">
        <f>hyperlink("https://terraria.gamepedia.com/Chlorophyte_armor","Chlorophyte Plate Mail")</f>
        <v>Chlorophyte Plate Mail</v>
      </c>
    </row>
    <row r="1001">
      <c r="A1001" s="2">
        <v>1005.0</v>
      </c>
      <c r="B1001" s="3" t="s">
        <v>17</v>
      </c>
      <c r="C1001" s="4" t="str">
        <f>hyperlink("https://terraria.gamepedia.com/Chlorophyte_armor","Chlorophyte Greaves")</f>
        <v>Chlorophyte Greaves</v>
      </c>
    </row>
    <row r="1002">
      <c r="A1002" s="2">
        <v>1006.0</v>
      </c>
      <c r="B1002" s="3" t="s">
        <v>9</v>
      </c>
      <c r="C1002" s="4" t="str">
        <f>hyperlink("https://terraria.gamepedia.com/Chlorophyte_Bar","Chlorophyte Bar")</f>
        <v>Chlorophyte Bar</v>
      </c>
    </row>
    <row r="1003">
      <c r="A1003" s="2">
        <v>1007.0</v>
      </c>
      <c r="B1003" s="3" t="s">
        <v>33</v>
      </c>
      <c r="C1003" s="4" t="str">
        <f>hyperlink("https://terraria.gamepedia.com/Dyes","Red Dye")</f>
        <v>Red Dye</v>
      </c>
    </row>
    <row r="1004">
      <c r="A1004" s="2">
        <v>1008.0</v>
      </c>
      <c r="B1004" s="3" t="s">
        <v>33</v>
      </c>
      <c r="C1004" s="4" t="str">
        <f>hyperlink("https://terraria.gamepedia.com/Dyes","Orange Dye")</f>
        <v>Orange Dye</v>
      </c>
    </row>
    <row r="1005">
      <c r="A1005" s="2">
        <v>1009.0</v>
      </c>
      <c r="B1005" s="3" t="s">
        <v>33</v>
      </c>
      <c r="C1005" s="4" t="str">
        <f>hyperlink("https://terraria.gamepedia.com/Dyes","Yellow Dye")</f>
        <v>Yellow Dye</v>
      </c>
    </row>
    <row r="1006">
      <c r="A1006" s="2">
        <v>1010.0</v>
      </c>
      <c r="B1006" s="3" t="s">
        <v>33</v>
      </c>
      <c r="C1006" s="4" t="str">
        <f>hyperlink("https://terraria.gamepedia.com/Dyes","Lime Dye")</f>
        <v>Lime Dye</v>
      </c>
    </row>
    <row r="1007">
      <c r="A1007" s="2">
        <v>1011.0</v>
      </c>
      <c r="B1007" s="3" t="s">
        <v>33</v>
      </c>
      <c r="C1007" s="4" t="str">
        <f>hyperlink("https://terraria.gamepedia.com/Dyes","Green Dye")</f>
        <v>Green Dye</v>
      </c>
    </row>
    <row r="1008">
      <c r="A1008" s="2">
        <v>1012.0</v>
      </c>
      <c r="B1008" s="3" t="s">
        <v>33</v>
      </c>
      <c r="C1008" s="4" t="str">
        <f>hyperlink("https://terraria.gamepedia.com/Dyes","Teal Dye")</f>
        <v>Teal Dye</v>
      </c>
    </row>
    <row r="1009">
      <c r="A1009" s="2">
        <v>1013.0</v>
      </c>
      <c r="B1009" s="3" t="s">
        <v>33</v>
      </c>
      <c r="C1009" s="4" t="str">
        <f>hyperlink("https://terraria.gamepedia.com/Dyes","Cyan Dye")</f>
        <v>Cyan Dye</v>
      </c>
    </row>
    <row r="1010">
      <c r="A1010" s="2">
        <v>1014.0</v>
      </c>
      <c r="B1010" s="3" t="s">
        <v>33</v>
      </c>
      <c r="C1010" s="4" t="str">
        <f>hyperlink("https://terraria.gamepedia.com/Dyes","Sky Blue Dye")</f>
        <v>Sky Blue Dye</v>
      </c>
    </row>
    <row r="1011">
      <c r="A1011" s="2">
        <v>1015.0</v>
      </c>
      <c r="B1011" s="3" t="s">
        <v>33</v>
      </c>
      <c r="C1011" s="4" t="str">
        <f>hyperlink("https://terraria.gamepedia.com/Dyes","Blue Dye")</f>
        <v>Blue Dye</v>
      </c>
    </row>
    <row r="1012">
      <c r="A1012" s="2">
        <v>1016.0</v>
      </c>
      <c r="B1012" s="3" t="s">
        <v>33</v>
      </c>
      <c r="C1012" s="4" t="str">
        <f>hyperlink("https://terraria.gamepedia.com/Dyes","Purple Dye")</f>
        <v>Purple Dye</v>
      </c>
    </row>
    <row r="1013">
      <c r="A1013" s="2">
        <v>1017.0</v>
      </c>
      <c r="B1013" s="3" t="s">
        <v>33</v>
      </c>
      <c r="C1013" s="4" t="str">
        <f>hyperlink("https://terraria.gamepedia.com/Dyes","Violet Dye")</f>
        <v>Violet Dye</v>
      </c>
    </row>
    <row r="1014">
      <c r="A1014" s="2">
        <v>1018.0</v>
      </c>
      <c r="B1014" s="3" t="s">
        <v>33</v>
      </c>
      <c r="C1014" s="4" t="str">
        <f>hyperlink("https://terraria.gamepedia.com/Dyes","Pink Dye")</f>
        <v>Pink Dye</v>
      </c>
    </row>
    <row r="1015">
      <c r="A1015" s="2">
        <v>1019.0</v>
      </c>
      <c r="B1015" s="3" t="s">
        <v>33</v>
      </c>
      <c r="C1015" s="4" t="str">
        <f>hyperlink("https://terraria.gamepedia.com/Dyes","Red and Black Dye")</f>
        <v>Red and Black Dye</v>
      </c>
    </row>
    <row r="1016">
      <c r="A1016" s="2">
        <v>1020.0</v>
      </c>
      <c r="B1016" s="3" t="s">
        <v>33</v>
      </c>
      <c r="C1016" s="4" t="str">
        <f>hyperlink("https://terraria.gamepedia.com/Dyes","Orange and Black Dye")</f>
        <v>Orange and Black Dye</v>
      </c>
    </row>
    <row r="1017">
      <c r="A1017" s="2">
        <v>1021.0</v>
      </c>
      <c r="B1017" s="3" t="s">
        <v>33</v>
      </c>
      <c r="C1017" s="4" t="str">
        <f>hyperlink("https://terraria.gamepedia.com/Dyes","Yellow and Black Dye")</f>
        <v>Yellow and Black Dye</v>
      </c>
    </row>
    <row r="1018">
      <c r="A1018" s="2">
        <v>1022.0</v>
      </c>
      <c r="B1018" s="3" t="s">
        <v>33</v>
      </c>
      <c r="C1018" s="4" t="str">
        <f>hyperlink("https://terraria.gamepedia.com/Dyes","Lime and Black Dye")</f>
        <v>Lime and Black Dye</v>
      </c>
    </row>
    <row r="1019">
      <c r="A1019" s="2">
        <v>1023.0</v>
      </c>
      <c r="B1019" s="3" t="s">
        <v>33</v>
      </c>
      <c r="C1019" s="4" t="str">
        <f>hyperlink("https://terraria.gamepedia.com/Dyes","Green and Black Dye")</f>
        <v>Green and Black Dye</v>
      </c>
    </row>
    <row r="1020">
      <c r="A1020" s="2">
        <v>1024.0</v>
      </c>
      <c r="B1020" s="3" t="s">
        <v>33</v>
      </c>
      <c r="C1020" s="4" t="str">
        <f>hyperlink("https://terraria.gamepedia.com/Dyes","Teal and Black Dye")</f>
        <v>Teal and Black Dye</v>
      </c>
    </row>
    <row r="1021">
      <c r="A1021" s="2">
        <v>1025.0</v>
      </c>
      <c r="B1021" s="3" t="s">
        <v>33</v>
      </c>
      <c r="C1021" s="4" t="str">
        <f>hyperlink("https://terraria.gamepedia.com/Dyes","Cyan and Black Dye")</f>
        <v>Cyan and Black Dye</v>
      </c>
    </row>
    <row r="1022">
      <c r="A1022" s="2">
        <v>1026.0</v>
      </c>
      <c r="B1022" s="3" t="s">
        <v>33</v>
      </c>
      <c r="C1022" s="4" t="str">
        <f>hyperlink("https://terraria.gamepedia.com/Dyes","Sky Blue and Black Dye")</f>
        <v>Sky Blue and Black Dye</v>
      </c>
    </row>
    <row r="1023">
      <c r="A1023" s="2">
        <v>1027.0</v>
      </c>
      <c r="B1023" s="3" t="s">
        <v>33</v>
      </c>
      <c r="C1023" s="4" t="str">
        <f>hyperlink("https://terraria.gamepedia.com/Dyes","Blue and Black Dye")</f>
        <v>Blue and Black Dye</v>
      </c>
    </row>
    <row r="1024">
      <c r="A1024" s="2">
        <v>1028.0</v>
      </c>
      <c r="B1024" s="3" t="s">
        <v>33</v>
      </c>
      <c r="C1024" s="4" t="str">
        <f>hyperlink("https://terraria.gamepedia.com/Dyes","Purple and Black Dye")</f>
        <v>Purple and Black Dye</v>
      </c>
    </row>
    <row r="1025">
      <c r="A1025" s="2">
        <v>1029.0</v>
      </c>
      <c r="B1025" s="3" t="s">
        <v>33</v>
      </c>
      <c r="C1025" s="4" t="str">
        <f>hyperlink("https://terraria.gamepedia.com/Dyes","Violet and Black Dye")</f>
        <v>Violet and Black Dye</v>
      </c>
    </row>
    <row r="1026">
      <c r="A1026" s="2">
        <v>1030.0</v>
      </c>
      <c r="B1026" s="3" t="s">
        <v>33</v>
      </c>
      <c r="C1026" s="4" t="str">
        <f>hyperlink("https://terraria.gamepedia.com/Dyes","Pink and Black Dye")</f>
        <v>Pink and Black Dye</v>
      </c>
    </row>
    <row r="1027">
      <c r="A1027" s="2">
        <v>1031.0</v>
      </c>
      <c r="B1027" s="3" t="s">
        <v>33</v>
      </c>
      <c r="C1027" s="4" t="str">
        <f>hyperlink("https://terraria.gamepedia.com/Dyes","Flame Dye")</f>
        <v>Flame Dye</v>
      </c>
    </row>
    <row r="1028">
      <c r="A1028" s="2">
        <v>1032.0</v>
      </c>
      <c r="B1028" s="3" t="s">
        <v>33</v>
      </c>
      <c r="C1028" s="4" t="str">
        <f>hyperlink("https://terraria.gamepedia.com/Dyes","Flame and Black Dye")</f>
        <v>Flame and Black Dye</v>
      </c>
    </row>
    <row r="1029">
      <c r="A1029" s="2">
        <v>1033.0</v>
      </c>
      <c r="B1029" s="3" t="s">
        <v>33</v>
      </c>
      <c r="C1029" s="4" t="str">
        <f>hyperlink("https://terraria.gamepedia.com/Dyes","Green Flame Dye")</f>
        <v>Green Flame Dye</v>
      </c>
    </row>
    <row r="1030">
      <c r="A1030" s="2">
        <v>1034.0</v>
      </c>
      <c r="B1030" s="3" t="s">
        <v>33</v>
      </c>
      <c r="C1030" s="4" t="str">
        <f>hyperlink("https://terraria.gamepedia.com/Dyes","Green Flame and Black Dye")</f>
        <v>Green Flame and Black Dye</v>
      </c>
    </row>
    <row r="1031">
      <c r="A1031" s="2">
        <v>1035.0</v>
      </c>
      <c r="B1031" s="3" t="s">
        <v>33</v>
      </c>
      <c r="C1031" s="4" t="str">
        <f>hyperlink("https://terraria.gamepedia.com/Dyes","Blue Flame Dye")</f>
        <v>Blue Flame Dye</v>
      </c>
    </row>
    <row r="1032">
      <c r="A1032" s="2">
        <v>1036.0</v>
      </c>
      <c r="B1032" s="3" t="s">
        <v>33</v>
      </c>
      <c r="C1032" s="4" t="str">
        <f>hyperlink("https://terraria.gamepedia.com/Dyes","Blue Flame and Black Dye")</f>
        <v>Blue Flame and Black Dye</v>
      </c>
    </row>
    <row r="1033">
      <c r="A1033" s="2">
        <v>1037.0</v>
      </c>
      <c r="B1033" s="3" t="s">
        <v>33</v>
      </c>
      <c r="C1033" s="4" t="str">
        <f>hyperlink("https://terraria.gamepedia.com/Dyes","Silver Dye")</f>
        <v>Silver Dye</v>
      </c>
    </row>
    <row r="1034">
      <c r="A1034" s="2">
        <v>1038.0</v>
      </c>
      <c r="B1034" s="3" t="s">
        <v>33</v>
      </c>
      <c r="C1034" s="4" t="str">
        <f>hyperlink("https://terraria.gamepedia.com/Dyes","Bright Red Dye")</f>
        <v>Bright Red Dye</v>
      </c>
    </row>
    <row r="1035">
      <c r="A1035" s="2">
        <v>1039.0</v>
      </c>
      <c r="B1035" s="3" t="s">
        <v>33</v>
      </c>
      <c r="C1035" s="4" t="str">
        <f>hyperlink("https://terraria.gamepedia.com/Dyes","Bright Orange Dye")</f>
        <v>Bright Orange Dye</v>
      </c>
    </row>
    <row r="1036">
      <c r="A1036" s="2">
        <v>1040.0</v>
      </c>
      <c r="B1036" s="3" t="s">
        <v>33</v>
      </c>
      <c r="C1036" s="4" t="str">
        <f>hyperlink("https://terraria.gamepedia.com/Dyes","Bright Yellow Dye")</f>
        <v>Bright Yellow Dye</v>
      </c>
    </row>
    <row r="1037">
      <c r="A1037" s="2">
        <v>1041.0</v>
      </c>
      <c r="B1037" s="3" t="s">
        <v>33</v>
      </c>
      <c r="C1037" s="4" t="str">
        <f>hyperlink("https://terraria.gamepedia.com/Dyes","Bright Lime Dye")</f>
        <v>Bright Lime Dye</v>
      </c>
    </row>
    <row r="1038">
      <c r="A1038" s="2">
        <v>1042.0</v>
      </c>
      <c r="B1038" s="3" t="s">
        <v>33</v>
      </c>
      <c r="C1038" s="4" t="str">
        <f>hyperlink("https://terraria.gamepedia.com/Dyes","Bright Green Dye")</f>
        <v>Bright Green Dye</v>
      </c>
    </row>
    <row r="1039">
      <c r="A1039" s="2">
        <v>1043.0</v>
      </c>
      <c r="B1039" s="3" t="s">
        <v>33</v>
      </c>
      <c r="C1039" s="4" t="str">
        <f>hyperlink("https://terraria.gamepedia.com/Dyes","Bright Teal Dye")</f>
        <v>Bright Teal Dye</v>
      </c>
    </row>
    <row r="1040">
      <c r="A1040" s="2">
        <v>1044.0</v>
      </c>
      <c r="B1040" s="3" t="s">
        <v>33</v>
      </c>
      <c r="C1040" s="4" t="str">
        <f>hyperlink("https://terraria.gamepedia.com/Dyes","Bright Cyan Dye")</f>
        <v>Bright Cyan Dye</v>
      </c>
    </row>
    <row r="1041">
      <c r="A1041" s="2">
        <v>1045.0</v>
      </c>
      <c r="B1041" s="3" t="s">
        <v>33</v>
      </c>
      <c r="C1041" s="4" t="str">
        <f>hyperlink("https://terraria.gamepedia.com/Dyes","Bright Sky Blue Dye")</f>
        <v>Bright Sky Blue Dye</v>
      </c>
    </row>
    <row r="1042">
      <c r="A1042" s="2">
        <v>1046.0</v>
      </c>
      <c r="B1042" s="3" t="s">
        <v>33</v>
      </c>
      <c r="C1042" s="4" t="str">
        <f>hyperlink("https://terraria.gamepedia.com/Dyes","Bright Blue Dye")</f>
        <v>Bright Blue Dye</v>
      </c>
    </row>
    <row r="1043">
      <c r="A1043" s="2">
        <v>1047.0</v>
      </c>
      <c r="B1043" s="3" t="s">
        <v>33</v>
      </c>
      <c r="C1043" s="4" t="str">
        <f>hyperlink("https://terraria.gamepedia.com/Dyes","Bright Purple Dye")</f>
        <v>Bright Purple Dye</v>
      </c>
    </row>
    <row r="1044">
      <c r="A1044" s="2">
        <v>1048.0</v>
      </c>
      <c r="B1044" s="3" t="s">
        <v>33</v>
      </c>
      <c r="C1044" s="4" t="str">
        <f>hyperlink("https://terraria.gamepedia.com/Dyes","Bright Violet Dye")</f>
        <v>Bright Violet Dye</v>
      </c>
    </row>
    <row r="1045">
      <c r="A1045" s="2">
        <v>1049.0</v>
      </c>
      <c r="B1045" s="3" t="s">
        <v>33</v>
      </c>
      <c r="C1045" s="4" t="str">
        <f>hyperlink("https://terraria.gamepedia.com/Dyes","Bright Pink Dye")</f>
        <v>Bright Pink Dye</v>
      </c>
    </row>
    <row r="1046">
      <c r="A1046" s="2">
        <v>1050.0</v>
      </c>
      <c r="B1046" s="3" t="s">
        <v>33</v>
      </c>
      <c r="C1046" s="4" t="str">
        <f>hyperlink("https://terraria.gamepedia.com/Dyes","Black Dye")</f>
        <v>Black Dye</v>
      </c>
    </row>
    <row r="1047">
      <c r="A1047" s="2">
        <v>1051.0</v>
      </c>
      <c r="B1047" s="3" t="s">
        <v>33</v>
      </c>
      <c r="C1047" s="4" t="str">
        <f>hyperlink("https://terraria.gamepedia.com/Dyes","Red and Silver Dye")</f>
        <v>Red and Silver Dye</v>
      </c>
    </row>
    <row r="1048">
      <c r="A1048" s="2">
        <v>1052.0</v>
      </c>
      <c r="B1048" s="3" t="s">
        <v>33</v>
      </c>
      <c r="C1048" s="4" t="str">
        <f>hyperlink("https://terraria.gamepedia.com/Dyes","Orange and Silver Dye")</f>
        <v>Orange and Silver Dye</v>
      </c>
    </row>
    <row r="1049">
      <c r="A1049" s="2">
        <v>1053.0</v>
      </c>
      <c r="B1049" s="3" t="s">
        <v>33</v>
      </c>
      <c r="C1049" s="4" t="str">
        <f>hyperlink("https://terraria.gamepedia.com/Dyes","Yellow and Silver Dye")</f>
        <v>Yellow and Silver Dye</v>
      </c>
    </row>
    <row r="1050">
      <c r="A1050" s="2">
        <v>1054.0</v>
      </c>
      <c r="B1050" s="3" t="s">
        <v>33</v>
      </c>
      <c r="C1050" s="4" t="str">
        <f>hyperlink("https://terraria.gamepedia.com/Dyes","Lime and Silver Dye")</f>
        <v>Lime and Silver Dye</v>
      </c>
    </row>
    <row r="1051">
      <c r="A1051" s="2">
        <v>1055.0</v>
      </c>
      <c r="B1051" s="3" t="s">
        <v>33</v>
      </c>
      <c r="C1051" s="4" t="str">
        <f>hyperlink("https://terraria.gamepedia.com/Dyes","Green and Silver Dye")</f>
        <v>Green and Silver Dye</v>
      </c>
    </row>
    <row r="1052">
      <c r="A1052" s="2">
        <v>1056.0</v>
      </c>
      <c r="B1052" s="3" t="s">
        <v>33</v>
      </c>
      <c r="C1052" s="4" t="str">
        <f>hyperlink("https://terraria.gamepedia.com/Dyes","Teal and Silver Dye")</f>
        <v>Teal and Silver Dye</v>
      </c>
    </row>
    <row r="1053">
      <c r="A1053" s="2">
        <v>1057.0</v>
      </c>
      <c r="B1053" s="3" t="s">
        <v>33</v>
      </c>
      <c r="C1053" s="4" t="str">
        <f>hyperlink("https://terraria.gamepedia.com/Dyes","Cyan and Silver Dye")</f>
        <v>Cyan and Silver Dye</v>
      </c>
    </row>
    <row r="1054">
      <c r="A1054" s="2">
        <v>1058.0</v>
      </c>
      <c r="B1054" s="3" t="s">
        <v>33</v>
      </c>
      <c r="C1054" s="4" t="str">
        <f>hyperlink("https://terraria.gamepedia.com/Dyes","Sky Blue and Silver Dye")</f>
        <v>Sky Blue and Silver Dye</v>
      </c>
    </row>
    <row r="1055">
      <c r="A1055" s="2">
        <v>1059.0</v>
      </c>
      <c r="B1055" s="3" t="s">
        <v>33</v>
      </c>
      <c r="C1055" s="4" t="str">
        <f>hyperlink("https://terraria.gamepedia.com/Dyes","Blue and Silver Dye")</f>
        <v>Blue and Silver Dye</v>
      </c>
    </row>
    <row r="1056">
      <c r="A1056" s="2">
        <v>1060.0</v>
      </c>
      <c r="B1056" s="3" t="s">
        <v>33</v>
      </c>
      <c r="C1056" s="4" t="str">
        <f>hyperlink("https://terraria.gamepedia.com/Dyes","Purple and Silver Dye")</f>
        <v>Purple and Silver Dye</v>
      </c>
    </row>
    <row r="1057">
      <c r="A1057" s="2">
        <v>1061.0</v>
      </c>
      <c r="B1057" s="3" t="s">
        <v>33</v>
      </c>
      <c r="C1057" s="4" t="str">
        <f>hyperlink("https://terraria.gamepedia.com/Dyes","Violet and Silver Dye")</f>
        <v>Violet and Silver Dye</v>
      </c>
    </row>
    <row r="1058">
      <c r="A1058" s="2">
        <v>1062.0</v>
      </c>
      <c r="B1058" s="3" t="s">
        <v>33</v>
      </c>
      <c r="C1058" s="4" t="str">
        <f>hyperlink("https://terraria.gamepedia.com/Dyes","Pink and Silver Dye")</f>
        <v>Pink and Silver Dye</v>
      </c>
    </row>
    <row r="1059">
      <c r="A1059" s="2">
        <v>1063.0</v>
      </c>
      <c r="B1059" s="3" t="s">
        <v>33</v>
      </c>
      <c r="C1059" s="4" t="str">
        <f>hyperlink("https://terraria.gamepedia.com/Dyes","Intense Flame Dye")</f>
        <v>Intense Flame Dye</v>
      </c>
    </row>
    <row r="1060">
      <c r="A1060" s="2">
        <v>1064.0</v>
      </c>
      <c r="B1060" s="3" t="s">
        <v>33</v>
      </c>
      <c r="C1060" s="4" t="str">
        <f>hyperlink("https://terraria.gamepedia.com/Dyes","Intense Green Flame Dye")</f>
        <v>Intense Green Flame Dye</v>
      </c>
    </row>
    <row r="1061">
      <c r="A1061" s="2">
        <v>1065.0</v>
      </c>
      <c r="B1061" s="3" t="s">
        <v>33</v>
      </c>
      <c r="C1061" s="4" t="str">
        <f>hyperlink("https://terraria.gamepedia.com/Dyes","Intense Blue Flame Dye")</f>
        <v>Intense Blue Flame Dye</v>
      </c>
    </row>
    <row r="1062">
      <c r="A1062" s="2">
        <v>1066.0</v>
      </c>
      <c r="B1062" s="3" t="s">
        <v>33</v>
      </c>
      <c r="C1062" s="4" t="str">
        <f>hyperlink("https://terraria.gamepedia.com/Dyes","Rainbow Dye")</f>
        <v>Rainbow Dye</v>
      </c>
    </row>
    <row r="1063">
      <c r="A1063" s="2">
        <v>1067.0</v>
      </c>
      <c r="B1063" s="3" t="s">
        <v>33</v>
      </c>
      <c r="C1063" s="4" t="str">
        <f>hyperlink("https://terraria.gamepedia.com/Dyes","Intense Rainbow Dye")</f>
        <v>Intense Rainbow Dye</v>
      </c>
    </row>
    <row r="1064">
      <c r="A1064" s="2">
        <v>1068.0</v>
      </c>
      <c r="B1064" s="3" t="s">
        <v>33</v>
      </c>
      <c r="C1064" s="4" t="str">
        <f>hyperlink("https://terraria.gamepedia.com/Dyes","Yellow Gradient Dye")</f>
        <v>Yellow Gradient Dye</v>
      </c>
    </row>
    <row r="1065">
      <c r="A1065" s="2">
        <v>1069.0</v>
      </c>
      <c r="B1065" s="3" t="s">
        <v>33</v>
      </c>
      <c r="C1065" s="4" t="str">
        <f>hyperlink("https://terraria.gamepedia.com/Dyes","Cyan Gradient Dye")</f>
        <v>Cyan Gradient Dye</v>
      </c>
    </row>
    <row r="1066">
      <c r="A1066" s="2">
        <v>1070.0</v>
      </c>
      <c r="B1066" s="3" t="s">
        <v>33</v>
      </c>
      <c r="C1066" s="4" t="str">
        <f>hyperlink("https://terraria.gamepedia.com/Dyes","Violet Gradient Dye")</f>
        <v>Violet Gradient Dye</v>
      </c>
    </row>
    <row r="1067">
      <c r="A1067" s="2">
        <v>1071.0</v>
      </c>
      <c r="B1067" s="3" t="s">
        <v>3</v>
      </c>
      <c r="C1067" s="4" t="str">
        <f>hyperlink("https://terraria.gamepedia.com/Paintbrush","Paintbrush")</f>
        <v>Paintbrush</v>
      </c>
    </row>
    <row r="1068">
      <c r="A1068" s="2">
        <v>1072.0</v>
      </c>
      <c r="B1068" s="3" t="s">
        <v>3</v>
      </c>
      <c r="C1068" s="4" t="str">
        <f>hyperlink("https://terraria.gamepedia.com/Paint_Roller","Paint Roller")</f>
        <v>Paint Roller</v>
      </c>
    </row>
    <row r="1069">
      <c r="A1069" s="2">
        <v>1073.0</v>
      </c>
      <c r="B1069" s="3" t="s">
        <v>33</v>
      </c>
      <c r="C1069" s="4" t="str">
        <f>hyperlink("https://terraria.gamepedia.com/Paints","Red Paint")</f>
        <v>Red Paint</v>
      </c>
    </row>
    <row r="1070">
      <c r="A1070" s="2">
        <v>1074.0</v>
      </c>
      <c r="B1070" s="3" t="s">
        <v>33</v>
      </c>
      <c r="C1070" s="4" t="str">
        <f>hyperlink("https://terraria.gamepedia.com/Paints","Orange Paint")</f>
        <v>Orange Paint</v>
      </c>
    </row>
    <row r="1071">
      <c r="A1071" s="2">
        <v>1075.0</v>
      </c>
      <c r="B1071" s="3" t="s">
        <v>33</v>
      </c>
      <c r="C1071" s="4" t="str">
        <f>hyperlink("https://terraria.gamepedia.com/Paints","Yellow Paint")</f>
        <v>Yellow Paint</v>
      </c>
    </row>
    <row r="1072">
      <c r="A1072" s="2">
        <v>1076.0</v>
      </c>
      <c r="B1072" s="3" t="s">
        <v>33</v>
      </c>
      <c r="C1072" s="4" t="str">
        <f>hyperlink("https://terraria.gamepedia.com/Paints","Lime Paint")</f>
        <v>Lime Paint</v>
      </c>
    </row>
    <row r="1073">
      <c r="A1073" s="2">
        <v>1077.0</v>
      </c>
      <c r="B1073" s="3" t="s">
        <v>33</v>
      </c>
      <c r="C1073" s="4" t="str">
        <f>hyperlink("https://terraria.gamepedia.com/Paints","Green Paint")</f>
        <v>Green Paint</v>
      </c>
    </row>
    <row r="1074">
      <c r="A1074" s="2">
        <v>1078.0</v>
      </c>
      <c r="B1074" s="3" t="s">
        <v>33</v>
      </c>
      <c r="C1074" s="4" t="str">
        <f>hyperlink("https://terraria.gamepedia.com/Paints","Teal Paint")</f>
        <v>Teal Paint</v>
      </c>
    </row>
    <row r="1075">
      <c r="A1075" s="2">
        <v>1079.0</v>
      </c>
      <c r="B1075" s="3" t="s">
        <v>33</v>
      </c>
      <c r="C1075" s="4" t="str">
        <f>hyperlink("https://terraria.gamepedia.com/Paints","Cyan Paint")</f>
        <v>Cyan Paint</v>
      </c>
    </row>
    <row r="1076">
      <c r="A1076" s="2">
        <v>1080.0</v>
      </c>
      <c r="B1076" s="3" t="s">
        <v>33</v>
      </c>
      <c r="C1076" s="4" t="str">
        <f>hyperlink("https://terraria.gamepedia.com/Paints","Sky Blue Paint")</f>
        <v>Sky Blue Paint</v>
      </c>
    </row>
    <row r="1077">
      <c r="A1077" s="2">
        <v>1081.0</v>
      </c>
      <c r="B1077" s="3" t="s">
        <v>33</v>
      </c>
      <c r="C1077" s="4" t="str">
        <f>hyperlink("https://terraria.gamepedia.com/Paints","Blue Paint")</f>
        <v>Blue Paint</v>
      </c>
    </row>
    <row r="1078">
      <c r="A1078" s="2">
        <v>1082.0</v>
      </c>
      <c r="B1078" s="3" t="s">
        <v>33</v>
      </c>
      <c r="C1078" s="4" t="str">
        <f>hyperlink("https://terraria.gamepedia.com/Paints","Purple Paint")</f>
        <v>Purple Paint</v>
      </c>
    </row>
    <row r="1079">
      <c r="A1079" s="2">
        <v>1083.0</v>
      </c>
      <c r="B1079" s="3" t="s">
        <v>33</v>
      </c>
      <c r="C1079" s="4" t="str">
        <f>hyperlink("https://terraria.gamepedia.com/Paints","Violet Paint")</f>
        <v>Violet Paint</v>
      </c>
    </row>
    <row r="1080">
      <c r="A1080" s="2">
        <v>1084.0</v>
      </c>
      <c r="B1080" s="3" t="s">
        <v>33</v>
      </c>
      <c r="C1080" s="4" t="str">
        <f>hyperlink("https://terraria.gamepedia.com/Paints","Pink Paint")</f>
        <v>Pink Paint</v>
      </c>
    </row>
    <row r="1081">
      <c r="A1081" s="2">
        <v>1085.0</v>
      </c>
      <c r="B1081" s="3" t="s">
        <v>33</v>
      </c>
      <c r="C1081" s="4" t="str">
        <f>hyperlink("https://terraria.gamepedia.com/Paints","Deep Red Paint")</f>
        <v>Deep Red Paint</v>
      </c>
    </row>
    <row r="1082">
      <c r="A1082" s="2">
        <v>1086.0</v>
      </c>
      <c r="B1082" s="3" t="s">
        <v>33</v>
      </c>
      <c r="C1082" s="4" t="str">
        <f>hyperlink("https://terraria.gamepedia.com/Paints","Deep Orange Paint")</f>
        <v>Deep Orange Paint</v>
      </c>
    </row>
    <row r="1083">
      <c r="A1083" s="2">
        <v>1087.0</v>
      </c>
      <c r="B1083" s="3" t="s">
        <v>33</v>
      </c>
      <c r="C1083" s="4" t="str">
        <f>hyperlink("https://terraria.gamepedia.com/Paints","Deep Yellow Paint")</f>
        <v>Deep Yellow Paint</v>
      </c>
    </row>
    <row r="1084">
      <c r="A1084" s="2">
        <v>1088.0</v>
      </c>
      <c r="B1084" s="3" t="s">
        <v>33</v>
      </c>
      <c r="C1084" s="4" t="str">
        <f>hyperlink("https://terraria.gamepedia.com/Paints","Deep Lime Paint")</f>
        <v>Deep Lime Paint</v>
      </c>
    </row>
    <row r="1085">
      <c r="A1085" s="2">
        <v>1089.0</v>
      </c>
      <c r="B1085" s="3" t="s">
        <v>33</v>
      </c>
      <c r="C1085" s="4" t="str">
        <f>hyperlink("https://terraria.gamepedia.com/Paints","Deep Green Paint")</f>
        <v>Deep Green Paint</v>
      </c>
    </row>
    <row r="1086">
      <c r="A1086" s="2">
        <v>1090.0</v>
      </c>
      <c r="B1086" s="3" t="s">
        <v>33</v>
      </c>
      <c r="C1086" s="4" t="str">
        <f>hyperlink("https://terraria.gamepedia.com/Paints","Deep Teal Paint")</f>
        <v>Deep Teal Paint</v>
      </c>
    </row>
    <row r="1087">
      <c r="A1087" s="2">
        <v>1091.0</v>
      </c>
      <c r="B1087" s="3" t="s">
        <v>33</v>
      </c>
      <c r="C1087" s="4" t="str">
        <f>hyperlink("https://terraria.gamepedia.com/Paints","Deep Cyan Paint")</f>
        <v>Deep Cyan Paint</v>
      </c>
    </row>
    <row r="1088">
      <c r="A1088" s="2">
        <v>1092.0</v>
      </c>
      <c r="B1088" s="3" t="s">
        <v>33</v>
      </c>
      <c r="C1088" s="4" t="str">
        <f>hyperlink("https://terraria.gamepedia.com/Paints","Deep Sky Blue Paint")</f>
        <v>Deep Sky Blue Paint</v>
      </c>
    </row>
    <row r="1089">
      <c r="A1089" s="2">
        <v>1093.0</v>
      </c>
      <c r="B1089" s="3" t="s">
        <v>33</v>
      </c>
      <c r="C1089" s="4" t="str">
        <f>hyperlink("https://terraria.gamepedia.com/Paints","Deep Blue Paint")</f>
        <v>Deep Blue Paint</v>
      </c>
    </row>
    <row r="1090">
      <c r="A1090" s="2">
        <v>1094.0</v>
      </c>
      <c r="B1090" s="3" t="s">
        <v>33</v>
      </c>
      <c r="C1090" s="4" t="str">
        <f>hyperlink("https://terraria.gamepedia.com/Paints","Deep Purple Paint")</f>
        <v>Deep Purple Paint</v>
      </c>
    </row>
    <row r="1091">
      <c r="A1091" s="2">
        <v>1095.0</v>
      </c>
      <c r="B1091" s="3" t="s">
        <v>33</v>
      </c>
      <c r="C1091" s="4" t="str">
        <f>hyperlink("https://terraria.gamepedia.com/Paints","Deep Violet Paint")</f>
        <v>Deep Violet Paint</v>
      </c>
    </row>
    <row r="1092">
      <c r="A1092" s="2">
        <v>1096.0</v>
      </c>
      <c r="B1092" s="3" t="s">
        <v>33</v>
      </c>
      <c r="C1092" s="4" t="str">
        <f>hyperlink("https://terraria.gamepedia.com/Paints","Deep Pink Paint")</f>
        <v>Deep Pink Paint</v>
      </c>
    </row>
    <row r="1093">
      <c r="A1093" s="2">
        <v>1097.0</v>
      </c>
      <c r="B1093" s="3" t="s">
        <v>33</v>
      </c>
      <c r="C1093" s="4" t="str">
        <f>hyperlink("https://terraria.gamepedia.com/Paints","Black Paint")</f>
        <v>Black Paint</v>
      </c>
    </row>
    <row r="1094">
      <c r="A1094" s="2">
        <v>1098.0</v>
      </c>
      <c r="B1094" s="3" t="s">
        <v>33</v>
      </c>
      <c r="C1094" s="4" t="str">
        <f>hyperlink("https://terraria.gamepedia.com/Paints","White Paint")</f>
        <v>White Paint</v>
      </c>
    </row>
    <row r="1095">
      <c r="A1095" s="2">
        <v>1099.0</v>
      </c>
      <c r="B1095" s="3" t="s">
        <v>33</v>
      </c>
      <c r="C1095" s="4" t="str">
        <f>hyperlink("https://terraria.gamepedia.com/Paints","Gray Paint")</f>
        <v>Gray Paint</v>
      </c>
    </row>
    <row r="1096">
      <c r="A1096" s="2">
        <v>1100.0</v>
      </c>
      <c r="B1096" s="3" t="s">
        <v>3</v>
      </c>
      <c r="C1096" s="4" t="str">
        <f>hyperlink("https://terraria.gamepedia.com/Paint_Scraper","Paint Scraper")</f>
        <v>Paint Scraper</v>
      </c>
    </row>
    <row r="1097">
      <c r="A1097" s="2">
        <v>1101.0</v>
      </c>
      <c r="B1097" s="3" t="s">
        <v>4</v>
      </c>
      <c r="C1097" s="4" t="str">
        <f>hyperlink("https://terraria.gamepedia.com/Lihzahrd_Brick","Lihzahrd Brick")</f>
        <v>Lihzahrd Brick</v>
      </c>
    </row>
    <row r="1098">
      <c r="A1098" s="2">
        <v>1102.0</v>
      </c>
      <c r="B1098" s="3" t="s">
        <v>13</v>
      </c>
      <c r="C1098" s="4" t="str">
        <f>hyperlink("https://terraria.gamepedia.com/Lihzahrd_Brick_Wall","Lihzahrd Brick Wall")</f>
        <v>Lihzahrd Brick Wall</v>
      </c>
    </row>
    <row r="1099">
      <c r="A1099" s="2">
        <v>1103.0</v>
      </c>
      <c r="B1099" s="3" t="s">
        <v>4</v>
      </c>
      <c r="C1099" s="4" t="str">
        <f>hyperlink("https://terraria.gamepedia.com/Slush_Block","Slush Block")</f>
        <v>Slush Block</v>
      </c>
    </row>
    <row r="1100">
      <c r="A1100" s="2">
        <v>1104.0</v>
      </c>
      <c r="B1100" s="3" t="s">
        <v>9</v>
      </c>
      <c r="C1100" s="4" t="str">
        <f>hyperlink("https://terraria.gamepedia.com/Palladium_Ore","Palladium Ore")</f>
        <v>Palladium Ore</v>
      </c>
    </row>
    <row r="1101">
      <c r="A1101" s="2">
        <v>1105.0</v>
      </c>
      <c r="B1101" s="3" t="s">
        <v>9</v>
      </c>
      <c r="C1101" s="4" t="str">
        <f>hyperlink("https://terraria.gamepedia.com/Orichalcum_Ore","Orichalcum Ore")</f>
        <v>Orichalcum Ore</v>
      </c>
    </row>
    <row r="1102">
      <c r="A1102" s="2">
        <v>1106.0</v>
      </c>
      <c r="B1102" s="3" t="s">
        <v>9</v>
      </c>
      <c r="C1102" s="4" t="str">
        <f>hyperlink("https://terraria.gamepedia.com/Titanium_Ore","Titanium Ore")</f>
        <v>Titanium Ore</v>
      </c>
    </row>
    <row r="1103">
      <c r="A1103" s="2">
        <v>1107.0</v>
      </c>
      <c r="B1103" s="3" t="s">
        <v>11</v>
      </c>
      <c r="C1103" s="4" t="str">
        <f>hyperlink("https://terraria.gamepedia.com/Teal_Mushroom","Teal Mushroom")</f>
        <v>Teal Mushroom</v>
      </c>
    </row>
    <row r="1104">
      <c r="A1104" s="2">
        <v>1108.0</v>
      </c>
      <c r="B1104" s="3" t="s">
        <v>11</v>
      </c>
      <c r="C1104" s="4" t="str">
        <f>hyperlink("https://terraria.gamepedia.com/Green_Mushroom","Green Mushroom")</f>
        <v>Green Mushroom</v>
      </c>
    </row>
    <row r="1105">
      <c r="A1105" s="2">
        <v>1109.0</v>
      </c>
      <c r="B1105" s="3" t="s">
        <v>11</v>
      </c>
      <c r="C1105" s="4" t="str">
        <f>hyperlink("https://terraria.gamepedia.com/Sky_Blue_Flower","Sky Blue Flower")</f>
        <v>Sky Blue Flower</v>
      </c>
    </row>
    <row r="1106">
      <c r="A1106" s="2">
        <v>1110.0</v>
      </c>
      <c r="B1106" s="3" t="s">
        <v>11</v>
      </c>
      <c r="C1106" s="4" t="str">
        <f>hyperlink("https://terraria.gamepedia.com/Yellow_Marigold","Yellow Marigold")</f>
        <v>Yellow Marigold</v>
      </c>
    </row>
    <row r="1107">
      <c r="A1107" s="2">
        <v>1111.0</v>
      </c>
      <c r="B1107" s="3" t="s">
        <v>11</v>
      </c>
      <c r="C1107" s="4" t="str">
        <f>hyperlink("https://terraria.gamepedia.com/Blue_Berries","Blue Berries")</f>
        <v>Blue Berries</v>
      </c>
    </row>
    <row r="1108">
      <c r="A1108" s="2">
        <v>1112.0</v>
      </c>
      <c r="B1108" s="3" t="s">
        <v>11</v>
      </c>
      <c r="C1108" s="4" t="str">
        <f>hyperlink("https://terraria.gamepedia.com/Lime_Kelp","Lime Kelp")</f>
        <v>Lime Kelp</v>
      </c>
    </row>
    <row r="1109">
      <c r="A1109" s="2">
        <v>1113.0</v>
      </c>
      <c r="B1109" s="3" t="s">
        <v>11</v>
      </c>
      <c r="C1109" s="4" t="str">
        <f>hyperlink("https://terraria.gamepedia.com/Pink_Prickly_Pear","Pink Prickly Pear")</f>
        <v>Pink Prickly Pear</v>
      </c>
    </row>
    <row r="1110">
      <c r="A1110" s="2">
        <v>1114.0</v>
      </c>
      <c r="B1110" s="3" t="s">
        <v>11</v>
      </c>
      <c r="C1110" s="4" t="str">
        <f>hyperlink("https://terraria.gamepedia.com/Orange_Bloodroot","Orange Bloodroot")</f>
        <v>Orange Bloodroot</v>
      </c>
    </row>
    <row r="1111">
      <c r="A1111" s="2">
        <v>1115.0</v>
      </c>
      <c r="B1111" s="3" t="s">
        <v>11</v>
      </c>
      <c r="C1111" s="4" t="str">
        <f>hyperlink("https://terraria.gamepedia.com/Red_Husk","Red Husk")</f>
        <v>Red Husk</v>
      </c>
    </row>
    <row r="1112">
      <c r="A1112" s="2">
        <v>1116.0</v>
      </c>
      <c r="B1112" s="3" t="s">
        <v>11</v>
      </c>
      <c r="C1112" s="4" t="str">
        <f>hyperlink("https://terraria.gamepedia.com/Cyan_Husk","Cyan Husk")</f>
        <v>Cyan Husk</v>
      </c>
    </row>
    <row r="1113">
      <c r="A1113" s="2">
        <v>1117.0</v>
      </c>
      <c r="B1113" s="3" t="s">
        <v>11</v>
      </c>
      <c r="C1113" s="4" t="str">
        <f>hyperlink("https://terraria.gamepedia.com/Violet_Husk","Violet Husk")</f>
        <v>Violet Husk</v>
      </c>
    </row>
    <row r="1114">
      <c r="A1114" s="2">
        <v>1118.0</v>
      </c>
      <c r="B1114" s="3" t="s">
        <v>11</v>
      </c>
      <c r="C1114" s="4" t="str">
        <f>hyperlink("https://terraria.gamepedia.com/Purple_Mucus","Purple Mucus")</f>
        <v>Purple Mucus</v>
      </c>
    </row>
    <row r="1115">
      <c r="A1115" s="2">
        <v>1119.0</v>
      </c>
      <c r="B1115" s="3" t="s">
        <v>11</v>
      </c>
      <c r="C1115" s="4" t="str">
        <f>hyperlink("https://terraria.gamepedia.com/Black_Ink","Black Ink")</f>
        <v>Black Ink</v>
      </c>
    </row>
    <row r="1116">
      <c r="A1116" s="2">
        <v>1120.0</v>
      </c>
      <c r="B1116" s="3" t="s">
        <v>16</v>
      </c>
      <c r="C1116" s="4" t="str">
        <f>hyperlink("https://terraria.gamepedia.com/Dye_Vat","Dye Vat")</f>
        <v>Dye Vat</v>
      </c>
    </row>
    <row r="1117">
      <c r="A1117" s="2">
        <v>1121.0</v>
      </c>
      <c r="B1117" s="3" t="s">
        <v>5</v>
      </c>
      <c r="C1117" s="4" t="str">
        <f>hyperlink("https://terraria.gamepedia.com/Bee_Gun","Bee Gun")</f>
        <v>Bee Gun</v>
      </c>
    </row>
    <row r="1118">
      <c r="A1118" s="2">
        <v>1122.0</v>
      </c>
      <c r="B1118" s="3" t="s">
        <v>5</v>
      </c>
      <c r="C1118" s="4" t="str">
        <f>hyperlink("https://terraria.gamepedia.com/Possessed_Hatchet","Possessed Hatchet")</f>
        <v>Possessed Hatchet</v>
      </c>
    </row>
    <row r="1119">
      <c r="A1119" s="2">
        <v>1123.0</v>
      </c>
      <c r="B1119" s="3" t="s">
        <v>5</v>
      </c>
      <c r="C1119" s="4" t="str">
        <f>hyperlink("https://terraria.gamepedia.com/Bee_Keeper","Bee Keeper")</f>
        <v>Bee Keeper</v>
      </c>
    </row>
    <row r="1120">
      <c r="A1120" s="2">
        <v>1124.0</v>
      </c>
      <c r="B1120" s="3" t="s">
        <v>4</v>
      </c>
      <c r="C1120" s="4" t="str">
        <f>hyperlink("https://terraria.gamepedia.com/Hive","Hive")</f>
        <v>Hive</v>
      </c>
    </row>
    <row r="1121">
      <c r="A1121" s="2">
        <v>1125.0</v>
      </c>
      <c r="B1121" s="3" t="s">
        <v>4</v>
      </c>
      <c r="C1121" s="4" t="str">
        <f>hyperlink("https://terraria.gamepedia.com/Honey_Block","Honey Block")</f>
        <v>Honey Block</v>
      </c>
    </row>
    <row r="1122">
      <c r="A1122" s="2">
        <v>1126.0</v>
      </c>
      <c r="B1122" s="3" t="s">
        <v>13</v>
      </c>
      <c r="C1122" s="4" t="str">
        <f>hyperlink("https://terraria.gamepedia.com/Hive_Wall","Hive Wall")</f>
        <v>Hive Wall</v>
      </c>
    </row>
    <row r="1123">
      <c r="A1123" s="2">
        <v>1127.0</v>
      </c>
      <c r="B1123" s="3" t="s">
        <v>4</v>
      </c>
      <c r="C1123" s="4" t="str">
        <f>hyperlink("https://terraria.gamepedia.com/Crispy_Honey_Block","Crispy Honey Block")</f>
        <v>Crispy Honey Block</v>
      </c>
    </row>
    <row r="1124">
      <c r="A1124" s="2">
        <v>1128.0</v>
      </c>
      <c r="B1124" s="3" t="s">
        <v>11</v>
      </c>
      <c r="C1124" s="4" t="str">
        <f>hyperlink("https://terraria.gamepedia.com/Buckets","Honey Bucket")</f>
        <v>Honey Bucket</v>
      </c>
    </row>
    <row r="1125">
      <c r="A1125" s="2">
        <v>1129.0</v>
      </c>
      <c r="B1125" s="3" t="s">
        <v>3</v>
      </c>
      <c r="C1125" s="4" t="str">
        <f>hyperlink("https://terraria.gamepedia.com/Block-placing_wands","Hive Wand")</f>
        <v>Hive Wand</v>
      </c>
    </row>
    <row r="1126">
      <c r="A1126" s="2">
        <v>1130.0</v>
      </c>
      <c r="B1126" s="3" t="s">
        <v>18</v>
      </c>
      <c r="C1126" s="4" t="str">
        <f>hyperlink("https://terraria.gamepedia.com/Beenade","Beenade")</f>
        <v>Beenade</v>
      </c>
    </row>
    <row r="1127">
      <c r="A1127" s="2">
        <v>1131.0</v>
      </c>
      <c r="B1127" s="3" t="s">
        <v>10</v>
      </c>
      <c r="C1127" s="4" t="str">
        <f>hyperlink("https://terraria.gamepedia.com/Gravity_Globe","Gravity Globe")</f>
        <v>Gravity Globe</v>
      </c>
    </row>
    <row r="1128">
      <c r="A1128" s="2">
        <v>1132.0</v>
      </c>
      <c r="B1128" s="3" t="s">
        <v>10</v>
      </c>
      <c r="C1128" s="4" t="str">
        <f>hyperlink("https://terraria.gamepedia.com/Honey_Comb","Honey Comb")</f>
        <v>Honey Comb</v>
      </c>
    </row>
    <row r="1129">
      <c r="A1129" s="2">
        <v>1133.0</v>
      </c>
      <c r="B1129" s="3" t="s">
        <v>19</v>
      </c>
      <c r="C1129" s="4" t="str">
        <f>hyperlink("https://terraria.gamepedia.com/Abeemination","Abeemination")</f>
        <v>Abeemination</v>
      </c>
    </row>
    <row r="1130">
      <c r="A1130" s="2">
        <v>1134.0</v>
      </c>
      <c r="B1130" s="3" t="s">
        <v>11</v>
      </c>
      <c r="C1130" s="4" t="str">
        <f>hyperlink("https://terraria.gamepedia.com/Bottled_Honey","Bottled Honey")</f>
        <v>Bottled Honey</v>
      </c>
    </row>
    <row r="1131">
      <c r="A1131" s="2">
        <v>1135.0</v>
      </c>
      <c r="B1131" s="3" t="s">
        <v>23</v>
      </c>
      <c r="C1131" s="4" t="str">
        <f>hyperlink("https://terraria.gamepedia.com/Rain_armor","Rain Hat")</f>
        <v>Rain Hat</v>
      </c>
    </row>
    <row r="1132">
      <c r="A1132" s="2">
        <v>1136.0</v>
      </c>
      <c r="B1132" s="3" t="s">
        <v>23</v>
      </c>
      <c r="C1132" s="4" t="str">
        <f>hyperlink("https://terraria.gamepedia.com/Rain_armor","Rain Coat")</f>
        <v>Rain Coat</v>
      </c>
    </row>
    <row r="1133">
      <c r="A1133" s="2">
        <v>1137.0</v>
      </c>
      <c r="B1133" s="3" t="s">
        <v>31</v>
      </c>
      <c r="C1133" s="4" t="str">
        <f>hyperlink("https://terraria.gamepedia.com/Doors","Lihzahrd Door")</f>
        <v>Lihzahrd Door</v>
      </c>
    </row>
    <row r="1134">
      <c r="A1134" s="2">
        <v>1138.0</v>
      </c>
      <c r="B1134" s="3" t="s">
        <v>12</v>
      </c>
      <c r="C1134" s="4" t="str">
        <f>hyperlink("https://terraria.gamepedia.com/Doors","Dungeon Door")</f>
        <v>Dungeon Door</v>
      </c>
    </row>
    <row r="1135">
      <c r="A1135" s="2">
        <v>1139.0</v>
      </c>
      <c r="B1135" s="3" t="s">
        <v>12</v>
      </c>
      <c r="C1135" s="4" t="str">
        <f>hyperlink("https://terraria.gamepedia.com/Doors","Lead Door")</f>
        <v>Lead Door</v>
      </c>
    </row>
    <row r="1136">
      <c r="A1136" s="2">
        <v>1140.0</v>
      </c>
      <c r="B1136" s="3" t="s">
        <v>12</v>
      </c>
      <c r="C1136" s="4" t="str">
        <f>hyperlink("https://terraria.gamepedia.com/Doors","Iron Door")</f>
        <v>Iron Door</v>
      </c>
    </row>
    <row r="1137">
      <c r="A1137" s="2">
        <v>1141.0</v>
      </c>
      <c r="B1137" s="3" t="s">
        <v>19</v>
      </c>
      <c r="C1137" s="4" t="str">
        <f>hyperlink("https://terraria.gamepedia.com/Temple_Key","Temple Key")</f>
        <v>Temple Key</v>
      </c>
    </row>
    <row r="1138">
      <c r="A1138" s="2">
        <v>1142.0</v>
      </c>
      <c r="B1138" s="3" t="s">
        <v>20</v>
      </c>
      <c r="C1138" s="4" t="str">
        <f>hyperlink("https://terraria.gamepedia.com/Lihzahrd_Chest","Lihzahrd Chest")</f>
        <v>Lihzahrd Chest</v>
      </c>
    </row>
    <row r="1139">
      <c r="A1139" s="2">
        <v>1143.0</v>
      </c>
      <c r="B1139" s="3" t="s">
        <v>31</v>
      </c>
      <c r="C1139" s="4" t="str">
        <f>hyperlink("https://terraria.gamepedia.com/Chairs","Lihzahrd Chair")</f>
        <v>Lihzahrd Chair</v>
      </c>
    </row>
    <row r="1140">
      <c r="A1140" s="2">
        <v>1144.0</v>
      </c>
      <c r="B1140" s="3" t="s">
        <v>31</v>
      </c>
      <c r="C1140" s="4" t="str">
        <f>hyperlink("https://terraria.gamepedia.com/Tables","Lihzahrd Table")</f>
        <v>Lihzahrd Table</v>
      </c>
    </row>
    <row r="1141">
      <c r="A1141" s="2">
        <v>1145.0</v>
      </c>
      <c r="B1141" s="3" t="s">
        <v>31</v>
      </c>
      <c r="C1141" s="4" t="str">
        <f>hyperlink("https://terraria.gamepedia.com/Work_Benches","Lihzahrd Work Bench")</f>
        <v>Lihzahrd Work Bench</v>
      </c>
    </row>
    <row r="1142">
      <c r="A1142" s="2">
        <v>1146.0</v>
      </c>
      <c r="B1142" s="3" t="s">
        <v>28</v>
      </c>
      <c r="C1142" s="4" t="str">
        <f>hyperlink("https://terraria.gamepedia.com/Super_Dart_Trap","Super Dart Trap")</f>
        <v>Super Dart Trap</v>
      </c>
    </row>
    <row r="1143">
      <c r="A1143" s="2">
        <v>1147.0</v>
      </c>
      <c r="B1143" s="3" t="s">
        <v>4</v>
      </c>
      <c r="C1143" s="4" t="str">
        <f>hyperlink("https://terraria.gamepedia.com/Flame_Trap","Flame Trap")</f>
        <v>Flame Trap</v>
      </c>
    </row>
    <row r="1144">
      <c r="A1144" s="2">
        <v>1148.0</v>
      </c>
      <c r="B1144" s="3" t="s">
        <v>28</v>
      </c>
      <c r="C1144" s="4" t="str">
        <f>hyperlink("https://terraria.gamepedia.com/Spiky_Ball_Trap","Spiky Ball Trap")</f>
        <v>Spiky Ball Trap</v>
      </c>
    </row>
    <row r="1145">
      <c r="A1145" s="2">
        <v>1149.0</v>
      </c>
      <c r="B1145" s="3" t="s">
        <v>28</v>
      </c>
      <c r="C1145" s="4" t="str">
        <f>hyperlink("https://terraria.gamepedia.com/Spear_Trap","Spear Trap")</f>
        <v>Spear Trap</v>
      </c>
    </row>
    <row r="1146">
      <c r="A1146" s="2">
        <v>1150.0</v>
      </c>
      <c r="B1146" s="3" t="s">
        <v>4</v>
      </c>
      <c r="C1146" s="4" t="str">
        <f>hyperlink("https://terraria.gamepedia.com/Wooden_Spike","Wooden Spike")</f>
        <v>Wooden Spike</v>
      </c>
    </row>
    <row r="1147">
      <c r="A1147" s="2">
        <v>1151.0</v>
      </c>
      <c r="B1147" s="3" t="s">
        <v>28</v>
      </c>
      <c r="C1147" s="4" t="str">
        <f>hyperlink("https://terraria.gamepedia.com/Pressure_Plates","Lihzahrd Pressure Plate")</f>
        <v>Lihzahrd Pressure Plate</v>
      </c>
    </row>
    <row r="1148">
      <c r="A1148" s="2">
        <v>1152.0</v>
      </c>
      <c r="B1148" s="3" t="s">
        <v>21</v>
      </c>
      <c r="C1148" s="4" t="str">
        <f>hyperlink("https://terraria.gamepedia.com/Statues","Lihzahrd Statue")</f>
        <v>Lihzahrd Statue</v>
      </c>
    </row>
    <row r="1149">
      <c r="A1149" s="2">
        <v>1153.0</v>
      </c>
      <c r="B1149" s="3" t="s">
        <v>21</v>
      </c>
      <c r="C1149" s="4" t="str">
        <f>hyperlink("https://terraria.gamepedia.com/Statues","Lihzahrd Watcher Statue")</f>
        <v>Lihzahrd Watcher Statue</v>
      </c>
    </row>
    <row r="1150">
      <c r="A1150" s="2">
        <v>1154.0</v>
      </c>
      <c r="B1150" s="3" t="s">
        <v>21</v>
      </c>
      <c r="C1150" s="4" t="str">
        <f>hyperlink("https://terraria.gamepedia.com/Statues","Lihzahrd Guardian Statue")</f>
        <v>Lihzahrd Guardian Statue</v>
      </c>
    </row>
    <row r="1151">
      <c r="A1151" s="2">
        <v>1155.0</v>
      </c>
      <c r="B1151" s="3" t="s">
        <v>5</v>
      </c>
      <c r="C1151" s="4" t="str">
        <f>hyperlink("https://terraria.gamepedia.com/Wasp_Gun","Wasp Gun")</f>
        <v>Wasp Gun</v>
      </c>
    </row>
    <row r="1152">
      <c r="A1152" s="2">
        <v>1156.0</v>
      </c>
      <c r="B1152" s="3" t="s">
        <v>5</v>
      </c>
      <c r="C1152" s="4" t="str">
        <f>hyperlink("https://terraria.gamepedia.com/Piranha_Gun","Piranha Gun")</f>
        <v>Piranha Gun</v>
      </c>
    </row>
    <row r="1153">
      <c r="A1153" s="2">
        <v>1157.0</v>
      </c>
      <c r="B1153" s="3" t="s">
        <v>5</v>
      </c>
      <c r="C1153" s="4" t="str">
        <f>hyperlink("https://terraria.gamepedia.com/Pygmy_Staff","Pygmy Staff")</f>
        <v>Pygmy Staff</v>
      </c>
    </row>
    <row r="1154">
      <c r="A1154" s="2">
        <v>1158.0</v>
      </c>
      <c r="B1154" s="3" t="s">
        <v>10</v>
      </c>
      <c r="C1154" s="4" t="str">
        <f>hyperlink("https://terraria.gamepedia.com/Pygmy_Necklace","Pygmy Necklace")</f>
        <v>Pygmy Necklace</v>
      </c>
    </row>
    <row r="1155">
      <c r="A1155" s="2">
        <v>1159.0</v>
      </c>
      <c r="B1155" s="3" t="s">
        <v>17</v>
      </c>
      <c r="C1155" s="4" t="str">
        <f>hyperlink("https://terraria.gamepedia.com/Tiki_armor","Tiki Mask")</f>
        <v>Tiki Mask</v>
      </c>
    </row>
    <row r="1156">
      <c r="A1156" s="2">
        <v>1160.0</v>
      </c>
      <c r="B1156" s="3" t="s">
        <v>17</v>
      </c>
      <c r="C1156" s="4" t="str">
        <f>hyperlink("https://terraria.gamepedia.com/Tiki_armor","Tiki Shirt")</f>
        <v>Tiki Shirt</v>
      </c>
    </row>
    <row r="1157">
      <c r="A1157" s="2">
        <v>1161.0</v>
      </c>
      <c r="B1157" s="3" t="s">
        <v>17</v>
      </c>
      <c r="C1157" s="4" t="str">
        <f>hyperlink("https://terraria.gamepedia.com/Tiki_armor","Tiki Pants")</f>
        <v>Tiki Pants</v>
      </c>
    </row>
    <row r="1158">
      <c r="A1158" s="2">
        <v>1162.0</v>
      </c>
      <c r="B1158" s="3" t="s">
        <v>27</v>
      </c>
      <c r="C1158" s="4" t="str">
        <f>hyperlink("https://terraria.gamepedia.com/Wings","Leaf Wings")</f>
        <v>Leaf Wings</v>
      </c>
    </row>
    <row r="1159">
      <c r="A1159" s="2">
        <v>1163.0</v>
      </c>
      <c r="B1159" s="3" t="s">
        <v>10</v>
      </c>
      <c r="C1159" s="4" t="str">
        <f>hyperlink("https://terraria.gamepedia.com/Blizzard_in_a_Balloon","Blizzard in a Balloon")</f>
        <v>Blizzard in a Balloon</v>
      </c>
    </row>
    <row r="1160">
      <c r="A1160" s="2">
        <v>1164.0</v>
      </c>
      <c r="B1160" s="3" t="s">
        <v>10</v>
      </c>
      <c r="C1160" s="4" t="str">
        <f>hyperlink("https://terraria.gamepedia.com/Bundle_of_Balloons","Bundle of Balloons")</f>
        <v>Bundle of Balloons</v>
      </c>
    </row>
    <row r="1161">
      <c r="A1161" s="2">
        <v>1165.0</v>
      </c>
      <c r="B1161" s="3" t="s">
        <v>27</v>
      </c>
      <c r="C1161" s="4" t="str">
        <f>hyperlink("https://terraria.gamepedia.com/Wings","Bat Wings")</f>
        <v>Bat Wings</v>
      </c>
    </row>
    <row r="1162">
      <c r="A1162" s="2">
        <v>1166.0</v>
      </c>
      <c r="B1162" s="3" t="s">
        <v>5</v>
      </c>
      <c r="C1162" s="4" t="str">
        <f>hyperlink("https://terraria.gamepedia.com/Bone_Sword","Bone Sword")</f>
        <v>Bone Sword</v>
      </c>
    </row>
    <row r="1163">
      <c r="A1163" s="2">
        <v>1167.0</v>
      </c>
      <c r="B1163" s="3" t="s">
        <v>10</v>
      </c>
      <c r="C1163" s="4" t="str">
        <f>hyperlink("https://terraria.gamepedia.com/Hercules_Beetle","Hercules Beetle")</f>
        <v>Hercules Beetle</v>
      </c>
    </row>
    <row r="1164">
      <c r="A1164" s="2">
        <v>1168.0</v>
      </c>
      <c r="B1164" s="3" t="s">
        <v>18</v>
      </c>
      <c r="C1164" s="4" t="str">
        <f>hyperlink("https://terraria.gamepedia.com/Smoke_Bomb","Smoke Bomb")</f>
        <v>Smoke Bomb</v>
      </c>
    </row>
    <row r="1165">
      <c r="A1165" s="2">
        <v>1169.0</v>
      </c>
      <c r="B1165" s="3" t="s">
        <v>22</v>
      </c>
      <c r="C1165" s="4" t="str">
        <f>hyperlink("https://terraria.gamepedia.com/Bone_Key","Bone Key")</f>
        <v>Bone Key</v>
      </c>
    </row>
    <row r="1166">
      <c r="A1166" s="2">
        <v>1170.0</v>
      </c>
      <c r="B1166" s="3" t="s">
        <v>22</v>
      </c>
      <c r="C1166" s="4" t="str">
        <f>hyperlink("https://terraria.gamepedia.com/Nectar","Nectar")</f>
        <v>Nectar</v>
      </c>
    </row>
    <row r="1167">
      <c r="A1167" s="2">
        <v>1171.0</v>
      </c>
      <c r="B1167" s="3" t="s">
        <v>22</v>
      </c>
      <c r="C1167" s="4" t="str">
        <f>hyperlink("https://terraria.gamepedia.com/Tiki_Totem","Tiki Totem")</f>
        <v>Tiki Totem</v>
      </c>
    </row>
    <row r="1168">
      <c r="A1168" s="2">
        <v>1172.0</v>
      </c>
      <c r="B1168" s="3" t="s">
        <v>22</v>
      </c>
      <c r="C1168" s="4" t="str">
        <f>hyperlink("https://terraria.gamepedia.com/Lizard_Egg","Lizard Egg")</f>
        <v>Lizard Egg</v>
      </c>
    </row>
    <row r="1169">
      <c r="A1169" s="2">
        <v>1173.0</v>
      </c>
      <c r="B1169" s="3" t="s">
        <v>12</v>
      </c>
      <c r="C1169" s="4" t="str">
        <f>hyperlink("https://terraria.gamepedia.com/Tombstones","Grave Marker")</f>
        <v>Grave Marker</v>
      </c>
    </row>
    <row r="1170">
      <c r="A1170" s="2">
        <v>1174.0</v>
      </c>
      <c r="B1170" s="3" t="s">
        <v>12</v>
      </c>
      <c r="C1170" s="4" t="str">
        <f>hyperlink("https://terraria.gamepedia.com/Tombstones","Cross Grave Marker")</f>
        <v>Cross Grave Marker</v>
      </c>
    </row>
    <row r="1171">
      <c r="A1171" s="2">
        <v>1175.0</v>
      </c>
      <c r="B1171" s="3" t="s">
        <v>12</v>
      </c>
      <c r="C1171" s="4" t="str">
        <f>hyperlink("https://terraria.gamepedia.com/Tombstones","Headstone")</f>
        <v>Headstone</v>
      </c>
    </row>
    <row r="1172">
      <c r="A1172" s="2">
        <v>1176.0</v>
      </c>
      <c r="B1172" s="3" t="s">
        <v>12</v>
      </c>
      <c r="C1172" s="4" t="str">
        <f>hyperlink("https://terraria.gamepedia.com/Tombstones","Gravestone")</f>
        <v>Gravestone</v>
      </c>
    </row>
    <row r="1173">
      <c r="A1173" s="2">
        <v>1177.0</v>
      </c>
      <c r="B1173" s="3" t="s">
        <v>12</v>
      </c>
      <c r="C1173" s="4" t="str">
        <f>hyperlink("https://terraria.gamepedia.com/Tombstones","Obelisk")</f>
        <v>Obelisk</v>
      </c>
    </row>
    <row r="1174">
      <c r="A1174" s="2">
        <v>1178.0</v>
      </c>
      <c r="B1174" s="3" t="s">
        <v>5</v>
      </c>
      <c r="C1174" s="4" t="str">
        <f>hyperlink("https://terraria.gamepedia.com/Leaf_Blower","Leaf Blower")</f>
        <v>Leaf Blower</v>
      </c>
    </row>
    <row r="1175">
      <c r="A1175" s="2">
        <v>1179.0</v>
      </c>
      <c r="B1175" s="3" t="s">
        <v>18</v>
      </c>
      <c r="C1175" s="4" t="str">
        <f>hyperlink("https://terraria.gamepedia.com/Chlorophyte_Bullet","Chlorophyte Bullet")</f>
        <v>Chlorophyte Bullet</v>
      </c>
    </row>
    <row r="1176">
      <c r="A1176" s="2">
        <v>1180.0</v>
      </c>
      <c r="B1176" s="3" t="s">
        <v>22</v>
      </c>
      <c r="C1176" s="4" t="str">
        <f>hyperlink("https://terraria.gamepedia.com/Parrot_Cracker","Parrot Cracker")</f>
        <v>Parrot Cracker</v>
      </c>
    </row>
    <row r="1177">
      <c r="A1177" s="2">
        <v>1181.0</v>
      </c>
      <c r="B1177" s="3" t="s">
        <v>22</v>
      </c>
      <c r="C1177" s="4" t="str">
        <f>hyperlink("https://terraria.gamepedia.com/Strange_Glowing_Mushroom","Strange Glowing Mushroom")</f>
        <v>Strange Glowing Mushroom</v>
      </c>
    </row>
    <row r="1178">
      <c r="A1178" s="2">
        <v>1182.0</v>
      </c>
      <c r="B1178" s="3" t="s">
        <v>22</v>
      </c>
      <c r="C1178" s="4" t="str">
        <f>hyperlink("https://terraria.gamepedia.com/Seedling","Seedling")</f>
        <v>Seedling</v>
      </c>
    </row>
    <row r="1179">
      <c r="A1179" s="2">
        <v>1183.0</v>
      </c>
      <c r="B1179" s="3" t="s">
        <v>22</v>
      </c>
      <c r="C1179" s="4" t="str">
        <f>hyperlink("https://terraria.gamepedia.com/Wisp_in_a_Bottle","Wisp in a Bottle")</f>
        <v>Wisp in a Bottle</v>
      </c>
    </row>
    <row r="1180">
      <c r="A1180" s="2">
        <v>1184.0</v>
      </c>
      <c r="B1180" s="3" t="s">
        <v>9</v>
      </c>
      <c r="C1180" s="4" t="str">
        <f>hyperlink("https://terraria.gamepedia.com/Palladium_Bar","Palladium Bar")</f>
        <v>Palladium Bar</v>
      </c>
    </row>
    <row r="1181">
      <c r="A1181" s="2">
        <v>1185.0</v>
      </c>
      <c r="B1181" s="3" t="s">
        <v>5</v>
      </c>
      <c r="C1181" s="4" t="str">
        <f>hyperlink("https://terraria.gamepedia.com/Palladium_Sword","Palladium Sword")</f>
        <v>Palladium Sword</v>
      </c>
    </row>
    <row r="1182">
      <c r="A1182" s="2">
        <v>1186.0</v>
      </c>
      <c r="B1182" s="3" t="s">
        <v>5</v>
      </c>
      <c r="C1182" s="4" t="str">
        <f>hyperlink("https://terraria.gamepedia.com/Palladium_Pike","Palladium Pike")</f>
        <v>Palladium Pike</v>
      </c>
    </row>
    <row r="1183">
      <c r="A1183" s="2">
        <v>1187.0</v>
      </c>
      <c r="B1183" s="3" t="s">
        <v>5</v>
      </c>
      <c r="C1183" s="4" t="str">
        <f>hyperlink("https://terraria.gamepedia.com/Palladium_Repeater","Palladium Repeater")</f>
        <v>Palladium Repeater</v>
      </c>
    </row>
    <row r="1184">
      <c r="A1184" s="2">
        <v>1188.0</v>
      </c>
      <c r="B1184" s="3" t="s">
        <v>3</v>
      </c>
      <c r="C1184" s="4" t="str">
        <f>hyperlink("https://terraria.gamepedia.com/Palladium_Pickaxe","Palladium Pickaxe")</f>
        <v>Palladium Pickaxe</v>
      </c>
    </row>
    <row r="1185">
      <c r="A1185" s="2">
        <v>1189.0</v>
      </c>
      <c r="B1185" s="3" t="s">
        <v>3</v>
      </c>
      <c r="C1185" s="4" t="str">
        <f>hyperlink("https://terraria.gamepedia.com/Palladium_Drill","Palladium Drill")</f>
        <v>Palladium Drill</v>
      </c>
    </row>
    <row r="1186">
      <c r="A1186" s="2">
        <v>1190.0</v>
      </c>
      <c r="B1186" s="3" t="s">
        <v>3</v>
      </c>
      <c r="C1186" s="4" t="str">
        <f>hyperlink("https://terraria.gamepedia.com/Palladium_Chainsaw","Palladium Chainsaw")</f>
        <v>Palladium Chainsaw</v>
      </c>
    </row>
    <row r="1187">
      <c r="A1187" s="2">
        <v>1191.0</v>
      </c>
      <c r="B1187" s="3" t="s">
        <v>9</v>
      </c>
      <c r="C1187" s="4" t="str">
        <f>hyperlink("https://terraria.gamepedia.com/Orichalcum_Bar","Orichalcum Bar")</f>
        <v>Orichalcum Bar</v>
      </c>
    </row>
    <row r="1188">
      <c r="A1188" s="2">
        <v>1192.0</v>
      </c>
      <c r="B1188" s="3" t="s">
        <v>5</v>
      </c>
      <c r="C1188" s="4" t="str">
        <f>hyperlink("https://terraria.gamepedia.com/Orichalcum_Sword","Orichalcum Sword")</f>
        <v>Orichalcum Sword</v>
      </c>
    </row>
    <row r="1189">
      <c r="A1189" s="2">
        <v>1193.0</v>
      </c>
      <c r="B1189" s="3" t="s">
        <v>5</v>
      </c>
      <c r="C1189" s="4" t="str">
        <f>hyperlink("https://terraria.gamepedia.com/Orichalcum_Halberd","Orichalcum Halberd")</f>
        <v>Orichalcum Halberd</v>
      </c>
    </row>
    <row r="1190">
      <c r="A1190" s="2">
        <v>1194.0</v>
      </c>
      <c r="B1190" s="3" t="s">
        <v>5</v>
      </c>
      <c r="C1190" s="4" t="str">
        <f>hyperlink("https://terraria.gamepedia.com/Orichalcum_Repeater","Orichalcum Repeater")</f>
        <v>Orichalcum Repeater</v>
      </c>
    </row>
    <row r="1191">
      <c r="A1191" s="2">
        <v>1195.0</v>
      </c>
      <c r="B1191" s="3" t="s">
        <v>3</v>
      </c>
      <c r="C1191" s="4" t="str">
        <f>hyperlink("https://terraria.gamepedia.com/Orichalcum_Pickaxe","Orichalcum Pickaxe")</f>
        <v>Orichalcum Pickaxe</v>
      </c>
    </row>
    <row r="1192">
      <c r="A1192" s="2">
        <v>1196.0</v>
      </c>
      <c r="B1192" s="3" t="s">
        <v>3</v>
      </c>
      <c r="C1192" s="4" t="str">
        <f>hyperlink("https://terraria.gamepedia.com/Orichalcum_Drill","Orichalcum Drill")</f>
        <v>Orichalcum Drill</v>
      </c>
    </row>
    <row r="1193">
      <c r="A1193" s="2">
        <v>1197.0</v>
      </c>
      <c r="B1193" s="3" t="s">
        <v>3</v>
      </c>
      <c r="C1193" s="4" t="str">
        <f>hyperlink("https://terraria.gamepedia.com/Orichalcum_Chainsaw","Orichalcum Chainsaw")</f>
        <v>Orichalcum Chainsaw</v>
      </c>
    </row>
    <row r="1194">
      <c r="A1194" s="2">
        <v>1198.0</v>
      </c>
      <c r="B1194" s="3" t="s">
        <v>9</v>
      </c>
      <c r="C1194" s="4" t="str">
        <f>hyperlink("https://terraria.gamepedia.com/Titanium_Bar","Titanium Bar")</f>
        <v>Titanium Bar</v>
      </c>
    </row>
    <row r="1195">
      <c r="A1195" s="2">
        <v>1199.0</v>
      </c>
      <c r="B1195" s="3" t="s">
        <v>5</v>
      </c>
      <c r="C1195" s="4" t="str">
        <f>hyperlink("https://terraria.gamepedia.com/Titanium_Sword","Titanium Sword")</f>
        <v>Titanium Sword</v>
      </c>
    </row>
    <row r="1196">
      <c r="A1196" s="2">
        <v>1200.0</v>
      </c>
      <c r="B1196" s="3" t="s">
        <v>5</v>
      </c>
      <c r="C1196" s="4" t="str">
        <f>hyperlink("https://terraria.gamepedia.com/Titanium_Trident","Titanium Trident")</f>
        <v>Titanium Trident</v>
      </c>
    </row>
    <row r="1197">
      <c r="A1197" s="2">
        <v>1201.0</v>
      </c>
      <c r="B1197" s="3" t="s">
        <v>5</v>
      </c>
      <c r="C1197" s="4" t="str">
        <f>hyperlink("https://terraria.gamepedia.com/Titanium_Repeater","Titanium Repeater")</f>
        <v>Titanium Repeater</v>
      </c>
    </row>
    <row r="1198">
      <c r="A1198" s="2">
        <v>1202.0</v>
      </c>
      <c r="B1198" s="3" t="s">
        <v>3</v>
      </c>
      <c r="C1198" s="4" t="str">
        <f>hyperlink("https://terraria.gamepedia.com/Titanium_Pickaxe","Titanium Pickaxe")</f>
        <v>Titanium Pickaxe</v>
      </c>
    </row>
    <row r="1199">
      <c r="A1199" s="2">
        <v>1203.0</v>
      </c>
      <c r="B1199" s="3" t="s">
        <v>3</v>
      </c>
      <c r="C1199" s="4" t="str">
        <f>hyperlink("https://terraria.gamepedia.com/Titanium_Drill","Titanium Drill")</f>
        <v>Titanium Drill</v>
      </c>
    </row>
    <row r="1200">
      <c r="A1200" s="2">
        <v>1204.0</v>
      </c>
      <c r="B1200" s="3" t="s">
        <v>3</v>
      </c>
      <c r="C1200" s="4" t="str">
        <f>hyperlink("https://terraria.gamepedia.com/Titanium_Chainsaw","Titanium Chainsaw")</f>
        <v>Titanium Chainsaw</v>
      </c>
    </row>
    <row r="1201">
      <c r="A1201" s="2">
        <v>1205.0</v>
      </c>
      <c r="B1201" s="3" t="s">
        <v>17</v>
      </c>
      <c r="C1201" s="4" t="str">
        <f>hyperlink("https://terraria.gamepedia.com/Palladium_armor","Palladium Mask")</f>
        <v>Palladium Mask</v>
      </c>
    </row>
    <row r="1202">
      <c r="A1202" s="2">
        <v>1206.0</v>
      </c>
      <c r="B1202" s="3" t="s">
        <v>17</v>
      </c>
      <c r="C1202" s="4" t="str">
        <f>hyperlink("https://terraria.gamepedia.com/Palladium_armor","Palladium Helmet")</f>
        <v>Palladium Helmet</v>
      </c>
    </row>
    <row r="1203">
      <c r="A1203" s="2">
        <v>1207.0</v>
      </c>
      <c r="B1203" s="3" t="s">
        <v>17</v>
      </c>
      <c r="C1203" s="4" t="str">
        <f>hyperlink("https://terraria.gamepedia.com/Palladium_armor","Palladium Headgear")</f>
        <v>Palladium Headgear</v>
      </c>
    </row>
    <row r="1204">
      <c r="A1204" s="2">
        <v>1208.0</v>
      </c>
      <c r="B1204" s="3" t="s">
        <v>17</v>
      </c>
      <c r="C1204" s="4" t="str">
        <f>hyperlink("https://terraria.gamepedia.com/Palladium_armor","Palladium Breastplate")</f>
        <v>Palladium Breastplate</v>
      </c>
    </row>
    <row r="1205">
      <c r="A1205" s="2">
        <v>1209.0</v>
      </c>
      <c r="B1205" s="3" t="s">
        <v>17</v>
      </c>
      <c r="C1205" s="4" t="str">
        <f>hyperlink("https://terraria.gamepedia.com/Palladium_armor","Palladium Leggings")</f>
        <v>Palladium Leggings</v>
      </c>
    </row>
    <row r="1206">
      <c r="A1206" s="2">
        <v>1210.0</v>
      </c>
      <c r="B1206" s="3" t="s">
        <v>17</v>
      </c>
      <c r="C1206" s="4" t="str">
        <f>hyperlink("https://terraria.gamepedia.com/Orichalcum_armor","Orichalcum Mask")</f>
        <v>Orichalcum Mask</v>
      </c>
    </row>
    <row r="1207">
      <c r="A1207" s="2">
        <v>1211.0</v>
      </c>
      <c r="B1207" s="3" t="s">
        <v>17</v>
      </c>
      <c r="C1207" s="4" t="str">
        <f>hyperlink("https://terraria.gamepedia.com/Orichalcum_armor","Orichalcum Helmet")</f>
        <v>Orichalcum Helmet</v>
      </c>
    </row>
    <row r="1208">
      <c r="A1208" s="2">
        <v>1212.0</v>
      </c>
      <c r="B1208" s="3" t="s">
        <v>17</v>
      </c>
      <c r="C1208" s="4" t="str">
        <f>hyperlink("https://terraria.gamepedia.com/Orichalcum_armor","Orichalcum Headgear")</f>
        <v>Orichalcum Headgear</v>
      </c>
    </row>
    <row r="1209">
      <c r="A1209" s="2">
        <v>1213.0</v>
      </c>
      <c r="B1209" s="3" t="s">
        <v>17</v>
      </c>
      <c r="C1209" s="4" t="str">
        <f>hyperlink("https://terraria.gamepedia.com/Orichalcum_armor","Orichalcum Breastplate")</f>
        <v>Orichalcum Breastplate</v>
      </c>
    </row>
    <row r="1210">
      <c r="A1210" s="2">
        <v>1214.0</v>
      </c>
      <c r="B1210" s="3" t="s">
        <v>17</v>
      </c>
      <c r="C1210" s="4" t="str">
        <f>hyperlink("https://terraria.gamepedia.com/Orichalcum_armor","Orichalcum Leggings")</f>
        <v>Orichalcum Leggings</v>
      </c>
    </row>
    <row r="1211">
      <c r="A1211" s="2">
        <v>1215.0</v>
      </c>
      <c r="B1211" s="3" t="s">
        <v>17</v>
      </c>
      <c r="C1211" s="4" t="str">
        <f>hyperlink("https://terraria.gamepedia.com/Titanium_armor","Titanium Mask")</f>
        <v>Titanium Mask</v>
      </c>
    </row>
    <row r="1212">
      <c r="A1212" s="2">
        <v>1216.0</v>
      </c>
      <c r="B1212" s="3" t="s">
        <v>17</v>
      </c>
      <c r="C1212" s="4" t="str">
        <f>hyperlink("https://terraria.gamepedia.com/Titanium_armor","Titanium Helmet")</f>
        <v>Titanium Helmet</v>
      </c>
    </row>
    <row r="1213">
      <c r="A1213" s="2">
        <v>1217.0</v>
      </c>
      <c r="B1213" s="3" t="s">
        <v>17</v>
      </c>
      <c r="C1213" s="4" t="str">
        <f>hyperlink("https://terraria.gamepedia.com/Titanium_armor","Titanium Headgear")</f>
        <v>Titanium Headgear</v>
      </c>
    </row>
    <row r="1214">
      <c r="A1214" s="2">
        <v>1218.0</v>
      </c>
      <c r="B1214" s="3" t="s">
        <v>17</v>
      </c>
      <c r="C1214" s="4" t="str">
        <f>hyperlink("https://terraria.gamepedia.com/Titanium_armor","Titanium Breastplate")</f>
        <v>Titanium Breastplate</v>
      </c>
    </row>
    <row r="1215">
      <c r="A1215" s="2">
        <v>1219.0</v>
      </c>
      <c r="B1215" s="3" t="s">
        <v>17</v>
      </c>
      <c r="C1215" s="4" t="str">
        <f>hyperlink("https://terraria.gamepedia.com/Titanium_armor","Titanium Leggings")</f>
        <v>Titanium Leggings</v>
      </c>
    </row>
    <row r="1216">
      <c r="A1216" s="2">
        <v>1220.0</v>
      </c>
      <c r="B1216" s="3" t="s">
        <v>16</v>
      </c>
      <c r="C1216" s="4" t="str">
        <f>hyperlink("https://terraria.gamepedia.com/Hardmode_Anvils","Orichalcum Anvil")</f>
        <v>Orichalcum Anvil</v>
      </c>
    </row>
    <row r="1217">
      <c r="A1217" s="2">
        <v>1221.0</v>
      </c>
      <c r="B1217" s="3" t="s">
        <v>16</v>
      </c>
      <c r="C1217" s="4" t="str">
        <f>hyperlink("https://terraria.gamepedia.com/Hardmode_Forges","Titanium Forge")</f>
        <v>Titanium Forge</v>
      </c>
    </row>
    <row r="1218">
      <c r="A1218" s="2">
        <v>1222.0</v>
      </c>
      <c r="B1218" s="3" t="s">
        <v>3</v>
      </c>
      <c r="C1218" s="4" t="str">
        <f>hyperlink("https://terraria.gamepedia.com/Palladium_Waraxe","Palladium Waraxe")</f>
        <v>Palladium Waraxe</v>
      </c>
    </row>
    <row r="1219">
      <c r="A1219" s="2">
        <v>1223.0</v>
      </c>
      <c r="B1219" s="3" t="s">
        <v>3</v>
      </c>
      <c r="C1219" s="4" t="str">
        <f>hyperlink("https://terraria.gamepedia.com/Orichalcum_Waraxe","Orichalcum Waraxe")</f>
        <v>Orichalcum Waraxe</v>
      </c>
    </row>
    <row r="1220">
      <c r="A1220" s="2">
        <v>1224.0</v>
      </c>
      <c r="B1220" s="3" t="s">
        <v>3</v>
      </c>
      <c r="C1220" s="4" t="str">
        <f>hyperlink("https://terraria.gamepedia.com/Titanium_Waraxe","Titanium Waraxe")</f>
        <v>Titanium Waraxe</v>
      </c>
    </row>
    <row r="1221">
      <c r="A1221" s="2">
        <v>1225.0</v>
      </c>
      <c r="B1221" s="3" t="s">
        <v>9</v>
      </c>
      <c r="C1221" s="4" t="str">
        <f>hyperlink("https://terraria.gamepedia.com/Hallowed_Bar","Hallowed Bar")</f>
        <v>Hallowed Bar</v>
      </c>
    </row>
    <row r="1222">
      <c r="A1222" s="2">
        <v>1226.0</v>
      </c>
      <c r="B1222" s="3" t="s">
        <v>5</v>
      </c>
      <c r="C1222" s="4" t="str">
        <f>hyperlink("https://terraria.gamepedia.com/Chlorophyte_Claymore","Chlorophyte Claymore")</f>
        <v>Chlorophyte Claymore</v>
      </c>
    </row>
    <row r="1223">
      <c r="A1223" s="2">
        <v>1227.0</v>
      </c>
      <c r="B1223" s="3" t="s">
        <v>5</v>
      </c>
      <c r="C1223" s="4" t="str">
        <f>hyperlink("https://terraria.gamepedia.com/Chlorophyte_Saber","Chlorophyte Saber")</f>
        <v>Chlorophyte Saber</v>
      </c>
    </row>
    <row r="1224">
      <c r="A1224" s="2">
        <v>1228.0</v>
      </c>
      <c r="B1224" s="3" t="s">
        <v>5</v>
      </c>
      <c r="C1224" s="4" t="str">
        <f>hyperlink("https://terraria.gamepedia.com/Chlorophyte_Partisan","Chlorophyte Partisan")</f>
        <v>Chlorophyte Partisan</v>
      </c>
    </row>
    <row r="1225">
      <c r="A1225" s="2">
        <v>1229.0</v>
      </c>
      <c r="B1225" s="3" t="s">
        <v>5</v>
      </c>
      <c r="C1225" s="4" t="str">
        <f>hyperlink("https://terraria.gamepedia.com/Chlorophyte_Shotbow","Chlorophyte Shotbow")</f>
        <v>Chlorophyte Shotbow</v>
      </c>
    </row>
    <row r="1226">
      <c r="A1226" s="2">
        <v>1230.0</v>
      </c>
      <c r="B1226" s="3" t="s">
        <v>3</v>
      </c>
      <c r="C1226" s="4" t="str">
        <f>hyperlink("https://terraria.gamepedia.com/Chlorophyte_Pickaxe","Chlorophyte Pickaxe")</f>
        <v>Chlorophyte Pickaxe</v>
      </c>
    </row>
    <row r="1227">
      <c r="A1227" s="2">
        <v>1231.0</v>
      </c>
      <c r="B1227" s="3" t="s">
        <v>3</v>
      </c>
      <c r="C1227" s="4" t="str">
        <f>hyperlink("https://terraria.gamepedia.com/Chlorophyte_Drill","Chlorophyte Drill")</f>
        <v>Chlorophyte Drill</v>
      </c>
    </row>
    <row r="1228">
      <c r="A1228" s="2">
        <v>1232.0</v>
      </c>
      <c r="B1228" s="3" t="s">
        <v>3</v>
      </c>
      <c r="C1228" s="4" t="str">
        <f>hyperlink("https://terraria.gamepedia.com/Chlorophyte_Chainsaw","Chlorophyte Chainsaw")</f>
        <v>Chlorophyte Chainsaw</v>
      </c>
    </row>
    <row r="1229">
      <c r="A1229" s="2">
        <v>1233.0</v>
      </c>
      <c r="B1229" s="3" t="s">
        <v>3</v>
      </c>
      <c r="C1229" s="4" t="str">
        <f>hyperlink("https://terraria.gamepedia.com/Chlorophyte_Greataxe","Chlorophyte Greataxe")</f>
        <v>Chlorophyte Greataxe</v>
      </c>
    </row>
    <row r="1230">
      <c r="A1230" s="2">
        <v>1234.0</v>
      </c>
      <c r="B1230" s="3" t="s">
        <v>3</v>
      </c>
      <c r="C1230" s="4" t="str">
        <f>hyperlink("https://terraria.gamepedia.com/Chlorophyte_Warhammer","Chlorophyte Warhammer")</f>
        <v>Chlorophyte Warhammer</v>
      </c>
    </row>
    <row r="1231">
      <c r="A1231" s="2">
        <v>1235.0</v>
      </c>
      <c r="B1231" s="3" t="s">
        <v>18</v>
      </c>
      <c r="C1231" s="4" t="str">
        <f>hyperlink("https://terraria.gamepedia.com/Chlorophyte_Arrow","Chlorophyte Arrow")</f>
        <v>Chlorophyte Arrow</v>
      </c>
    </row>
    <row r="1232">
      <c r="A1232" s="2">
        <v>1236.0</v>
      </c>
      <c r="B1232" s="3" t="s">
        <v>3</v>
      </c>
      <c r="C1232" s="4" t="str">
        <f>hyperlink("https://terraria.gamepedia.com/Hooks","Amethyst Hook")</f>
        <v>Amethyst Hook</v>
      </c>
    </row>
    <row r="1233">
      <c r="A1233" s="2">
        <v>1237.0</v>
      </c>
      <c r="B1233" s="3" t="s">
        <v>3</v>
      </c>
      <c r="C1233" s="4" t="str">
        <f>hyperlink("https://terraria.gamepedia.com/Hooks","Topaz Hook")</f>
        <v>Topaz Hook</v>
      </c>
    </row>
    <row r="1234">
      <c r="A1234" s="2">
        <v>1238.0</v>
      </c>
      <c r="B1234" s="3" t="s">
        <v>3</v>
      </c>
      <c r="C1234" s="4" t="str">
        <f>hyperlink("https://terraria.gamepedia.com/Hooks","Sapphire Hook")</f>
        <v>Sapphire Hook</v>
      </c>
    </row>
    <row r="1235">
      <c r="A1235" s="2">
        <v>1239.0</v>
      </c>
      <c r="B1235" s="3" t="s">
        <v>3</v>
      </c>
      <c r="C1235" s="4" t="str">
        <f>hyperlink("https://terraria.gamepedia.com/Hooks","Emerald Hook")</f>
        <v>Emerald Hook</v>
      </c>
    </row>
    <row r="1236">
      <c r="A1236" s="2">
        <v>1240.0</v>
      </c>
      <c r="B1236" s="3" t="s">
        <v>3</v>
      </c>
      <c r="C1236" s="4" t="str">
        <f>hyperlink("https://terraria.gamepedia.com/Hooks","Ruby Hook")</f>
        <v>Ruby Hook</v>
      </c>
    </row>
    <row r="1237">
      <c r="A1237" s="2">
        <v>1241.0</v>
      </c>
      <c r="B1237" s="3" t="s">
        <v>3</v>
      </c>
      <c r="C1237" s="4" t="str">
        <f>hyperlink("https://terraria.gamepedia.com/Hooks","Diamond Hook")</f>
        <v>Diamond Hook</v>
      </c>
    </row>
    <row r="1238">
      <c r="A1238" s="2">
        <v>1242.0</v>
      </c>
      <c r="B1238" s="3" t="s">
        <v>22</v>
      </c>
      <c r="C1238" s="4" t="str">
        <f>hyperlink("https://terraria.gamepedia.com/Amber_Mosquito","Amber Mosquito")</f>
        <v>Amber Mosquito</v>
      </c>
    </row>
    <row r="1239">
      <c r="A1239" s="2">
        <v>1243.0</v>
      </c>
      <c r="B1239" s="3" t="s">
        <v>23</v>
      </c>
      <c r="C1239" s="4" t="str">
        <f>hyperlink("https://terraria.gamepedia.com/Umbrella_Hat","Umbrella Hat")</f>
        <v>Umbrella Hat</v>
      </c>
    </row>
    <row r="1240">
      <c r="A1240" s="2">
        <v>1244.0</v>
      </c>
      <c r="B1240" s="3" t="s">
        <v>5</v>
      </c>
      <c r="C1240" s="4" t="str">
        <f>hyperlink("https://terraria.gamepedia.com/Nimbus_Rod","Nimbus Rod")</f>
        <v>Nimbus Rod</v>
      </c>
    </row>
    <row r="1241">
      <c r="A1241" s="2">
        <v>1245.0</v>
      </c>
      <c r="B1241" s="3" t="s">
        <v>7</v>
      </c>
      <c r="C1241" s="4" t="str">
        <f>hyperlink("https://terraria.gamepedia.com/Torches","Orange Torch")</f>
        <v>Orange Torch</v>
      </c>
    </row>
    <row r="1242">
      <c r="A1242" s="2">
        <v>1246.0</v>
      </c>
      <c r="B1242" s="3" t="s">
        <v>4</v>
      </c>
      <c r="C1242" s="4" t="str">
        <f>hyperlink("https://terraria.gamepedia.com/Sand_Blocks","Crimsand Block")</f>
        <v>Crimsand Block</v>
      </c>
    </row>
    <row r="1243">
      <c r="A1243" s="2">
        <v>1247.0</v>
      </c>
      <c r="B1243" s="3" t="s">
        <v>10</v>
      </c>
      <c r="C1243" s="4" t="str">
        <f>hyperlink("https://terraria.gamepedia.com/Bee_Cloak","Bee Cloak")</f>
        <v>Bee Cloak</v>
      </c>
    </row>
    <row r="1244">
      <c r="A1244" s="2">
        <v>1248.0</v>
      </c>
      <c r="B1244" s="3" t="s">
        <v>10</v>
      </c>
      <c r="C1244" s="4" t="str">
        <f>hyperlink("https://terraria.gamepedia.com/Eye_of_the_Golem","Eye of the Golem")</f>
        <v>Eye of the Golem</v>
      </c>
    </row>
    <row r="1245">
      <c r="A1245" s="2">
        <v>1249.0</v>
      </c>
      <c r="B1245" s="3" t="s">
        <v>10</v>
      </c>
      <c r="C1245" s="4" t="str">
        <f>hyperlink("https://terraria.gamepedia.com/Honey_Balloon","Honey Balloon")</f>
        <v>Honey Balloon</v>
      </c>
    </row>
    <row r="1246">
      <c r="A1246" s="2">
        <v>1250.0</v>
      </c>
      <c r="B1246" s="3" t="s">
        <v>10</v>
      </c>
      <c r="C1246" s="4" t="str">
        <f>hyperlink("https://terraria.gamepedia.com/Blue_Horseshoe_Balloon","Blue Horseshoe Balloon")</f>
        <v>Blue Horseshoe Balloon</v>
      </c>
    </row>
    <row r="1247">
      <c r="A1247" s="2">
        <v>1251.0</v>
      </c>
      <c r="B1247" s="3" t="s">
        <v>10</v>
      </c>
      <c r="C1247" s="4" t="str">
        <f>hyperlink("https://terraria.gamepedia.com/White_Horseshoe_Balloon","White Horseshoe Balloon")</f>
        <v>White Horseshoe Balloon</v>
      </c>
    </row>
    <row r="1248">
      <c r="A1248" s="2">
        <v>1252.0</v>
      </c>
      <c r="B1248" s="3" t="s">
        <v>10</v>
      </c>
      <c r="C1248" s="4" t="str">
        <f>hyperlink("https://terraria.gamepedia.com/Yellow_Horseshoe_Balloon","Yellow Horseshoe Balloon")</f>
        <v>Yellow Horseshoe Balloon</v>
      </c>
    </row>
    <row r="1249">
      <c r="A1249" s="2">
        <v>1253.0</v>
      </c>
      <c r="B1249" s="3" t="s">
        <v>11</v>
      </c>
      <c r="C1249" s="4" t="str">
        <f>hyperlink("https://terraria.gamepedia.com/Frozen_Turtle_Shell","Frozen Turtle Shell")</f>
        <v>Frozen Turtle Shell</v>
      </c>
    </row>
    <row r="1250">
      <c r="A1250" s="2">
        <v>1254.0</v>
      </c>
      <c r="B1250" s="3" t="s">
        <v>5</v>
      </c>
      <c r="C1250" s="4" t="str">
        <f>hyperlink("https://terraria.gamepedia.com/Sniper_Rifle","Sniper Rifle")</f>
        <v>Sniper Rifle</v>
      </c>
    </row>
    <row r="1251">
      <c r="A1251" s="2">
        <v>1255.0</v>
      </c>
      <c r="B1251" s="3" t="s">
        <v>5</v>
      </c>
      <c r="C1251" s="4" t="str">
        <f>hyperlink("https://terraria.gamepedia.com/Venus_Magnum","Venus Magnum")</f>
        <v>Venus Magnum</v>
      </c>
    </row>
    <row r="1252">
      <c r="A1252" s="2">
        <v>1256.0</v>
      </c>
      <c r="B1252" s="3" t="s">
        <v>5</v>
      </c>
      <c r="C1252" s="4" t="str">
        <f>hyperlink("https://terraria.gamepedia.com/Crimson_Rod","Crimson Rod")</f>
        <v>Crimson Rod</v>
      </c>
    </row>
    <row r="1253">
      <c r="A1253" s="2">
        <v>1257.0</v>
      </c>
      <c r="B1253" s="3" t="s">
        <v>9</v>
      </c>
      <c r="C1253" s="4" t="str">
        <f>hyperlink("https://terraria.gamepedia.com/Crimtane_Bar","Crimtane Bar")</f>
        <v>Crimtane Bar</v>
      </c>
    </row>
    <row r="1254">
      <c r="A1254" s="2">
        <v>1258.0</v>
      </c>
      <c r="B1254" s="3" t="s">
        <v>5</v>
      </c>
      <c r="C1254" s="4" t="str">
        <f>hyperlink("https://terraria.gamepedia.com/Stynger","Stynger")</f>
        <v>Stynger</v>
      </c>
    </row>
    <row r="1255">
      <c r="A1255" s="2">
        <v>1259.0</v>
      </c>
      <c r="B1255" s="3" t="s">
        <v>5</v>
      </c>
      <c r="C1255" s="4" t="str">
        <f>hyperlink("https://terraria.gamepedia.com/Flower_Pow","Flower Pow")</f>
        <v>Flower Pow</v>
      </c>
    </row>
    <row r="1256">
      <c r="A1256" s="2">
        <v>1260.0</v>
      </c>
      <c r="B1256" s="3" t="s">
        <v>5</v>
      </c>
      <c r="C1256" s="4" t="str">
        <f>hyperlink("https://terraria.gamepedia.com/Rainbow_Gun","Rainbow Gun")</f>
        <v>Rainbow Gun</v>
      </c>
    </row>
    <row r="1257">
      <c r="A1257" s="2">
        <v>1261.0</v>
      </c>
      <c r="B1257" s="3" t="s">
        <v>18</v>
      </c>
      <c r="C1257" s="4" t="str">
        <f>hyperlink("https://terraria.gamepedia.com/Stynger_Bolt","Stynger Bolt")</f>
        <v>Stynger Bolt</v>
      </c>
    </row>
    <row r="1258">
      <c r="A1258" s="2">
        <v>1262.0</v>
      </c>
      <c r="B1258" s="3" t="s">
        <v>3</v>
      </c>
      <c r="C1258" s="4" t="str">
        <f>hyperlink("https://terraria.gamepedia.com/Chlorophyte_Jackhammer","Chlorophyte Jackhammer")</f>
        <v>Chlorophyte Jackhammer</v>
      </c>
    </row>
    <row r="1259">
      <c r="A1259" s="2">
        <v>1263.0</v>
      </c>
      <c r="B1259" s="3" t="s">
        <v>28</v>
      </c>
      <c r="C1259" s="4" t="str">
        <f>hyperlink("https://terraria.gamepedia.com/Teleporter","Teleporter")</f>
        <v>Teleporter</v>
      </c>
    </row>
    <row r="1260">
      <c r="A1260" s="2">
        <v>1264.0</v>
      </c>
      <c r="B1260" s="3" t="s">
        <v>5</v>
      </c>
      <c r="C1260" s="4" t="str">
        <f>hyperlink("https://terraria.gamepedia.com/Flower_of_Frost","Flower of Frost")</f>
        <v>Flower of Frost</v>
      </c>
    </row>
    <row r="1261">
      <c r="A1261" s="2">
        <v>1265.0</v>
      </c>
      <c r="B1261" s="3" t="s">
        <v>5</v>
      </c>
      <c r="C1261" s="4" t="str">
        <f>hyperlink("https://terraria.gamepedia.com/Uzi","Uzi")</f>
        <v>Uzi</v>
      </c>
    </row>
    <row r="1262">
      <c r="A1262" s="2">
        <v>1266.0</v>
      </c>
      <c r="B1262" s="3" t="s">
        <v>5</v>
      </c>
      <c r="C1262" s="4" t="str">
        <f>hyperlink("https://terraria.gamepedia.com/Magnet_Sphere","Magnet Sphere")</f>
        <v>Magnet Sphere</v>
      </c>
    </row>
    <row r="1263">
      <c r="A1263" s="2">
        <v>1267.0</v>
      </c>
      <c r="B1263" s="3" t="s">
        <v>4</v>
      </c>
      <c r="C1263" s="4" t="str">
        <f>hyperlink("https://terraria.gamepedia.com/Stained_Glass","Purple Stained Glass")</f>
        <v>Purple Stained Glass</v>
      </c>
    </row>
    <row r="1264">
      <c r="A1264" s="2">
        <v>1268.0</v>
      </c>
      <c r="B1264" s="3" t="s">
        <v>4</v>
      </c>
      <c r="C1264" s="4" t="str">
        <f>hyperlink("https://terraria.gamepedia.com/Stained_Glass","Yellow Stained Glass")</f>
        <v>Yellow Stained Glass</v>
      </c>
    </row>
    <row r="1265">
      <c r="A1265" s="2">
        <v>1269.0</v>
      </c>
      <c r="B1265" s="3" t="s">
        <v>4</v>
      </c>
      <c r="C1265" s="4" t="str">
        <f>hyperlink("https://terraria.gamepedia.com/Stained_Glass","Blue Stained Glass")</f>
        <v>Blue Stained Glass</v>
      </c>
    </row>
    <row r="1266">
      <c r="A1266" s="2">
        <v>1270.0</v>
      </c>
      <c r="B1266" s="3" t="s">
        <v>4</v>
      </c>
      <c r="C1266" s="4" t="str">
        <f>hyperlink("https://terraria.gamepedia.com/Stained_Glass","Green Stained Glass")</f>
        <v>Green Stained Glass</v>
      </c>
    </row>
    <row r="1267">
      <c r="A1267" s="2">
        <v>1271.0</v>
      </c>
      <c r="B1267" s="3" t="s">
        <v>4</v>
      </c>
      <c r="C1267" s="4" t="str">
        <f>hyperlink("https://terraria.gamepedia.com/Stained_Glass","Red Stained Glass")</f>
        <v>Red Stained Glass</v>
      </c>
    </row>
    <row r="1268">
      <c r="A1268" s="2">
        <v>1272.0</v>
      </c>
      <c r="B1268" s="3" t="s">
        <v>4</v>
      </c>
      <c r="C1268" s="4" t="str">
        <f>hyperlink("https://terraria.gamepedia.com/Stained_Glass","Multicolored Stained Glass")</f>
        <v>Multicolored Stained Glass</v>
      </c>
    </row>
    <row r="1269">
      <c r="A1269" s="2">
        <v>1273.0</v>
      </c>
      <c r="B1269" s="3" t="s">
        <v>3</v>
      </c>
      <c r="C1269" s="4" t="str">
        <f>hyperlink("https://terraria.gamepedia.com/Hooks","Skeletron Hand")</f>
        <v>Skeletron Hand</v>
      </c>
    </row>
    <row r="1270">
      <c r="A1270" s="2">
        <v>1274.0</v>
      </c>
      <c r="B1270" s="3" t="s">
        <v>23</v>
      </c>
      <c r="C1270" s="4" t="str">
        <f>hyperlink("https://terraria.gamepedia.com/Skull","Skull")</f>
        <v>Skull</v>
      </c>
    </row>
    <row r="1271">
      <c r="A1271" s="2">
        <v>1275.0</v>
      </c>
      <c r="B1271" s="3" t="s">
        <v>23</v>
      </c>
      <c r="C1271" s="4" t="str">
        <f>hyperlink("https://terraria.gamepedia.com/Balla_Hat","Balla Hat")</f>
        <v>Balla Hat</v>
      </c>
    </row>
    <row r="1272">
      <c r="A1272" s="2">
        <v>1276.0</v>
      </c>
      <c r="B1272" s="3" t="s">
        <v>23</v>
      </c>
      <c r="C1272" s="4" t="str">
        <f>hyperlink("https://terraria.gamepedia.com/Gangsta_Hat","Gangsta Hat")</f>
        <v>Gangsta Hat</v>
      </c>
    </row>
    <row r="1273">
      <c r="A1273" s="2">
        <v>1277.0</v>
      </c>
      <c r="B1273" s="3" t="s">
        <v>23</v>
      </c>
      <c r="C1273" s="4" t="str">
        <f>hyperlink("https://terraria.gamepedia.com/Sailor_set","Sailor Hat")</f>
        <v>Sailor Hat</v>
      </c>
    </row>
    <row r="1274">
      <c r="A1274" s="2">
        <v>1278.0</v>
      </c>
      <c r="B1274" s="3" t="s">
        <v>23</v>
      </c>
      <c r="C1274" s="4" t="str">
        <f>hyperlink("https://terraria.gamepedia.com/Eye_Patch","Eye Patch")</f>
        <v>Eye Patch</v>
      </c>
    </row>
    <row r="1275">
      <c r="A1275" s="2">
        <v>1279.0</v>
      </c>
      <c r="B1275" s="3" t="s">
        <v>23</v>
      </c>
      <c r="C1275" s="4" t="str">
        <f>hyperlink("https://terraria.gamepedia.com/Sailor_set","Sailor Shirt")</f>
        <v>Sailor Shirt</v>
      </c>
    </row>
    <row r="1276">
      <c r="A1276" s="2">
        <v>1280.0</v>
      </c>
      <c r="B1276" s="3" t="s">
        <v>23</v>
      </c>
      <c r="C1276" s="4" t="str">
        <f>hyperlink("https://terraria.gamepedia.com/Sailor_set","Sailor Pants")</f>
        <v>Sailor Pants</v>
      </c>
    </row>
    <row r="1277">
      <c r="A1277" s="2">
        <v>1281.0</v>
      </c>
      <c r="B1277" s="3" t="s">
        <v>34</v>
      </c>
      <c r="C1277" s="4" t="str">
        <f>hyperlink("https://terraria.gamepedia.com/Masks","Skeletron Mask")</f>
        <v>Skeletron Mask</v>
      </c>
    </row>
    <row r="1278">
      <c r="A1278" s="2">
        <v>1282.0</v>
      </c>
      <c r="B1278" s="3" t="s">
        <v>17</v>
      </c>
      <c r="C1278" s="4" t="str">
        <f>hyperlink("https://terraria.gamepedia.com/Amethyst_Robe","Amethyst Robe")</f>
        <v>Amethyst Robe</v>
      </c>
    </row>
    <row r="1279">
      <c r="A1279" s="2">
        <v>1283.0</v>
      </c>
      <c r="B1279" s="3" t="s">
        <v>17</v>
      </c>
      <c r="C1279" s="4" t="str">
        <f>hyperlink("https://terraria.gamepedia.com/Topaz_Robe","Topaz Robe")</f>
        <v>Topaz Robe</v>
      </c>
    </row>
    <row r="1280">
      <c r="A1280" s="2">
        <v>1284.0</v>
      </c>
      <c r="B1280" s="3" t="s">
        <v>17</v>
      </c>
      <c r="C1280" s="4" t="str">
        <f>hyperlink("https://terraria.gamepedia.com/Sapphire_Robe","Sapphire Robe")</f>
        <v>Sapphire Robe</v>
      </c>
    </row>
    <row r="1281">
      <c r="A1281" s="2">
        <v>1285.0</v>
      </c>
      <c r="B1281" s="3" t="s">
        <v>17</v>
      </c>
      <c r="C1281" s="4" t="str">
        <f>hyperlink("https://terraria.gamepedia.com/Emerald_Robe","Emerald Robe")</f>
        <v>Emerald Robe</v>
      </c>
    </row>
    <row r="1282">
      <c r="A1282" s="2">
        <v>1286.0</v>
      </c>
      <c r="B1282" s="3" t="s">
        <v>17</v>
      </c>
      <c r="C1282" s="4" t="str">
        <f>hyperlink("https://terraria.gamepedia.com/Ruby_Robe","Ruby Robe")</f>
        <v>Ruby Robe</v>
      </c>
    </row>
    <row r="1283">
      <c r="A1283" s="2">
        <v>1287.0</v>
      </c>
      <c r="B1283" s="3" t="s">
        <v>17</v>
      </c>
      <c r="C1283" s="4" t="str">
        <f>hyperlink("https://terraria.gamepedia.com/Diamond_Robe","Diamond Robe")</f>
        <v>Diamond Robe</v>
      </c>
    </row>
    <row r="1284">
      <c r="A1284" s="2">
        <v>1288.0</v>
      </c>
      <c r="B1284" s="3" t="s">
        <v>23</v>
      </c>
      <c r="C1284" s="4" t="str">
        <f>hyperlink("https://terraria.gamepedia.com/White_Tuxedo_set","White Tuxedo Shirt")</f>
        <v>White Tuxedo Shirt</v>
      </c>
    </row>
    <row r="1285">
      <c r="A1285" s="2">
        <v>1289.0</v>
      </c>
      <c r="B1285" s="3" t="s">
        <v>23</v>
      </c>
      <c r="C1285" s="4" t="str">
        <f>hyperlink("https://terraria.gamepedia.com/White_Tuxedo_set","White Tuxedo Pants")</f>
        <v>White Tuxedo Pants</v>
      </c>
    </row>
    <row r="1286">
      <c r="A1286" s="2">
        <v>1290.0</v>
      </c>
      <c r="B1286" s="3" t="s">
        <v>10</v>
      </c>
      <c r="C1286" s="4" t="str">
        <f>hyperlink("https://terraria.gamepedia.com/Panic_Necklace","Panic Necklace")</f>
        <v>Panic Necklace</v>
      </c>
    </row>
    <row r="1287">
      <c r="A1287" s="2">
        <v>1291.0</v>
      </c>
      <c r="B1287" s="3" t="s">
        <v>15</v>
      </c>
      <c r="C1287" s="4" t="str">
        <f>hyperlink("https://terraria.gamepedia.com/Life_Fruit","Life Fruit")</f>
        <v>Life Fruit</v>
      </c>
    </row>
    <row r="1288">
      <c r="A1288" s="2">
        <v>1292.0</v>
      </c>
      <c r="B1288" s="3" t="s">
        <v>31</v>
      </c>
      <c r="C1288" s="4" t="str">
        <f>hyperlink("https://terraria.gamepedia.com/Lihzahrd_Altar","Lihzahrd Altar")</f>
        <v>Lihzahrd Altar</v>
      </c>
    </row>
    <row r="1289">
      <c r="A1289" s="2">
        <v>1293.0</v>
      </c>
      <c r="B1289" s="3" t="s">
        <v>19</v>
      </c>
      <c r="C1289" s="4" t="str">
        <f>hyperlink("https://terraria.gamepedia.com/Lihzahrd_Power_Cell","Lihzahrd Power Cell")</f>
        <v>Lihzahrd Power Cell</v>
      </c>
    </row>
    <row r="1290">
      <c r="A1290" s="2">
        <v>1294.0</v>
      </c>
      <c r="B1290" s="3" t="s">
        <v>3</v>
      </c>
      <c r="C1290" s="4" t="str">
        <f>hyperlink("https://terraria.gamepedia.com/Picksaw","Picksaw")</f>
        <v>Picksaw</v>
      </c>
    </row>
    <row r="1291">
      <c r="A1291" s="2">
        <v>1295.0</v>
      </c>
      <c r="B1291" s="3" t="s">
        <v>5</v>
      </c>
      <c r="C1291" s="4" t="str">
        <f>hyperlink("https://terraria.gamepedia.com/Heat_Ray","Heat Ray")</f>
        <v>Heat Ray</v>
      </c>
    </row>
    <row r="1292">
      <c r="A1292" s="2">
        <v>1296.0</v>
      </c>
      <c r="B1292" s="3" t="s">
        <v>5</v>
      </c>
      <c r="C1292" s="4" t="str">
        <f>hyperlink("https://terraria.gamepedia.com/Staff_of_Earth","Staff of Earth")</f>
        <v>Staff of Earth</v>
      </c>
    </row>
    <row r="1293">
      <c r="A1293" s="2">
        <v>1297.0</v>
      </c>
      <c r="B1293" s="3" t="s">
        <v>5</v>
      </c>
      <c r="C1293" s="4" t="str">
        <f>hyperlink("https://terraria.gamepedia.com/Golem_Fist","Golem Fist")</f>
        <v>Golem Fist</v>
      </c>
    </row>
    <row r="1294">
      <c r="A1294" s="2">
        <v>1298.0</v>
      </c>
      <c r="B1294" s="3" t="s">
        <v>20</v>
      </c>
      <c r="C1294" s="4" t="str">
        <f>hyperlink("https://terraria.gamepedia.com/Water_Chest","Water Chest")</f>
        <v>Water Chest</v>
      </c>
    </row>
    <row r="1295">
      <c r="A1295" s="2">
        <v>1299.0</v>
      </c>
      <c r="B1295" s="3" t="s">
        <v>10</v>
      </c>
      <c r="C1295" s="4" t="str">
        <f>hyperlink("https://terraria.gamepedia.com/Binoculars","Binoculars")</f>
        <v>Binoculars</v>
      </c>
    </row>
    <row r="1296">
      <c r="A1296" s="2">
        <v>1300.0</v>
      </c>
      <c r="B1296" s="3" t="s">
        <v>10</v>
      </c>
      <c r="C1296" s="4" t="str">
        <f>hyperlink("https://terraria.gamepedia.com/Rifle_Scope","Rifle Scope")</f>
        <v>Rifle Scope</v>
      </c>
    </row>
    <row r="1297">
      <c r="A1297" s="2">
        <v>1301.0</v>
      </c>
      <c r="B1297" s="3" t="s">
        <v>10</v>
      </c>
      <c r="C1297" s="4" t="str">
        <f>hyperlink("https://terraria.gamepedia.com/Destroyer_Emblem","Destroyer Emblem")</f>
        <v>Destroyer Emblem</v>
      </c>
    </row>
    <row r="1298">
      <c r="A1298" s="2">
        <v>1302.0</v>
      </c>
      <c r="B1298" s="3" t="s">
        <v>18</v>
      </c>
      <c r="C1298" s="4" t="str">
        <f>hyperlink("https://terraria.gamepedia.com/High_Velocity_Bullet","High Velocity Bullet")</f>
        <v>High Velocity Bullet</v>
      </c>
    </row>
    <row r="1299">
      <c r="A1299" s="2">
        <v>1303.0</v>
      </c>
      <c r="B1299" s="3" t="s">
        <v>10</v>
      </c>
      <c r="C1299" s="4" t="str">
        <f>hyperlink("https://terraria.gamepedia.com/Jellyfish_Necklace","Jellyfish Necklace")</f>
        <v>Jellyfish Necklace</v>
      </c>
    </row>
    <row r="1300">
      <c r="A1300" s="2">
        <v>1304.0</v>
      </c>
      <c r="B1300" s="3" t="s">
        <v>5</v>
      </c>
      <c r="C1300" s="4" t="str">
        <f>hyperlink("https://terraria.gamepedia.com/Zombie_Arm","Zombie Arm")</f>
        <v>Zombie Arm</v>
      </c>
    </row>
    <row r="1301">
      <c r="A1301" s="2">
        <v>1305.0</v>
      </c>
      <c r="B1301" s="3" t="s">
        <v>3</v>
      </c>
      <c r="C1301" s="4" t="str">
        <f>hyperlink("https://terraria.gamepedia.com/The_Axe","The Axe")</f>
        <v>The Axe</v>
      </c>
    </row>
    <row r="1302">
      <c r="A1302" s="2">
        <v>1306.0</v>
      </c>
      <c r="B1302" s="3" t="s">
        <v>5</v>
      </c>
      <c r="C1302" s="4" t="str">
        <f>hyperlink("https://terraria.gamepedia.com/Ice_Sickle","Ice Sickle")</f>
        <v>Ice Sickle</v>
      </c>
    </row>
    <row r="1303">
      <c r="A1303" s="2">
        <v>1307.0</v>
      </c>
      <c r="B1303" s="3" t="s">
        <v>19</v>
      </c>
      <c r="C1303" s="4" t="str">
        <f>hyperlink("https://terraria.gamepedia.com/Clothier_Voodoo_Doll","Clothier Voodoo Doll")</f>
        <v>Clothier Voodoo Doll</v>
      </c>
    </row>
    <row r="1304">
      <c r="A1304" s="2">
        <v>1308.0</v>
      </c>
      <c r="B1304" s="3" t="s">
        <v>5</v>
      </c>
      <c r="C1304" s="4" t="str">
        <f>hyperlink("https://terraria.gamepedia.com/Poison_Staff","Poison Staff")</f>
        <v>Poison Staff</v>
      </c>
    </row>
    <row r="1305">
      <c r="A1305" s="2">
        <v>1309.0</v>
      </c>
      <c r="B1305" s="3" t="s">
        <v>5</v>
      </c>
      <c r="C1305" s="4" t="str">
        <f>hyperlink("https://terraria.gamepedia.com/Slime_Staff","Slime Staff")</f>
        <v>Slime Staff</v>
      </c>
    </row>
    <row r="1306">
      <c r="A1306" s="2">
        <v>1310.0</v>
      </c>
      <c r="B1306" s="3" t="s">
        <v>18</v>
      </c>
      <c r="C1306" s="4" t="str">
        <f>hyperlink("https://terraria.gamepedia.com/Poison_Dart","Poison Dart")</f>
        <v>Poison Dart</v>
      </c>
    </row>
    <row r="1307">
      <c r="A1307" s="2">
        <v>1311.0</v>
      </c>
      <c r="B1307" s="3" t="s">
        <v>22</v>
      </c>
      <c r="C1307" s="4" t="str">
        <f>hyperlink("https://terraria.gamepedia.com/Eye_Spring","Eye Spring")</f>
        <v>Eye Spring</v>
      </c>
    </row>
    <row r="1308">
      <c r="A1308" s="2">
        <v>1312.0</v>
      </c>
      <c r="B1308" s="3" t="s">
        <v>22</v>
      </c>
      <c r="C1308" s="4" t="str">
        <f>hyperlink("https://terraria.gamepedia.com/Toy_Sled","Toy Sled")</f>
        <v>Toy Sled</v>
      </c>
    </row>
    <row r="1309">
      <c r="A1309" s="2">
        <v>1313.0</v>
      </c>
      <c r="B1309" s="3" t="s">
        <v>5</v>
      </c>
      <c r="C1309" s="4" t="str">
        <f>hyperlink("https://terraria.gamepedia.com/Book_of_Skulls","Book of Skulls")</f>
        <v>Book of Skulls</v>
      </c>
    </row>
    <row r="1310">
      <c r="A1310" s="2">
        <v>1314.0</v>
      </c>
      <c r="B1310" s="3" t="s">
        <v>5</v>
      </c>
      <c r="C1310" s="4" t="str">
        <f>hyperlink("https://terraria.gamepedia.com/KO_Cannon","KO Cannon")</f>
        <v>KO Cannon</v>
      </c>
    </row>
    <row r="1311">
      <c r="A1311" s="2">
        <v>1315.0</v>
      </c>
      <c r="B1311" s="3" t="s">
        <v>19</v>
      </c>
      <c r="C1311" s="4" t="str">
        <f>hyperlink("https://terraria.gamepedia.com/Pirate_Map","Pirate Map")</f>
        <v>Pirate Map</v>
      </c>
    </row>
    <row r="1312">
      <c r="A1312" s="2">
        <v>1316.0</v>
      </c>
      <c r="B1312" s="3" t="s">
        <v>17</v>
      </c>
      <c r="C1312" s="4" t="str">
        <f>hyperlink("https://terraria.gamepedia.com/Turtle_armor","Turtle Helmet")</f>
        <v>Turtle Helmet</v>
      </c>
    </row>
    <row r="1313">
      <c r="A1313" s="2">
        <v>1317.0</v>
      </c>
      <c r="B1313" s="3" t="s">
        <v>17</v>
      </c>
      <c r="C1313" s="4" t="str">
        <f>hyperlink("https://terraria.gamepedia.com/Turtle_armor","Turtle Scale Mail")</f>
        <v>Turtle Scale Mail</v>
      </c>
    </row>
    <row r="1314">
      <c r="A1314" s="2">
        <v>1318.0</v>
      </c>
      <c r="B1314" s="3" t="s">
        <v>17</v>
      </c>
      <c r="C1314" s="4" t="str">
        <f>hyperlink("https://terraria.gamepedia.com/Turtle_armor","Turtle Leggings")</f>
        <v>Turtle Leggings</v>
      </c>
    </row>
    <row r="1315">
      <c r="A1315" s="2">
        <v>1319.0</v>
      </c>
      <c r="B1315" s="3" t="s">
        <v>5</v>
      </c>
      <c r="C1315" s="4" t="str">
        <f>hyperlink("https://terraria.gamepedia.com/Snowball_Cannon","Snowball Cannon")</f>
        <v>Snowball Cannon</v>
      </c>
    </row>
    <row r="1316">
      <c r="A1316" s="2">
        <v>1320.0</v>
      </c>
      <c r="B1316" s="3" t="s">
        <v>3</v>
      </c>
      <c r="C1316" s="4" t="str">
        <f>hyperlink("https://terraria.gamepedia.com/Bone_Pickaxe","Bone Pickaxe")</f>
        <v>Bone Pickaxe</v>
      </c>
    </row>
    <row r="1317">
      <c r="A1317" s="2">
        <v>1321.0</v>
      </c>
      <c r="B1317" s="3" t="s">
        <v>10</v>
      </c>
      <c r="C1317" s="4" t="str">
        <f>hyperlink("https://terraria.gamepedia.com/Magic_Quiver","Magic Quiver")</f>
        <v>Magic Quiver</v>
      </c>
    </row>
    <row r="1318">
      <c r="A1318" s="2">
        <v>1322.0</v>
      </c>
      <c r="B1318" s="3" t="s">
        <v>10</v>
      </c>
      <c r="C1318" s="4" t="str">
        <f>hyperlink("https://terraria.gamepedia.com/Magma_Stone","Magma Stone")</f>
        <v>Magma Stone</v>
      </c>
    </row>
    <row r="1319">
      <c r="A1319" s="2">
        <v>1323.0</v>
      </c>
      <c r="B1319" s="3" t="s">
        <v>10</v>
      </c>
      <c r="C1319" s="4" t="str">
        <f>hyperlink("https://terraria.gamepedia.com/Obsidian_Rose","Obsidian Rose")</f>
        <v>Obsidian Rose</v>
      </c>
    </row>
    <row r="1320">
      <c r="A1320" s="2">
        <v>1324.0</v>
      </c>
      <c r="B1320" s="3" t="s">
        <v>5</v>
      </c>
      <c r="C1320" s="4" t="str">
        <f>hyperlink("https://terraria.gamepedia.com/Bananarang","Bananarang")</f>
        <v>Bananarang</v>
      </c>
    </row>
    <row r="1321">
      <c r="A1321" s="2">
        <v>1325.0</v>
      </c>
      <c r="B1321" s="3" t="s">
        <v>5</v>
      </c>
      <c r="C1321" s="4" t="str">
        <f>hyperlink("https://terraria.gamepedia.com/Chain_Knife","Chain Knife")</f>
        <v>Chain Knife</v>
      </c>
    </row>
    <row r="1322">
      <c r="A1322" s="2">
        <v>1326.0</v>
      </c>
      <c r="B1322" s="3" t="s">
        <v>5</v>
      </c>
      <c r="C1322" s="4" t="str">
        <f>hyperlink("https://terraria.gamepedia.com/Rod_of_Discord","Rod of Discord")</f>
        <v>Rod of Discord</v>
      </c>
    </row>
    <row r="1323">
      <c r="A1323" s="2">
        <v>1327.0</v>
      </c>
      <c r="B1323" s="3" t="s">
        <v>5</v>
      </c>
      <c r="C1323" s="4" t="str">
        <f>hyperlink("https://terraria.gamepedia.com/Death_Sickle","Death Sickle")</f>
        <v>Death Sickle</v>
      </c>
    </row>
    <row r="1324">
      <c r="A1324" s="2">
        <v>1328.0</v>
      </c>
      <c r="B1324" s="3" t="s">
        <v>11</v>
      </c>
      <c r="C1324" s="4" t="str">
        <f>hyperlink("https://terraria.gamepedia.com/Turtle_Shell","Turtle Shell")</f>
        <v>Turtle Shell</v>
      </c>
    </row>
    <row r="1325">
      <c r="A1325" s="2">
        <v>1329.0</v>
      </c>
      <c r="B1325" s="3" t="s">
        <v>11</v>
      </c>
      <c r="C1325" s="4" t="str">
        <f>hyperlink("https://terraria.gamepedia.com/Tissue_Sample","Tissue Sample")</f>
        <v>Tissue Sample</v>
      </c>
    </row>
    <row r="1326">
      <c r="A1326" s="2">
        <v>1330.0</v>
      </c>
      <c r="B1326" s="3" t="s">
        <v>11</v>
      </c>
      <c r="C1326" s="4" t="str">
        <f>hyperlink("https://terraria.gamepedia.com/Vertebra","Vertebra")</f>
        <v>Vertebra</v>
      </c>
    </row>
    <row r="1327">
      <c r="A1327" s="2">
        <v>1331.0</v>
      </c>
      <c r="B1327" s="3" t="s">
        <v>19</v>
      </c>
      <c r="C1327" s="4" t="str">
        <f>hyperlink("https://terraria.gamepedia.com/Bloody_Spine","Bloody Spine")</f>
        <v>Bloody Spine</v>
      </c>
    </row>
    <row r="1328">
      <c r="A1328" s="2">
        <v>1332.0</v>
      </c>
      <c r="B1328" s="3" t="s">
        <v>11</v>
      </c>
      <c r="C1328" s="4" t="str">
        <f>hyperlink("https://terraria.gamepedia.com/Ichor","Ichor")</f>
        <v>Ichor</v>
      </c>
    </row>
    <row r="1329">
      <c r="A1329" s="2">
        <v>1333.0</v>
      </c>
      <c r="B1329" s="3" t="s">
        <v>7</v>
      </c>
      <c r="C1329" s="4" t="str">
        <f>hyperlink("https://terraria.gamepedia.com/Torches","Ichor Torch")</f>
        <v>Ichor Torch</v>
      </c>
    </row>
    <row r="1330">
      <c r="A1330" s="2">
        <v>1334.0</v>
      </c>
      <c r="B1330" s="3" t="s">
        <v>18</v>
      </c>
      <c r="C1330" s="4" t="str">
        <f>hyperlink("https://terraria.gamepedia.com/Ichor_Arrow","Ichor Arrow")</f>
        <v>Ichor Arrow</v>
      </c>
    </row>
    <row r="1331">
      <c r="A1331" s="2">
        <v>1335.0</v>
      </c>
      <c r="B1331" s="3" t="s">
        <v>18</v>
      </c>
      <c r="C1331" s="4" t="str">
        <f>hyperlink("https://terraria.gamepedia.com/Ichor_Bullet","Ichor Bullet")</f>
        <v>Ichor Bullet</v>
      </c>
    </row>
    <row r="1332">
      <c r="A1332" s="2">
        <v>1336.0</v>
      </c>
      <c r="B1332" s="3" t="s">
        <v>5</v>
      </c>
      <c r="C1332" s="4" t="str">
        <f>hyperlink("https://terraria.gamepedia.com/Golden_Shower","Golden Shower")</f>
        <v>Golden Shower</v>
      </c>
    </row>
    <row r="1333">
      <c r="A1333" s="2">
        <v>1337.0</v>
      </c>
      <c r="B1333" s="3" t="s">
        <v>5</v>
      </c>
      <c r="C1333" s="4" t="str">
        <f>hyperlink("https://terraria.gamepedia.com/Bunny_Cannon","Bunny Cannon")</f>
        <v>Bunny Cannon</v>
      </c>
    </row>
    <row r="1334">
      <c r="A1334" s="2">
        <v>1338.0</v>
      </c>
      <c r="B1334" s="3" t="s">
        <v>18</v>
      </c>
      <c r="C1334" s="4" t="str">
        <f>hyperlink("https://terraria.gamepedia.com/Explosive_Bunny","Explosive Bunny")</f>
        <v>Explosive Bunny</v>
      </c>
    </row>
    <row r="1335">
      <c r="A1335" s="2">
        <v>1339.0</v>
      </c>
      <c r="B1335" s="3" t="s">
        <v>11</v>
      </c>
      <c r="C1335" s="4" t="str">
        <f>hyperlink("https://terraria.gamepedia.com/Vial_of_Venom","Vial of Venom")</f>
        <v>Vial of Venom</v>
      </c>
    </row>
    <row r="1336">
      <c r="A1336" s="2">
        <v>1340.0</v>
      </c>
      <c r="B1336" s="3" t="s">
        <v>14</v>
      </c>
      <c r="C1336" s="4" t="str">
        <f>hyperlink("https://terraria.gamepedia.com/Flask_of_Venom","Flask of Venom")</f>
        <v>Flask of Venom</v>
      </c>
    </row>
    <row r="1337">
      <c r="A1337" s="2">
        <v>1341.0</v>
      </c>
      <c r="B1337" s="3" t="s">
        <v>18</v>
      </c>
      <c r="C1337" s="4" t="str">
        <f>hyperlink("https://terraria.gamepedia.com/Venom_Arrow","Venom Arrow")</f>
        <v>Venom Arrow</v>
      </c>
    </row>
    <row r="1338">
      <c r="A1338" s="2">
        <v>1342.0</v>
      </c>
      <c r="B1338" s="3" t="s">
        <v>18</v>
      </c>
      <c r="C1338" s="4" t="str">
        <f>hyperlink("https://terraria.gamepedia.com/Venom_Bullet","Venom Bullet")</f>
        <v>Venom Bullet</v>
      </c>
    </row>
    <row r="1339">
      <c r="A1339" s="2">
        <v>1343.0</v>
      </c>
      <c r="B1339" s="3" t="s">
        <v>10</v>
      </c>
      <c r="C1339" s="4" t="str">
        <f>hyperlink("https://terraria.gamepedia.com/Fire_Gauntlet","Fire Gauntlet")</f>
        <v>Fire Gauntlet</v>
      </c>
    </row>
    <row r="1340">
      <c r="A1340" s="2">
        <v>1344.0</v>
      </c>
      <c r="B1340" s="3" t="s">
        <v>28</v>
      </c>
      <c r="C1340" s="4" t="str">
        <f>hyperlink("https://terraria.gamepedia.com/Cog","Cog")</f>
        <v>Cog</v>
      </c>
    </row>
    <row r="1341">
      <c r="A1341" s="2">
        <v>1345.0</v>
      </c>
      <c r="B1341" s="3" t="s">
        <v>15</v>
      </c>
      <c r="C1341" s="4" t="str">
        <f>hyperlink("https://terraria.gamepedia.com/Confetti","Confetti")</f>
        <v>Confetti</v>
      </c>
    </row>
    <row r="1342">
      <c r="A1342" s="2">
        <v>1346.0</v>
      </c>
      <c r="B1342" s="3" t="s">
        <v>11</v>
      </c>
      <c r="C1342" s="4" t="str">
        <f>hyperlink("https://terraria.gamepedia.com/Nanites","Nanites")</f>
        <v>Nanites</v>
      </c>
    </row>
    <row r="1343">
      <c r="A1343" s="2">
        <v>1347.0</v>
      </c>
      <c r="B1343" s="3" t="s">
        <v>11</v>
      </c>
      <c r="C1343" s="4" t="str">
        <f>hyperlink("https://terraria.gamepedia.com/Explosive_Powder","Explosive Powder")</f>
        <v>Explosive Powder</v>
      </c>
    </row>
    <row r="1344">
      <c r="A1344" s="2">
        <v>1348.0</v>
      </c>
      <c r="B1344" s="3" t="s">
        <v>11</v>
      </c>
      <c r="C1344" s="4" t="str">
        <f>hyperlink("https://terraria.gamepedia.com/Gold_Dust","Gold Dust")</f>
        <v>Gold Dust</v>
      </c>
    </row>
    <row r="1345">
      <c r="A1345" s="2">
        <v>1349.0</v>
      </c>
      <c r="B1345" s="3" t="s">
        <v>18</v>
      </c>
      <c r="C1345" s="4" t="str">
        <f>hyperlink("https://terraria.gamepedia.com/Party_Bullet","Party Bullet")</f>
        <v>Party Bullet</v>
      </c>
    </row>
    <row r="1346">
      <c r="A1346" s="2">
        <v>1350.0</v>
      </c>
      <c r="B1346" s="3" t="s">
        <v>18</v>
      </c>
      <c r="C1346" s="4" t="str">
        <f>hyperlink("https://terraria.gamepedia.com/Nano_Bullet","Nano Bullet")</f>
        <v>Nano Bullet</v>
      </c>
    </row>
    <row r="1347">
      <c r="A1347" s="2">
        <v>1351.0</v>
      </c>
      <c r="B1347" s="3" t="s">
        <v>18</v>
      </c>
      <c r="C1347" s="4" t="str">
        <f>hyperlink("https://terraria.gamepedia.com/Exploding_Bullet","Exploding Bullet")</f>
        <v>Exploding Bullet</v>
      </c>
    </row>
    <row r="1348">
      <c r="A1348" s="2">
        <v>1352.0</v>
      </c>
      <c r="B1348" s="3" t="s">
        <v>18</v>
      </c>
      <c r="C1348" s="4" t="str">
        <f>hyperlink("https://terraria.gamepedia.com/Golden_Bullet","Golden Bullet")</f>
        <v>Golden Bullet</v>
      </c>
    </row>
    <row r="1349">
      <c r="A1349" s="2">
        <v>1353.0</v>
      </c>
      <c r="B1349" s="3" t="s">
        <v>14</v>
      </c>
      <c r="C1349" s="4" t="str">
        <f>hyperlink("https://terraria.gamepedia.com/Flask_of_Cursed_Flames","Flask of Cursed Flames")</f>
        <v>Flask of Cursed Flames</v>
      </c>
    </row>
    <row r="1350">
      <c r="A1350" s="2">
        <v>1354.0</v>
      </c>
      <c r="B1350" s="3" t="s">
        <v>14</v>
      </c>
      <c r="C1350" s="4" t="str">
        <f>hyperlink("https://terraria.gamepedia.com/Flask_of_Fire","Flask of Fire")</f>
        <v>Flask of Fire</v>
      </c>
    </row>
    <row r="1351">
      <c r="A1351" s="2">
        <v>1355.0</v>
      </c>
      <c r="B1351" s="3" t="s">
        <v>14</v>
      </c>
      <c r="C1351" s="4" t="str">
        <f>hyperlink("https://terraria.gamepedia.com/Flask_of_Gold","Flask of Gold")</f>
        <v>Flask of Gold</v>
      </c>
    </row>
    <row r="1352">
      <c r="A1352" s="2">
        <v>1356.0</v>
      </c>
      <c r="B1352" s="3" t="s">
        <v>14</v>
      </c>
      <c r="C1352" s="4" t="str">
        <f>hyperlink("https://terraria.gamepedia.com/Flask_of_Ichor","Flask of Ichor")</f>
        <v>Flask of Ichor</v>
      </c>
    </row>
    <row r="1353">
      <c r="A1353" s="2">
        <v>1357.0</v>
      </c>
      <c r="B1353" s="3" t="s">
        <v>14</v>
      </c>
      <c r="C1353" s="4" t="str">
        <f>hyperlink("https://terraria.gamepedia.com/Flask_of_Nanites","Flask of Nanites")</f>
        <v>Flask of Nanites</v>
      </c>
    </row>
    <row r="1354">
      <c r="A1354" s="2">
        <v>1358.0</v>
      </c>
      <c r="B1354" s="3" t="s">
        <v>14</v>
      </c>
      <c r="C1354" s="4" t="str">
        <f>hyperlink("https://terraria.gamepedia.com/Flask_of_Party","Flask of Party")</f>
        <v>Flask of Party</v>
      </c>
    </row>
    <row r="1355">
      <c r="A1355" s="2">
        <v>1359.0</v>
      </c>
      <c r="B1355" s="3" t="s">
        <v>14</v>
      </c>
      <c r="C1355" s="4" t="str">
        <f>hyperlink("https://terraria.gamepedia.com/Flask_of_Poison","Flask of Poison")</f>
        <v>Flask of Poison</v>
      </c>
    </row>
    <row r="1356">
      <c r="A1356" s="2">
        <v>1360.0</v>
      </c>
      <c r="B1356" s="3" t="s">
        <v>35</v>
      </c>
      <c r="C1356" s="4" t="str">
        <f>hyperlink("https://terraria.gamepedia.com/Trophies","Eye of Cthulhu Trophy")</f>
        <v>Eye of Cthulhu Trophy</v>
      </c>
    </row>
    <row r="1357">
      <c r="A1357" s="2">
        <v>1361.0</v>
      </c>
      <c r="B1357" s="3" t="s">
        <v>35</v>
      </c>
      <c r="C1357" s="4" t="str">
        <f>hyperlink("https://terraria.gamepedia.com/Trophies","Eater of Worlds Trophy")</f>
        <v>Eater of Worlds Trophy</v>
      </c>
    </row>
    <row r="1358">
      <c r="A1358" s="2">
        <v>1362.0</v>
      </c>
      <c r="B1358" s="3" t="s">
        <v>35</v>
      </c>
      <c r="C1358" s="4" t="str">
        <f>hyperlink("https://terraria.gamepedia.com/Trophies","Brain of Cthulhu Trophy")</f>
        <v>Brain of Cthulhu Trophy</v>
      </c>
    </row>
    <row r="1359">
      <c r="A1359" s="2">
        <v>1363.0</v>
      </c>
      <c r="B1359" s="3" t="s">
        <v>35</v>
      </c>
      <c r="C1359" s="4" t="str">
        <f>hyperlink("https://terraria.gamepedia.com/Trophies","Skeletron Trophy")</f>
        <v>Skeletron Trophy</v>
      </c>
    </row>
    <row r="1360">
      <c r="A1360" s="2">
        <v>1364.0</v>
      </c>
      <c r="B1360" s="3" t="s">
        <v>35</v>
      </c>
      <c r="C1360" s="4" t="str">
        <f>hyperlink("https://terraria.gamepedia.com/Trophies","Queen Bee Trophy")</f>
        <v>Queen Bee Trophy</v>
      </c>
    </row>
    <row r="1361">
      <c r="A1361" s="2">
        <v>1365.0</v>
      </c>
      <c r="B1361" s="3" t="s">
        <v>35</v>
      </c>
      <c r="C1361" s="4" t="str">
        <f>hyperlink("https://terraria.gamepedia.com/Trophies","Wall of Flesh Trophy")</f>
        <v>Wall of Flesh Trophy</v>
      </c>
    </row>
    <row r="1362">
      <c r="A1362" s="2">
        <v>1366.0</v>
      </c>
      <c r="B1362" s="3" t="s">
        <v>35</v>
      </c>
      <c r="C1362" s="4" t="str">
        <f>hyperlink("https://terraria.gamepedia.com/Trophies","Destroyer Trophy")</f>
        <v>Destroyer Trophy</v>
      </c>
    </row>
    <row r="1363">
      <c r="A1363" s="2">
        <v>1367.0</v>
      </c>
      <c r="B1363" s="3" t="s">
        <v>35</v>
      </c>
      <c r="C1363" s="4" t="str">
        <f>hyperlink("https://terraria.gamepedia.com/Trophies","Skeletron Prime Trophy")</f>
        <v>Skeletron Prime Trophy</v>
      </c>
    </row>
    <row r="1364">
      <c r="A1364" s="2">
        <v>1368.0</v>
      </c>
      <c r="B1364" s="3" t="s">
        <v>35</v>
      </c>
      <c r="C1364" s="4" t="str">
        <f>hyperlink("https://terraria.gamepedia.com/Trophies","Retinazer Trophy")</f>
        <v>Retinazer Trophy</v>
      </c>
    </row>
    <row r="1365">
      <c r="A1365" s="2">
        <v>1369.0</v>
      </c>
      <c r="B1365" s="3" t="s">
        <v>35</v>
      </c>
      <c r="C1365" s="4" t="str">
        <f>hyperlink("https://terraria.gamepedia.com/Trophies","Spazmatism Trophy")</f>
        <v>Spazmatism Trophy</v>
      </c>
    </row>
    <row r="1366">
      <c r="A1366" s="2">
        <v>1370.0</v>
      </c>
      <c r="B1366" s="3" t="s">
        <v>35</v>
      </c>
      <c r="C1366" s="4" t="str">
        <f>hyperlink("https://terraria.gamepedia.com/Trophies","Plantera Trophy")</f>
        <v>Plantera Trophy</v>
      </c>
    </row>
    <row r="1367">
      <c r="A1367" s="2">
        <v>1371.0</v>
      </c>
      <c r="B1367" s="3" t="s">
        <v>35</v>
      </c>
      <c r="C1367" s="4" t="str">
        <f>hyperlink("https://terraria.gamepedia.com/Trophies","Golem Trophy")</f>
        <v>Golem Trophy</v>
      </c>
    </row>
    <row r="1368">
      <c r="A1368" s="2">
        <v>1372.0</v>
      </c>
      <c r="B1368" s="3" t="s">
        <v>36</v>
      </c>
      <c r="C1368" s="4" t="str">
        <f>hyperlink("https://terraria.gamepedia.com/Paintings","Blood Moon Rising")</f>
        <v>Blood Moon Rising</v>
      </c>
    </row>
    <row r="1369">
      <c r="A1369" s="2">
        <v>1373.0</v>
      </c>
      <c r="B1369" s="3" t="s">
        <v>36</v>
      </c>
      <c r="C1369" s="4" t="str">
        <f>hyperlink("https://terraria.gamepedia.com/Paintings","The Hanged Man")</f>
        <v>The Hanged Man</v>
      </c>
    </row>
    <row r="1370">
      <c r="A1370" s="2">
        <v>1374.0</v>
      </c>
      <c r="B1370" s="3" t="s">
        <v>36</v>
      </c>
      <c r="C1370" s="4" t="str">
        <f>hyperlink("https://terraria.gamepedia.com/Paintings","Glory of the Fire")</f>
        <v>Glory of the Fire</v>
      </c>
    </row>
    <row r="1371">
      <c r="A1371" s="2">
        <v>1375.0</v>
      </c>
      <c r="B1371" s="3" t="s">
        <v>36</v>
      </c>
      <c r="C1371" s="4" t="str">
        <f>hyperlink("https://terraria.gamepedia.com/Paintings","Bone Warp")</f>
        <v>Bone Warp</v>
      </c>
    </row>
    <row r="1372">
      <c r="A1372" s="2">
        <v>1376.0</v>
      </c>
      <c r="B1372" s="3" t="s">
        <v>12</v>
      </c>
      <c r="C1372" s="4" t="str">
        <f>hyperlink("https://terraria.gamepedia.com/Wall_Skeleton","Wall Skeleton")</f>
        <v>Wall Skeleton</v>
      </c>
    </row>
    <row r="1373">
      <c r="A1373" s="2">
        <v>1377.0</v>
      </c>
      <c r="B1373" s="3" t="s">
        <v>12</v>
      </c>
      <c r="C1373" s="4" t="str">
        <f>hyperlink("https://terraria.gamepedia.com/Hanging_Skeleton","Hanging Skeleton")</f>
        <v>Hanging Skeleton</v>
      </c>
    </row>
    <row r="1374">
      <c r="A1374" s="2">
        <v>1378.0</v>
      </c>
      <c r="B1374" s="3" t="s">
        <v>13</v>
      </c>
      <c r="C1374" s="4" t="str">
        <f>hyperlink("https://terraria.gamepedia.com/Dungeon_Brick_Walls","Blue Slab Wall")</f>
        <v>Blue Slab Wall</v>
      </c>
    </row>
    <row r="1375">
      <c r="A1375" s="2">
        <v>1379.0</v>
      </c>
      <c r="B1375" s="3" t="s">
        <v>13</v>
      </c>
      <c r="C1375" s="4" t="str">
        <f>hyperlink("https://terraria.gamepedia.com/Dungeon_Brick_Walls","Blue Tiled Wall")</f>
        <v>Blue Tiled Wall</v>
      </c>
    </row>
    <row r="1376">
      <c r="A1376" s="2">
        <v>1380.0</v>
      </c>
      <c r="B1376" s="3" t="s">
        <v>13</v>
      </c>
      <c r="C1376" s="4" t="str">
        <f>hyperlink("https://terraria.gamepedia.com/Dungeon_Brick_Walls","Pink Slab Wall")</f>
        <v>Pink Slab Wall</v>
      </c>
    </row>
    <row r="1377">
      <c r="A1377" s="2">
        <v>1381.0</v>
      </c>
      <c r="B1377" s="3" t="s">
        <v>13</v>
      </c>
      <c r="C1377" s="4" t="str">
        <f>hyperlink("https://terraria.gamepedia.com/Dungeon_Brick_Walls","Pink Tiled Wall")</f>
        <v>Pink Tiled Wall</v>
      </c>
    </row>
    <row r="1378">
      <c r="A1378" s="2">
        <v>1382.0</v>
      </c>
      <c r="B1378" s="3" t="s">
        <v>13</v>
      </c>
      <c r="C1378" s="4" t="str">
        <f>hyperlink("https://terraria.gamepedia.com/Dungeon_Brick_Walls","Green Slab Wall")</f>
        <v>Green Slab Wall</v>
      </c>
    </row>
    <row r="1379">
      <c r="A1379" s="2">
        <v>1383.0</v>
      </c>
      <c r="B1379" s="3" t="s">
        <v>13</v>
      </c>
      <c r="C1379" s="4" t="str">
        <f>hyperlink("https://terraria.gamepedia.com/Dungeon_Brick_Walls","Green Tiled Wall")</f>
        <v>Green Tiled Wall</v>
      </c>
    </row>
    <row r="1380">
      <c r="A1380" s="2">
        <v>1384.0</v>
      </c>
      <c r="B1380" s="3" t="s">
        <v>8</v>
      </c>
      <c r="C1380" s="4" t="str">
        <f>hyperlink("https://terraria.gamepedia.com/Platforms","Blue Brick Platform")</f>
        <v>Blue Brick Platform</v>
      </c>
    </row>
    <row r="1381">
      <c r="A1381" s="2">
        <v>1385.0</v>
      </c>
      <c r="B1381" s="3" t="s">
        <v>8</v>
      </c>
      <c r="C1381" s="4" t="str">
        <f>hyperlink("https://terraria.gamepedia.com/Platforms","Pink Brick Platform")</f>
        <v>Pink Brick Platform</v>
      </c>
    </row>
    <row r="1382">
      <c r="A1382" s="2">
        <v>1386.0</v>
      </c>
      <c r="B1382" s="3" t="s">
        <v>8</v>
      </c>
      <c r="C1382" s="4" t="str">
        <f>hyperlink("https://terraria.gamepedia.com/Platforms","Green Brick Platform")</f>
        <v>Green Brick Platform</v>
      </c>
    </row>
    <row r="1383">
      <c r="A1383" s="2">
        <v>1387.0</v>
      </c>
      <c r="B1383" s="3" t="s">
        <v>8</v>
      </c>
      <c r="C1383" s="4" t="str">
        <f>hyperlink("https://terraria.gamepedia.com/Platforms","Metal Shelf")</f>
        <v>Metal Shelf</v>
      </c>
    </row>
    <row r="1384">
      <c r="A1384" s="2">
        <v>1388.0</v>
      </c>
      <c r="B1384" s="3" t="s">
        <v>8</v>
      </c>
      <c r="C1384" s="4" t="str">
        <f>hyperlink("https://terraria.gamepedia.com/Platforms","Brass Shelf")</f>
        <v>Brass Shelf</v>
      </c>
    </row>
    <row r="1385">
      <c r="A1385" s="2">
        <v>1389.0</v>
      </c>
      <c r="B1385" s="3" t="s">
        <v>8</v>
      </c>
      <c r="C1385" s="4" t="str">
        <f>hyperlink("https://terraria.gamepedia.com/Platforms","Wood Shelf")</f>
        <v>Wood Shelf</v>
      </c>
    </row>
    <row r="1386">
      <c r="A1386" s="2">
        <v>1390.0</v>
      </c>
      <c r="B1386" s="3" t="s">
        <v>7</v>
      </c>
      <c r="C1386" s="4" t="str">
        <f>hyperlink("https://terraria.gamepedia.com/Lanterns","Brass Lantern")</f>
        <v>Brass Lantern</v>
      </c>
    </row>
    <row r="1387">
      <c r="A1387" s="2">
        <v>1391.0</v>
      </c>
      <c r="B1387" s="3" t="s">
        <v>7</v>
      </c>
      <c r="C1387" s="4" t="str">
        <f>hyperlink("https://terraria.gamepedia.com/Lanterns","Caged Lantern")</f>
        <v>Caged Lantern</v>
      </c>
    </row>
    <row r="1388">
      <c r="A1388" s="2">
        <v>1392.0</v>
      </c>
      <c r="B1388" s="3" t="s">
        <v>7</v>
      </c>
      <c r="C1388" s="4" t="str">
        <f>hyperlink("https://terraria.gamepedia.com/Lanterns","Carriage Lantern")</f>
        <v>Carriage Lantern</v>
      </c>
    </row>
    <row r="1389">
      <c r="A1389" s="2">
        <v>1393.0</v>
      </c>
      <c r="B1389" s="3" t="s">
        <v>7</v>
      </c>
      <c r="C1389" s="4" t="str">
        <f>hyperlink("https://terraria.gamepedia.com/Lanterns","Alchemy Lantern")</f>
        <v>Alchemy Lantern</v>
      </c>
    </row>
    <row r="1390">
      <c r="A1390" s="2">
        <v>1394.0</v>
      </c>
      <c r="B1390" s="3" t="s">
        <v>7</v>
      </c>
      <c r="C1390" s="4" t="str">
        <f>hyperlink("https://terraria.gamepedia.com/Lanterns","Diabolist Lamp")</f>
        <v>Diabolist Lamp</v>
      </c>
    </row>
    <row r="1391">
      <c r="A1391" s="2">
        <v>1395.0</v>
      </c>
      <c r="B1391" s="3" t="s">
        <v>7</v>
      </c>
      <c r="C1391" s="4" t="str">
        <f>hyperlink("https://terraria.gamepedia.com/Lanterns","Oil Rag Sconce")</f>
        <v>Oil Rag Sconce</v>
      </c>
    </row>
    <row r="1392">
      <c r="A1392" s="2">
        <v>1396.0</v>
      </c>
      <c r="B1392" s="3" t="s">
        <v>31</v>
      </c>
      <c r="C1392" s="4" t="str">
        <f>hyperlink("https://terraria.gamepedia.com/Chairs","Blue Dungeon Chair")</f>
        <v>Blue Dungeon Chair</v>
      </c>
    </row>
    <row r="1393">
      <c r="A1393" s="2">
        <v>1397.0</v>
      </c>
      <c r="B1393" s="3" t="s">
        <v>31</v>
      </c>
      <c r="C1393" s="4" t="str">
        <f>hyperlink("https://terraria.gamepedia.com/Tables","Blue Dungeon Table")</f>
        <v>Blue Dungeon Table</v>
      </c>
    </row>
    <row r="1394">
      <c r="A1394" s="2">
        <v>1398.0</v>
      </c>
      <c r="B1394" s="3" t="s">
        <v>31</v>
      </c>
      <c r="C1394" s="4" t="str">
        <f>hyperlink("https://terraria.gamepedia.com/Work_Benches","Blue Dungeon Work Bench")</f>
        <v>Blue Dungeon Work Bench</v>
      </c>
    </row>
    <row r="1395">
      <c r="A1395" s="2">
        <v>1399.0</v>
      </c>
      <c r="B1395" s="3" t="s">
        <v>31</v>
      </c>
      <c r="C1395" s="4" t="str">
        <f>hyperlink("https://terraria.gamepedia.com/Chairs","Green Dungeon Chair")</f>
        <v>Green Dungeon Chair</v>
      </c>
    </row>
    <row r="1396">
      <c r="A1396" s="2">
        <v>1400.0</v>
      </c>
      <c r="B1396" s="3" t="s">
        <v>31</v>
      </c>
      <c r="C1396" s="4" t="str">
        <f>hyperlink("https://terraria.gamepedia.com/Tables","Green Dungeon Table")</f>
        <v>Green Dungeon Table</v>
      </c>
    </row>
    <row r="1397">
      <c r="A1397" s="2">
        <v>1401.0</v>
      </c>
      <c r="B1397" s="3" t="s">
        <v>31</v>
      </c>
      <c r="C1397" s="4" t="str">
        <f>hyperlink("https://terraria.gamepedia.com/Work_Benches","Green Dungeon Work Bench")</f>
        <v>Green Dungeon Work Bench</v>
      </c>
    </row>
    <row r="1398">
      <c r="A1398" s="2">
        <v>1402.0</v>
      </c>
      <c r="B1398" s="3" t="s">
        <v>31</v>
      </c>
      <c r="C1398" s="4" t="str">
        <f>hyperlink("https://terraria.gamepedia.com/Chairs","Pink Dungeon Chair")</f>
        <v>Pink Dungeon Chair</v>
      </c>
    </row>
    <row r="1399">
      <c r="A1399" s="2">
        <v>1403.0</v>
      </c>
      <c r="B1399" s="3" t="s">
        <v>31</v>
      </c>
      <c r="C1399" s="4" t="str">
        <f>hyperlink("https://terraria.gamepedia.com/Tables","Pink Dungeon Table")</f>
        <v>Pink Dungeon Table</v>
      </c>
    </row>
    <row r="1400">
      <c r="A1400" s="2">
        <v>1404.0</v>
      </c>
      <c r="B1400" s="3" t="s">
        <v>31</v>
      </c>
      <c r="C1400" s="4" t="str">
        <f>hyperlink("https://terraria.gamepedia.com/Work_Benches","Pink Dungeon Work Bench")</f>
        <v>Pink Dungeon Work Bench</v>
      </c>
    </row>
    <row r="1401">
      <c r="A1401" s="2">
        <v>1405.0</v>
      </c>
      <c r="B1401" s="3" t="s">
        <v>7</v>
      </c>
      <c r="C1401" s="4" t="str">
        <f>hyperlink("https://terraria.gamepedia.com/Candles","Blue Dungeon Candle")</f>
        <v>Blue Dungeon Candle</v>
      </c>
    </row>
    <row r="1402">
      <c r="A1402" s="2">
        <v>1406.0</v>
      </c>
      <c r="B1402" s="3" t="s">
        <v>7</v>
      </c>
      <c r="C1402" s="4" t="str">
        <f>hyperlink("https://terraria.gamepedia.com/Candles","Green Dungeon Candle")</f>
        <v>Green Dungeon Candle</v>
      </c>
    </row>
    <row r="1403">
      <c r="A1403" s="2">
        <v>1407.0</v>
      </c>
      <c r="B1403" s="3" t="s">
        <v>7</v>
      </c>
      <c r="C1403" s="4" t="str">
        <f>hyperlink("https://terraria.gamepedia.com/Candles","Pink Dungeon Candle")</f>
        <v>Pink Dungeon Candle</v>
      </c>
    </row>
    <row r="1404">
      <c r="A1404" s="2">
        <v>1408.0</v>
      </c>
      <c r="B1404" s="3" t="s">
        <v>31</v>
      </c>
      <c r="C1404" s="4" t="str">
        <f>hyperlink("https://terraria.gamepedia.com/Vases","Blue Dungeon Vase")</f>
        <v>Blue Dungeon Vase</v>
      </c>
    </row>
    <row r="1405">
      <c r="A1405" s="2">
        <v>1409.0</v>
      </c>
      <c r="B1405" s="3" t="s">
        <v>31</v>
      </c>
      <c r="C1405" s="4" t="str">
        <f>hyperlink("https://terraria.gamepedia.com/Vases","Green Dungeon Vase")</f>
        <v>Green Dungeon Vase</v>
      </c>
    </row>
    <row r="1406">
      <c r="A1406" s="2">
        <v>1410.0</v>
      </c>
      <c r="B1406" s="3" t="s">
        <v>31</v>
      </c>
      <c r="C1406" s="4" t="str">
        <f>hyperlink("https://terraria.gamepedia.com/Vases","Pink Dungeon Vase")</f>
        <v>Pink Dungeon Vase</v>
      </c>
    </row>
    <row r="1407">
      <c r="A1407" s="2">
        <v>1411.0</v>
      </c>
      <c r="B1407" s="3" t="s">
        <v>31</v>
      </c>
      <c r="C1407" s="4" t="str">
        <f>hyperlink("https://terraria.gamepedia.com/Doors","Blue Dungeon Door")</f>
        <v>Blue Dungeon Door</v>
      </c>
    </row>
    <row r="1408">
      <c r="A1408" s="2">
        <v>1412.0</v>
      </c>
      <c r="B1408" s="3" t="s">
        <v>31</v>
      </c>
      <c r="C1408" s="4" t="str">
        <f>hyperlink("https://terraria.gamepedia.com/Doors","Green Dungeon Door")</f>
        <v>Green Dungeon Door</v>
      </c>
    </row>
    <row r="1409">
      <c r="A1409" s="2">
        <v>1413.0</v>
      </c>
      <c r="B1409" s="3" t="s">
        <v>31</v>
      </c>
      <c r="C1409" s="4" t="str">
        <f>hyperlink("https://terraria.gamepedia.com/Doors","Pink Dungeon Door")</f>
        <v>Pink Dungeon Door</v>
      </c>
    </row>
    <row r="1410">
      <c r="A1410" s="2">
        <v>1414.0</v>
      </c>
      <c r="B1410" s="3" t="s">
        <v>31</v>
      </c>
      <c r="C1410" s="4" t="str">
        <f>hyperlink("https://terraria.gamepedia.com/Bookcases","Blue Dungeon Bookcase")</f>
        <v>Blue Dungeon Bookcase</v>
      </c>
    </row>
    <row r="1411">
      <c r="A1411" s="2">
        <v>1415.0</v>
      </c>
      <c r="B1411" s="3" t="s">
        <v>31</v>
      </c>
      <c r="C1411" s="4" t="str">
        <f>hyperlink("https://terraria.gamepedia.com/Bookcases","Green Dungeon Bookcase")</f>
        <v>Green Dungeon Bookcase</v>
      </c>
    </row>
    <row r="1412">
      <c r="A1412" s="2">
        <v>1416.0</v>
      </c>
      <c r="B1412" s="3" t="s">
        <v>31</v>
      </c>
      <c r="C1412" s="4" t="str">
        <f>hyperlink("https://terraria.gamepedia.com/Bookcases","Pink Dungeon Bookcase")</f>
        <v>Pink Dungeon Bookcase</v>
      </c>
    </row>
    <row r="1413">
      <c r="A1413" s="2">
        <v>1417.0</v>
      </c>
      <c r="B1413" s="3" t="s">
        <v>36</v>
      </c>
      <c r="C1413" s="4" t="str">
        <f>hyperlink("https://terraria.gamepedia.com/Catacomb","Catacomb")</f>
        <v>Catacomb</v>
      </c>
    </row>
    <row r="1414">
      <c r="A1414" s="2">
        <v>1418.0</v>
      </c>
      <c r="B1414" s="3" t="s">
        <v>8</v>
      </c>
      <c r="C1414" s="4" t="str">
        <f>hyperlink("https://terraria.gamepedia.com/Platforms","Dungeon Shelf")</f>
        <v>Dungeon Shelf</v>
      </c>
    </row>
    <row r="1415">
      <c r="A1415" s="2">
        <v>1419.0</v>
      </c>
      <c r="B1415" s="3" t="s">
        <v>36</v>
      </c>
      <c r="C1415" s="4" t="str">
        <f>hyperlink("https://terraria.gamepedia.com/Paintings","Skellington J Skellingsworth")</f>
        <v>Skellington J Skellingsworth</v>
      </c>
    </row>
    <row r="1416">
      <c r="A1416" s="2">
        <v>1420.0</v>
      </c>
      <c r="B1416" s="3" t="s">
        <v>36</v>
      </c>
      <c r="C1416" s="4" t="str">
        <f>hyperlink("https://terraria.gamepedia.com/Paintings","The Cursed Man")</f>
        <v>The Cursed Man</v>
      </c>
    </row>
    <row r="1417">
      <c r="A1417" s="2">
        <v>1421.0</v>
      </c>
      <c r="B1417" s="3" t="s">
        <v>36</v>
      </c>
      <c r="C1417" s="4" t="str">
        <f>hyperlink("https://terraria.gamepedia.com/Paintings","The Eye Sees the End")</f>
        <v>The Eye Sees the End</v>
      </c>
    </row>
    <row r="1418">
      <c r="A1418" s="2">
        <v>1422.0</v>
      </c>
      <c r="B1418" s="3" t="s">
        <v>36</v>
      </c>
      <c r="C1418" s="4" t="str">
        <f>hyperlink("https://terraria.gamepedia.com/Paintings","Something Evil is Watching You")</f>
        <v>Something Evil is Watching You</v>
      </c>
    </row>
    <row r="1419">
      <c r="A1419" s="2">
        <v>1423.0</v>
      </c>
      <c r="B1419" s="3" t="s">
        <v>36</v>
      </c>
      <c r="C1419" s="4" t="str">
        <f>hyperlink("https://terraria.gamepedia.com/Paintings","The Twins Have Awoken")</f>
        <v>The Twins Have Awoken</v>
      </c>
    </row>
    <row r="1420">
      <c r="A1420" s="2">
        <v>1424.0</v>
      </c>
      <c r="B1420" s="3" t="s">
        <v>36</v>
      </c>
      <c r="C1420" s="4" t="str">
        <f>hyperlink("https://terraria.gamepedia.com/Paintings","The Screamer")</f>
        <v>The Screamer</v>
      </c>
    </row>
    <row r="1421">
      <c r="A1421" s="2">
        <v>1425.0</v>
      </c>
      <c r="B1421" s="3" t="s">
        <v>36</v>
      </c>
      <c r="C1421" s="4" t="str">
        <f>hyperlink("https://terraria.gamepedia.com/Paintings","Goblins Playing Poker")</f>
        <v>Goblins Playing Poker</v>
      </c>
    </row>
    <row r="1422">
      <c r="A1422" s="2">
        <v>1426.0</v>
      </c>
      <c r="B1422" s="3" t="s">
        <v>36</v>
      </c>
      <c r="C1422" s="4" t="str">
        <f>hyperlink("https://terraria.gamepedia.com/Paintings","Dryadisque")</f>
        <v>Dryadisque</v>
      </c>
    </row>
    <row r="1423">
      <c r="A1423" s="2">
        <v>1427.0</v>
      </c>
      <c r="B1423" s="3" t="s">
        <v>36</v>
      </c>
      <c r="C1423" s="4" t="str">
        <f>hyperlink("https://terraria.gamepedia.com/Paintings","Sunflowers")</f>
        <v>Sunflowers</v>
      </c>
    </row>
    <row r="1424">
      <c r="A1424" s="2">
        <v>1428.0</v>
      </c>
      <c r="B1424" s="3" t="s">
        <v>36</v>
      </c>
      <c r="C1424" s="4" t="str">
        <f>hyperlink("https://terraria.gamepedia.com/Paintings","Terrarian Gothic")</f>
        <v>Terrarian Gothic</v>
      </c>
    </row>
    <row r="1425">
      <c r="A1425" s="2">
        <v>1429.0</v>
      </c>
      <c r="B1425" s="3" t="s">
        <v>23</v>
      </c>
      <c r="C1425" s="4" t="str">
        <f>hyperlink("https://terraria.gamepedia.com/Beanie","Beanie")</f>
        <v>Beanie</v>
      </c>
    </row>
    <row r="1426">
      <c r="A1426" s="2">
        <v>1430.0</v>
      </c>
      <c r="B1426" s="3" t="s">
        <v>16</v>
      </c>
      <c r="C1426" s="4" t="str">
        <f>hyperlink("https://terraria.gamepedia.com/Imbuing_Station","Imbuing Station")</f>
        <v>Imbuing Station</v>
      </c>
    </row>
    <row r="1427">
      <c r="A1427" s="2">
        <v>1431.0</v>
      </c>
      <c r="B1427" s="3" t="s">
        <v>7</v>
      </c>
      <c r="C1427" s="4" t="str">
        <f>hyperlink("https://terraria.gamepedia.com/Lanterns","Star in a Bottle")</f>
        <v>Star in a Bottle</v>
      </c>
    </row>
    <row r="1428">
      <c r="A1428" s="2">
        <v>1432.0</v>
      </c>
      <c r="B1428" s="3" t="s">
        <v>11</v>
      </c>
      <c r="C1428" s="4" t="str">
        <f>hyperlink("https://terraria.gamepedia.com/Empty_Bullet","Empty Bullet")</f>
        <v>Empty Bullet</v>
      </c>
    </row>
    <row r="1429">
      <c r="A1429" s="2">
        <v>1433.0</v>
      </c>
      <c r="B1429" s="3" t="s">
        <v>36</v>
      </c>
      <c r="C1429" s="4" t="str">
        <f>hyperlink("https://terraria.gamepedia.com/Paintings","Impact")</f>
        <v>Impact</v>
      </c>
    </row>
    <row r="1430">
      <c r="A1430" s="2">
        <v>1434.0</v>
      </c>
      <c r="B1430" s="3" t="s">
        <v>36</v>
      </c>
      <c r="C1430" s="4" t="str">
        <f>hyperlink("https://terraria.gamepedia.com/Paintings","Powered by Birds")</f>
        <v>Powered by Birds</v>
      </c>
    </row>
    <row r="1431">
      <c r="A1431" s="2">
        <v>1435.0</v>
      </c>
      <c r="B1431" s="3" t="s">
        <v>36</v>
      </c>
      <c r="C1431" s="4" t="str">
        <f>hyperlink("https://terraria.gamepedia.com/Paintings","The Destroyer")</f>
        <v>The Destroyer</v>
      </c>
    </row>
    <row r="1432">
      <c r="A1432" s="2">
        <v>1436.0</v>
      </c>
      <c r="B1432" s="3" t="s">
        <v>36</v>
      </c>
      <c r="C1432" s="4" t="str">
        <f>hyperlink("https://terraria.gamepedia.com/Paintings","The Persistency of Eyes")</f>
        <v>The Persistency of Eyes</v>
      </c>
    </row>
    <row r="1433">
      <c r="A1433" s="2">
        <v>1437.0</v>
      </c>
      <c r="B1433" s="3" t="s">
        <v>36</v>
      </c>
      <c r="C1433" s="4" t="str">
        <f>hyperlink("https://terraria.gamepedia.com/Paintings","Unicorn Crossing the Hallows")</f>
        <v>Unicorn Crossing the Hallows</v>
      </c>
    </row>
    <row r="1434">
      <c r="A1434" s="2">
        <v>1438.0</v>
      </c>
      <c r="B1434" s="3" t="s">
        <v>36</v>
      </c>
      <c r="C1434" s="4" t="str">
        <f>hyperlink("https://terraria.gamepedia.com/Paintings","Great Wave")</f>
        <v>Great Wave</v>
      </c>
    </row>
    <row r="1435">
      <c r="A1435" s="2">
        <v>1439.0</v>
      </c>
      <c r="B1435" s="3" t="s">
        <v>36</v>
      </c>
      <c r="C1435" s="4" t="str">
        <f>hyperlink("https://terraria.gamepedia.com/Paintings","Starry Night")</f>
        <v>Starry Night</v>
      </c>
    </row>
    <row r="1436">
      <c r="A1436" s="2">
        <v>1440.0</v>
      </c>
      <c r="B1436" s="3" t="s">
        <v>36</v>
      </c>
      <c r="C1436" s="4" t="str">
        <f>hyperlink("https://terraria.gamepedia.com/Paintings","Guide Picasso")</f>
        <v>Guide Picasso</v>
      </c>
    </row>
    <row r="1437">
      <c r="A1437" s="2">
        <v>1441.0</v>
      </c>
      <c r="B1437" s="3" t="s">
        <v>36</v>
      </c>
      <c r="C1437" s="4" t="str">
        <f>hyperlink("https://terraria.gamepedia.com/Paintings","The Guardian's Gaze")</f>
        <v>The Guardian's Gaze</v>
      </c>
    </row>
    <row r="1438">
      <c r="A1438" s="2">
        <v>1442.0</v>
      </c>
      <c r="B1438" s="3" t="s">
        <v>36</v>
      </c>
      <c r="C1438" s="4" t="str">
        <f>hyperlink("https://terraria.gamepedia.com/Paintings","Father of Someone")</f>
        <v>Father of Someone</v>
      </c>
    </row>
    <row r="1439">
      <c r="A1439" s="2">
        <v>1443.0</v>
      </c>
      <c r="B1439" s="3" t="s">
        <v>36</v>
      </c>
      <c r="C1439" s="4" t="str">
        <f>hyperlink("https://terraria.gamepedia.com/Paintings","Nurse Lisa")</f>
        <v>Nurse Lisa</v>
      </c>
    </row>
    <row r="1440">
      <c r="A1440" s="2">
        <v>1444.0</v>
      </c>
      <c r="B1440" s="3" t="s">
        <v>5</v>
      </c>
      <c r="C1440" s="4" t="str">
        <f>hyperlink("https://terraria.gamepedia.com/Shadowbeam_Staff","Shadowbeam Staff")</f>
        <v>Shadowbeam Staff</v>
      </c>
    </row>
    <row r="1441">
      <c r="A1441" s="2">
        <v>1445.0</v>
      </c>
      <c r="B1441" s="3" t="s">
        <v>5</v>
      </c>
      <c r="C1441" s="4" t="str">
        <f>hyperlink("https://terraria.gamepedia.com/Inferno_Fork","Inferno Fork")</f>
        <v>Inferno Fork</v>
      </c>
    </row>
    <row r="1442">
      <c r="A1442" s="2">
        <v>1446.0</v>
      </c>
      <c r="B1442" s="3" t="s">
        <v>5</v>
      </c>
      <c r="C1442" s="4" t="str">
        <f>hyperlink("https://terraria.gamepedia.com/Spectre_Staff","Spectre Staff")</f>
        <v>Spectre Staff</v>
      </c>
    </row>
    <row r="1443">
      <c r="A1443" s="2">
        <v>1447.0</v>
      </c>
      <c r="B1443" s="3" t="s">
        <v>8</v>
      </c>
      <c r="C1443" s="4" t="str">
        <f>hyperlink("https://terraria.gamepedia.com/Fences","Wooden Fence")</f>
        <v>Wooden Fence</v>
      </c>
    </row>
    <row r="1444">
      <c r="A1444" s="2">
        <v>1448.0</v>
      </c>
      <c r="B1444" s="3" t="s">
        <v>8</v>
      </c>
      <c r="C1444" s="4" t="str">
        <f>hyperlink("https://terraria.gamepedia.com/Fences","Lead Fence")</f>
        <v>Lead Fence</v>
      </c>
    </row>
    <row r="1445">
      <c r="A1445" s="2">
        <v>1449.0</v>
      </c>
      <c r="B1445" s="3" t="s">
        <v>12</v>
      </c>
      <c r="C1445" s="4" t="str">
        <f>hyperlink("https://terraria.gamepedia.com/Bubble_Machine","Bubble Machine")</f>
        <v>Bubble Machine</v>
      </c>
    </row>
    <row r="1446">
      <c r="A1446" s="2">
        <v>1450.0</v>
      </c>
      <c r="B1446" s="3" t="s">
        <v>15</v>
      </c>
      <c r="C1446" s="4" t="str">
        <f>hyperlink("https://terraria.gamepedia.com/Bubble_Wand","Bubble Wand")</f>
        <v>Bubble Wand</v>
      </c>
    </row>
    <row r="1447">
      <c r="A1447" s="2">
        <v>1451.0</v>
      </c>
      <c r="B1447" s="3" t="s">
        <v>25</v>
      </c>
      <c r="C1447" s="4" t="str">
        <f>hyperlink("https://terraria.gamepedia.com/Banners_(decorative)","Marching Bones Banner")</f>
        <v>Marching Bones Banner</v>
      </c>
    </row>
    <row r="1448">
      <c r="A1448" s="2">
        <v>1452.0</v>
      </c>
      <c r="B1448" s="3" t="s">
        <v>25</v>
      </c>
      <c r="C1448" s="4" t="str">
        <f>hyperlink("https://terraria.gamepedia.com/Banners_(decorative)","Necromantic Sign")</f>
        <v>Necromantic Sign</v>
      </c>
    </row>
    <row r="1449">
      <c r="A1449" s="2">
        <v>1453.0</v>
      </c>
      <c r="B1449" s="3" t="s">
        <v>25</v>
      </c>
      <c r="C1449" s="4" t="str">
        <f>hyperlink("https://terraria.gamepedia.com/Banners_(decorative)","Rusted Company Standard")</f>
        <v>Rusted Company Standard</v>
      </c>
    </row>
    <row r="1450">
      <c r="A1450" s="2">
        <v>1454.0</v>
      </c>
      <c r="B1450" s="3" t="s">
        <v>25</v>
      </c>
      <c r="C1450" s="4" t="str">
        <f>hyperlink("https://terraria.gamepedia.com/Banners_(decorative)","Ragged Brotherhood Sigil")</f>
        <v>Ragged Brotherhood Sigil</v>
      </c>
    </row>
    <row r="1451">
      <c r="A1451" s="2">
        <v>1455.0</v>
      </c>
      <c r="B1451" s="3" t="s">
        <v>25</v>
      </c>
      <c r="C1451" s="4" t="str">
        <f>hyperlink("https://terraria.gamepedia.com/Banners_(decorative)","Molten Legion Flag")</f>
        <v>Molten Legion Flag</v>
      </c>
    </row>
    <row r="1452">
      <c r="A1452" s="2">
        <v>1456.0</v>
      </c>
      <c r="B1452" s="3" t="s">
        <v>25</v>
      </c>
      <c r="C1452" s="4" t="str">
        <f>hyperlink("https://terraria.gamepedia.com/Banners_(decorative)","Diabolic Sigil")</f>
        <v>Diabolic Sigil</v>
      </c>
    </row>
    <row r="1453">
      <c r="A1453" s="2">
        <v>1457.0</v>
      </c>
      <c r="B1453" s="3" t="s">
        <v>8</v>
      </c>
      <c r="C1453" s="4" t="str">
        <f>hyperlink("https://terraria.gamepedia.com/Platforms","Obsidian Platform")</f>
        <v>Obsidian Platform</v>
      </c>
    </row>
    <row r="1454">
      <c r="A1454" s="2">
        <v>1458.0</v>
      </c>
      <c r="B1454" s="3" t="s">
        <v>31</v>
      </c>
      <c r="C1454" s="4" t="str">
        <f>hyperlink("https://terraria.gamepedia.com/Doors","Obsidian Door")</f>
        <v>Obsidian Door</v>
      </c>
    </row>
    <row r="1455">
      <c r="A1455" s="2">
        <v>1459.0</v>
      </c>
      <c r="B1455" s="3" t="s">
        <v>31</v>
      </c>
      <c r="C1455" s="4" t="str">
        <f>hyperlink("https://terraria.gamepedia.com/Chairs","Obsidian Chair")</f>
        <v>Obsidian Chair</v>
      </c>
    </row>
    <row r="1456">
      <c r="A1456" s="2">
        <v>1460.0</v>
      </c>
      <c r="B1456" s="3" t="s">
        <v>31</v>
      </c>
      <c r="C1456" s="4" t="str">
        <f>hyperlink("https://terraria.gamepedia.com/Tables","Obsidian Table")</f>
        <v>Obsidian Table</v>
      </c>
    </row>
    <row r="1457">
      <c r="A1457" s="2">
        <v>1461.0</v>
      </c>
      <c r="B1457" s="3" t="s">
        <v>31</v>
      </c>
      <c r="C1457" s="4" t="str">
        <f>hyperlink("https://terraria.gamepedia.com/Work_Benches","Obsidian Work Bench")</f>
        <v>Obsidian Work Bench</v>
      </c>
    </row>
    <row r="1458">
      <c r="A1458" s="2">
        <v>1462.0</v>
      </c>
      <c r="B1458" s="3" t="s">
        <v>31</v>
      </c>
      <c r="C1458" s="4" t="str">
        <f>hyperlink("https://terraria.gamepedia.com/Vases","Obsidian Vase")</f>
        <v>Obsidian Vase</v>
      </c>
    </row>
    <row r="1459">
      <c r="A1459" s="2">
        <v>1463.0</v>
      </c>
      <c r="B1459" s="3" t="s">
        <v>31</v>
      </c>
      <c r="C1459" s="4" t="str">
        <f>hyperlink("https://terraria.gamepedia.com/Bookcases","Obsidian Bookcase")</f>
        <v>Obsidian Bookcase</v>
      </c>
    </row>
    <row r="1460">
      <c r="A1460" s="2">
        <v>1464.0</v>
      </c>
      <c r="B1460" s="3" t="s">
        <v>25</v>
      </c>
      <c r="C1460" s="4" t="str">
        <f>hyperlink("https://terraria.gamepedia.com/Banners_(decorative)","Hellbound Banner")</f>
        <v>Hellbound Banner</v>
      </c>
    </row>
    <row r="1461">
      <c r="A1461" s="2">
        <v>1465.0</v>
      </c>
      <c r="B1461" s="3" t="s">
        <v>25</v>
      </c>
      <c r="C1461" s="4" t="str">
        <f>hyperlink("https://terraria.gamepedia.com/Banners_(decorative)","Hell Hammer Banner")</f>
        <v>Hell Hammer Banner</v>
      </c>
    </row>
    <row r="1462">
      <c r="A1462" s="2">
        <v>1466.0</v>
      </c>
      <c r="B1462" s="3" t="s">
        <v>25</v>
      </c>
      <c r="C1462" s="4" t="str">
        <f>hyperlink("https://terraria.gamepedia.com/Banners_(decorative)","Helltower Banner")</f>
        <v>Helltower Banner</v>
      </c>
    </row>
    <row r="1463">
      <c r="A1463" s="2">
        <v>1467.0</v>
      </c>
      <c r="B1463" s="3" t="s">
        <v>25</v>
      </c>
      <c r="C1463" s="4" t="str">
        <f>hyperlink("https://terraria.gamepedia.com/Banners_(decorative)","Lost Hopes of Man Banner")</f>
        <v>Lost Hopes of Man Banner</v>
      </c>
    </row>
    <row r="1464">
      <c r="A1464" s="2">
        <v>1468.0</v>
      </c>
      <c r="B1464" s="3" t="s">
        <v>25</v>
      </c>
      <c r="C1464" s="4" t="str">
        <f>hyperlink("https://terraria.gamepedia.com/Banners_(decorative)","Obsidian Watcher Banner")</f>
        <v>Obsidian Watcher Banner</v>
      </c>
    </row>
    <row r="1465">
      <c r="A1465" s="2">
        <v>1469.0</v>
      </c>
      <c r="B1465" s="3" t="s">
        <v>25</v>
      </c>
      <c r="C1465" s="4" t="str">
        <f>hyperlink("https://terraria.gamepedia.com/Banners_(decorative)","Lava Erupts Banner")</f>
        <v>Lava Erupts Banner</v>
      </c>
    </row>
    <row r="1466">
      <c r="A1466" s="2">
        <v>1470.0</v>
      </c>
      <c r="B1466" s="3" t="s">
        <v>31</v>
      </c>
      <c r="C1466" s="4" t="str">
        <f>hyperlink("https://terraria.gamepedia.com/Beds","Blue Dungeon Bed")</f>
        <v>Blue Dungeon Bed</v>
      </c>
    </row>
    <row r="1467">
      <c r="A1467" s="2">
        <v>1471.0</v>
      </c>
      <c r="B1467" s="3" t="s">
        <v>31</v>
      </c>
      <c r="C1467" s="4" t="str">
        <f>hyperlink("https://terraria.gamepedia.com/Beds","Green Dungeon Bed")</f>
        <v>Green Dungeon Bed</v>
      </c>
    </row>
    <row r="1468">
      <c r="A1468" s="2">
        <v>1472.0</v>
      </c>
      <c r="B1468" s="3" t="s">
        <v>31</v>
      </c>
      <c r="C1468" s="4" t="str">
        <f>hyperlink("https://terraria.gamepedia.com/Beds","Pink Dungeon Bed")</f>
        <v>Pink Dungeon Bed</v>
      </c>
    </row>
    <row r="1469">
      <c r="A1469" s="2">
        <v>1473.0</v>
      </c>
      <c r="B1469" s="3" t="s">
        <v>31</v>
      </c>
      <c r="C1469" s="4" t="str">
        <f>hyperlink("https://terraria.gamepedia.com/Beds","Obsidian Bed")</f>
        <v>Obsidian Bed</v>
      </c>
    </row>
    <row r="1470">
      <c r="A1470" s="2">
        <v>1474.0</v>
      </c>
      <c r="B1470" s="3" t="s">
        <v>36</v>
      </c>
      <c r="C1470" s="4" t="str">
        <f>hyperlink("https://terraria.gamepedia.com/Paintings","Waldo")</f>
        <v>Waldo</v>
      </c>
    </row>
    <row r="1471">
      <c r="A1471" s="2">
        <v>1475.0</v>
      </c>
      <c r="B1471" s="3" t="s">
        <v>36</v>
      </c>
      <c r="C1471" s="4" t="str">
        <f>hyperlink("https://terraria.gamepedia.com/Paintings","Darkness")</f>
        <v>Darkness</v>
      </c>
    </row>
    <row r="1472">
      <c r="A1472" s="2">
        <v>1476.0</v>
      </c>
      <c r="B1472" s="3" t="s">
        <v>36</v>
      </c>
      <c r="C1472" s="4" t="str">
        <f>hyperlink("https://terraria.gamepedia.com/Paintings","Dark Soul Reaper")</f>
        <v>Dark Soul Reaper</v>
      </c>
    </row>
    <row r="1473">
      <c r="A1473" s="2">
        <v>1477.0</v>
      </c>
      <c r="B1473" s="3" t="s">
        <v>36</v>
      </c>
      <c r="C1473" s="4" t="str">
        <f>hyperlink("https://terraria.gamepedia.com/Paintings","Land")</f>
        <v>Land</v>
      </c>
    </row>
    <row r="1474">
      <c r="A1474" s="2">
        <v>1478.0</v>
      </c>
      <c r="B1474" s="3" t="s">
        <v>36</v>
      </c>
      <c r="C1474" s="4" t="str">
        <f>hyperlink("https://terraria.gamepedia.com/Paintings","Trapped Ghost")</f>
        <v>Trapped Ghost</v>
      </c>
    </row>
    <row r="1475">
      <c r="A1475" s="2">
        <v>1479.0</v>
      </c>
      <c r="B1475" s="3" t="s">
        <v>36</v>
      </c>
      <c r="C1475" s="4" t="str">
        <f>hyperlink("https://terraria.gamepedia.com/Paintings","Demon's Eye")</f>
        <v>Demon's Eye</v>
      </c>
    </row>
    <row r="1476">
      <c r="A1476" s="2">
        <v>1480.0</v>
      </c>
      <c r="B1476" s="3" t="s">
        <v>36</v>
      </c>
      <c r="C1476" s="4" t="str">
        <f>hyperlink("https://terraria.gamepedia.com/Paintings","Finding Gold")</f>
        <v>Finding Gold</v>
      </c>
    </row>
    <row r="1477">
      <c r="A1477" s="2">
        <v>1481.0</v>
      </c>
      <c r="B1477" s="3" t="s">
        <v>36</v>
      </c>
      <c r="C1477" s="4" t="str">
        <f>hyperlink("https://terraria.gamepedia.com/Paintings","First Encounter")</f>
        <v>First Encounter</v>
      </c>
    </row>
    <row r="1478">
      <c r="A1478" s="2">
        <v>1482.0</v>
      </c>
      <c r="B1478" s="3" t="s">
        <v>36</v>
      </c>
      <c r="C1478" s="4" t="str">
        <f>hyperlink("https://terraria.gamepedia.com/Paintings","Good Morning")</f>
        <v>Good Morning</v>
      </c>
    </row>
    <row r="1479">
      <c r="A1479" s="2">
        <v>1483.0</v>
      </c>
      <c r="B1479" s="3" t="s">
        <v>36</v>
      </c>
      <c r="C1479" s="4" t="str">
        <f>hyperlink("https://terraria.gamepedia.com/Paintings","Underground Reward")</f>
        <v>Underground Reward</v>
      </c>
    </row>
    <row r="1480">
      <c r="A1480" s="2">
        <v>1484.0</v>
      </c>
      <c r="B1480" s="3" t="s">
        <v>36</v>
      </c>
      <c r="C1480" s="4" t="str">
        <f>hyperlink("https://terraria.gamepedia.com/Paintings","Through the Window")</f>
        <v>Through the Window</v>
      </c>
    </row>
    <row r="1481">
      <c r="A1481" s="2">
        <v>1485.0</v>
      </c>
      <c r="B1481" s="3" t="s">
        <v>36</v>
      </c>
      <c r="C1481" s="4" t="str">
        <f>hyperlink("https://terraria.gamepedia.com/Paintings","Place Above the Clouds")</f>
        <v>Place Above the Clouds</v>
      </c>
    </row>
    <row r="1482">
      <c r="A1482" s="2">
        <v>1486.0</v>
      </c>
      <c r="B1482" s="3" t="s">
        <v>36</v>
      </c>
      <c r="C1482" s="4" t="str">
        <f>hyperlink("https://terraria.gamepedia.com/Paintings","Do Not Step on the Grass")</f>
        <v>Do Not Step on the Grass</v>
      </c>
    </row>
    <row r="1483">
      <c r="A1483" s="2">
        <v>1487.0</v>
      </c>
      <c r="B1483" s="3" t="s">
        <v>36</v>
      </c>
      <c r="C1483" s="4" t="str">
        <f>hyperlink("https://terraria.gamepedia.com/Paintings","Cold Waters in the White Land")</f>
        <v>Cold Waters in the White Land</v>
      </c>
    </row>
    <row r="1484">
      <c r="A1484" s="2">
        <v>1488.0</v>
      </c>
      <c r="B1484" s="3" t="s">
        <v>36</v>
      </c>
      <c r="C1484" s="4" t="str">
        <f>hyperlink("https://terraria.gamepedia.com/Paintings","Lightless Chasms")</f>
        <v>Lightless Chasms</v>
      </c>
    </row>
    <row r="1485">
      <c r="A1485" s="2">
        <v>1489.0</v>
      </c>
      <c r="B1485" s="3" t="s">
        <v>36</v>
      </c>
      <c r="C1485" s="4" t="str">
        <f>hyperlink("https://terraria.gamepedia.com/Paintings","The Land of Deceiving Looks")</f>
        <v>The Land of Deceiving Looks</v>
      </c>
    </row>
    <row r="1486">
      <c r="A1486" s="2">
        <v>1490.0</v>
      </c>
      <c r="B1486" s="3" t="s">
        <v>36</v>
      </c>
      <c r="C1486" s="4" t="str">
        <f>hyperlink("https://terraria.gamepedia.com/Paintings","Daylight")</f>
        <v>Daylight</v>
      </c>
    </row>
    <row r="1487">
      <c r="A1487" s="2">
        <v>1491.0</v>
      </c>
      <c r="B1487" s="3" t="s">
        <v>36</v>
      </c>
      <c r="C1487" s="4" t="str">
        <f>hyperlink("https://terraria.gamepedia.com/Paintings","Secret of the Sands")</f>
        <v>Secret of the Sands</v>
      </c>
    </row>
    <row r="1488">
      <c r="A1488" s="2">
        <v>1492.0</v>
      </c>
      <c r="B1488" s="3" t="s">
        <v>36</v>
      </c>
      <c r="C1488" s="4" t="str">
        <f>hyperlink("https://terraria.gamepedia.com/Paintings","Deadland Comes Alive")</f>
        <v>Deadland Comes Alive</v>
      </c>
    </row>
    <row r="1489">
      <c r="A1489" s="2">
        <v>1493.0</v>
      </c>
      <c r="B1489" s="3" t="s">
        <v>36</v>
      </c>
      <c r="C1489" s="4" t="str">
        <f>hyperlink("https://terraria.gamepedia.com/Paintings","Evil Presence")</f>
        <v>Evil Presence</v>
      </c>
    </row>
    <row r="1490">
      <c r="A1490" s="2">
        <v>1494.0</v>
      </c>
      <c r="B1490" s="3" t="s">
        <v>36</v>
      </c>
      <c r="C1490" s="4" t="str">
        <f>hyperlink("https://terraria.gamepedia.com/Paintings","Sky Guardian")</f>
        <v>Sky Guardian</v>
      </c>
    </row>
    <row r="1491">
      <c r="A1491" s="2">
        <v>1495.0</v>
      </c>
      <c r="B1491" s="3" t="s">
        <v>36</v>
      </c>
      <c r="C1491" s="4" t="str">
        <f>hyperlink("https://terraria.gamepedia.com/Paintings","American Explosive")</f>
        <v>American Explosive</v>
      </c>
    </row>
    <row r="1492">
      <c r="A1492" s="2">
        <v>1496.0</v>
      </c>
      <c r="B1492" s="3" t="s">
        <v>36</v>
      </c>
      <c r="C1492" s="4" t="str">
        <f>hyperlink("https://terraria.gamepedia.com/Paintings","Discover")</f>
        <v>Discover</v>
      </c>
    </row>
    <row r="1493">
      <c r="A1493" s="2">
        <v>1497.0</v>
      </c>
      <c r="B1493" s="3" t="s">
        <v>36</v>
      </c>
      <c r="C1493" s="4" t="str">
        <f>hyperlink("https://terraria.gamepedia.com/Paintings","Hand Earth")</f>
        <v>Hand Earth</v>
      </c>
    </row>
    <row r="1494">
      <c r="A1494" s="2">
        <v>1498.0</v>
      </c>
      <c r="B1494" s="3" t="s">
        <v>36</v>
      </c>
      <c r="C1494" s="4" t="str">
        <f>hyperlink("https://terraria.gamepedia.com/Paintings","Old Miner")</f>
        <v>Old Miner</v>
      </c>
    </row>
    <row r="1495">
      <c r="A1495" s="2">
        <v>1499.0</v>
      </c>
      <c r="B1495" s="3" t="s">
        <v>36</v>
      </c>
      <c r="C1495" s="4" t="str">
        <f>hyperlink("https://terraria.gamepedia.com/Paintings","Skelehead")</f>
        <v>Skelehead</v>
      </c>
    </row>
    <row r="1496">
      <c r="A1496" s="2">
        <v>1500.0</v>
      </c>
      <c r="B1496" s="3" t="s">
        <v>36</v>
      </c>
      <c r="C1496" s="4" t="str">
        <f>hyperlink("https://terraria.gamepedia.com/Paintings","Facing the Cerebral Mastermind")</f>
        <v>Facing the Cerebral Mastermind</v>
      </c>
    </row>
    <row r="1497">
      <c r="A1497" s="2">
        <v>1501.0</v>
      </c>
      <c r="B1497" s="3" t="s">
        <v>36</v>
      </c>
      <c r="C1497" s="4" t="str">
        <f>hyperlink("https://terraria.gamepedia.com/Paintings","Lake of Fire")</f>
        <v>Lake of Fire</v>
      </c>
    </row>
    <row r="1498">
      <c r="A1498" s="2">
        <v>1502.0</v>
      </c>
      <c r="B1498" s="3" t="s">
        <v>36</v>
      </c>
      <c r="C1498" s="4" t="str">
        <f>hyperlink("https://terraria.gamepedia.com/Paintings","Trio Super Heroes")</f>
        <v>Trio Super Heroes</v>
      </c>
    </row>
    <row r="1499">
      <c r="A1499" s="2">
        <v>1503.0</v>
      </c>
      <c r="B1499" s="3" t="s">
        <v>17</v>
      </c>
      <c r="C1499" s="4" t="str">
        <f>hyperlink("https://terraria.gamepedia.com/Spectre_armor","Spectre Hood")</f>
        <v>Spectre Hood</v>
      </c>
    </row>
    <row r="1500">
      <c r="A1500" s="2">
        <v>1504.0</v>
      </c>
      <c r="B1500" s="3" t="s">
        <v>17</v>
      </c>
      <c r="C1500" s="4" t="str">
        <f>hyperlink("https://terraria.gamepedia.com/Spectre_armor","Spectre Robe")</f>
        <v>Spectre Robe</v>
      </c>
    </row>
    <row r="1501">
      <c r="A1501" s="2">
        <v>1505.0</v>
      </c>
      <c r="B1501" s="3" t="s">
        <v>17</v>
      </c>
      <c r="C1501" s="4" t="str">
        <f>hyperlink("https://terraria.gamepedia.com/Spectre_armor","Spectre Pants")</f>
        <v>Spectre Pants</v>
      </c>
    </row>
    <row r="1502">
      <c r="A1502" s="2">
        <v>1506.0</v>
      </c>
      <c r="B1502" s="3" t="s">
        <v>3</v>
      </c>
      <c r="C1502" s="4" t="str">
        <f>hyperlink("https://terraria.gamepedia.com/Spectre_Pickaxe","Spectre Pickaxe")</f>
        <v>Spectre Pickaxe</v>
      </c>
    </row>
    <row r="1503">
      <c r="A1503" s="2">
        <v>1507.0</v>
      </c>
      <c r="B1503" s="3" t="s">
        <v>3</v>
      </c>
      <c r="C1503" s="4" t="str">
        <f>hyperlink("https://terraria.gamepedia.com/Spectre_Hamaxe","Spectre Hamaxe")</f>
        <v>Spectre Hamaxe</v>
      </c>
    </row>
    <row r="1504">
      <c r="A1504" s="2">
        <v>1508.0</v>
      </c>
      <c r="B1504" s="3" t="s">
        <v>11</v>
      </c>
      <c r="C1504" s="4" t="str">
        <f>hyperlink("https://terraria.gamepedia.com/Ectoplasm","Ectoplasm")</f>
        <v>Ectoplasm</v>
      </c>
    </row>
    <row r="1505">
      <c r="A1505" s="2">
        <v>1509.0</v>
      </c>
      <c r="B1505" s="3" t="s">
        <v>31</v>
      </c>
      <c r="C1505" s="4" t="str">
        <f>hyperlink("https://terraria.gamepedia.com/Chairs","Gothic Chair")</f>
        <v>Gothic Chair</v>
      </c>
    </row>
    <row r="1506">
      <c r="A1506" s="2">
        <v>1510.0</v>
      </c>
      <c r="B1506" s="3" t="s">
        <v>31</v>
      </c>
      <c r="C1506" s="4" t="str">
        <f>hyperlink("https://terraria.gamepedia.com/Tables","Gothic Table")</f>
        <v>Gothic Table</v>
      </c>
    </row>
    <row r="1507">
      <c r="A1507" s="2">
        <v>1511.0</v>
      </c>
      <c r="B1507" s="3" t="s">
        <v>31</v>
      </c>
      <c r="C1507" s="4" t="str">
        <f>hyperlink("https://terraria.gamepedia.com/Work_Benches","Gothic Work Bench")</f>
        <v>Gothic Work Bench</v>
      </c>
    </row>
    <row r="1508">
      <c r="A1508" s="2">
        <v>1512.0</v>
      </c>
      <c r="B1508" s="3" t="s">
        <v>31</v>
      </c>
      <c r="C1508" s="4" t="str">
        <f>hyperlink("https://terraria.gamepedia.com/Bookcases","Gothic Bookcase")</f>
        <v>Gothic Bookcase</v>
      </c>
    </row>
    <row r="1509">
      <c r="A1509" s="2">
        <v>1513.0</v>
      </c>
      <c r="B1509" s="3" t="s">
        <v>3</v>
      </c>
      <c r="C1509" s="4" t="str">
        <f>hyperlink("https://terraria.gamepedia.com/Paladin's_Hammer","Paladin's Hammer")</f>
        <v>Paladin's Hammer</v>
      </c>
    </row>
    <row r="1510">
      <c r="A1510" s="2">
        <v>1514.0</v>
      </c>
      <c r="B1510" s="3" t="s">
        <v>23</v>
      </c>
      <c r="C1510" s="4" t="str">
        <f>hyperlink("https://terraria.gamepedia.com/SWAT_Helmet","SWAT Helmet")</f>
        <v>SWAT Helmet</v>
      </c>
    </row>
    <row r="1511">
      <c r="A1511" s="2">
        <v>1515.0</v>
      </c>
      <c r="B1511" s="3" t="s">
        <v>27</v>
      </c>
      <c r="C1511" s="4" t="str">
        <f>hyperlink("https://terraria.gamepedia.com/Wings","Bee Wings")</f>
        <v>Bee Wings</v>
      </c>
    </row>
    <row r="1512">
      <c r="A1512" s="2">
        <v>1516.0</v>
      </c>
      <c r="B1512" s="3" t="s">
        <v>11</v>
      </c>
      <c r="C1512" s="4" t="str">
        <f>hyperlink("https://terraria.gamepedia.com/Giant_Harpy_Feather","Giant Harpy Feather")</f>
        <v>Giant Harpy Feather</v>
      </c>
    </row>
    <row r="1513">
      <c r="A1513" s="2">
        <v>1517.0</v>
      </c>
      <c r="B1513" s="3" t="s">
        <v>11</v>
      </c>
      <c r="C1513" s="4" t="str">
        <f>hyperlink("https://terraria.gamepedia.com/Bone_Feather","Bone Feather")</f>
        <v>Bone Feather</v>
      </c>
    </row>
    <row r="1514">
      <c r="A1514" s="2">
        <v>1518.0</v>
      </c>
      <c r="B1514" s="3" t="s">
        <v>11</v>
      </c>
      <c r="C1514" s="4" t="str">
        <f>hyperlink("https://terraria.gamepedia.com/Fire_Feather","Fire Feather")</f>
        <v>Fire Feather</v>
      </c>
    </row>
    <row r="1515">
      <c r="A1515" s="2">
        <v>1519.0</v>
      </c>
      <c r="B1515" s="3" t="s">
        <v>11</v>
      </c>
      <c r="C1515" s="4" t="str">
        <f>hyperlink("https://terraria.gamepedia.com/Ice_Feather","Ice Feather")</f>
        <v>Ice Feather</v>
      </c>
    </row>
    <row r="1516">
      <c r="A1516" s="2">
        <v>1520.0</v>
      </c>
      <c r="B1516" s="3" t="s">
        <v>11</v>
      </c>
      <c r="C1516" s="4" t="str">
        <f>hyperlink("https://terraria.gamepedia.com/Broken_Bat_Wing","Broken Bat Wing")</f>
        <v>Broken Bat Wing</v>
      </c>
    </row>
    <row r="1517">
      <c r="A1517" s="2">
        <v>1521.0</v>
      </c>
      <c r="B1517" s="3" t="s">
        <v>11</v>
      </c>
      <c r="C1517" s="4" t="str">
        <f>hyperlink("https://terraria.gamepedia.com/Tattered_Bee_Wing","Tattered Bee Wing")</f>
        <v>Tattered Bee Wing</v>
      </c>
    </row>
    <row r="1518">
      <c r="A1518" s="2">
        <v>1522.0</v>
      </c>
      <c r="B1518" s="3" t="s">
        <v>9</v>
      </c>
      <c r="C1518" s="4" t="str">
        <f>hyperlink("https://terraria.gamepedia.com/Large_Gems","Large Amethyst")</f>
        <v>Large Amethyst</v>
      </c>
    </row>
    <row r="1519">
      <c r="A1519" s="2">
        <v>1523.0</v>
      </c>
      <c r="B1519" s="3" t="s">
        <v>9</v>
      </c>
      <c r="C1519" s="4" t="str">
        <f>hyperlink("https://terraria.gamepedia.com/Large_Gems","Large Topaz")</f>
        <v>Large Topaz</v>
      </c>
    </row>
    <row r="1520">
      <c r="A1520" s="2">
        <v>1524.0</v>
      </c>
      <c r="B1520" s="3" t="s">
        <v>9</v>
      </c>
      <c r="C1520" s="4" t="str">
        <f>hyperlink("https://terraria.gamepedia.com/Large_Gems","Large Sapphire")</f>
        <v>Large Sapphire</v>
      </c>
    </row>
    <row r="1521">
      <c r="A1521" s="2">
        <v>1525.0</v>
      </c>
      <c r="B1521" s="3" t="s">
        <v>9</v>
      </c>
      <c r="C1521" s="4" t="str">
        <f>hyperlink("https://terraria.gamepedia.com/Large_Gems","Large Emerald")</f>
        <v>Large Emerald</v>
      </c>
    </row>
    <row r="1522">
      <c r="A1522" s="2">
        <v>1526.0</v>
      </c>
      <c r="B1522" s="3" t="s">
        <v>9</v>
      </c>
      <c r="C1522" s="4" t="str">
        <f>hyperlink("https://terraria.gamepedia.com/Large_Gems","Large Ruby")</f>
        <v>Large Ruby</v>
      </c>
    </row>
    <row r="1523">
      <c r="A1523" s="2">
        <v>1527.0</v>
      </c>
      <c r="B1523" s="3" t="s">
        <v>9</v>
      </c>
      <c r="C1523" s="4" t="str">
        <f>hyperlink("https://terraria.gamepedia.com/Large_Gems","Large Diamond")</f>
        <v>Large Diamond</v>
      </c>
    </row>
    <row r="1524">
      <c r="A1524" s="2">
        <v>1528.0</v>
      </c>
      <c r="B1524" s="3" t="s">
        <v>20</v>
      </c>
      <c r="C1524" s="4" t="str">
        <f>hyperlink("https://terraria.gamepedia.com/Chests","Jungle Chest")</f>
        <v>Jungle Chest</v>
      </c>
    </row>
    <row r="1525">
      <c r="A1525" s="2">
        <v>1529.0</v>
      </c>
      <c r="B1525" s="3" t="s">
        <v>20</v>
      </c>
      <c r="C1525" s="4" t="str">
        <f>hyperlink("https://terraria.gamepedia.com/Chests","Corruption Chest")</f>
        <v>Corruption Chest</v>
      </c>
    </row>
    <row r="1526">
      <c r="A1526" s="2">
        <v>1530.0</v>
      </c>
      <c r="B1526" s="3" t="s">
        <v>20</v>
      </c>
      <c r="C1526" s="4" t="str">
        <f>hyperlink("https://terraria.gamepedia.com/Chests","Crimson Chest")</f>
        <v>Crimson Chest</v>
      </c>
    </row>
    <row r="1527">
      <c r="A1527" s="2">
        <v>1531.0</v>
      </c>
      <c r="B1527" s="3" t="s">
        <v>20</v>
      </c>
      <c r="C1527" s="4" t="str">
        <f>hyperlink("https://terraria.gamepedia.com/Chests","Hallowed Chest")</f>
        <v>Hallowed Chest</v>
      </c>
    </row>
    <row r="1528">
      <c r="A1528" s="2">
        <v>1532.0</v>
      </c>
      <c r="B1528" s="3" t="s">
        <v>20</v>
      </c>
      <c r="C1528" s="4" t="str">
        <f>hyperlink("https://terraria.gamepedia.com/Chests","Ice Chest")</f>
        <v>Ice Chest</v>
      </c>
    </row>
    <row r="1529">
      <c r="A1529" s="2">
        <v>1533.0</v>
      </c>
      <c r="B1529" s="3" t="s">
        <v>19</v>
      </c>
      <c r="C1529" s="4" t="str">
        <f>hyperlink("https://terraria.gamepedia.com/Biome_Keys","Jungle Key")</f>
        <v>Jungle Key</v>
      </c>
    </row>
    <row r="1530">
      <c r="A1530" s="2">
        <v>1534.0</v>
      </c>
      <c r="B1530" s="3" t="s">
        <v>19</v>
      </c>
      <c r="C1530" s="4" t="str">
        <f>hyperlink("https://terraria.gamepedia.com/Biome_Keys","Corruption Key")</f>
        <v>Corruption Key</v>
      </c>
    </row>
    <row r="1531">
      <c r="A1531" s="2">
        <v>1535.0</v>
      </c>
      <c r="B1531" s="3" t="s">
        <v>19</v>
      </c>
      <c r="C1531" s="4" t="str">
        <f>hyperlink("https://terraria.gamepedia.com/Biome_Keys","Crimson Key")</f>
        <v>Crimson Key</v>
      </c>
    </row>
    <row r="1532">
      <c r="A1532" s="2">
        <v>1536.0</v>
      </c>
      <c r="B1532" s="3" t="s">
        <v>19</v>
      </c>
      <c r="C1532" s="4" t="str">
        <f>hyperlink("https://terraria.gamepedia.com/Biome_Keys","Hallowed Key")</f>
        <v>Hallowed Key</v>
      </c>
    </row>
    <row r="1533">
      <c r="A1533" s="2">
        <v>1537.0</v>
      </c>
      <c r="B1533" s="3" t="s">
        <v>19</v>
      </c>
      <c r="C1533" s="4" t="str">
        <f>hyperlink("https://terraria.gamepedia.com/Biome_Keys","Frozen Key")</f>
        <v>Frozen Key</v>
      </c>
    </row>
    <row r="1534">
      <c r="A1534" s="2">
        <v>1538.0</v>
      </c>
      <c r="B1534" s="3" t="s">
        <v>36</v>
      </c>
      <c r="C1534" s="4" t="str">
        <f>hyperlink("https://terraria.gamepedia.com/Paintings","Imp Face")</f>
        <v>Imp Face</v>
      </c>
    </row>
    <row r="1535">
      <c r="A1535" s="2">
        <v>1539.0</v>
      </c>
      <c r="B1535" s="3" t="s">
        <v>36</v>
      </c>
      <c r="C1535" s="4" t="str">
        <f>hyperlink("https://terraria.gamepedia.com/Paintings","Ominous Presence")</f>
        <v>Ominous Presence</v>
      </c>
    </row>
    <row r="1536">
      <c r="A1536" s="2">
        <v>1540.0</v>
      </c>
      <c r="B1536" s="3" t="s">
        <v>36</v>
      </c>
      <c r="C1536" s="4" t="str">
        <f>hyperlink("https://terraria.gamepedia.com/Paintings","Shining Moon")</f>
        <v>Shining Moon</v>
      </c>
    </row>
    <row r="1537">
      <c r="A1537" s="2">
        <v>1541.0</v>
      </c>
      <c r="B1537" s="3" t="s">
        <v>36</v>
      </c>
      <c r="C1537" s="4" t="str">
        <f>hyperlink("https://terraria.gamepedia.com/Paintings","Living Gore")</f>
        <v>Living Gore</v>
      </c>
    </row>
    <row r="1538">
      <c r="A1538" s="2">
        <v>1542.0</v>
      </c>
      <c r="B1538" s="3" t="s">
        <v>36</v>
      </c>
      <c r="C1538" s="4" t="str">
        <f>hyperlink("https://terraria.gamepedia.com/Paintings","Flowing Magma")</f>
        <v>Flowing Magma</v>
      </c>
    </row>
    <row r="1539">
      <c r="A1539" s="2">
        <v>1543.0</v>
      </c>
      <c r="B1539" s="3" t="s">
        <v>3</v>
      </c>
      <c r="C1539" s="4" t="str">
        <f>hyperlink("https://terraria.gamepedia.com/Spectre_Paintbrush","Spectre Paintbrush")</f>
        <v>Spectre Paintbrush</v>
      </c>
    </row>
    <row r="1540">
      <c r="A1540" s="2">
        <v>1544.0</v>
      </c>
      <c r="B1540" s="3" t="s">
        <v>3</v>
      </c>
      <c r="C1540" s="4" t="str">
        <f>hyperlink("https://terraria.gamepedia.com/Spectre_Paint_Roller","Spectre Paint Roller")</f>
        <v>Spectre Paint Roller</v>
      </c>
    </row>
    <row r="1541">
      <c r="A1541" s="2">
        <v>1545.0</v>
      </c>
      <c r="B1541" s="3" t="s">
        <v>3</v>
      </c>
      <c r="C1541" s="4" t="str">
        <f>hyperlink("https://terraria.gamepedia.com/Spectre_Paint_Scraper","Spectre Paint Scraper")</f>
        <v>Spectre Paint Scraper</v>
      </c>
    </row>
    <row r="1542">
      <c r="A1542" s="2">
        <v>1546.0</v>
      </c>
      <c r="B1542" s="3" t="s">
        <v>17</v>
      </c>
      <c r="C1542" s="4" t="str">
        <f>hyperlink("https://terraria.gamepedia.com/Shroomite_armor","Shroomite Headgear")</f>
        <v>Shroomite Headgear</v>
      </c>
    </row>
    <row r="1543">
      <c r="A1543" s="2">
        <v>1547.0</v>
      </c>
      <c r="B1543" s="3" t="s">
        <v>17</v>
      </c>
      <c r="C1543" s="4" t="str">
        <f>hyperlink("https://terraria.gamepedia.com/Shroomite_armor","Shroomite Mask")</f>
        <v>Shroomite Mask</v>
      </c>
    </row>
    <row r="1544">
      <c r="A1544" s="2">
        <v>1548.0</v>
      </c>
      <c r="B1544" s="3" t="s">
        <v>17</v>
      </c>
      <c r="C1544" s="4" t="str">
        <f>hyperlink("https://terraria.gamepedia.com/Shroomite_armor","Shroomite Helmet")</f>
        <v>Shroomite Helmet</v>
      </c>
    </row>
    <row r="1545">
      <c r="A1545" s="2">
        <v>1549.0</v>
      </c>
      <c r="B1545" s="3" t="s">
        <v>17</v>
      </c>
      <c r="C1545" s="4" t="str">
        <f>hyperlink("https://terraria.gamepedia.com/Shroomite_armor","Shroomite Breastplate")</f>
        <v>Shroomite Breastplate</v>
      </c>
    </row>
    <row r="1546">
      <c r="A1546" s="2">
        <v>1550.0</v>
      </c>
      <c r="B1546" s="3" t="s">
        <v>17</v>
      </c>
      <c r="C1546" s="4" t="str">
        <f>hyperlink("https://terraria.gamepedia.com/Shroomite_armor","Shroomite Leggings")</f>
        <v>Shroomite Leggings</v>
      </c>
    </row>
    <row r="1547">
      <c r="A1547" s="2">
        <v>1551.0</v>
      </c>
      <c r="B1547" s="3" t="s">
        <v>16</v>
      </c>
      <c r="C1547" s="4" t="str">
        <f>hyperlink("https://terraria.gamepedia.com/Autohammer","Autohammer")</f>
        <v>Autohammer</v>
      </c>
    </row>
    <row r="1548">
      <c r="A1548" s="2">
        <v>1552.0</v>
      </c>
      <c r="B1548" s="3" t="s">
        <v>9</v>
      </c>
      <c r="C1548" s="4" t="str">
        <f>hyperlink("https://terraria.gamepedia.com/Shroomite_Bar","Shroomite Bar")</f>
        <v>Shroomite Bar</v>
      </c>
    </row>
    <row r="1549">
      <c r="A1549" s="2">
        <v>1553.0</v>
      </c>
      <c r="B1549" s="3" t="s">
        <v>5</v>
      </c>
      <c r="C1549" s="4" t="str">
        <f>hyperlink("https://terraria.gamepedia.com/S.D.M.G.","S.D.M.G.")</f>
        <v>S.D.M.G.</v>
      </c>
    </row>
    <row r="1550">
      <c r="A1550" s="2">
        <v>1554.0</v>
      </c>
      <c r="B1550" s="3" t="s">
        <v>32</v>
      </c>
      <c r="C1550" s="4" t="str">
        <f>hyperlink("https://terraria.gamepedia.com/Cenx's_set","Cenx's Tiara")</f>
        <v>Cenx's Tiara</v>
      </c>
    </row>
    <row r="1551">
      <c r="A1551" s="2">
        <v>1555.0</v>
      </c>
      <c r="B1551" s="3" t="s">
        <v>32</v>
      </c>
      <c r="C1551" s="4" t="str">
        <f>hyperlink("https://terraria.gamepedia.com/Cenx's_set","Cenx's Breastplate")</f>
        <v>Cenx's Breastplate</v>
      </c>
    </row>
    <row r="1552">
      <c r="A1552" s="2">
        <v>1556.0</v>
      </c>
      <c r="B1552" s="3" t="s">
        <v>32</v>
      </c>
      <c r="C1552" s="4" t="str">
        <f>hyperlink("https://terraria.gamepedia.com/Cenx's_set","Cenx's Leggings")</f>
        <v>Cenx's Leggings</v>
      </c>
    </row>
    <row r="1553">
      <c r="A1553" s="2">
        <v>1557.0</v>
      </c>
      <c r="B1553" s="3" t="s">
        <v>32</v>
      </c>
      <c r="C1553" s="4" t="str">
        <f>hyperlink("https://terraria.gamepedia.com/Crowno's_set","Crowno's Mask")</f>
        <v>Crowno's Mask</v>
      </c>
    </row>
    <row r="1554">
      <c r="A1554" s="2">
        <v>1558.0</v>
      </c>
      <c r="B1554" s="3" t="s">
        <v>32</v>
      </c>
      <c r="C1554" s="4" t="str">
        <f>hyperlink("https://terraria.gamepedia.com/Crowno's_set","Crowno's Breastplate")</f>
        <v>Crowno's Breastplate</v>
      </c>
    </row>
    <row r="1555">
      <c r="A1555" s="2">
        <v>1559.0</v>
      </c>
      <c r="B1555" s="3" t="s">
        <v>32</v>
      </c>
      <c r="C1555" s="4" t="str">
        <f>hyperlink("https://terraria.gamepedia.com/Crowno's_set","Crowno's Leggings")</f>
        <v>Crowno's Leggings</v>
      </c>
    </row>
    <row r="1556">
      <c r="A1556" s="2">
        <v>1560.0</v>
      </c>
      <c r="B1556" s="3" t="s">
        <v>32</v>
      </c>
      <c r="C1556" s="4" t="str">
        <f>hyperlink("https://terraria.gamepedia.com/Will's_set","Will's Helmet")</f>
        <v>Will's Helmet</v>
      </c>
    </row>
    <row r="1557">
      <c r="A1557" s="2">
        <v>1561.0</v>
      </c>
      <c r="B1557" s="3" t="s">
        <v>32</v>
      </c>
      <c r="C1557" s="4" t="str">
        <f>hyperlink("https://terraria.gamepedia.com/Will's_set","Will's Breastplate")</f>
        <v>Will's Breastplate</v>
      </c>
    </row>
    <row r="1558">
      <c r="A1558" s="2">
        <v>1562.0</v>
      </c>
      <c r="B1558" s="3" t="s">
        <v>32</v>
      </c>
      <c r="C1558" s="4" t="str">
        <f>hyperlink("https://terraria.gamepedia.com/Will's_set","Will's Leggings")</f>
        <v>Will's Leggings</v>
      </c>
    </row>
    <row r="1559">
      <c r="A1559" s="2">
        <v>1563.0</v>
      </c>
      <c r="B1559" s="3" t="s">
        <v>32</v>
      </c>
      <c r="C1559" s="4" t="str">
        <f>hyperlink("https://terraria.gamepedia.com/Jim's_set","Jim's Helmet")</f>
        <v>Jim's Helmet</v>
      </c>
    </row>
    <row r="1560">
      <c r="A1560" s="2">
        <v>1564.0</v>
      </c>
      <c r="B1560" s="3" t="s">
        <v>32</v>
      </c>
      <c r="C1560" s="4" t="str">
        <f>hyperlink("https://terraria.gamepedia.com/Jim's_set","Jim's Breastplate")</f>
        <v>Jim's Breastplate</v>
      </c>
    </row>
    <row r="1561">
      <c r="A1561" s="2">
        <v>1565.0</v>
      </c>
      <c r="B1561" s="3" t="s">
        <v>32</v>
      </c>
      <c r="C1561" s="4" t="str">
        <f>hyperlink("https://terraria.gamepedia.com/Jim's_set","Jim's Leggings")</f>
        <v>Jim's Leggings</v>
      </c>
    </row>
    <row r="1562">
      <c r="A1562" s="2">
        <v>1566.0</v>
      </c>
      <c r="B1562" s="3" t="s">
        <v>32</v>
      </c>
      <c r="C1562" s="4" t="str">
        <f>hyperlink("https://terraria.gamepedia.com/Aaron's_set","Aaron's Helmet")</f>
        <v>Aaron's Helmet</v>
      </c>
    </row>
    <row r="1563">
      <c r="A1563" s="2">
        <v>1567.0</v>
      </c>
      <c r="B1563" s="3" t="s">
        <v>32</v>
      </c>
      <c r="C1563" s="4" t="str">
        <f>hyperlink("https://terraria.gamepedia.com/Aaron's_set","Aaron's Breastplate")</f>
        <v>Aaron's Breastplate</v>
      </c>
    </row>
    <row r="1564">
      <c r="A1564" s="2">
        <v>1568.0</v>
      </c>
      <c r="B1564" s="3" t="s">
        <v>32</v>
      </c>
      <c r="C1564" s="4" t="str">
        <f>hyperlink("https://terraria.gamepedia.com/Aaron's_set","Aaron's Leggings")</f>
        <v>Aaron's Leggings</v>
      </c>
    </row>
    <row r="1565">
      <c r="A1565" s="2">
        <v>1569.0</v>
      </c>
      <c r="B1565" s="3" t="s">
        <v>5</v>
      </c>
      <c r="C1565" s="4" t="str">
        <f>hyperlink("https://terraria.gamepedia.com/Vampire_Knives","Vampire Knives")</f>
        <v>Vampire Knives</v>
      </c>
    </row>
    <row r="1566">
      <c r="A1566" s="2">
        <v>1570.0</v>
      </c>
      <c r="B1566" s="3" t="s">
        <v>11</v>
      </c>
      <c r="C1566" s="4" t="str">
        <f>hyperlink("https://terraria.gamepedia.com/Broken_Hero_Sword","Broken Hero Sword")</f>
        <v>Broken Hero Sword</v>
      </c>
    </row>
    <row r="1567">
      <c r="A1567" s="2">
        <v>1571.0</v>
      </c>
      <c r="B1567" s="3" t="s">
        <v>5</v>
      </c>
      <c r="C1567" s="4" t="str">
        <f>hyperlink("https://terraria.gamepedia.com/Scourge_of_the_Corruptor","Scourge of the Corruptor")</f>
        <v>Scourge of the Corruptor</v>
      </c>
    </row>
    <row r="1568">
      <c r="A1568" s="2">
        <v>1572.0</v>
      </c>
      <c r="B1568" s="3" t="s">
        <v>5</v>
      </c>
      <c r="C1568" s="4" t="str">
        <f>hyperlink("https://terraria.gamepedia.com/Staff_of_the_Frost_Hydra","Staff of the Frost Hydra")</f>
        <v>Staff of the Frost Hydra</v>
      </c>
    </row>
    <row r="1569">
      <c r="A1569" s="2">
        <v>1573.0</v>
      </c>
      <c r="B1569" s="3" t="s">
        <v>36</v>
      </c>
      <c r="C1569" s="4" t="str">
        <f>hyperlink("https://terraria.gamepedia.com/Paintings","The Creation of the Guide")</f>
        <v>The Creation of the Guide</v>
      </c>
    </row>
    <row r="1570">
      <c r="A1570" s="2">
        <v>1574.0</v>
      </c>
      <c r="B1570" s="3" t="s">
        <v>36</v>
      </c>
      <c r="C1570" s="4" t="str">
        <f>hyperlink("https://terraria.gamepedia.com/Paintings","The Merchant")</f>
        <v>The Merchant</v>
      </c>
    </row>
    <row r="1571">
      <c r="A1571" s="2">
        <v>1575.0</v>
      </c>
      <c r="B1571" s="3" t="s">
        <v>36</v>
      </c>
      <c r="C1571" s="4" t="str">
        <f>hyperlink("https://terraria.gamepedia.com/Paintings","Crowno Devours His Lunch")</f>
        <v>Crowno Devours His Lunch</v>
      </c>
    </row>
    <row r="1572">
      <c r="A1572" s="2">
        <v>1576.0</v>
      </c>
      <c r="B1572" s="3" t="s">
        <v>36</v>
      </c>
      <c r="C1572" s="4" t="str">
        <f>hyperlink("https://terraria.gamepedia.com/Paintings","Rare Enchantment")</f>
        <v>Rare Enchantment</v>
      </c>
    </row>
    <row r="1573">
      <c r="A1573" s="2">
        <v>1577.0</v>
      </c>
      <c r="B1573" s="3" t="s">
        <v>36</v>
      </c>
      <c r="C1573" s="4" t="str">
        <f>hyperlink("https://terraria.gamepedia.com/Paintings","Glorious Night")</f>
        <v>Glorious Night</v>
      </c>
    </row>
    <row r="1574">
      <c r="A1574" s="2">
        <v>1578.0</v>
      </c>
      <c r="B1574" s="3" t="s">
        <v>10</v>
      </c>
      <c r="C1574" s="4" t="str">
        <f>hyperlink("https://terraria.gamepedia.com/Sweetheart_Necklace","Sweetheart Necklace")</f>
        <v>Sweetheart Necklace</v>
      </c>
    </row>
    <row r="1575">
      <c r="A1575" s="2">
        <v>1579.0</v>
      </c>
      <c r="B1575" s="3" t="s">
        <v>10</v>
      </c>
      <c r="C1575" s="4" t="str">
        <f>hyperlink("https://terraria.gamepedia.com/Flurry_Boots","Flurry Boots")</f>
        <v>Flurry Boots</v>
      </c>
    </row>
    <row r="1576">
      <c r="A1576" s="2">
        <v>1580.0</v>
      </c>
      <c r="B1576" s="3" t="s">
        <v>32</v>
      </c>
      <c r="C1576" s="4" t="str">
        <f>hyperlink("https://terraria.gamepedia.com/D-Town's_set","D-Town's Helmet")</f>
        <v>D-Town's Helmet</v>
      </c>
    </row>
    <row r="1577">
      <c r="A1577" s="2">
        <v>1581.0</v>
      </c>
      <c r="B1577" s="3" t="s">
        <v>32</v>
      </c>
      <c r="C1577" s="4" t="str">
        <f>hyperlink("https://terraria.gamepedia.com/D-Town's_set","D-Town's Breastplate")</f>
        <v>D-Town's Breastplate</v>
      </c>
    </row>
    <row r="1578">
      <c r="A1578" s="2">
        <v>1582.0</v>
      </c>
      <c r="B1578" s="3" t="s">
        <v>32</v>
      </c>
      <c r="C1578" s="4" t="str">
        <f>hyperlink("https://terraria.gamepedia.com/D-Town's_set","D-Town's Leggings")</f>
        <v>D-Town's Leggings</v>
      </c>
    </row>
    <row r="1579">
      <c r="A1579" s="2">
        <v>1583.0</v>
      </c>
      <c r="B1579" s="3" t="s">
        <v>27</v>
      </c>
      <c r="C1579" s="4" t="str">
        <f>hyperlink("https://terraria.gamepedia.com/Wings","D-Town's Wings")</f>
        <v>D-Town's Wings</v>
      </c>
    </row>
    <row r="1580">
      <c r="A1580" s="2">
        <v>1584.0</v>
      </c>
      <c r="B1580" s="3" t="s">
        <v>27</v>
      </c>
      <c r="C1580" s="4" t="str">
        <f>hyperlink("https://terraria.gamepedia.com/Wings","Will's Wings")</f>
        <v>Will's Wings</v>
      </c>
    </row>
    <row r="1581">
      <c r="A1581" s="2">
        <v>1585.0</v>
      </c>
      <c r="B1581" s="3" t="s">
        <v>27</v>
      </c>
      <c r="C1581" s="4" t="str">
        <f>hyperlink("https://terraria.gamepedia.com/Wings","Crowno's Wings")</f>
        <v>Crowno's Wings</v>
      </c>
    </row>
    <row r="1582">
      <c r="A1582" s="2">
        <v>1586.0</v>
      </c>
      <c r="B1582" s="3" t="s">
        <v>27</v>
      </c>
      <c r="C1582" s="4" t="str">
        <f>hyperlink("https://terraria.gamepedia.com/Wings","Cenx's Wings")</f>
        <v>Cenx's Wings</v>
      </c>
    </row>
    <row r="1583">
      <c r="A1583" s="2">
        <v>1587.0</v>
      </c>
      <c r="B1583" s="3" t="s">
        <v>32</v>
      </c>
      <c r="C1583" s="4" t="str">
        <f>hyperlink("https://terraria.gamepedia.com/Cenx's_Dress_set","Cenx's Dress")</f>
        <v>Cenx's Dress</v>
      </c>
    </row>
    <row r="1584">
      <c r="A1584" s="2">
        <v>1588.0</v>
      </c>
      <c r="B1584" s="3" t="s">
        <v>32</v>
      </c>
      <c r="C1584" s="4" t="str">
        <f>hyperlink("https://terraria.gamepedia.com/Cenx's_Dress_set","Cenx's Dress Pants")</f>
        <v>Cenx's Dress Pants</v>
      </c>
    </row>
    <row r="1585">
      <c r="A1585" s="2">
        <v>1589.0</v>
      </c>
      <c r="B1585" s="3" t="s">
        <v>4</v>
      </c>
      <c r="C1585" s="4" t="str">
        <f>hyperlink("https://terraria.gamepedia.com/Palladium_Column","Palladium Column")</f>
        <v>Palladium Column</v>
      </c>
    </row>
    <row r="1586">
      <c r="A1586" s="2">
        <v>1590.0</v>
      </c>
      <c r="B1586" s="3" t="s">
        <v>13</v>
      </c>
      <c r="C1586" s="4" t="str">
        <f>hyperlink("https://terraria.gamepedia.com/Palladium_Column_Wall","Palladium Column Wall")</f>
        <v>Palladium Column Wall</v>
      </c>
    </row>
    <row r="1587">
      <c r="A1587" s="2">
        <v>1591.0</v>
      </c>
      <c r="B1587" s="3" t="s">
        <v>4</v>
      </c>
      <c r="C1587" s="4" t="str">
        <f>hyperlink("https://terraria.gamepedia.com/Bubblegum_Block","Bubblegum Block")</f>
        <v>Bubblegum Block</v>
      </c>
    </row>
    <row r="1588">
      <c r="A1588" s="2">
        <v>1592.0</v>
      </c>
      <c r="B1588" s="3" t="s">
        <v>13</v>
      </c>
      <c r="C1588" s="4" t="str">
        <f>hyperlink("https://terraria.gamepedia.com/Bubblegum_Block_Wall","Bubblegum Block Wall")</f>
        <v>Bubblegum Block Wall</v>
      </c>
    </row>
    <row r="1589">
      <c r="A1589" s="2">
        <v>1593.0</v>
      </c>
      <c r="B1589" s="3" t="s">
        <v>4</v>
      </c>
      <c r="C1589" s="4" t="str">
        <f>hyperlink("https://terraria.gamepedia.com/Titanstone_Block","Titanstone Block")</f>
        <v>Titanstone Block</v>
      </c>
    </row>
    <row r="1590">
      <c r="A1590" s="2">
        <v>1594.0</v>
      </c>
      <c r="B1590" s="3" t="s">
        <v>13</v>
      </c>
      <c r="C1590" s="4" t="str">
        <f>hyperlink("https://terraria.gamepedia.com/Titanstone_Block_Wall","Titanstone Block Wall")</f>
        <v>Titanstone Block Wall</v>
      </c>
    </row>
    <row r="1591">
      <c r="A1591" s="2">
        <v>1595.0</v>
      </c>
      <c r="B1591" s="3" t="s">
        <v>10</v>
      </c>
      <c r="C1591" s="4" t="str">
        <f>hyperlink("https://terraria.gamepedia.com/Magic_Cuffs","Magic Cuffs")</f>
        <v>Magic Cuffs</v>
      </c>
    </row>
    <row r="1592">
      <c r="A1592" s="2">
        <v>1596.0</v>
      </c>
      <c r="B1592" s="3" t="s">
        <v>29</v>
      </c>
      <c r="C1592" s="4" t="str">
        <f>hyperlink("https://terraria.gamepedia.com/Music_Boxes","Music Box (Snow)")</f>
        <v>Music Box (Snow)</v>
      </c>
    </row>
    <row r="1593">
      <c r="A1593" s="2">
        <v>1597.0</v>
      </c>
      <c r="B1593" s="3" t="s">
        <v>29</v>
      </c>
      <c r="C1593" s="4" t="str">
        <f>hyperlink("https://terraria.gamepedia.com/Music_Boxes","Music Box (Space Night)")</f>
        <v>Music Box (Space Night)</v>
      </c>
    </row>
    <row r="1594">
      <c r="A1594" s="2">
        <v>1598.0</v>
      </c>
      <c r="B1594" s="3" t="s">
        <v>29</v>
      </c>
      <c r="C1594" s="4" t="str">
        <f>hyperlink("https://terraria.gamepedia.com/Music_Boxes","Music Box (Crimson)")</f>
        <v>Music Box (Crimson)</v>
      </c>
    </row>
    <row r="1595">
      <c r="A1595" s="2">
        <v>1599.0</v>
      </c>
      <c r="B1595" s="3" t="s">
        <v>29</v>
      </c>
      <c r="C1595" s="4" t="str">
        <f>hyperlink("https://terraria.gamepedia.com/Music_Boxes","Music Box (Boss 4)")</f>
        <v>Music Box (Boss 4)</v>
      </c>
    </row>
    <row r="1596">
      <c r="A1596" s="2">
        <v>1600.0</v>
      </c>
      <c r="B1596" s="3" t="s">
        <v>29</v>
      </c>
      <c r="C1596" s="4" t="str">
        <f>hyperlink("https://terraria.gamepedia.com/Music_Boxes","Music Box (Alt Overworld Day)")</f>
        <v>Music Box (Alt Overworld Day)</v>
      </c>
    </row>
    <row r="1597">
      <c r="A1597" s="2">
        <v>1601.0</v>
      </c>
      <c r="B1597" s="3" t="s">
        <v>29</v>
      </c>
      <c r="C1597" s="4" t="str">
        <f>hyperlink("https://terraria.gamepedia.com/Music_Boxes","Music Box (Rain)")</f>
        <v>Music Box (Rain)</v>
      </c>
    </row>
    <row r="1598">
      <c r="A1598" s="2">
        <v>1602.0</v>
      </c>
      <c r="B1598" s="3" t="s">
        <v>29</v>
      </c>
      <c r="C1598" s="4" t="str">
        <f>hyperlink("https://terraria.gamepedia.com/Music_Boxes","Music Box (Ice)")</f>
        <v>Music Box (Ice)</v>
      </c>
    </row>
    <row r="1599">
      <c r="A1599" s="2">
        <v>1603.0</v>
      </c>
      <c r="B1599" s="3" t="s">
        <v>29</v>
      </c>
      <c r="C1599" s="4" t="str">
        <f>hyperlink("https://terraria.gamepedia.com/Music_Boxes","Music Box (Desert)")</f>
        <v>Music Box (Desert)</v>
      </c>
    </row>
    <row r="1600">
      <c r="A1600" s="2">
        <v>1604.0</v>
      </c>
      <c r="B1600" s="3" t="s">
        <v>29</v>
      </c>
      <c r="C1600" s="4" t="str">
        <f>hyperlink("https://terraria.gamepedia.com/Music_Boxes","Music Box (Ocean Day)")</f>
        <v>Music Box (Ocean Day)</v>
      </c>
    </row>
    <row r="1601">
      <c r="A1601" s="2">
        <v>1605.0</v>
      </c>
      <c r="B1601" s="3" t="s">
        <v>29</v>
      </c>
      <c r="C1601" s="4" t="str">
        <f>hyperlink("https://terraria.gamepedia.com/Music_Boxes","Music Box (Dungeon)")</f>
        <v>Music Box (Dungeon)</v>
      </c>
    </row>
    <row r="1602">
      <c r="A1602" s="2">
        <v>1606.0</v>
      </c>
      <c r="B1602" s="3" t="s">
        <v>29</v>
      </c>
      <c r="C1602" s="4" t="str">
        <f>hyperlink("https://terraria.gamepedia.com/Music_Boxes","Music Box (Plantera)")</f>
        <v>Music Box (Plantera)</v>
      </c>
    </row>
    <row r="1603">
      <c r="A1603" s="2">
        <v>1607.0</v>
      </c>
      <c r="B1603" s="3" t="s">
        <v>29</v>
      </c>
      <c r="C1603" s="4" t="str">
        <f>hyperlink("https://terraria.gamepedia.com/Music_Boxes","Music Box (Boss 5)")</f>
        <v>Music Box (Boss 5)</v>
      </c>
    </row>
    <row r="1604">
      <c r="A1604" s="2">
        <v>1608.0</v>
      </c>
      <c r="B1604" s="3" t="s">
        <v>29</v>
      </c>
      <c r="C1604" s="4" t="str">
        <f>hyperlink("https://terraria.gamepedia.com/Music_Boxes","Music Box (Temple)")</f>
        <v>Music Box (Temple)</v>
      </c>
    </row>
    <row r="1605">
      <c r="A1605" s="2">
        <v>1609.0</v>
      </c>
      <c r="B1605" s="3" t="s">
        <v>29</v>
      </c>
      <c r="C1605" s="4" t="str">
        <f>hyperlink("https://terraria.gamepedia.com/Music_Boxes","Music Box (Eclipse)")</f>
        <v>Music Box (Eclipse)</v>
      </c>
    </row>
    <row r="1606">
      <c r="A1606" s="2">
        <v>1610.0</v>
      </c>
      <c r="B1606" s="3" t="s">
        <v>29</v>
      </c>
      <c r="C1606" s="4" t="str">
        <f>hyperlink("https://terraria.gamepedia.com/Music_Boxes","Music Box (Mushrooms)")</f>
        <v>Music Box (Mushrooms)</v>
      </c>
    </row>
    <row r="1607">
      <c r="A1607" s="2">
        <v>1611.0</v>
      </c>
      <c r="B1607" s="3" t="s">
        <v>11</v>
      </c>
      <c r="C1607" s="4" t="str">
        <f>hyperlink("https://terraria.gamepedia.com/Butterfly_Dust","Butterfly Dust")</f>
        <v>Butterfly Dust</v>
      </c>
    </row>
    <row r="1608">
      <c r="A1608" s="2">
        <v>1612.0</v>
      </c>
      <c r="B1608" s="3" t="s">
        <v>10</v>
      </c>
      <c r="C1608" s="4" t="str">
        <f>hyperlink("https://terraria.gamepedia.com/Ankh_Charm","Ankh Charm")</f>
        <v>Ankh Charm</v>
      </c>
    </row>
    <row r="1609">
      <c r="A1609" s="2">
        <v>1613.0</v>
      </c>
      <c r="B1609" s="3" t="s">
        <v>10</v>
      </c>
      <c r="C1609" s="4" t="str">
        <f>hyperlink("https://terraria.gamepedia.com/Ankh_Shield","Ankh Shield")</f>
        <v>Ankh Shield</v>
      </c>
    </row>
    <row r="1610">
      <c r="A1610" s="2">
        <v>1614.0</v>
      </c>
      <c r="B1610" s="3" t="s">
        <v>18</v>
      </c>
      <c r="C1610" s="4" t="str">
        <f>hyperlink("https://terraria.gamepedia.com/Flare_Gun","Blue Flare")</f>
        <v>Blue Flare</v>
      </c>
    </row>
    <row r="1611">
      <c r="A1611" s="2">
        <v>1615.0</v>
      </c>
      <c r="B1611" s="3" t="s">
        <v>37</v>
      </c>
      <c r="C1611" s="4" t="str">
        <f>hyperlink("https://terraria.gamepedia.com/Angler_Fish","Angler Fish Banner")</f>
        <v>Angler Fish Banner</v>
      </c>
    </row>
    <row r="1612">
      <c r="A1612" s="2">
        <v>1616.0</v>
      </c>
      <c r="B1612" s="3" t="s">
        <v>37</v>
      </c>
      <c r="C1612" s="4" t="str">
        <f>hyperlink("https://terraria.gamepedia.com/Angry_Nimbus","Angry Nimbus Banner")</f>
        <v>Angry Nimbus Banner</v>
      </c>
    </row>
    <row r="1613">
      <c r="A1613" s="2">
        <v>1617.0</v>
      </c>
      <c r="B1613" s="3" t="s">
        <v>37</v>
      </c>
      <c r="C1613" s="4" t="str">
        <f>hyperlink("https://terraria.gamepedia.com/Anomura_Fungus","Anomura Fungus Banner")</f>
        <v>Anomura Fungus Banner</v>
      </c>
    </row>
    <row r="1614">
      <c r="A1614" s="2">
        <v>1618.0</v>
      </c>
      <c r="B1614" s="3" t="s">
        <v>37</v>
      </c>
      <c r="C1614" s="4" t="str">
        <f>hyperlink("https://terraria.gamepedia.com/Antlion","Antlion Banner")</f>
        <v>Antlion Banner</v>
      </c>
    </row>
    <row r="1615">
      <c r="A1615" s="2">
        <v>1619.0</v>
      </c>
      <c r="B1615" s="3" t="s">
        <v>37</v>
      </c>
      <c r="C1615" s="4" t="str">
        <f>hyperlink("https://terraria.gamepedia.com/Arapaima","Arapaima Banner")</f>
        <v>Arapaima Banner</v>
      </c>
    </row>
    <row r="1616">
      <c r="A1616" s="2">
        <v>1620.0</v>
      </c>
      <c r="B1616" s="3" t="s">
        <v>37</v>
      </c>
      <c r="C1616" s="4" t="str">
        <f>hyperlink("https://terraria.gamepedia.com/Armored_Skeleton","Armored Skeleton Banner")</f>
        <v>Armored Skeleton Banner</v>
      </c>
    </row>
    <row r="1617">
      <c r="A1617" s="2">
        <v>1621.0</v>
      </c>
      <c r="B1617" s="3" t="s">
        <v>37</v>
      </c>
      <c r="C1617" s="4" t="str">
        <f>hyperlink("https://terraria.gamepedia.com/Cave_Bat","Cave Bat Banner")</f>
        <v>Cave Bat Banner</v>
      </c>
    </row>
    <row r="1618">
      <c r="A1618" s="2">
        <v>1622.0</v>
      </c>
      <c r="B1618" s="3" t="s">
        <v>37</v>
      </c>
      <c r="C1618" s="4" t="str">
        <f>hyperlink("https://terraria.gamepedia.com/Birds","Bird Banner")</f>
        <v>Bird Banner</v>
      </c>
    </row>
    <row r="1619">
      <c r="A1619" s="2">
        <v>1623.0</v>
      </c>
      <c r="B1619" s="3" t="s">
        <v>37</v>
      </c>
      <c r="C1619" s="4" t="str">
        <f>hyperlink("https://terraria.gamepedia.com/Black_Recluse","Black Recluse Banner")</f>
        <v>Black Recluse Banner</v>
      </c>
    </row>
    <row r="1620">
      <c r="A1620" s="2">
        <v>1624.0</v>
      </c>
      <c r="B1620" s="3" t="s">
        <v>37</v>
      </c>
      <c r="C1620" s="4" t="str">
        <f>hyperlink("https://terraria.gamepedia.com/Blood_Feeder","Blood Feeder Banner")</f>
        <v>Blood Feeder Banner</v>
      </c>
    </row>
    <row r="1621">
      <c r="A1621" s="2">
        <v>1625.0</v>
      </c>
      <c r="B1621" s="3" t="s">
        <v>37</v>
      </c>
      <c r="C1621" s="4" t="str">
        <f>hyperlink("https://terraria.gamepedia.com/Jellyfish","Blood Jelly Banner")</f>
        <v>Blood Jelly Banner</v>
      </c>
    </row>
    <row r="1622">
      <c r="A1622" s="2">
        <v>1626.0</v>
      </c>
      <c r="B1622" s="3" t="s">
        <v>37</v>
      </c>
      <c r="C1622" s="4" t="str">
        <f>hyperlink("https://terraria.gamepedia.com/Blood_Crawler","Blood Crawler Banner")</f>
        <v>Blood Crawler Banner</v>
      </c>
    </row>
    <row r="1623">
      <c r="A1623" s="2">
        <v>1627.0</v>
      </c>
      <c r="B1623" s="3" t="s">
        <v>37</v>
      </c>
      <c r="C1623" s="4" t="str">
        <f>hyperlink("https://terraria.gamepedia.com/Bone_Serpent","Bone Serpent Banner")</f>
        <v>Bone Serpent Banner</v>
      </c>
    </row>
    <row r="1624">
      <c r="A1624" s="2">
        <v>1628.0</v>
      </c>
      <c r="B1624" s="3" t="s">
        <v>37</v>
      </c>
      <c r="C1624" s="4" t="str">
        <f>hyperlink("https://terraria.gamepedia.com/Bunny","Bunny Banner")</f>
        <v>Bunny Banner</v>
      </c>
    </row>
    <row r="1625">
      <c r="A1625" s="2">
        <v>1629.0</v>
      </c>
      <c r="B1625" s="3" t="s">
        <v>37</v>
      </c>
      <c r="C1625" s="4" t="str">
        <f>hyperlink("https://terraria.gamepedia.com/Chaos_Elemental","Chaos Elemental Banner")</f>
        <v>Chaos Elemental Banner</v>
      </c>
    </row>
    <row r="1626">
      <c r="A1626" s="2">
        <v>1630.0</v>
      </c>
      <c r="B1626" s="3" t="s">
        <v>37</v>
      </c>
      <c r="C1626" s="4" t="str">
        <f>hyperlink("https://terraria.gamepedia.com/Mimics","Mimic Banner")</f>
        <v>Mimic Banner</v>
      </c>
    </row>
    <row r="1627">
      <c r="A1627" s="2">
        <v>1631.0</v>
      </c>
      <c r="B1627" s="3" t="s">
        <v>37</v>
      </c>
      <c r="C1627" s="4" t="str">
        <f>hyperlink("https://terraria.gamepedia.com/Clown","Clown Banner")</f>
        <v>Clown Banner</v>
      </c>
    </row>
    <row r="1628">
      <c r="A1628" s="2">
        <v>1632.0</v>
      </c>
      <c r="B1628" s="3" t="s">
        <v>37</v>
      </c>
      <c r="C1628" s="4" t="str">
        <f>hyperlink("https://terraria.gamepedia.com/Corrupt_Bunny","Corrupt Bunny Banner")</f>
        <v>Corrupt Bunny Banner</v>
      </c>
    </row>
    <row r="1629">
      <c r="A1629" s="2">
        <v>1633.0</v>
      </c>
      <c r="B1629" s="3" t="s">
        <v>37</v>
      </c>
      <c r="C1629" s="4" t="str">
        <f>hyperlink("https://terraria.gamepedia.com/Corrupt_Goldfish","Corrupt Goldfish Banner")</f>
        <v>Corrupt Goldfish Banner</v>
      </c>
    </row>
    <row r="1630">
      <c r="A1630" s="2">
        <v>1634.0</v>
      </c>
      <c r="B1630" s="3" t="s">
        <v>37</v>
      </c>
      <c r="C1630" s="4" t="str">
        <f>hyperlink("https://terraria.gamepedia.com/Crab","Crab Banner")</f>
        <v>Crab Banner</v>
      </c>
    </row>
    <row r="1631">
      <c r="A1631" s="2">
        <v>1635.0</v>
      </c>
      <c r="B1631" s="3" t="s">
        <v>37</v>
      </c>
      <c r="C1631" s="4" t="str">
        <f>hyperlink("https://terraria.gamepedia.com/Crimera","Crimera Banner")</f>
        <v>Crimera Banner</v>
      </c>
    </row>
    <row r="1632">
      <c r="A1632" s="2">
        <v>1636.0</v>
      </c>
      <c r="B1632" s="3" t="s">
        <v>37</v>
      </c>
      <c r="C1632" s="4" t="str">
        <f>hyperlink("https://terraria.gamepedia.com/Crimson_Axe","Crimson Axe Banner")</f>
        <v>Crimson Axe Banner</v>
      </c>
    </row>
    <row r="1633">
      <c r="A1633" s="2">
        <v>1637.0</v>
      </c>
      <c r="B1633" s="3" t="s">
        <v>37</v>
      </c>
      <c r="C1633" s="4" t="str">
        <f>hyperlink("https://terraria.gamepedia.com/Cursed_Hammer","Cursed Hammer Banner")</f>
        <v>Cursed Hammer Banner</v>
      </c>
    </row>
    <row r="1634">
      <c r="A1634" s="2">
        <v>1638.0</v>
      </c>
      <c r="B1634" s="3" t="s">
        <v>37</v>
      </c>
      <c r="C1634" s="4" t="str">
        <f>hyperlink("https://terraria.gamepedia.com/Demon","Demon Banner")</f>
        <v>Demon Banner</v>
      </c>
    </row>
    <row r="1635">
      <c r="A1635" s="2">
        <v>1639.0</v>
      </c>
      <c r="B1635" s="3" t="s">
        <v>37</v>
      </c>
      <c r="C1635" s="4" t="str">
        <f>hyperlink("https://terraria.gamepedia.com/Demon_Eye","Demon Eye Banner")</f>
        <v>Demon Eye Banner</v>
      </c>
    </row>
    <row r="1636">
      <c r="A1636" s="2">
        <v>1640.0</v>
      </c>
      <c r="B1636" s="3" t="s">
        <v>37</v>
      </c>
      <c r="C1636" s="4" t="str">
        <f>hyperlink("https://terraria.gamepedia.com/Derpling","Derpling Banner")</f>
        <v>Derpling Banner</v>
      </c>
    </row>
    <row r="1637">
      <c r="A1637" s="2">
        <v>1641.0</v>
      </c>
      <c r="B1637" s="3" t="s">
        <v>37</v>
      </c>
      <c r="C1637" s="4" t="str">
        <f>hyperlink("https://terraria.gamepedia.com/Eater_of_Souls","Eater of Souls Banner")</f>
        <v>Eater of Souls Banner</v>
      </c>
    </row>
    <row r="1638">
      <c r="A1638" s="2">
        <v>1642.0</v>
      </c>
      <c r="B1638" s="3" t="s">
        <v>37</v>
      </c>
      <c r="C1638" s="4" t="str">
        <f>hyperlink("https://terraria.gamepedia.com/Enchanted_Sword_(NPC)","Enchanted Sword Banner")</f>
        <v>Enchanted Sword Banner</v>
      </c>
    </row>
    <row r="1639">
      <c r="A1639" s="2">
        <v>1643.0</v>
      </c>
      <c r="B1639" s="3" t="s">
        <v>37</v>
      </c>
      <c r="C1639" s="4" t="str">
        <f>hyperlink("https://terraria.gamepedia.com/Frozen_Zombie","Frozen Zombie Banner")</f>
        <v>Frozen Zombie Banner</v>
      </c>
    </row>
    <row r="1640">
      <c r="A1640" s="2">
        <v>1644.0</v>
      </c>
      <c r="B1640" s="3" t="s">
        <v>37</v>
      </c>
      <c r="C1640" s="4" t="str">
        <f>hyperlink("https://terraria.gamepedia.com/Face_Monster","Face Monster Banner")</f>
        <v>Face Monster Banner</v>
      </c>
    </row>
    <row r="1641">
      <c r="A1641" s="2">
        <v>1645.0</v>
      </c>
      <c r="B1641" s="3" t="s">
        <v>37</v>
      </c>
      <c r="C1641" s="4" t="str">
        <f>hyperlink("https://terraria.gamepedia.com/Floaty_Gross","Floaty Gross Banner")</f>
        <v>Floaty Gross Banner</v>
      </c>
    </row>
    <row r="1642">
      <c r="A1642" s="2">
        <v>1646.0</v>
      </c>
      <c r="B1642" s="3" t="s">
        <v>37</v>
      </c>
      <c r="C1642" s="4" t="str">
        <f>hyperlink("https://terraria.gamepedia.com/Flying_Fish","Flying Fish Banner")</f>
        <v>Flying Fish Banner</v>
      </c>
    </row>
    <row r="1643">
      <c r="A1643" s="2">
        <v>1647.0</v>
      </c>
      <c r="B1643" s="3" t="s">
        <v>37</v>
      </c>
      <c r="C1643" s="4" t="str">
        <f>hyperlink("https://terraria.gamepedia.com/Flying_Snake","Flying Snake Banner")</f>
        <v>Flying Snake Banner</v>
      </c>
    </row>
    <row r="1644">
      <c r="A1644" s="2">
        <v>1648.0</v>
      </c>
      <c r="B1644" s="3" t="s">
        <v>38</v>
      </c>
      <c r="C1644" s="4" t="str">
        <f>hyperlink("https://terraria.gamepedia.com/Frankenstein","Frankenstein Banner")</f>
        <v>Frankenstein Banner</v>
      </c>
    </row>
    <row r="1645">
      <c r="A1645" s="2">
        <v>1649.0</v>
      </c>
      <c r="B1645" s="3" t="s">
        <v>37</v>
      </c>
      <c r="C1645" s="4" t="str">
        <f>hyperlink("https://terraria.gamepedia.com/Fungi_Bulb","Fungi Bulb Banner")</f>
        <v>Fungi Bulb Banner</v>
      </c>
    </row>
    <row r="1646">
      <c r="A1646" s="2">
        <v>1650.0</v>
      </c>
      <c r="B1646" s="3" t="s">
        <v>37</v>
      </c>
      <c r="C1646" s="4" t="str">
        <f>hyperlink("https://terraria.gamepedia.com/Jellyfish","Fungo Fish Banner")</f>
        <v>Fungo Fish Banner</v>
      </c>
    </row>
    <row r="1647">
      <c r="A1647" s="2">
        <v>1651.0</v>
      </c>
      <c r="B1647" s="3" t="s">
        <v>37</v>
      </c>
      <c r="C1647" s="4" t="str">
        <f>hyperlink("https://terraria.gamepedia.com/Gastropod","Gastropod Banner")</f>
        <v>Gastropod Banner</v>
      </c>
    </row>
    <row r="1648">
      <c r="A1648" s="2">
        <v>1652.0</v>
      </c>
      <c r="B1648" s="3" t="s">
        <v>38</v>
      </c>
      <c r="C1648" s="4" t="str">
        <f>hyperlink("https://terraria.gamepedia.com/Goblin_Thief","Goblin Thief Banner")</f>
        <v>Goblin Thief Banner</v>
      </c>
    </row>
    <row r="1649">
      <c r="A1649" s="2">
        <v>1653.0</v>
      </c>
      <c r="B1649" s="3" t="s">
        <v>38</v>
      </c>
      <c r="C1649" s="4" t="str">
        <f>hyperlink("https://terraria.gamepedia.com/Goblin_Sorcerer","Goblin Sorcerer Banner")</f>
        <v>Goblin Sorcerer Banner</v>
      </c>
    </row>
    <row r="1650">
      <c r="A1650" s="2">
        <v>1654.0</v>
      </c>
      <c r="B1650" s="3" t="s">
        <v>38</v>
      </c>
      <c r="C1650" s="4" t="str">
        <f>hyperlink("https://terraria.gamepedia.com/Goblin_Peon","Goblin Peon Banner")</f>
        <v>Goblin Peon Banner</v>
      </c>
    </row>
    <row r="1651">
      <c r="A1651" s="2">
        <v>1655.0</v>
      </c>
      <c r="B1651" s="3" t="s">
        <v>38</v>
      </c>
      <c r="C1651" s="4" t="str">
        <f>hyperlink("https://terraria.gamepedia.com/Goblin_Scout","Goblin Scout Banner")</f>
        <v>Goblin Scout Banner</v>
      </c>
    </row>
    <row r="1652">
      <c r="A1652" s="2">
        <v>1656.0</v>
      </c>
      <c r="B1652" s="3" t="s">
        <v>38</v>
      </c>
      <c r="C1652" s="4" t="str">
        <f>hyperlink("https://terraria.gamepedia.com/Goblin_Warrior","Goblin Warrior Banner")</f>
        <v>Goblin Warrior Banner</v>
      </c>
    </row>
    <row r="1653">
      <c r="A1653" s="2">
        <v>1657.0</v>
      </c>
      <c r="B1653" s="3" t="s">
        <v>37</v>
      </c>
      <c r="C1653" s="4" t="str">
        <f>hyperlink("https://terraria.gamepedia.com/Goldfish","Goldfish Banner")</f>
        <v>Goldfish Banner</v>
      </c>
    </row>
    <row r="1654">
      <c r="A1654" s="2">
        <v>1658.0</v>
      </c>
      <c r="B1654" s="3" t="s">
        <v>37</v>
      </c>
      <c r="C1654" s="4" t="str">
        <f>hyperlink("https://terraria.gamepedia.com/Harpy","Harpy Banner")</f>
        <v>Harpy Banner</v>
      </c>
    </row>
    <row r="1655">
      <c r="A1655" s="2">
        <v>1659.0</v>
      </c>
      <c r="B1655" s="3" t="s">
        <v>37</v>
      </c>
      <c r="C1655" s="4" t="str">
        <f>hyperlink("https://terraria.gamepedia.com/Hellbat","Hellbat Banner")</f>
        <v>Hellbat Banner</v>
      </c>
    </row>
    <row r="1656">
      <c r="A1656" s="2">
        <v>1660.0</v>
      </c>
      <c r="B1656" s="3" t="s">
        <v>37</v>
      </c>
      <c r="C1656" s="4" t="str">
        <f>hyperlink("https://terraria.gamepedia.com/Herpling","Herpling Banner")</f>
        <v>Herpling Banner</v>
      </c>
    </row>
    <row r="1657">
      <c r="A1657" s="2">
        <v>1661.0</v>
      </c>
      <c r="B1657" s="3" t="s">
        <v>37</v>
      </c>
      <c r="C1657" s="4" t="str">
        <f>hyperlink("https://terraria.gamepedia.com/Hornet","Hornet Banner")</f>
        <v>Hornet Banner</v>
      </c>
    </row>
    <row r="1658">
      <c r="A1658" s="2">
        <v>1662.0</v>
      </c>
      <c r="B1658" s="3" t="s">
        <v>37</v>
      </c>
      <c r="C1658" s="4" t="str">
        <f>hyperlink("https://terraria.gamepedia.com/Ice_Elemental","Ice Elemental Banner")</f>
        <v>Ice Elemental Banner</v>
      </c>
    </row>
    <row r="1659">
      <c r="A1659" s="2">
        <v>1663.0</v>
      </c>
      <c r="B1659" s="3" t="s">
        <v>37</v>
      </c>
      <c r="C1659" s="4" t="str">
        <f>hyperlink("https://terraria.gamepedia.com/Icy_Merman","Icy Merman Banner")</f>
        <v>Icy Merman Banner</v>
      </c>
    </row>
    <row r="1660">
      <c r="A1660" s="2">
        <v>1664.0</v>
      </c>
      <c r="B1660" s="3" t="s">
        <v>37</v>
      </c>
      <c r="C1660" s="4" t="str">
        <f>hyperlink("https://terraria.gamepedia.com/Fire_Imp","Fire Imp Banner")</f>
        <v>Fire Imp Banner</v>
      </c>
    </row>
    <row r="1661">
      <c r="A1661" s="2">
        <v>1665.0</v>
      </c>
      <c r="B1661" s="3" t="s">
        <v>37</v>
      </c>
      <c r="C1661" s="4" t="str">
        <f>hyperlink("https://terraria.gamepedia.com/Jellyfish","Blue Jellyfish Banner")</f>
        <v>Blue Jellyfish Banner</v>
      </c>
    </row>
    <row r="1662">
      <c r="A1662" s="2">
        <v>1666.0</v>
      </c>
      <c r="B1662" s="3" t="s">
        <v>37</v>
      </c>
      <c r="C1662" s="4" t="str">
        <f>hyperlink("https://terraria.gamepedia.com/Jungle_Creeper","Jungle Creeper Banner")</f>
        <v>Jungle Creeper Banner</v>
      </c>
    </row>
    <row r="1663">
      <c r="A1663" s="2">
        <v>1667.0</v>
      </c>
      <c r="B1663" s="3" t="s">
        <v>37</v>
      </c>
      <c r="C1663" s="4" t="str">
        <f>hyperlink("https://terraria.gamepedia.com/Lihzahrd","Lihzahrd Banner")</f>
        <v>Lihzahrd Banner</v>
      </c>
    </row>
    <row r="1664">
      <c r="A1664" s="2">
        <v>1668.0</v>
      </c>
      <c r="B1664" s="3" t="s">
        <v>37</v>
      </c>
      <c r="C1664" s="4" t="str">
        <f>hyperlink("https://terraria.gamepedia.com/Man_Eater","Man Eater Banner")</f>
        <v>Man Eater Banner</v>
      </c>
    </row>
    <row r="1665">
      <c r="A1665" s="2">
        <v>1669.0</v>
      </c>
      <c r="B1665" s="3" t="s">
        <v>37</v>
      </c>
      <c r="C1665" s="4" t="str">
        <f>hyperlink("https://terraria.gamepedia.com/Meteor_Head","Meteor Head Banner")</f>
        <v>Meteor Head Banner</v>
      </c>
    </row>
    <row r="1666">
      <c r="A1666" s="2">
        <v>1670.0</v>
      </c>
      <c r="B1666" s="3" t="s">
        <v>37</v>
      </c>
      <c r="C1666" s="4" t="str">
        <f>hyperlink("https://terraria.gamepedia.com/Moth","Moth Banner")</f>
        <v>Moth Banner</v>
      </c>
    </row>
    <row r="1667">
      <c r="A1667" s="2">
        <v>1671.0</v>
      </c>
      <c r="B1667" s="3" t="s">
        <v>37</v>
      </c>
      <c r="C1667" s="4" t="str">
        <f>hyperlink("https://terraria.gamepedia.com/Mummies","Mummy Banner")</f>
        <v>Mummy Banner</v>
      </c>
    </row>
    <row r="1668">
      <c r="A1668" s="2">
        <v>1672.0</v>
      </c>
      <c r="B1668" s="3" t="s">
        <v>37</v>
      </c>
      <c r="C1668" s="4" t="str">
        <f>hyperlink("https://terraria.gamepedia.com/Mushi_Ladybug","Mushi Ladybug Banner")</f>
        <v>Mushi Ladybug Banner</v>
      </c>
    </row>
    <row r="1669">
      <c r="A1669" s="2">
        <v>1673.0</v>
      </c>
      <c r="B1669" s="3" t="s">
        <v>38</v>
      </c>
      <c r="C1669" s="4" t="str">
        <f>hyperlink("https://terraria.gamepedia.com/Parrot","Parrot Banner")</f>
        <v>Parrot Banner</v>
      </c>
    </row>
    <row r="1670">
      <c r="A1670" s="2">
        <v>1674.0</v>
      </c>
      <c r="B1670" s="3" t="s">
        <v>37</v>
      </c>
      <c r="C1670" s="4" t="str">
        <f>hyperlink("https://terraria.gamepedia.com/Pigron","Pigron Banner")</f>
        <v>Pigron Banner</v>
      </c>
    </row>
    <row r="1671">
      <c r="A1671" s="2">
        <v>1675.0</v>
      </c>
      <c r="B1671" s="3" t="s">
        <v>37</v>
      </c>
      <c r="C1671" s="4" t="str">
        <f>hyperlink("https://terraria.gamepedia.com/Piranha","Piranha Banner")</f>
        <v>Piranha Banner</v>
      </c>
    </row>
    <row r="1672">
      <c r="A1672" s="2">
        <v>1676.0</v>
      </c>
      <c r="B1672" s="3" t="s">
        <v>38</v>
      </c>
      <c r="C1672" s="4" t="str">
        <f>hyperlink("https://terraria.gamepedia.com/Pirate_Deckhand","Pirate Deckhand Banner")</f>
        <v>Pirate Deckhand Banner</v>
      </c>
    </row>
    <row r="1673">
      <c r="A1673" s="2">
        <v>1677.0</v>
      </c>
      <c r="B1673" s="3" t="s">
        <v>37</v>
      </c>
      <c r="C1673" s="4" t="str">
        <f>hyperlink("https://terraria.gamepedia.com/Pixie","Pixie Banner")</f>
        <v>Pixie Banner</v>
      </c>
    </row>
    <row r="1674">
      <c r="A1674" s="2">
        <v>1678.0</v>
      </c>
      <c r="B1674" s="3" t="s">
        <v>37</v>
      </c>
      <c r="C1674" s="4" t="str">
        <f>hyperlink("https://terraria.gamepedia.com/Raincoat_Zombie","Raincoat Zombie Banner")</f>
        <v>Raincoat Zombie Banner</v>
      </c>
    </row>
    <row r="1675">
      <c r="A1675" s="2">
        <v>1679.0</v>
      </c>
      <c r="B1675" s="3" t="s">
        <v>38</v>
      </c>
      <c r="C1675" s="4" t="str">
        <f>hyperlink("https://terraria.gamepedia.com/Reaper","Reaper Banner")</f>
        <v>Reaper Banner</v>
      </c>
    </row>
    <row r="1676">
      <c r="A1676" s="2">
        <v>1680.0</v>
      </c>
      <c r="B1676" s="3" t="s">
        <v>37</v>
      </c>
      <c r="C1676" s="4" t="str">
        <f>hyperlink("https://terraria.gamepedia.com/Shark","Shark Banner")</f>
        <v>Shark Banner</v>
      </c>
    </row>
    <row r="1677">
      <c r="A1677" s="2">
        <v>1681.0</v>
      </c>
      <c r="B1677" s="3" t="s">
        <v>37</v>
      </c>
      <c r="C1677" s="4" t="str">
        <f>hyperlink("https://terraria.gamepedia.com/Skeleton","Skeleton Banner")</f>
        <v>Skeleton Banner</v>
      </c>
    </row>
    <row r="1678">
      <c r="A1678" s="2">
        <v>1682.0</v>
      </c>
      <c r="B1678" s="3" t="s">
        <v>37</v>
      </c>
      <c r="C1678" s="4" t="str">
        <f>hyperlink("https://terraria.gamepedia.com/Dark_Caster","Dark Caster Banner")</f>
        <v>Dark Caster Banner</v>
      </c>
    </row>
    <row r="1679">
      <c r="A1679" s="2">
        <v>1683.0</v>
      </c>
      <c r="B1679" s="3" t="s">
        <v>37</v>
      </c>
      <c r="C1679" s="4" t="str">
        <f>hyperlink("https://terraria.gamepedia.com/Slimes","Blue Slime Banner")</f>
        <v>Blue Slime Banner</v>
      </c>
    </row>
    <row r="1680">
      <c r="A1680" s="2">
        <v>1684.0</v>
      </c>
      <c r="B1680" s="3" t="s">
        <v>37</v>
      </c>
      <c r="C1680" s="4" t="str">
        <f>hyperlink("https://terraria.gamepedia.com/Snow_Flinx","Snow Flinx Banner")</f>
        <v>Snow Flinx Banner</v>
      </c>
    </row>
    <row r="1681">
      <c r="A1681" s="2">
        <v>1685.0</v>
      </c>
      <c r="B1681" s="3" t="s">
        <v>37</v>
      </c>
      <c r="C1681" s="4" t="str">
        <f>hyperlink("https://terraria.gamepedia.com/Wall_Creeper","Wall Creeper Banner")</f>
        <v>Wall Creeper Banner</v>
      </c>
    </row>
    <row r="1682">
      <c r="A1682" s="2">
        <v>1686.0</v>
      </c>
      <c r="B1682" s="3" t="s">
        <v>37</v>
      </c>
      <c r="C1682" s="4" t="str">
        <f>hyperlink("https://terraria.gamepedia.com/Spore_Zombie","Spore Zombie Banner")</f>
        <v>Spore Zombie Banner</v>
      </c>
    </row>
    <row r="1683">
      <c r="A1683" s="2">
        <v>1687.0</v>
      </c>
      <c r="B1683" s="3" t="s">
        <v>38</v>
      </c>
      <c r="C1683" s="4" t="str">
        <f>hyperlink("https://terraria.gamepedia.com/Swamp_Thing","Swamp Thing Banner")</f>
        <v>Swamp Thing Banner</v>
      </c>
    </row>
    <row r="1684">
      <c r="A1684" s="2">
        <v>1688.0</v>
      </c>
      <c r="B1684" s="3" t="s">
        <v>37</v>
      </c>
      <c r="C1684" s="4" t="str">
        <f>hyperlink("https://terraria.gamepedia.com/Giant_Tortoise","Giant Tortoise Banner")</f>
        <v>Giant Tortoise Banner</v>
      </c>
    </row>
    <row r="1685">
      <c r="A1685" s="2">
        <v>1689.0</v>
      </c>
      <c r="B1685" s="3" t="s">
        <v>37</v>
      </c>
      <c r="C1685" s="4" t="str">
        <f>hyperlink("https://terraria.gamepedia.com/Toxic_Sludge","Toxic Sludge Banner")</f>
        <v>Toxic Sludge Banner</v>
      </c>
    </row>
    <row r="1686">
      <c r="A1686" s="2">
        <v>1690.0</v>
      </c>
      <c r="B1686" s="3" t="s">
        <v>37</v>
      </c>
      <c r="C1686" s="4" t="str">
        <f>hyperlink("https://terraria.gamepedia.com/Umbrella_Slime","Umbrella Slime Banner")</f>
        <v>Umbrella Slime Banner</v>
      </c>
    </row>
    <row r="1687">
      <c r="A1687" s="2">
        <v>1691.0</v>
      </c>
      <c r="B1687" s="3" t="s">
        <v>37</v>
      </c>
      <c r="C1687" s="4" t="str">
        <f>hyperlink("https://terraria.gamepedia.com/Unicorn","Unicorn Banner")</f>
        <v>Unicorn Banner</v>
      </c>
    </row>
    <row r="1688">
      <c r="A1688" s="2">
        <v>1692.0</v>
      </c>
      <c r="B1688" s="3" t="s">
        <v>38</v>
      </c>
      <c r="C1688" s="4" t="str">
        <f>hyperlink("https://terraria.gamepedia.com/Vampire","Vampire Banner")</f>
        <v>Vampire Banner</v>
      </c>
    </row>
    <row r="1689">
      <c r="A1689" s="2">
        <v>1693.0</v>
      </c>
      <c r="B1689" s="3" t="s">
        <v>37</v>
      </c>
      <c r="C1689" s="4" t="str">
        <f>hyperlink("https://terraria.gamepedia.com/Vulture","Vulture Banner")</f>
        <v>Vulture Banner</v>
      </c>
    </row>
    <row r="1690">
      <c r="A1690" s="2">
        <v>1694.0</v>
      </c>
      <c r="B1690" s="3" t="s">
        <v>37</v>
      </c>
      <c r="C1690" s="4" t="str">
        <f>hyperlink("https://terraria.gamepedia.com/Nymph","Nymph Banner")</f>
        <v>Nymph Banner</v>
      </c>
    </row>
    <row r="1691">
      <c r="A1691" s="2">
        <v>1695.0</v>
      </c>
      <c r="B1691" s="3" t="s">
        <v>37</v>
      </c>
      <c r="C1691" s="4" t="str">
        <f>hyperlink("https://terraria.gamepedia.com/Werewolf","Werewolf Banner")</f>
        <v>Werewolf Banner</v>
      </c>
    </row>
    <row r="1692">
      <c r="A1692" s="2">
        <v>1696.0</v>
      </c>
      <c r="B1692" s="3" t="s">
        <v>37</v>
      </c>
      <c r="C1692" s="4" t="str">
        <f>hyperlink("https://terraria.gamepedia.com/Wolf","Wolf Banner")</f>
        <v>Wolf Banner</v>
      </c>
    </row>
    <row r="1693">
      <c r="A1693" s="2">
        <v>1697.0</v>
      </c>
      <c r="B1693" s="3" t="s">
        <v>37</v>
      </c>
      <c r="C1693" s="4" t="str">
        <f>hyperlink("https://terraria.gamepedia.com/World_Feeder","World Feeder Banner")</f>
        <v>World Feeder Banner</v>
      </c>
    </row>
    <row r="1694">
      <c r="A1694" s="2">
        <v>1698.0</v>
      </c>
      <c r="B1694" s="3" t="s">
        <v>37</v>
      </c>
      <c r="C1694" s="4" t="str">
        <f>hyperlink("https://terraria.gamepedia.com/Digger","Worm Banner")</f>
        <v>Worm Banner</v>
      </c>
    </row>
    <row r="1695">
      <c r="A1695" s="2">
        <v>1699.0</v>
      </c>
      <c r="B1695" s="3" t="s">
        <v>37</v>
      </c>
      <c r="C1695" s="4" t="str">
        <f>hyperlink("https://terraria.gamepedia.com/Wraith","Wraith Banner")</f>
        <v>Wraith Banner</v>
      </c>
    </row>
    <row r="1696">
      <c r="A1696" s="2">
        <v>1700.0</v>
      </c>
      <c r="B1696" s="3" t="s">
        <v>37</v>
      </c>
      <c r="C1696" s="4" t="str">
        <f>hyperlink("https://terraria.gamepedia.com/Wyvern","Wyvern Banner")</f>
        <v>Wyvern Banner</v>
      </c>
    </row>
    <row r="1697">
      <c r="A1697" s="2">
        <v>1701.0</v>
      </c>
      <c r="B1697" s="3" t="s">
        <v>37</v>
      </c>
      <c r="C1697" s="4" t="str">
        <f>hyperlink("https://terraria.gamepedia.com/Maggot_Zombie","Zombie Banner")</f>
        <v>Zombie Banner</v>
      </c>
    </row>
    <row r="1698">
      <c r="A1698" s="2">
        <v>1702.0</v>
      </c>
      <c r="B1698" s="3" t="s">
        <v>8</v>
      </c>
      <c r="C1698" s="4" t="str">
        <f>hyperlink("https://terraria.gamepedia.com/Platforms","Glass Platform")</f>
        <v>Glass Platform</v>
      </c>
    </row>
    <row r="1699">
      <c r="A1699" s="2">
        <v>1703.0</v>
      </c>
      <c r="B1699" s="3" t="s">
        <v>31</v>
      </c>
      <c r="C1699" s="4" t="str">
        <f>hyperlink("https://terraria.gamepedia.com/Chairs","Glass Chair")</f>
        <v>Glass Chair</v>
      </c>
    </row>
    <row r="1700">
      <c r="A1700" s="2">
        <v>1704.0</v>
      </c>
      <c r="B1700" s="3" t="s">
        <v>31</v>
      </c>
      <c r="C1700" s="4" t="str">
        <f>hyperlink("https://terraria.gamepedia.com/Chairs","Golden Chair")</f>
        <v>Golden Chair</v>
      </c>
    </row>
    <row r="1701">
      <c r="A1701" s="2">
        <v>1705.0</v>
      </c>
      <c r="B1701" s="3" t="s">
        <v>31</v>
      </c>
      <c r="C1701" s="4" t="str">
        <f>hyperlink("https://terraria.gamepedia.com/Toilets","Golden Toilet")</f>
        <v>Golden Toilet</v>
      </c>
    </row>
    <row r="1702">
      <c r="A1702" s="2">
        <v>1706.0</v>
      </c>
      <c r="B1702" s="3" t="s">
        <v>12</v>
      </c>
      <c r="C1702" s="4" t="str">
        <f>hyperlink("https://terraria.gamepedia.com/Chairs","Bar Stool")</f>
        <v>Bar Stool</v>
      </c>
    </row>
    <row r="1703">
      <c r="A1703" s="2">
        <v>1707.0</v>
      </c>
      <c r="B1703" s="3" t="s">
        <v>31</v>
      </c>
      <c r="C1703" s="4" t="str">
        <f>hyperlink("https://terraria.gamepedia.com/Chairs","Honey Chair")</f>
        <v>Honey Chair</v>
      </c>
    </row>
    <row r="1704">
      <c r="A1704" s="2">
        <v>1708.0</v>
      </c>
      <c r="B1704" s="3" t="s">
        <v>31</v>
      </c>
      <c r="C1704" s="4" t="str">
        <f>hyperlink("https://terraria.gamepedia.com/Chairs","Steampunk Chair")</f>
        <v>Steampunk Chair</v>
      </c>
    </row>
    <row r="1705">
      <c r="A1705" s="2">
        <v>1709.0</v>
      </c>
      <c r="B1705" s="3" t="s">
        <v>31</v>
      </c>
      <c r="C1705" s="4" t="str">
        <f>hyperlink("https://terraria.gamepedia.com/Doors","Glass Door")</f>
        <v>Glass Door</v>
      </c>
    </row>
    <row r="1706">
      <c r="A1706" s="2">
        <v>1710.0</v>
      </c>
      <c r="B1706" s="3" t="s">
        <v>31</v>
      </c>
      <c r="C1706" s="4" t="str">
        <f>hyperlink("https://terraria.gamepedia.com/Doors","Golden Door")</f>
        <v>Golden Door</v>
      </c>
    </row>
    <row r="1707">
      <c r="A1707" s="2">
        <v>1711.0</v>
      </c>
      <c r="B1707" s="3" t="s">
        <v>31</v>
      </c>
      <c r="C1707" s="4" t="str">
        <f>hyperlink("https://terraria.gamepedia.com/Doors","Honey Door")</f>
        <v>Honey Door</v>
      </c>
    </row>
    <row r="1708">
      <c r="A1708" s="2">
        <v>1712.0</v>
      </c>
      <c r="B1708" s="3" t="s">
        <v>31</v>
      </c>
      <c r="C1708" s="4" t="str">
        <f>hyperlink("https://terraria.gamepedia.com/Doors","Steampunk Door")</f>
        <v>Steampunk Door</v>
      </c>
    </row>
    <row r="1709">
      <c r="A1709" s="2">
        <v>1713.0</v>
      </c>
      <c r="B1709" s="3" t="s">
        <v>31</v>
      </c>
      <c r="C1709" s="4" t="str">
        <f>hyperlink("https://terraria.gamepedia.com/Tables","Glass Table")</f>
        <v>Glass Table</v>
      </c>
    </row>
    <row r="1710">
      <c r="A1710" s="2">
        <v>1714.0</v>
      </c>
      <c r="B1710" s="3" t="s">
        <v>12</v>
      </c>
      <c r="C1710" s="4" t="str">
        <f>hyperlink("https://terraria.gamepedia.com/Tables","Banquet Table")</f>
        <v>Banquet Table</v>
      </c>
    </row>
    <row r="1711">
      <c r="A1711" s="2">
        <v>1715.0</v>
      </c>
      <c r="B1711" s="3" t="s">
        <v>12</v>
      </c>
      <c r="C1711" s="4" t="str">
        <f>hyperlink("https://terraria.gamepedia.com/Tables","Bar")</f>
        <v>Bar</v>
      </c>
    </row>
    <row r="1712">
      <c r="A1712" s="2">
        <v>1716.0</v>
      </c>
      <c r="B1712" s="3" t="s">
        <v>31</v>
      </c>
      <c r="C1712" s="4" t="str">
        <f>hyperlink("https://terraria.gamepedia.com/Tables","Golden Table")</f>
        <v>Golden Table</v>
      </c>
    </row>
    <row r="1713">
      <c r="A1713" s="2">
        <v>1717.0</v>
      </c>
      <c r="B1713" s="3" t="s">
        <v>31</v>
      </c>
      <c r="C1713" s="4" t="str">
        <f>hyperlink("https://terraria.gamepedia.com/Tables","Honey Table")</f>
        <v>Honey Table</v>
      </c>
    </row>
    <row r="1714">
      <c r="A1714" s="2">
        <v>1718.0</v>
      </c>
      <c r="B1714" s="3" t="s">
        <v>31</v>
      </c>
      <c r="C1714" s="4" t="str">
        <f>hyperlink("https://terraria.gamepedia.com/Tables","Steampunk Table")</f>
        <v>Steampunk Table</v>
      </c>
    </row>
    <row r="1715">
      <c r="A1715" s="2">
        <v>1719.0</v>
      </c>
      <c r="B1715" s="3" t="s">
        <v>31</v>
      </c>
      <c r="C1715" s="4" t="str">
        <f>hyperlink("https://terraria.gamepedia.com/Beds","Glass Bed")</f>
        <v>Glass Bed</v>
      </c>
    </row>
    <row r="1716">
      <c r="A1716" s="2">
        <v>1720.0</v>
      </c>
      <c r="B1716" s="3" t="s">
        <v>31</v>
      </c>
      <c r="C1716" s="4" t="str">
        <f>hyperlink("https://terraria.gamepedia.com/Beds","Golden Bed")</f>
        <v>Golden Bed</v>
      </c>
    </row>
    <row r="1717">
      <c r="A1717" s="2">
        <v>1721.0</v>
      </c>
      <c r="B1717" s="3" t="s">
        <v>31</v>
      </c>
      <c r="C1717" s="4" t="str">
        <f>hyperlink("https://terraria.gamepedia.com/Beds","Honey Bed")</f>
        <v>Honey Bed</v>
      </c>
    </row>
    <row r="1718">
      <c r="A1718" s="2">
        <v>1722.0</v>
      </c>
      <c r="B1718" s="3" t="s">
        <v>31</v>
      </c>
      <c r="C1718" s="4" t="str">
        <f>hyperlink("https://terraria.gamepedia.com/Beds","Steampunk Bed")</f>
        <v>Steampunk Bed</v>
      </c>
    </row>
    <row r="1719">
      <c r="A1719" s="2">
        <v>1723.0</v>
      </c>
      <c r="B1719" s="3" t="s">
        <v>13</v>
      </c>
      <c r="C1719" s="4" t="str">
        <f>hyperlink("https://terraria.gamepedia.com/Living_Wood_Wall","Living Wood Wall")</f>
        <v>Living Wood Wall</v>
      </c>
    </row>
    <row r="1720">
      <c r="A1720" s="2">
        <v>1724.0</v>
      </c>
      <c r="B1720" s="3" t="s">
        <v>10</v>
      </c>
      <c r="C1720" s="4" t="str">
        <f>hyperlink("https://terraria.gamepedia.com/Fart_in_a_Jar","Fart in a Jar")</f>
        <v>Fart in a Jar</v>
      </c>
    </row>
    <row r="1721">
      <c r="A1721" s="2">
        <v>1725.0</v>
      </c>
      <c r="B1721" s="3" t="s">
        <v>6</v>
      </c>
      <c r="C1721" s="4" t="str">
        <f>hyperlink("https://terraria.gamepedia.com/Pumpkin","Pumpkin")</f>
        <v>Pumpkin</v>
      </c>
    </row>
    <row r="1722">
      <c r="A1722" s="2">
        <v>1726.0</v>
      </c>
      <c r="B1722" s="3" t="s">
        <v>13</v>
      </c>
      <c r="C1722" s="4" t="str">
        <f>hyperlink("https://terraria.gamepedia.com/Pumpkin_Wall","Pumpkin Wall")</f>
        <v>Pumpkin Wall</v>
      </c>
    </row>
    <row r="1723">
      <c r="A1723" s="2">
        <v>1727.0</v>
      </c>
      <c r="B1723" s="3" t="s">
        <v>4</v>
      </c>
      <c r="C1723" s="4" t="str">
        <f>hyperlink("https://terraria.gamepedia.com/Hay","Hay")</f>
        <v>Hay</v>
      </c>
    </row>
    <row r="1724">
      <c r="A1724" s="2">
        <v>1728.0</v>
      </c>
      <c r="B1724" s="3" t="s">
        <v>13</v>
      </c>
      <c r="C1724" s="4" t="str">
        <f>hyperlink("https://terraria.gamepedia.com/Hay_Wall","Hay Wall")</f>
        <v>Hay Wall</v>
      </c>
    </row>
    <row r="1725">
      <c r="A1725" s="2">
        <v>1729.0</v>
      </c>
      <c r="B1725" s="3" t="s">
        <v>8</v>
      </c>
      <c r="C1725" s="4" t="str">
        <f>hyperlink("https://terraria.gamepedia.com/Spooky_Wood","Spooky Wood")</f>
        <v>Spooky Wood</v>
      </c>
    </row>
    <row r="1726">
      <c r="A1726" s="2">
        <v>1730.0</v>
      </c>
      <c r="B1726" s="3" t="s">
        <v>13</v>
      </c>
      <c r="C1726" s="4" t="str">
        <f>hyperlink("https://terraria.gamepedia.com/Spooky_Wood_Wall","Spooky Wood Wall")</f>
        <v>Spooky Wood Wall</v>
      </c>
    </row>
    <row r="1727">
      <c r="A1727" s="2">
        <v>1731.0</v>
      </c>
      <c r="B1727" s="3" t="s">
        <v>17</v>
      </c>
      <c r="C1727" s="4" t="str">
        <f>hyperlink("https://terraria.gamepedia.com/Pumpkin_armor","Pumpkin Helmet")</f>
        <v>Pumpkin Helmet</v>
      </c>
    </row>
    <row r="1728">
      <c r="A1728" s="2">
        <v>1732.0</v>
      </c>
      <c r="B1728" s="3" t="s">
        <v>17</v>
      </c>
      <c r="C1728" s="4" t="str">
        <f>hyperlink("https://terraria.gamepedia.com/Pumpkin_armor","Pumpkin Breastplate")</f>
        <v>Pumpkin Breastplate</v>
      </c>
    </row>
    <row r="1729">
      <c r="A1729" s="2">
        <v>1733.0</v>
      </c>
      <c r="B1729" s="3" t="s">
        <v>17</v>
      </c>
      <c r="C1729" s="4" t="str">
        <f>hyperlink("https://terraria.gamepedia.com/Pumpkin_armor","Pumpkin Leggings")</f>
        <v>Pumpkin Leggings</v>
      </c>
    </row>
    <row r="1730">
      <c r="A1730" s="2">
        <v>1736.0</v>
      </c>
      <c r="B1730" s="3" t="s">
        <v>23</v>
      </c>
      <c r="C1730" s="4" t="str">
        <f>hyperlink("https://terraria.gamepedia.com/Nurse_set","Nurse Hat")</f>
        <v>Nurse Hat</v>
      </c>
    </row>
    <row r="1731">
      <c r="A1731" s="2">
        <v>1737.0</v>
      </c>
      <c r="B1731" s="3" t="s">
        <v>23</v>
      </c>
      <c r="C1731" s="4" t="str">
        <f>hyperlink("https://terraria.gamepedia.com/Nurse_set","Nurse Shirt")</f>
        <v>Nurse Shirt</v>
      </c>
    </row>
    <row r="1732">
      <c r="A1732" s="2">
        <v>1738.0</v>
      </c>
      <c r="B1732" s="3" t="s">
        <v>23</v>
      </c>
      <c r="C1732" s="4" t="str">
        <f>hyperlink("https://terraria.gamepedia.com/Nurse_set","Nurse Pants")</f>
        <v>Nurse Pants</v>
      </c>
    </row>
    <row r="1733">
      <c r="A1733" s="2">
        <v>1739.0</v>
      </c>
      <c r="B1733" s="3" t="s">
        <v>23</v>
      </c>
      <c r="C1733" s="4" t="str">
        <f>hyperlink("https://terraria.gamepedia.com/Wizard's_Hat","Wizard's Hat")</f>
        <v>Wizard's Hat</v>
      </c>
    </row>
    <row r="1734">
      <c r="A1734" s="2">
        <v>1740.0</v>
      </c>
      <c r="B1734" s="3" t="s">
        <v>23</v>
      </c>
      <c r="C1734" s="4" t="str">
        <f>hyperlink("https://terraria.gamepedia.com/Guy_Fawkes_Mask","Guy Fawkes Mask")</f>
        <v>Guy Fawkes Mask</v>
      </c>
    </row>
    <row r="1735">
      <c r="A1735" s="2">
        <v>1741.0</v>
      </c>
      <c r="B1735" s="3" t="s">
        <v>23</v>
      </c>
      <c r="C1735" s="4" t="str">
        <f>hyperlink("https://terraria.gamepedia.com/Dye_Trader's_set","Dye Trader Robe")</f>
        <v>Dye Trader Robe</v>
      </c>
    </row>
    <row r="1736">
      <c r="A1736" s="2">
        <v>1742.0</v>
      </c>
      <c r="B1736" s="3" t="s">
        <v>23</v>
      </c>
      <c r="C1736" s="4" t="str">
        <f>hyperlink("https://terraria.gamepedia.com/Steampunk_Goggles","Steampunk Goggles")</f>
        <v>Steampunk Goggles</v>
      </c>
    </row>
    <row r="1737">
      <c r="A1737" s="2">
        <v>1743.0</v>
      </c>
      <c r="B1737" s="3" t="s">
        <v>23</v>
      </c>
      <c r="C1737" s="4" t="str">
        <f>hyperlink("https://terraria.gamepedia.com/Cyborg_set","Cyborg Helmet")</f>
        <v>Cyborg Helmet</v>
      </c>
    </row>
    <row r="1738">
      <c r="A1738" s="2">
        <v>1744.0</v>
      </c>
      <c r="B1738" s="3" t="s">
        <v>23</v>
      </c>
      <c r="C1738" s="4" t="str">
        <f>hyperlink("https://terraria.gamepedia.com/Cyborg_set","Cyborg Shirt")</f>
        <v>Cyborg Shirt</v>
      </c>
    </row>
    <row r="1739">
      <c r="A1739" s="2">
        <v>1745.0</v>
      </c>
      <c r="B1739" s="3" t="s">
        <v>23</v>
      </c>
      <c r="C1739" s="4" t="str">
        <f>hyperlink("https://terraria.gamepedia.com/Cyborg_set","Cyborg Pants")</f>
        <v>Cyborg Pants</v>
      </c>
    </row>
    <row r="1740">
      <c r="A1740" s="2">
        <v>1746.0</v>
      </c>
      <c r="B1740" s="3" t="s">
        <v>23</v>
      </c>
      <c r="C1740" s="4" t="str">
        <f>hyperlink("https://terraria.gamepedia.com/Creeper_set","Creeper Mask")</f>
        <v>Creeper Mask</v>
      </c>
    </row>
    <row r="1741">
      <c r="A1741" s="2">
        <v>1747.0</v>
      </c>
      <c r="B1741" s="3" t="s">
        <v>23</v>
      </c>
      <c r="C1741" s="4" t="str">
        <f>hyperlink("https://terraria.gamepedia.com/Creeper_set","Creeper Shirt")</f>
        <v>Creeper Shirt</v>
      </c>
    </row>
    <row r="1742">
      <c r="A1742" s="2">
        <v>1748.0</v>
      </c>
      <c r="B1742" s="3" t="s">
        <v>23</v>
      </c>
      <c r="C1742" s="4" t="str">
        <f>hyperlink("https://terraria.gamepedia.com/Creeper_set","Creeper Pants")</f>
        <v>Creeper Pants</v>
      </c>
    </row>
    <row r="1743">
      <c r="A1743" s="2">
        <v>1749.0</v>
      </c>
      <c r="B1743" s="3" t="s">
        <v>23</v>
      </c>
      <c r="C1743" s="4" t="str">
        <f>hyperlink("https://terraria.gamepedia.com/Cat_set","Cat Mask")</f>
        <v>Cat Mask</v>
      </c>
    </row>
    <row r="1744">
      <c r="A1744" s="2">
        <v>1750.0</v>
      </c>
      <c r="B1744" s="3" t="s">
        <v>23</v>
      </c>
      <c r="C1744" s="4" t="str">
        <f>hyperlink("https://terraria.gamepedia.com/Cat_set","Cat Shirt")</f>
        <v>Cat Shirt</v>
      </c>
    </row>
    <row r="1745">
      <c r="A1745" s="2">
        <v>1751.0</v>
      </c>
      <c r="B1745" s="3" t="s">
        <v>23</v>
      </c>
      <c r="C1745" s="4" t="str">
        <f>hyperlink("https://terraria.gamepedia.com/Cat_set","Cat Pants")</f>
        <v>Cat Pants</v>
      </c>
    </row>
    <row r="1746">
      <c r="A1746" s="2">
        <v>1752.0</v>
      </c>
      <c r="B1746" s="3" t="s">
        <v>23</v>
      </c>
      <c r="C1746" s="4" t="str">
        <f>hyperlink("https://terraria.gamepedia.com/Ghost_set","Ghost Mask")</f>
        <v>Ghost Mask</v>
      </c>
    </row>
    <row r="1747">
      <c r="A1747" s="2">
        <v>1753.0</v>
      </c>
      <c r="B1747" s="3" t="s">
        <v>23</v>
      </c>
      <c r="C1747" s="4" t="str">
        <f>hyperlink("https://terraria.gamepedia.com/Ghost_set","Ghost Shirt")</f>
        <v>Ghost Shirt</v>
      </c>
    </row>
    <row r="1748">
      <c r="A1748" s="2">
        <v>1754.0</v>
      </c>
      <c r="B1748" s="3" t="s">
        <v>23</v>
      </c>
      <c r="C1748" s="4" t="str">
        <f>hyperlink("https://terraria.gamepedia.com/Pumpkin_set","Pumpkin Mask")</f>
        <v>Pumpkin Mask</v>
      </c>
    </row>
    <row r="1749">
      <c r="A1749" s="2">
        <v>1755.0</v>
      </c>
      <c r="B1749" s="3" t="s">
        <v>23</v>
      </c>
      <c r="C1749" s="4" t="str">
        <f>hyperlink("https://terraria.gamepedia.com/Pumpkin_set","Pumpkin Shirt")</f>
        <v>Pumpkin Shirt</v>
      </c>
    </row>
    <row r="1750">
      <c r="A1750" s="2">
        <v>1756.0</v>
      </c>
      <c r="B1750" s="3" t="s">
        <v>23</v>
      </c>
      <c r="C1750" s="4" t="str">
        <f>hyperlink("https://terraria.gamepedia.com/Pumpkin_set","Pumpkin Pants")</f>
        <v>Pumpkin Pants</v>
      </c>
    </row>
    <row r="1751">
      <c r="A1751" s="2">
        <v>1757.0</v>
      </c>
      <c r="B1751" s="3" t="s">
        <v>23</v>
      </c>
      <c r="C1751" s="4" t="str">
        <f>hyperlink("https://terraria.gamepedia.com/Robot_set","Robot Mask")</f>
        <v>Robot Mask</v>
      </c>
    </row>
    <row r="1752">
      <c r="A1752" s="2">
        <v>1758.0</v>
      </c>
      <c r="B1752" s="3" t="s">
        <v>23</v>
      </c>
      <c r="C1752" s="4" t="str">
        <f>hyperlink("https://terraria.gamepedia.com/Robot_set","Robot Shirt")</f>
        <v>Robot Shirt</v>
      </c>
    </row>
    <row r="1753">
      <c r="A1753" s="2">
        <v>1759.0</v>
      </c>
      <c r="B1753" s="3" t="s">
        <v>23</v>
      </c>
      <c r="C1753" s="4" t="str">
        <f>hyperlink("https://terraria.gamepedia.com/Robot_set","Robot Pants")</f>
        <v>Robot Pants</v>
      </c>
    </row>
    <row r="1754">
      <c r="A1754" s="2">
        <v>1760.0</v>
      </c>
      <c r="B1754" s="3" t="s">
        <v>23</v>
      </c>
      <c r="C1754" s="4" t="str">
        <f>hyperlink("https://terraria.gamepedia.com/Unicorn_set","Unicorn Mask")</f>
        <v>Unicorn Mask</v>
      </c>
    </row>
    <row r="1755">
      <c r="A1755" s="2">
        <v>1761.0</v>
      </c>
      <c r="B1755" s="3" t="s">
        <v>23</v>
      </c>
      <c r="C1755" s="4" t="str">
        <f>hyperlink("https://terraria.gamepedia.com/Unicorn_set","Unicorn Shirt")</f>
        <v>Unicorn Shirt</v>
      </c>
    </row>
    <row r="1756">
      <c r="A1756" s="2">
        <v>1762.0</v>
      </c>
      <c r="B1756" s="3" t="s">
        <v>23</v>
      </c>
      <c r="C1756" s="4" t="str">
        <f>hyperlink("https://terraria.gamepedia.com/Unicorn_set","Unicorn Pants")</f>
        <v>Unicorn Pants</v>
      </c>
    </row>
    <row r="1757">
      <c r="A1757" s="2">
        <v>1763.0</v>
      </c>
      <c r="B1757" s="3" t="s">
        <v>23</v>
      </c>
      <c r="C1757" s="4" t="str">
        <f>hyperlink("https://terraria.gamepedia.com/Vampire_set","Vampire Mask")</f>
        <v>Vampire Mask</v>
      </c>
    </row>
    <row r="1758">
      <c r="A1758" s="2">
        <v>1764.0</v>
      </c>
      <c r="B1758" s="3" t="s">
        <v>23</v>
      </c>
      <c r="C1758" s="4" t="str">
        <f>hyperlink("https://terraria.gamepedia.com/Vampire_set","Vampire Shirt")</f>
        <v>Vampire Shirt</v>
      </c>
    </row>
    <row r="1759">
      <c r="A1759" s="2">
        <v>1765.0</v>
      </c>
      <c r="B1759" s="3" t="s">
        <v>23</v>
      </c>
      <c r="C1759" s="4" t="str">
        <f>hyperlink("https://terraria.gamepedia.com/Vampire_set","Vampire Pants")</f>
        <v>Vampire Pants</v>
      </c>
    </row>
    <row r="1760">
      <c r="A1760" s="2">
        <v>1766.0</v>
      </c>
      <c r="B1760" s="3" t="s">
        <v>23</v>
      </c>
      <c r="C1760" s="4" t="str">
        <f>hyperlink("https://terraria.gamepedia.com/Witch_set","Witch Hat")</f>
        <v>Witch Hat</v>
      </c>
    </row>
    <row r="1761">
      <c r="A1761" s="2">
        <v>1767.0</v>
      </c>
      <c r="B1761" s="3" t="s">
        <v>23</v>
      </c>
      <c r="C1761" s="4" t="str">
        <f>hyperlink("https://terraria.gamepedia.com/Leprechaun_set","Leprechaun Hat")</f>
        <v>Leprechaun Hat</v>
      </c>
    </row>
    <row r="1762">
      <c r="A1762" s="2">
        <v>1768.0</v>
      </c>
      <c r="B1762" s="3" t="s">
        <v>23</v>
      </c>
      <c r="C1762" s="4" t="str">
        <f>hyperlink("https://terraria.gamepedia.com/Leprechaun_set","Leprechaun Shirt")</f>
        <v>Leprechaun Shirt</v>
      </c>
    </row>
    <row r="1763">
      <c r="A1763" s="2">
        <v>1769.0</v>
      </c>
      <c r="B1763" s="3" t="s">
        <v>23</v>
      </c>
      <c r="C1763" s="4" t="str">
        <f>hyperlink("https://terraria.gamepedia.com/Leprechaun_set","Leprechaun Pants")</f>
        <v>Leprechaun Pants</v>
      </c>
    </row>
    <row r="1764">
      <c r="A1764" s="2">
        <v>1770.0</v>
      </c>
      <c r="B1764" s="3" t="s">
        <v>23</v>
      </c>
      <c r="C1764" s="4" t="str">
        <f>hyperlink("https://terraria.gamepedia.com/Pixie_set","Pixie Shirt")</f>
        <v>Pixie Shirt</v>
      </c>
    </row>
    <row r="1765">
      <c r="A1765" s="2">
        <v>1771.0</v>
      </c>
      <c r="B1765" s="3" t="s">
        <v>23</v>
      </c>
      <c r="C1765" s="4" t="str">
        <f>hyperlink("https://terraria.gamepedia.com/Pixie_set","Pixie Pants")</f>
        <v>Pixie Pants</v>
      </c>
    </row>
    <row r="1766">
      <c r="A1766" s="2">
        <v>1772.0</v>
      </c>
      <c r="B1766" s="3" t="s">
        <v>23</v>
      </c>
      <c r="C1766" s="4" t="str">
        <f>hyperlink("https://terraria.gamepedia.com/Princess_set","Princess Hat")</f>
        <v>Princess Hat</v>
      </c>
    </row>
    <row r="1767">
      <c r="A1767" s="2">
        <v>1773.0</v>
      </c>
      <c r="B1767" s="3" t="s">
        <v>23</v>
      </c>
      <c r="C1767" s="4" t="str">
        <f>hyperlink("https://terraria.gamepedia.com/Princess_set","Princess Dress")</f>
        <v>Princess Dress</v>
      </c>
    </row>
    <row r="1768">
      <c r="A1768" s="2">
        <v>1774.0</v>
      </c>
      <c r="B1768" s="3" t="s">
        <v>15</v>
      </c>
      <c r="C1768" s="4" t="str">
        <f>hyperlink("https://terraria.gamepedia.com/Goodie_Bag","Goodie Bag")</f>
        <v>Goodie Bag</v>
      </c>
    </row>
    <row r="1769">
      <c r="A1769" s="2">
        <v>1775.0</v>
      </c>
      <c r="B1769" s="3" t="s">
        <v>23</v>
      </c>
      <c r="C1769" s="4" t="str">
        <f>hyperlink("https://terraria.gamepedia.com/Witch_set","Witch Dress")</f>
        <v>Witch Dress</v>
      </c>
    </row>
    <row r="1770">
      <c r="A1770" s="2">
        <v>1776.0</v>
      </c>
      <c r="B1770" s="3" t="s">
        <v>23</v>
      </c>
      <c r="C1770" s="4" t="str">
        <f>hyperlink("https://terraria.gamepedia.com/Witch_set","Witch Boots")</f>
        <v>Witch Boots</v>
      </c>
    </row>
    <row r="1771">
      <c r="A1771" s="2">
        <v>1777.0</v>
      </c>
      <c r="B1771" s="3" t="s">
        <v>23</v>
      </c>
      <c r="C1771" s="4" t="str">
        <f>hyperlink("https://terraria.gamepedia.com/Bride_of_Frankenstein_set","Bride of Frankenstein Mask")</f>
        <v>Bride of Frankenstein Mask</v>
      </c>
    </row>
    <row r="1772">
      <c r="A1772" s="2">
        <v>1778.0</v>
      </c>
      <c r="B1772" s="3" t="s">
        <v>23</v>
      </c>
      <c r="C1772" s="4" t="str">
        <f>hyperlink("https://terraria.gamepedia.com/Bride_of_Frankenstein_set","Bride of Frankenstein Dress")</f>
        <v>Bride of Frankenstein Dress</v>
      </c>
    </row>
    <row r="1773">
      <c r="A1773" s="2">
        <v>1779.0</v>
      </c>
      <c r="B1773" s="3" t="s">
        <v>23</v>
      </c>
      <c r="C1773" s="4" t="str">
        <f>hyperlink("https://terraria.gamepedia.com/Karate_Tortoise_set","Karate Tortoise Mask")</f>
        <v>Karate Tortoise Mask</v>
      </c>
    </row>
    <row r="1774">
      <c r="A1774" s="2">
        <v>1780.0</v>
      </c>
      <c r="B1774" s="3" t="s">
        <v>23</v>
      </c>
      <c r="C1774" s="4" t="str">
        <f>hyperlink("https://terraria.gamepedia.com/Karate_Tortoise_set","Karate Tortoise Shirt")</f>
        <v>Karate Tortoise Shirt</v>
      </c>
    </row>
    <row r="1775">
      <c r="A1775" s="2">
        <v>1781.0</v>
      </c>
      <c r="B1775" s="3" t="s">
        <v>23</v>
      </c>
      <c r="C1775" s="4" t="str">
        <f>hyperlink("https://terraria.gamepedia.com/Karate_Tortoise_set","Karate Tortoise Pants")</f>
        <v>Karate Tortoise Pants</v>
      </c>
    </row>
    <row r="1776">
      <c r="A1776" s="2">
        <v>1782.0</v>
      </c>
      <c r="B1776" s="3" t="s">
        <v>5</v>
      </c>
      <c r="C1776" s="4" t="str">
        <f>hyperlink("https://terraria.gamepedia.com/Candy_Corn_Rifle","Candy Corn Rifle")</f>
        <v>Candy Corn Rifle</v>
      </c>
    </row>
    <row r="1777">
      <c r="A1777" s="2">
        <v>1783.0</v>
      </c>
      <c r="B1777" s="3" t="s">
        <v>18</v>
      </c>
      <c r="C1777" s="4" t="str">
        <f>hyperlink("https://terraria.gamepedia.com/Candy_Corn","Candy Corn")</f>
        <v>Candy Corn</v>
      </c>
    </row>
    <row r="1778">
      <c r="A1778" s="2">
        <v>1784.0</v>
      </c>
      <c r="B1778" s="3" t="s">
        <v>5</v>
      </c>
      <c r="C1778" s="4" t="str">
        <f>hyperlink("https://terraria.gamepedia.com/Jack_'O_Lantern_Launcher","Jack 'O Lantern Launcher")</f>
        <v>Jack 'O Lantern Launcher</v>
      </c>
    </row>
    <row r="1779">
      <c r="A1779" s="2">
        <v>1785.0</v>
      </c>
      <c r="B1779" s="3" t="s">
        <v>18</v>
      </c>
      <c r="C1779" s="4" t="str">
        <f>hyperlink("https://terraria.gamepedia.com/Explosive_Jack_'O_Lantern","Explosive Jack 'O Lantern")</f>
        <v>Explosive Jack 'O Lantern</v>
      </c>
    </row>
    <row r="1780">
      <c r="A1780" s="2">
        <v>1786.0</v>
      </c>
      <c r="B1780" s="3" t="s">
        <v>5</v>
      </c>
      <c r="C1780" s="4" t="str">
        <f>hyperlink("https://terraria.gamepedia.com/Sickle","Sickle")</f>
        <v>Sickle</v>
      </c>
    </row>
    <row r="1781">
      <c r="A1781" s="2">
        <v>1787.0</v>
      </c>
      <c r="B1781" s="3" t="s">
        <v>26</v>
      </c>
      <c r="C1781" s="4" t="str">
        <f>hyperlink("https://terraria.gamepedia.com/Pumpkin_Pie","Pumpkin Pie")</f>
        <v>Pumpkin Pie</v>
      </c>
    </row>
    <row r="1782">
      <c r="A1782" s="2">
        <v>1788.0</v>
      </c>
      <c r="B1782" s="3" t="s">
        <v>23</v>
      </c>
      <c r="C1782" s="4" t="str">
        <f>hyperlink("https://terraria.gamepedia.com/Scarecrow_set","Scarecrow Hat")</f>
        <v>Scarecrow Hat</v>
      </c>
    </row>
    <row r="1783">
      <c r="A1783" s="2">
        <v>1789.0</v>
      </c>
      <c r="B1783" s="3" t="s">
        <v>23</v>
      </c>
      <c r="C1783" s="4" t="str">
        <f>hyperlink("https://terraria.gamepedia.com/Scarecrow_set","Scarecrow Shirt")</f>
        <v>Scarecrow Shirt</v>
      </c>
    </row>
    <row r="1784">
      <c r="A1784" s="2">
        <v>1790.0</v>
      </c>
      <c r="B1784" s="3" t="s">
        <v>23</v>
      </c>
      <c r="C1784" s="4" t="str">
        <f>hyperlink("https://terraria.gamepedia.com/Scarecrow_set","Scarecrow Pants")</f>
        <v>Scarecrow Pants</v>
      </c>
    </row>
    <row r="1785">
      <c r="A1785" s="2">
        <v>1791.0</v>
      </c>
      <c r="B1785" s="3" t="s">
        <v>16</v>
      </c>
      <c r="C1785" s="4" t="str">
        <f>hyperlink("https://terraria.gamepedia.com/Cooking_Pots","Cauldron")</f>
        <v>Cauldron</v>
      </c>
    </row>
    <row r="1786">
      <c r="A1786" s="2">
        <v>1792.0</v>
      </c>
      <c r="B1786" s="3" t="s">
        <v>31</v>
      </c>
      <c r="C1786" s="4" t="str">
        <f>hyperlink("https://terraria.gamepedia.com/Chairs","Pumpkin Chair")</f>
        <v>Pumpkin Chair</v>
      </c>
    </row>
    <row r="1787">
      <c r="A1787" s="2">
        <v>1793.0</v>
      </c>
      <c r="B1787" s="3" t="s">
        <v>31</v>
      </c>
      <c r="C1787" s="4" t="str">
        <f>hyperlink("https://terraria.gamepedia.com/Doors","Pumpkin Door")</f>
        <v>Pumpkin Door</v>
      </c>
    </row>
    <row r="1788">
      <c r="A1788" s="2">
        <v>1794.0</v>
      </c>
      <c r="B1788" s="3" t="s">
        <v>31</v>
      </c>
      <c r="C1788" s="4" t="str">
        <f>hyperlink("https://terraria.gamepedia.com/Tables","Pumpkin Table")</f>
        <v>Pumpkin Table</v>
      </c>
    </row>
    <row r="1789">
      <c r="A1789" s="2">
        <v>1795.0</v>
      </c>
      <c r="B1789" s="3" t="s">
        <v>31</v>
      </c>
      <c r="C1789" s="4" t="str">
        <f>hyperlink("https://terraria.gamepedia.com/Work_Benches","Pumpkin Work Bench")</f>
        <v>Pumpkin Work Bench</v>
      </c>
    </row>
    <row r="1790">
      <c r="A1790" s="2">
        <v>1796.0</v>
      </c>
      <c r="B1790" s="3" t="s">
        <v>8</v>
      </c>
      <c r="C1790" s="4" t="str">
        <f>hyperlink("https://terraria.gamepedia.com/Platforms","Pumpkin Platform")</f>
        <v>Pumpkin Platform</v>
      </c>
    </row>
    <row r="1791">
      <c r="A1791" s="2">
        <v>1797.0</v>
      </c>
      <c r="B1791" s="3" t="s">
        <v>27</v>
      </c>
      <c r="C1791" s="4" t="str">
        <f>hyperlink("https://terraria.gamepedia.com/Wings","Tattered Fairy Wings")</f>
        <v>Tattered Fairy Wings</v>
      </c>
    </row>
    <row r="1792">
      <c r="A1792" s="2">
        <v>1798.0</v>
      </c>
      <c r="B1792" s="3" t="s">
        <v>22</v>
      </c>
      <c r="C1792" s="4" t="str">
        <f>hyperlink("https://terraria.gamepedia.com/Spider_Egg","Spider Egg")</f>
        <v>Spider Egg</v>
      </c>
    </row>
    <row r="1793">
      <c r="A1793" s="2">
        <v>1799.0</v>
      </c>
      <c r="B1793" s="3" t="s">
        <v>22</v>
      </c>
      <c r="C1793" s="4" t="str">
        <f>hyperlink("https://terraria.gamepedia.com/Magical_Pumpkin_Seed","Magical Pumpkin Seed")</f>
        <v>Magical Pumpkin Seed</v>
      </c>
    </row>
    <row r="1794">
      <c r="A1794" s="2">
        <v>1800.0</v>
      </c>
      <c r="B1794" s="3" t="s">
        <v>3</v>
      </c>
      <c r="C1794" s="4" t="str">
        <f>hyperlink("https://terraria.gamepedia.com/Bat_Hook","Bat Hook")</f>
        <v>Bat Hook</v>
      </c>
    </row>
    <row r="1795">
      <c r="A1795" s="2">
        <v>1801.0</v>
      </c>
      <c r="B1795" s="3" t="s">
        <v>5</v>
      </c>
      <c r="C1795" s="4" t="str">
        <f>hyperlink("https://terraria.gamepedia.com/Bat_Scepter","Bat Scepter")</f>
        <v>Bat Scepter</v>
      </c>
    </row>
    <row r="1796">
      <c r="A1796" s="2">
        <v>1802.0</v>
      </c>
      <c r="B1796" s="3" t="s">
        <v>5</v>
      </c>
      <c r="C1796" s="4" t="str">
        <f>hyperlink("https://terraria.gamepedia.com/Raven_Staff","Raven Staff")</f>
        <v>Raven Staff</v>
      </c>
    </row>
    <row r="1797">
      <c r="A1797" s="2">
        <v>1808.0</v>
      </c>
      <c r="B1797" s="3" t="s">
        <v>7</v>
      </c>
      <c r="C1797" s="4" t="str">
        <f>hyperlink("https://terraria.gamepedia.com/Lanterns","Hanging Jack 'O Lantern")</f>
        <v>Hanging Jack 'O Lantern</v>
      </c>
    </row>
    <row r="1798">
      <c r="A1798" s="2">
        <v>1809.0</v>
      </c>
      <c r="B1798" s="3" t="s">
        <v>18</v>
      </c>
      <c r="C1798" s="4" t="str">
        <f>hyperlink("https://terraria.gamepedia.com/Rotten_Egg","Rotten Egg")</f>
        <v>Rotten Egg</v>
      </c>
    </row>
    <row r="1799">
      <c r="A1799" s="2">
        <v>1810.0</v>
      </c>
      <c r="B1799" s="3" t="s">
        <v>22</v>
      </c>
      <c r="C1799" s="4" t="str">
        <f>hyperlink("https://terraria.gamepedia.com/Unlucky_Yarn","Unlucky Yarn")</f>
        <v>Unlucky Yarn</v>
      </c>
    </row>
    <row r="1800">
      <c r="A1800" s="2">
        <v>1811.0</v>
      </c>
      <c r="B1800" s="3" t="s">
        <v>11</v>
      </c>
      <c r="C1800" s="4" t="str">
        <f>hyperlink("https://terraria.gamepedia.com/Black_Fairy_Dust","Black Fairy Dust")</f>
        <v>Black Fairy Dust</v>
      </c>
    </row>
    <row r="1801">
      <c r="A1801" s="2">
        <v>1812.0</v>
      </c>
      <c r="B1801" s="3" t="s">
        <v>7</v>
      </c>
      <c r="C1801" s="4" t="str">
        <f>hyperlink("https://terraria.gamepedia.com/Chandeliers","Jackelier")</f>
        <v>Jackelier</v>
      </c>
    </row>
    <row r="1802">
      <c r="A1802" s="2">
        <v>1813.0</v>
      </c>
      <c r="B1802" s="3" t="s">
        <v>7</v>
      </c>
      <c r="C1802" s="4" t="str">
        <f>hyperlink("https://terraria.gamepedia.com/Jack_'O_Lantern","Jack 'O Lantern")</f>
        <v>Jack 'O Lantern</v>
      </c>
    </row>
    <row r="1803">
      <c r="A1803" s="2">
        <v>1814.0</v>
      </c>
      <c r="B1803" s="3" t="s">
        <v>31</v>
      </c>
      <c r="C1803" s="4" t="str">
        <f>hyperlink("https://terraria.gamepedia.com/Chairs","Spooky Chair")</f>
        <v>Spooky Chair</v>
      </c>
    </row>
    <row r="1804">
      <c r="A1804" s="2">
        <v>1815.0</v>
      </c>
      <c r="B1804" s="3" t="s">
        <v>31</v>
      </c>
      <c r="C1804" s="4" t="str">
        <f>hyperlink("https://terraria.gamepedia.com/Doors","Spooky Door")</f>
        <v>Spooky Door</v>
      </c>
    </row>
    <row r="1805">
      <c r="A1805" s="2">
        <v>1816.0</v>
      </c>
      <c r="B1805" s="3" t="s">
        <v>31</v>
      </c>
      <c r="C1805" s="4" t="str">
        <f>hyperlink("https://terraria.gamepedia.com/Tables","Spooky Table")</f>
        <v>Spooky Table</v>
      </c>
    </row>
    <row r="1806">
      <c r="A1806" s="2">
        <v>1817.0</v>
      </c>
      <c r="B1806" s="3" t="s">
        <v>31</v>
      </c>
      <c r="C1806" s="4" t="str">
        <f>hyperlink("https://terraria.gamepedia.com/Work_Benches","Spooky Work Bench")</f>
        <v>Spooky Work Bench</v>
      </c>
    </row>
    <row r="1807">
      <c r="A1807" s="2">
        <v>1818.0</v>
      </c>
      <c r="B1807" s="3" t="s">
        <v>8</v>
      </c>
      <c r="C1807" s="4" t="str">
        <f>hyperlink("https://terraria.gamepedia.com/Platforms","Spooky Wood Platform")</f>
        <v>Spooky Wood Platform</v>
      </c>
    </row>
    <row r="1808">
      <c r="A1808" s="2">
        <v>1819.0</v>
      </c>
      <c r="B1808" s="3" t="s">
        <v>23</v>
      </c>
      <c r="C1808" s="4" t="str">
        <f>hyperlink("https://terraria.gamepedia.com/Reaper_set","Reaper Hood")</f>
        <v>Reaper Hood</v>
      </c>
    </row>
    <row r="1809">
      <c r="A1809" s="2">
        <v>1820.0</v>
      </c>
      <c r="B1809" s="3" t="s">
        <v>23</v>
      </c>
      <c r="C1809" s="4" t="str">
        <f>hyperlink("https://terraria.gamepedia.com/Reaper_set","Reaper Robe")</f>
        <v>Reaper Robe</v>
      </c>
    </row>
    <row r="1810">
      <c r="A1810" s="2">
        <v>1821.0</v>
      </c>
      <c r="B1810" s="3" t="s">
        <v>23</v>
      </c>
      <c r="C1810" s="4" t="str">
        <f>hyperlink("https://terraria.gamepedia.com/Fox_set","Fox Mask")</f>
        <v>Fox Mask</v>
      </c>
    </row>
    <row r="1811">
      <c r="A1811" s="2">
        <v>1822.0</v>
      </c>
      <c r="B1811" s="3" t="s">
        <v>23</v>
      </c>
      <c r="C1811" s="4" t="str">
        <f>hyperlink("https://terraria.gamepedia.com/Fox_set","Fox Shirt")</f>
        <v>Fox Shirt</v>
      </c>
    </row>
    <row r="1812">
      <c r="A1812" s="2">
        <v>1823.0</v>
      </c>
      <c r="B1812" s="3" t="s">
        <v>23</v>
      </c>
      <c r="C1812" s="4" t="str">
        <f>hyperlink("https://terraria.gamepedia.com/Fox_set","Fox Pants")</f>
        <v>Fox Pants</v>
      </c>
    </row>
    <row r="1813">
      <c r="A1813" s="2">
        <v>1824.0</v>
      </c>
      <c r="B1813" s="3" t="s">
        <v>23</v>
      </c>
      <c r="C1813" s="4" t="str">
        <f>hyperlink("https://terraria.gamepedia.com/Cat_Ears","Cat Ears")</f>
        <v>Cat Ears</v>
      </c>
    </row>
    <row r="1814">
      <c r="A1814" s="2">
        <v>1825.0</v>
      </c>
      <c r="B1814" s="3" t="s">
        <v>5</v>
      </c>
      <c r="C1814" s="4" t="str">
        <f>hyperlink("https://terraria.gamepedia.com/Bloody_Machete","Bloody Machete")</f>
        <v>Bloody Machete</v>
      </c>
    </row>
    <row r="1815">
      <c r="A1815" s="2">
        <v>1826.0</v>
      </c>
      <c r="B1815" s="3" t="s">
        <v>5</v>
      </c>
      <c r="C1815" s="4" t="str">
        <f>hyperlink("https://terraria.gamepedia.com/The_Horseman's_Blade","The Horseman's Blade")</f>
        <v>The Horseman's Blade</v>
      </c>
    </row>
    <row r="1816">
      <c r="A1816" s="2">
        <v>1827.0</v>
      </c>
      <c r="B1816" s="3" t="s">
        <v>5</v>
      </c>
      <c r="C1816" s="4" t="str">
        <f>hyperlink("https://terraria.gamepedia.com/Bladed_Glove","Bladed Glove")</f>
        <v>Bladed Glove</v>
      </c>
    </row>
    <row r="1817">
      <c r="A1817" s="2">
        <v>1828.0</v>
      </c>
      <c r="B1817" s="3" t="s">
        <v>6</v>
      </c>
      <c r="C1817" s="4" t="str">
        <f>hyperlink("https://terraria.gamepedia.com/Pumpkin_Seed","Pumpkin Seed")</f>
        <v>Pumpkin Seed</v>
      </c>
    </row>
    <row r="1818">
      <c r="A1818" s="2">
        <v>1829.0</v>
      </c>
      <c r="B1818" s="3" t="s">
        <v>3</v>
      </c>
      <c r="C1818" s="4" t="str">
        <f>hyperlink("https://terraria.gamepedia.com/Hooks","Spooky Hook")</f>
        <v>Spooky Hook</v>
      </c>
    </row>
    <row r="1819">
      <c r="A1819" s="2">
        <v>1830.0</v>
      </c>
      <c r="B1819" s="3" t="s">
        <v>27</v>
      </c>
      <c r="C1819" s="4" t="str">
        <f>hyperlink("https://terraria.gamepedia.com/Wings","Spooky Wings")</f>
        <v>Spooky Wings</v>
      </c>
    </row>
    <row r="1820">
      <c r="A1820" s="2">
        <v>1831.0</v>
      </c>
      <c r="B1820" s="3" t="s">
        <v>11</v>
      </c>
      <c r="C1820" s="4" t="str">
        <f>hyperlink("https://terraria.gamepedia.com/Spooky_Twig","Spooky Twig")</f>
        <v>Spooky Twig</v>
      </c>
    </row>
    <row r="1821">
      <c r="A1821" s="2">
        <v>1832.0</v>
      </c>
      <c r="B1821" s="3" t="s">
        <v>17</v>
      </c>
      <c r="C1821" s="4" t="str">
        <f>hyperlink("https://terraria.gamepedia.com/Spooky_armor","Spooky Helmet")</f>
        <v>Spooky Helmet</v>
      </c>
    </row>
    <row r="1822">
      <c r="A1822" s="2">
        <v>1833.0</v>
      </c>
      <c r="B1822" s="3" t="s">
        <v>17</v>
      </c>
      <c r="C1822" s="4" t="str">
        <f>hyperlink("https://terraria.gamepedia.com/Spooky_armor","Spooky Breastplate")</f>
        <v>Spooky Breastplate</v>
      </c>
    </row>
    <row r="1823">
      <c r="A1823" s="2">
        <v>1834.0</v>
      </c>
      <c r="B1823" s="3" t="s">
        <v>17</v>
      </c>
      <c r="C1823" s="4" t="str">
        <f>hyperlink("https://terraria.gamepedia.com/Spooky_armor","Spooky Leggings")</f>
        <v>Spooky Leggings</v>
      </c>
    </row>
    <row r="1824">
      <c r="A1824" s="2">
        <v>1835.0</v>
      </c>
      <c r="B1824" s="3" t="s">
        <v>5</v>
      </c>
      <c r="C1824" s="4" t="str">
        <f>hyperlink("https://terraria.gamepedia.com/Stake_Launcher","Stake Launcher")</f>
        <v>Stake Launcher</v>
      </c>
    </row>
    <row r="1825">
      <c r="A1825" s="2">
        <v>1836.0</v>
      </c>
      <c r="B1825" s="3" t="s">
        <v>18</v>
      </c>
      <c r="C1825" s="4" t="str">
        <f>hyperlink("https://terraria.gamepedia.com/Stake","Stake")</f>
        <v>Stake</v>
      </c>
    </row>
    <row r="1826">
      <c r="A1826" s="2">
        <v>1837.0</v>
      </c>
      <c r="B1826" s="3" t="s">
        <v>22</v>
      </c>
      <c r="C1826" s="4" t="str">
        <f>hyperlink("https://terraria.gamepedia.com/Cursed_Sapling","Cursed Sapling")</f>
        <v>Cursed Sapling</v>
      </c>
    </row>
    <row r="1827">
      <c r="A1827" s="2">
        <v>1838.0</v>
      </c>
      <c r="B1827" s="3" t="s">
        <v>23</v>
      </c>
      <c r="C1827" s="4" t="str">
        <f>hyperlink("https://terraria.gamepedia.com/Space_Creature_set","Space Creature Mask")</f>
        <v>Space Creature Mask</v>
      </c>
    </row>
    <row r="1828">
      <c r="A1828" s="2">
        <v>1839.0</v>
      </c>
      <c r="B1828" s="3" t="s">
        <v>23</v>
      </c>
      <c r="C1828" s="4" t="str">
        <f>hyperlink("https://terraria.gamepedia.com/Space_Creature_set","Space Creature Shirt")</f>
        <v>Space Creature Shirt</v>
      </c>
    </row>
    <row r="1829">
      <c r="A1829" s="2">
        <v>1840.0</v>
      </c>
      <c r="B1829" s="3" t="s">
        <v>23</v>
      </c>
      <c r="C1829" s="4" t="str">
        <f>hyperlink("https://terraria.gamepedia.com/Space_Creature_set","Space Creature Pants")</f>
        <v>Space Creature Pants</v>
      </c>
    </row>
    <row r="1830">
      <c r="A1830" s="2">
        <v>1841.0</v>
      </c>
      <c r="B1830" s="3" t="s">
        <v>23</v>
      </c>
      <c r="C1830" s="4" t="str">
        <f>hyperlink("https://terraria.gamepedia.com/Wolf_set","Wolf Mask")</f>
        <v>Wolf Mask</v>
      </c>
    </row>
    <row r="1831">
      <c r="A1831" s="2">
        <v>1842.0</v>
      </c>
      <c r="B1831" s="3" t="s">
        <v>23</v>
      </c>
      <c r="C1831" s="4" t="str">
        <f>hyperlink("https://terraria.gamepedia.com/Wolf_set","Wolf Shirt")</f>
        <v>Wolf Shirt</v>
      </c>
    </row>
    <row r="1832">
      <c r="A1832" s="2">
        <v>1843.0</v>
      </c>
      <c r="B1832" s="3" t="s">
        <v>23</v>
      </c>
      <c r="C1832" s="4" t="str">
        <f>hyperlink("https://terraria.gamepedia.com/Wolf_set","Wolf Pants")</f>
        <v>Wolf Pants</v>
      </c>
    </row>
    <row r="1833">
      <c r="A1833" s="2">
        <v>1844.0</v>
      </c>
      <c r="B1833" s="3" t="s">
        <v>19</v>
      </c>
      <c r="C1833" s="4" t="str">
        <f>hyperlink("https://terraria.gamepedia.com/Pumpkin_Moon_Medallion","Pumpkin Moon Medallion")</f>
        <v>Pumpkin Moon Medallion</v>
      </c>
    </row>
    <row r="1834">
      <c r="A1834" s="2">
        <v>1845.0</v>
      </c>
      <c r="B1834" s="3" t="s">
        <v>10</v>
      </c>
      <c r="C1834" s="4" t="str">
        <f>hyperlink("https://terraria.gamepedia.com/Necromantic_Scroll","Necromantic Scroll")</f>
        <v>Necromantic Scroll</v>
      </c>
    </row>
    <row r="1835">
      <c r="A1835" s="2">
        <v>1846.0</v>
      </c>
      <c r="B1835" s="3" t="s">
        <v>36</v>
      </c>
      <c r="C1835" s="4" t="str">
        <f>hyperlink("https://terraria.gamepedia.com/Paintings","Jacking Skeletron")</f>
        <v>Jacking Skeletron</v>
      </c>
    </row>
    <row r="1836">
      <c r="A1836" s="2">
        <v>1847.0</v>
      </c>
      <c r="B1836" s="3" t="s">
        <v>36</v>
      </c>
      <c r="C1836" s="4" t="str">
        <f>hyperlink("https://terraria.gamepedia.com/Paintings","Bitter Harvest")</f>
        <v>Bitter Harvest</v>
      </c>
    </row>
    <row r="1837">
      <c r="A1837" s="2">
        <v>1848.0</v>
      </c>
      <c r="B1837" s="3" t="s">
        <v>36</v>
      </c>
      <c r="C1837" s="4" t="str">
        <f>hyperlink("https://terraria.gamepedia.com/Paintings","Blood Moon Countess")</f>
        <v>Blood Moon Countess</v>
      </c>
    </row>
    <row r="1838">
      <c r="A1838" s="2">
        <v>1849.0</v>
      </c>
      <c r="B1838" s="3" t="s">
        <v>36</v>
      </c>
      <c r="C1838" s="4" t="str">
        <f>hyperlink("https://terraria.gamepedia.com/Paintings","Hallow's Eve")</f>
        <v>Hallow's Eve</v>
      </c>
    </row>
    <row r="1839">
      <c r="A1839" s="2">
        <v>1850.0</v>
      </c>
      <c r="B1839" s="3" t="s">
        <v>36</v>
      </c>
      <c r="C1839" s="4" t="str">
        <f>hyperlink("https://terraria.gamepedia.com/Paintings","Morbid Curiosity")</f>
        <v>Morbid Curiosity</v>
      </c>
    </row>
    <row r="1840">
      <c r="A1840" s="2">
        <v>1851.0</v>
      </c>
      <c r="B1840" s="3" t="s">
        <v>23</v>
      </c>
      <c r="C1840" s="4" t="str">
        <f>hyperlink("https://terraria.gamepedia.com/Treasure_Hunter_set","Treasure Hunter Shirt")</f>
        <v>Treasure Hunter Shirt</v>
      </c>
    </row>
    <row r="1841">
      <c r="A1841" s="2">
        <v>1852.0</v>
      </c>
      <c r="B1841" s="3" t="s">
        <v>23</v>
      </c>
      <c r="C1841" s="4" t="str">
        <f>hyperlink("https://terraria.gamepedia.com/Treasure_Hunter_set","Treasure Hunter Pants")</f>
        <v>Treasure Hunter Pants</v>
      </c>
    </row>
    <row r="1842">
      <c r="A1842" s="2">
        <v>1853.0</v>
      </c>
      <c r="B1842" s="3" t="s">
        <v>23</v>
      </c>
      <c r="C1842" s="4" t="str">
        <f>hyperlink("https://terraria.gamepedia.com/Dryad_set","Dryad Coverings")</f>
        <v>Dryad Coverings</v>
      </c>
    </row>
    <row r="1843">
      <c r="A1843" s="2">
        <v>1854.0</v>
      </c>
      <c r="B1843" s="3" t="s">
        <v>23</v>
      </c>
      <c r="C1843" s="4" t="str">
        <f>hyperlink("https://terraria.gamepedia.com/Dryad_set","Dryad Loincloth")</f>
        <v>Dryad Loincloth</v>
      </c>
    </row>
    <row r="1844">
      <c r="A1844" s="2">
        <v>1855.0</v>
      </c>
      <c r="B1844" s="3" t="s">
        <v>35</v>
      </c>
      <c r="C1844" s="4" t="str">
        <f>hyperlink("https://terraria.gamepedia.com/Trophies","Mourning Wood Trophy")</f>
        <v>Mourning Wood Trophy</v>
      </c>
    </row>
    <row r="1845">
      <c r="A1845" s="2">
        <v>1856.0</v>
      </c>
      <c r="B1845" s="3" t="s">
        <v>35</v>
      </c>
      <c r="C1845" s="4" t="str">
        <f>hyperlink("https://terraria.gamepedia.com/Trophies","Pumpking Trophy")</f>
        <v>Pumpking Trophy</v>
      </c>
    </row>
    <row r="1846">
      <c r="A1846" s="2">
        <v>1857.0</v>
      </c>
      <c r="B1846" s="3" t="s">
        <v>23</v>
      </c>
      <c r="C1846" s="4" t="str">
        <f>hyperlink("https://terraria.gamepedia.com/Jack_'O_Lantern_Mask","Jack 'O Lantern Mask")</f>
        <v>Jack 'O Lantern Mask</v>
      </c>
    </row>
    <row r="1847">
      <c r="A1847" s="2">
        <v>1858.0</v>
      </c>
      <c r="B1847" s="3" t="s">
        <v>5</v>
      </c>
      <c r="C1847" s="4" t="str">
        <f>hyperlink("https://terraria.gamepedia.com/Sniper_Scope","Sniper Scope")</f>
        <v>Sniper Scope</v>
      </c>
    </row>
    <row r="1848">
      <c r="A1848" s="2">
        <v>1859.0</v>
      </c>
      <c r="B1848" s="3" t="s">
        <v>7</v>
      </c>
      <c r="C1848" s="4" t="str">
        <f>hyperlink("https://terraria.gamepedia.com/Lanterns","Heart Lantern")</f>
        <v>Heart Lantern</v>
      </c>
    </row>
    <row r="1849">
      <c r="A1849" s="2">
        <v>1860.0</v>
      </c>
      <c r="B1849" s="3" t="s">
        <v>10</v>
      </c>
      <c r="C1849" s="4" t="str">
        <f>hyperlink("https://terraria.gamepedia.com/Jellyfish_Diving_Gear","Jellyfish Diving Gear")</f>
        <v>Jellyfish Diving Gear</v>
      </c>
    </row>
    <row r="1850">
      <c r="A1850" s="2">
        <v>1861.0</v>
      </c>
      <c r="B1850" s="3" t="s">
        <v>10</v>
      </c>
      <c r="C1850" s="4" t="str">
        <f>hyperlink("https://terraria.gamepedia.com/Arctic_Diving_Gear","Arctic Diving Gear")</f>
        <v>Arctic Diving Gear</v>
      </c>
    </row>
    <row r="1851">
      <c r="A1851" s="2">
        <v>1862.0</v>
      </c>
      <c r="B1851" s="3" t="s">
        <v>10</v>
      </c>
      <c r="C1851" s="4" t="str">
        <f>hyperlink("https://terraria.gamepedia.com/Frostspark_Boots","Frostspark Boots")</f>
        <v>Frostspark Boots</v>
      </c>
    </row>
    <row r="1852">
      <c r="A1852" s="2">
        <v>1863.0</v>
      </c>
      <c r="B1852" s="3" t="s">
        <v>10</v>
      </c>
      <c r="C1852" s="4" t="str">
        <f>hyperlink("https://terraria.gamepedia.com/Fart_in_a_Balloon","Fart in a Balloon")</f>
        <v>Fart in a Balloon</v>
      </c>
    </row>
    <row r="1853">
      <c r="A1853" s="2">
        <v>1864.0</v>
      </c>
      <c r="B1853" s="3" t="s">
        <v>10</v>
      </c>
      <c r="C1853" s="4" t="str">
        <f>hyperlink("https://terraria.gamepedia.com/Papyrus_Scarab","Papyrus Scarab")</f>
        <v>Papyrus Scarab</v>
      </c>
    </row>
    <row r="1854">
      <c r="A1854" s="2">
        <v>1865.0</v>
      </c>
      <c r="B1854" s="3" t="s">
        <v>10</v>
      </c>
      <c r="C1854" s="4" t="str">
        <f>hyperlink("https://terraria.gamepedia.com/Celestial_Stone","Celestial Stone")</f>
        <v>Celestial Stone</v>
      </c>
    </row>
    <row r="1855">
      <c r="A1855" s="2">
        <v>1866.0</v>
      </c>
      <c r="B1855" s="3" t="s">
        <v>27</v>
      </c>
      <c r="C1855" s="4" t="str">
        <f>hyperlink("https://terraria.gamepedia.com/Hoverboard","Hoverboard")</f>
        <v>Hoverboard</v>
      </c>
    </row>
    <row r="1856">
      <c r="A1856" s="2">
        <v>1869.0</v>
      </c>
      <c r="B1856" s="3" t="s">
        <v>30</v>
      </c>
      <c r="C1856" s="4" t="str">
        <f>hyperlink("https://terraria.gamepedia.com/Presents","Present")</f>
        <v>Present</v>
      </c>
    </row>
    <row r="1857">
      <c r="A1857" s="2">
        <v>1870.0</v>
      </c>
      <c r="B1857" s="3" t="s">
        <v>5</v>
      </c>
      <c r="C1857" s="4" t="str">
        <f>hyperlink("https://terraria.gamepedia.com/Red_Ryder","Red Ryder")</f>
        <v>Red Ryder</v>
      </c>
    </row>
    <row r="1858">
      <c r="A1858" s="2">
        <v>1871.0</v>
      </c>
      <c r="B1858" s="3" t="s">
        <v>27</v>
      </c>
      <c r="C1858" s="4" t="str">
        <f>hyperlink("https://terraria.gamepedia.com/Wings","Festive Wings")</f>
        <v>Festive Wings</v>
      </c>
    </row>
    <row r="1859">
      <c r="A1859" s="2">
        <v>1872.0</v>
      </c>
      <c r="B1859" s="3" t="s">
        <v>4</v>
      </c>
      <c r="C1859" s="4" t="str">
        <f>hyperlink("https://terraria.gamepedia.com/Pine_Tree_Block","Pine Tree Block")</f>
        <v>Pine Tree Block</v>
      </c>
    </row>
    <row r="1860">
      <c r="A1860" s="2">
        <v>1873.0</v>
      </c>
      <c r="B1860" s="3" t="s">
        <v>30</v>
      </c>
      <c r="C1860" s="4" t="str">
        <f>hyperlink("https://terraria.gamepedia.com/Christmas_Tree","Christmas Tree")</f>
        <v>Christmas Tree</v>
      </c>
    </row>
    <row r="1861">
      <c r="A1861" s="2">
        <v>1874.0</v>
      </c>
      <c r="B1861" s="3" t="s">
        <v>30</v>
      </c>
      <c r="C1861" s="4" t="str">
        <f>hyperlink("https://terraria.gamepedia.com/Christmas_Tree_decorations","Star Topper 1")</f>
        <v>Star Topper 1</v>
      </c>
    </row>
    <row r="1862">
      <c r="A1862" s="2">
        <v>1875.0</v>
      </c>
      <c r="B1862" s="3" t="s">
        <v>30</v>
      </c>
      <c r="C1862" s="4" t="str">
        <f>hyperlink("https://terraria.gamepedia.com/Christmas_Tree_decorations","Star Topper 2")</f>
        <v>Star Topper 2</v>
      </c>
    </row>
    <row r="1863">
      <c r="A1863" s="2">
        <v>1876.0</v>
      </c>
      <c r="B1863" s="3" t="s">
        <v>30</v>
      </c>
      <c r="C1863" s="4" t="str">
        <f>hyperlink("https://terraria.gamepedia.com/Christmas_Tree_decorations","Star Topper 3")</f>
        <v>Star Topper 3</v>
      </c>
    </row>
    <row r="1864">
      <c r="A1864" s="2">
        <v>1877.0</v>
      </c>
      <c r="B1864" s="3" t="s">
        <v>30</v>
      </c>
      <c r="C1864" s="4" t="str">
        <f>hyperlink("https://terraria.gamepedia.com/Christmas_Tree_decorations","Bow Topper")</f>
        <v>Bow Topper</v>
      </c>
    </row>
    <row r="1865">
      <c r="A1865" s="2">
        <v>1878.0</v>
      </c>
      <c r="B1865" s="3" t="s">
        <v>30</v>
      </c>
      <c r="C1865" s="4" t="str">
        <f>hyperlink("https://terraria.gamepedia.com/Christmas_Tree_decorations","White Garland")</f>
        <v>White Garland</v>
      </c>
    </row>
    <row r="1866">
      <c r="A1866" s="2">
        <v>1879.0</v>
      </c>
      <c r="B1866" s="3" t="s">
        <v>30</v>
      </c>
      <c r="C1866" s="4" t="str">
        <f>hyperlink("https://terraria.gamepedia.com/Christmas_Tree_decorations","White and Red Garland")</f>
        <v>White and Red Garland</v>
      </c>
    </row>
    <row r="1867">
      <c r="A1867" s="2">
        <v>1880.0</v>
      </c>
      <c r="B1867" s="3" t="s">
        <v>30</v>
      </c>
      <c r="C1867" s="4" t="str">
        <f>hyperlink("https://terraria.gamepedia.com/Christmas_Tree_decorations","Red Garland")</f>
        <v>Red Garland</v>
      </c>
    </row>
    <row r="1868">
      <c r="A1868" s="2">
        <v>1881.0</v>
      </c>
      <c r="B1868" s="3" t="s">
        <v>30</v>
      </c>
      <c r="C1868" s="4" t="str">
        <f>hyperlink("https://terraria.gamepedia.com/Christmas_Tree_decorations","Red and Green Garland")</f>
        <v>Red and Green Garland</v>
      </c>
    </row>
    <row r="1869">
      <c r="A1869" s="2">
        <v>1882.0</v>
      </c>
      <c r="B1869" s="3" t="s">
        <v>30</v>
      </c>
      <c r="C1869" s="4" t="str">
        <f>hyperlink("https://terraria.gamepedia.com/Christmas_Tree_decorations","Green Garland")</f>
        <v>Green Garland</v>
      </c>
    </row>
    <row r="1870">
      <c r="A1870" s="2">
        <v>1883.0</v>
      </c>
      <c r="B1870" s="3" t="s">
        <v>30</v>
      </c>
      <c r="C1870" s="4" t="str">
        <f>hyperlink("https://terraria.gamepedia.com/Christmas_Tree_decorations","Green and White Garland")</f>
        <v>Green and White Garland</v>
      </c>
    </row>
    <row r="1871">
      <c r="A1871" s="2">
        <v>1884.0</v>
      </c>
      <c r="B1871" s="3" t="s">
        <v>30</v>
      </c>
      <c r="C1871" s="4" t="str">
        <f>hyperlink("https://terraria.gamepedia.com/Christmas_Tree_decorations","Multicolored Bulb")</f>
        <v>Multicolored Bulb</v>
      </c>
    </row>
    <row r="1872">
      <c r="A1872" s="2">
        <v>1885.0</v>
      </c>
      <c r="B1872" s="3" t="s">
        <v>30</v>
      </c>
      <c r="C1872" s="4" t="str">
        <f>hyperlink("https://terraria.gamepedia.com/Christmas_Tree_decorations","Red Bulb")</f>
        <v>Red Bulb</v>
      </c>
    </row>
    <row r="1873">
      <c r="A1873" s="2">
        <v>1886.0</v>
      </c>
      <c r="B1873" s="3" t="s">
        <v>30</v>
      </c>
      <c r="C1873" s="4" t="str">
        <f>hyperlink("https://terraria.gamepedia.com/Christmas_Tree_decorations","Yellow Bulb")</f>
        <v>Yellow Bulb</v>
      </c>
    </row>
    <row r="1874">
      <c r="A1874" s="2">
        <v>1887.0</v>
      </c>
      <c r="B1874" s="3" t="s">
        <v>30</v>
      </c>
      <c r="C1874" s="4" t="str">
        <f>hyperlink("https://terraria.gamepedia.com/Christmas_Tree_decorations","Green Bulb")</f>
        <v>Green Bulb</v>
      </c>
    </row>
    <row r="1875">
      <c r="A1875" s="2">
        <v>1888.0</v>
      </c>
      <c r="B1875" s="3" t="s">
        <v>30</v>
      </c>
      <c r="C1875" s="4" t="str">
        <f>hyperlink("https://terraria.gamepedia.com/Christmas_Tree_decorations","Red and Green Bulb")</f>
        <v>Red and Green Bulb</v>
      </c>
    </row>
    <row r="1876">
      <c r="A1876" s="2">
        <v>1889.0</v>
      </c>
      <c r="B1876" s="3" t="s">
        <v>30</v>
      </c>
      <c r="C1876" s="4" t="str">
        <f>hyperlink("https://terraria.gamepedia.com/Christmas_Tree_decorations","Yellow and Green Bulb")</f>
        <v>Yellow and Green Bulb</v>
      </c>
    </row>
    <row r="1877">
      <c r="A1877" s="2">
        <v>1890.0</v>
      </c>
      <c r="B1877" s="3" t="s">
        <v>30</v>
      </c>
      <c r="C1877" s="4" t="str">
        <f>hyperlink("https://terraria.gamepedia.com/Christmas_Tree_decorations","Red and Yellow Bulb")</f>
        <v>Red and Yellow Bulb</v>
      </c>
    </row>
    <row r="1878">
      <c r="A1878" s="2">
        <v>1891.0</v>
      </c>
      <c r="B1878" s="3" t="s">
        <v>30</v>
      </c>
      <c r="C1878" s="4" t="str">
        <f>hyperlink("https://terraria.gamepedia.com/Christmas_Tree_decorations","White Bulb")</f>
        <v>White Bulb</v>
      </c>
    </row>
    <row r="1879">
      <c r="A1879" s="2">
        <v>1892.0</v>
      </c>
      <c r="B1879" s="3" t="s">
        <v>30</v>
      </c>
      <c r="C1879" s="4" t="str">
        <f>hyperlink("https://terraria.gamepedia.com/Christmas_Tree_decorations","White and Red Bulb")</f>
        <v>White and Red Bulb</v>
      </c>
    </row>
    <row r="1880">
      <c r="A1880" s="2">
        <v>1893.0</v>
      </c>
      <c r="B1880" s="3" t="s">
        <v>30</v>
      </c>
      <c r="C1880" s="4" t="str">
        <f>hyperlink("https://terraria.gamepedia.com/Christmas_Tree_decorations","White and Yellow Bulb")</f>
        <v>White and Yellow Bulb</v>
      </c>
    </row>
    <row r="1881">
      <c r="A1881" s="2">
        <v>1894.0</v>
      </c>
      <c r="B1881" s="3" t="s">
        <v>30</v>
      </c>
      <c r="C1881" s="4" t="str">
        <f>hyperlink("https://terraria.gamepedia.com/Christmas_Tree_decorations","White and Green Bulb")</f>
        <v>White and Green Bulb</v>
      </c>
    </row>
    <row r="1882">
      <c r="A1882" s="2">
        <v>1895.0</v>
      </c>
      <c r="B1882" s="3" t="s">
        <v>30</v>
      </c>
      <c r="C1882" s="4" t="str">
        <f>hyperlink("https://terraria.gamepedia.com/Christmas_Tree_decorations","Multicolored Lights")</f>
        <v>Multicolored Lights</v>
      </c>
    </row>
    <row r="1883">
      <c r="A1883" s="2">
        <v>1896.0</v>
      </c>
      <c r="B1883" s="3" t="s">
        <v>30</v>
      </c>
      <c r="C1883" s="4" t="str">
        <f>hyperlink("https://terraria.gamepedia.com/Christmas_Tree_decorations","Red Lights")</f>
        <v>Red Lights</v>
      </c>
    </row>
    <row r="1884">
      <c r="A1884" s="2">
        <v>1897.0</v>
      </c>
      <c r="B1884" s="3" t="s">
        <v>30</v>
      </c>
      <c r="C1884" s="4" t="str">
        <f>hyperlink("https://terraria.gamepedia.com/Christmas_Tree_decorations","Green Lights")</f>
        <v>Green Lights</v>
      </c>
    </row>
    <row r="1885">
      <c r="A1885" s="2">
        <v>1898.0</v>
      </c>
      <c r="B1885" s="3" t="s">
        <v>30</v>
      </c>
      <c r="C1885" s="4" t="str">
        <f>hyperlink("https://terraria.gamepedia.com/Christmas_Tree_decorations","Blue Lights")</f>
        <v>Blue Lights</v>
      </c>
    </row>
    <row r="1886">
      <c r="A1886" s="2">
        <v>1899.0</v>
      </c>
      <c r="B1886" s="3" t="s">
        <v>30</v>
      </c>
      <c r="C1886" s="4" t="str">
        <f>hyperlink("https://terraria.gamepedia.com/Christmas_Tree_decorations","Yellow Lights")</f>
        <v>Yellow Lights</v>
      </c>
    </row>
    <row r="1887">
      <c r="A1887" s="2">
        <v>1900.0</v>
      </c>
      <c r="B1887" s="3" t="s">
        <v>30</v>
      </c>
      <c r="C1887" s="4" t="str">
        <f>hyperlink("https://terraria.gamepedia.com/Christmas_Tree_decorations","Red and Yellow Lights")</f>
        <v>Red and Yellow Lights</v>
      </c>
    </row>
    <row r="1888">
      <c r="A1888" s="2">
        <v>1901.0</v>
      </c>
      <c r="B1888" s="3" t="s">
        <v>30</v>
      </c>
      <c r="C1888" s="4" t="str">
        <f>hyperlink("https://terraria.gamepedia.com/Christmas_Tree_decorations","Red and Green Lights")</f>
        <v>Red and Green Lights</v>
      </c>
    </row>
    <row r="1889">
      <c r="A1889" s="2">
        <v>1902.0</v>
      </c>
      <c r="B1889" s="3" t="s">
        <v>30</v>
      </c>
      <c r="C1889" s="4" t="str">
        <f>hyperlink("https://terraria.gamepedia.com/Christmas_Tree_decorations","Yellow and Green Lights")</f>
        <v>Yellow and Green Lights</v>
      </c>
    </row>
    <row r="1890">
      <c r="A1890" s="2">
        <v>1903.0</v>
      </c>
      <c r="B1890" s="3" t="s">
        <v>30</v>
      </c>
      <c r="C1890" s="4" t="str">
        <f>hyperlink("https://terraria.gamepedia.com/Christmas_Tree_decorations","Blue and Green Lights")</f>
        <v>Blue and Green Lights</v>
      </c>
    </row>
    <row r="1891">
      <c r="A1891" s="2">
        <v>1904.0</v>
      </c>
      <c r="B1891" s="3" t="s">
        <v>30</v>
      </c>
      <c r="C1891" s="4" t="str">
        <f>hyperlink("https://terraria.gamepedia.com/Christmas_Tree_decorations","Red and Blue Lights")</f>
        <v>Red and Blue Lights</v>
      </c>
    </row>
    <row r="1892">
      <c r="A1892" s="2">
        <v>1905.0</v>
      </c>
      <c r="B1892" s="3" t="s">
        <v>30</v>
      </c>
      <c r="C1892" s="4" t="str">
        <f>hyperlink("https://terraria.gamepedia.com/Christmas_Tree_decorations","Blue and Yellow Lights")</f>
        <v>Blue and Yellow Lights</v>
      </c>
    </row>
    <row r="1893">
      <c r="A1893" s="2">
        <v>1906.0</v>
      </c>
      <c r="B1893" s="3" t="s">
        <v>23</v>
      </c>
      <c r="C1893" s="4" t="str">
        <f>hyperlink("https://terraria.gamepedia.com/Giant_Bow","Giant Bow")</f>
        <v>Giant Bow</v>
      </c>
    </row>
    <row r="1894">
      <c r="A1894" s="2">
        <v>1907.0</v>
      </c>
      <c r="B1894" s="3" t="s">
        <v>23</v>
      </c>
      <c r="C1894" s="4" t="str">
        <f>hyperlink("https://terraria.gamepedia.com/Reindeer_Antlers","Reindeer Antlers")</f>
        <v>Reindeer Antlers</v>
      </c>
    </row>
    <row r="1895">
      <c r="A1895" s="2">
        <v>1908.0</v>
      </c>
      <c r="B1895" s="3" t="s">
        <v>30</v>
      </c>
      <c r="C1895" s="4" t="str">
        <f>hyperlink("https://terraria.gamepedia.com/Holly","Holly")</f>
        <v>Holly</v>
      </c>
    </row>
    <row r="1896">
      <c r="A1896" s="2">
        <v>1909.0</v>
      </c>
      <c r="B1896" s="3" t="s">
        <v>5</v>
      </c>
      <c r="C1896" s="4" t="str">
        <f>hyperlink("https://terraria.gamepedia.com/Candy_Cane_Sword","Candy Cane Sword")</f>
        <v>Candy Cane Sword</v>
      </c>
    </row>
    <row r="1897">
      <c r="A1897" s="2">
        <v>1910.0</v>
      </c>
      <c r="B1897" s="3" t="s">
        <v>5</v>
      </c>
      <c r="C1897" s="4" t="str">
        <f>hyperlink("https://terraria.gamepedia.com/Elf_Melter","Elf Melter")</f>
        <v>Elf Melter</v>
      </c>
    </row>
    <row r="1898">
      <c r="A1898" s="2">
        <v>1911.0</v>
      </c>
      <c r="B1898" s="3" t="s">
        <v>26</v>
      </c>
      <c r="C1898" s="4" t="str">
        <f>hyperlink("https://terraria.gamepedia.com/Christmas_Pudding","Christmas Pudding")</f>
        <v>Christmas Pudding</v>
      </c>
    </row>
    <row r="1899">
      <c r="A1899" s="2">
        <v>1912.0</v>
      </c>
      <c r="B1899" s="3" t="s">
        <v>26</v>
      </c>
      <c r="C1899" s="4" t="str">
        <f>hyperlink("https://terraria.gamepedia.com/Eggnog","Eggnog")</f>
        <v>Eggnog</v>
      </c>
    </row>
    <row r="1900">
      <c r="A1900" s="2">
        <v>1913.0</v>
      </c>
      <c r="B1900" s="3" t="s">
        <v>18</v>
      </c>
      <c r="C1900" s="4" t="str">
        <f>hyperlink("https://terraria.gamepedia.com/Star_Anise","Star Anise")</f>
        <v>Star Anise</v>
      </c>
    </row>
    <row r="1901">
      <c r="A1901" s="2">
        <v>1914.0</v>
      </c>
      <c r="B1901" s="3" t="s">
        <v>22</v>
      </c>
      <c r="C1901" s="4" t="str">
        <f>hyperlink("https://terraria.gamepedia.com/Reindeer_Bells","Reindeer Bells")</f>
        <v>Reindeer Bells</v>
      </c>
    </row>
    <row r="1902">
      <c r="A1902" s="2">
        <v>1915.0</v>
      </c>
      <c r="B1902" s="3" t="s">
        <v>3</v>
      </c>
      <c r="C1902" s="4" t="str">
        <f>hyperlink("https://terraria.gamepedia.com/Candy_Cane_Hook","Candy Cane Hook")</f>
        <v>Candy Cane Hook</v>
      </c>
    </row>
    <row r="1903">
      <c r="A1903" s="2">
        <v>1916.0</v>
      </c>
      <c r="B1903" s="3" t="s">
        <v>3</v>
      </c>
      <c r="C1903" s="4" t="str">
        <f>hyperlink("https://terraria.gamepedia.com/Hooks","Christmas Hook")</f>
        <v>Christmas Hook</v>
      </c>
    </row>
    <row r="1904">
      <c r="A1904" s="2">
        <v>1917.0</v>
      </c>
      <c r="B1904" s="3" t="s">
        <v>3</v>
      </c>
      <c r="C1904" s="4" t="str">
        <f>hyperlink("https://terraria.gamepedia.com/Candy_Cane_Pickaxe","Candy Cane Pickaxe")</f>
        <v>Candy Cane Pickaxe</v>
      </c>
    </row>
    <row r="1905">
      <c r="A1905" s="2">
        <v>1918.0</v>
      </c>
      <c r="B1905" s="3" t="s">
        <v>5</v>
      </c>
      <c r="C1905" s="4" t="str">
        <f>hyperlink("https://terraria.gamepedia.com/Fruitcake_Chakram","Fruitcake Chakram")</f>
        <v>Fruitcake Chakram</v>
      </c>
    </row>
    <row r="1906">
      <c r="A1906" s="2">
        <v>1919.0</v>
      </c>
      <c r="B1906" s="3" t="s">
        <v>26</v>
      </c>
      <c r="C1906" s="4" t="str">
        <f>hyperlink("https://terraria.gamepedia.com/Sugar_Cookie","Sugar Cookie")</f>
        <v>Sugar Cookie</v>
      </c>
    </row>
    <row r="1907">
      <c r="A1907" s="2">
        <v>1920.0</v>
      </c>
      <c r="B1907" s="3" t="s">
        <v>26</v>
      </c>
      <c r="C1907" s="4" t="str">
        <f>hyperlink("https://terraria.gamepedia.com/Gingerbread_Cookie","Gingerbread Cookie")</f>
        <v>Gingerbread Cookie</v>
      </c>
    </row>
    <row r="1908">
      <c r="A1908" s="2">
        <v>1921.0</v>
      </c>
      <c r="B1908" s="3" t="s">
        <v>10</v>
      </c>
      <c r="C1908" s="4" t="str">
        <f>hyperlink("https://terraria.gamepedia.com/Hand_Warmer","Hand Warmer")</f>
        <v>Hand Warmer</v>
      </c>
    </row>
    <row r="1909">
      <c r="A1909" s="2">
        <v>1922.0</v>
      </c>
      <c r="B1909" s="3" t="s">
        <v>30</v>
      </c>
      <c r="C1909" s="4" t="str">
        <f>hyperlink("https://terraria.gamepedia.com/Coal","Coal")</f>
        <v>Coal</v>
      </c>
    </row>
    <row r="1910">
      <c r="A1910" s="2">
        <v>1923.0</v>
      </c>
      <c r="B1910" s="3" t="s">
        <v>10</v>
      </c>
      <c r="C1910" s="4" t="str">
        <f>hyperlink("https://terraria.gamepedia.com/Toolbox","Toolbox")</f>
        <v>Toolbox</v>
      </c>
    </row>
    <row r="1911">
      <c r="A1911" s="2">
        <v>1924.0</v>
      </c>
      <c r="B1911" s="3" t="s">
        <v>31</v>
      </c>
      <c r="C1911" s="4" t="str">
        <f>hyperlink("https://terraria.gamepedia.com/Doors","Pine Door")</f>
        <v>Pine Door</v>
      </c>
    </row>
    <row r="1912">
      <c r="A1912" s="2">
        <v>1925.0</v>
      </c>
      <c r="B1912" s="3" t="s">
        <v>31</v>
      </c>
      <c r="C1912" s="4" t="str">
        <f>hyperlink("https://terraria.gamepedia.com/Chairs","Pine Chair")</f>
        <v>Pine Chair</v>
      </c>
    </row>
    <row r="1913">
      <c r="A1913" s="2">
        <v>1926.0</v>
      </c>
      <c r="B1913" s="3" t="s">
        <v>31</v>
      </c>
      <c r="C1913" s="4" t="str">
        <f>hyperlink("https://terraria.gamepedia.com/Tables","Pine Table")</f>
        <v>Pine Table</v>
      </c>
    </row>
    <row r="1914">
      <c r="A1914" s="2">
        <v>1927.0</v>
      </c>
      <c r="B1914" s="3" t="s">
        <v>22</v>
      </c>
      <c r="C1914" s="4" t="str">
        <f>hyperlink("https://terraria.gamepedia.com/Dog_Whistle","Dog Whistle")</f>
        <v>Dog Whistle</v>
      </c>
    </row>
    <row r="1915">
      <c r="A1915" s="2">
        <v>1928.0</v>
      </c>
      <c r="B1915" s="3" t="s">
        <v>5</v>
      </c>
      <c r="C1915" s="4" t="str">
        <f>hyperlink("https://terraria.gamepedia.com/Christmas_Tree_Sword","Christmas Tree Sword")</f>
        <v>Christmas Tree Sword</v>
      </c>
    </row>
    <row r="1916">
      <c r="A1916" s="2">
        <v>1929.0</v>
      </c>
      <c r="B1916" s="3" t="s">
        <v>5</v>
      </c>
      <c r="C1916" s="4" t="str">
        <f>hyperlink("https://terraria.gamepedia.com/Chain_Gun","Chain Gun")</f>
        <v>Chain Gun</v>
      </c>
    </row>
    <row r="1917">
      <c r="A1917" s="2">
        <v>1930.0</v>
      </c>
      <c r="B1917" s="3" t="s">
        <v>5</v>
      </c>
      <c r="C1917" s="4" t="str">
        <f>hyperlink("https://terraria.gamepedia.com/Razorpine","Razorpine")</f>
        <v>Razorpine</v>
      </c>
    </row>
    <row r="1918">
      <c r="A1918" s="2">
        <v>1931.0</v>
      </c>
      <c r="B1918" s="3" t="s">
        <v>5</v>
      </c>
      <c r="C1918" s="4" t="str">
        <f>hyperlink("https://terraria.gamepedia.com/Blizzard_Staff","Blizzard Staff")</f>
        <v>Blizzard Staff</v>
      </c>
    </row>
    <row r="1919">
      <c r="A1919" s="2">
        <v>1932.0</v>
      </c>
      <c r="B1919" s="3" t="s">
        <v>23</v>
      </c>
      <c r="C1919" s="4" t="str">
        <f>hyperlink("https://terraria.gamepedia.com/Mrs._Claus_set","Mrs. Claus Hat")</f>
        <v>Mrs. Claus Hat</v>
      </c>
    </row>
    <row r="1920">
      <c r="A1920" s="2">
        <v>1933.0</v>
      </c>
      <c r="B1920" s="3" t="s">
        <v>23</v>
      </c>
      <c r="C1920" s="4" t="str">
        <f>hyperlink("https://terraria.gamepedia.com/Mrs._Claus_set","Mrs. Claus Shirt")</f>
        <v>Mrs. Claus Shirt</v>
      </c>
    </row>
    <row r="1921">
      <c r="A1921" s="2">
        <v>1934.0</v>
      </c>
      <c r="B1921" s="3" t="s">
        <v>23</v>
      </c>
      <c r="C1921" s="4" t="str">
        <f>hyperlink("https://terraria.gamepedia.com/Mrs._Claus_set","Mrs. Claus Heels")</f>
        <v>Mrs. Claus Heels</v>
      </c>
    </row>
    <row r="1922">
      <c r="A1922" s="2">
        <v>1935.0</v>
      </c>
      <c r="B1922" s="3" t="s">
        <v>23</v>
      </c>
      <c r="C1922" s="4" t="str">
        <f>hyperlink("https://terraria.gamepedia.com/Parka_set","Parka Hood")</f>
        <v>Parka Hood</v>
      </c>
    </row>
    <row r="1923">
      <c r="A1923" s="2">
        <v>1936.0</v>
      </c>
      <c r="B1923" s="3" t="s">
        <v>23</v>
      </c>
      <c r="C1923" s="4" t="str">
        <f>hyperlink("https://terraria.gamepedia.com/Parka_set","Parka Coat")</f>
        <v>Parka Coat</v>
      </c>
    </row>
    <row r="1924">
      <c r="A1924" s="2">
        <v>1937.0</v>
      </c>
      <c r="B1924" s="3" t="s">
        <v>23</v>
      </c>
      <c r="C1924" s="4" t="str">
        <f>hyperlink("https://terraria.gamepedia.com/Parka_set","Parka Pants")</f>
        <v>Parka Pants</v>
      </c>
    </row>
    <row r="1925">
      <c r="A1925" s="2">
        <v>1938.0</v>
      </c>
      <c r="B1925" s="3" t="s">
        <v>23</v>
      </c>
      <c r="C1925" s="4" t="str">
        <f>hyperlink("https://terraria.gamepedia.com/Snow_Hat","Snow Hat")</f>
        <v>Snow Hat</v>
      </c>
    </row>
    <row r="1926">
      <c r="A1926" s="2">
        <v>1939.0</v>
      </c>
      <c r="B1926" s="3" t="s">
        <v>23</v>
      </c>
      <c r="C1926" s="4" t="str">
        <f>hyperlink("https://terraria.gamepedia.com/Ugly_Sweater","Ugly Sweater")</f>
        <v>Ugly Sweater</v>
      </c>
    </row>
    <row r="1927">
      <c r="A1927" s="2">
        <v>1940.0</v>
      </c>
      <c r="B1927" s="3" t="s">
        <v>23</v>
      </c>
      <c r="C1927" s="4" t="str">
        <f>hyperlink("https://terraria.gamepedia.com/Tree_set","Tree Mask")</f>
        <v>Tree Mask</v>
      </c>
    </row>
    <row r="1928">
      <c r="A1928" s="2">
        <v>1941.0</v>
      </c>
      <c r="B1928" s="3" t="s">
        <v>23</v>
      </c>
      <c r="C1928" s="4" t="str">
        <f>hyperlink("https://terraria.gamepedia.com/Tree_set","Tree Shirt")</f>
        <v>Tree Shirt</v>
      </c>
    </row>
    <row r="1929">
      <c r="A1929" s="2">
        <v>1942.0</v>
      </c>
      <c r="B1929" s="3" t="s">
        <v>23</v>
      </c>
      <c r="C1929" s="4" t="str">
        <f>hyperlink("https://terraria.gamepedia.com/Tree_set","Tree Trunks")</f>
        <v>Tree Trunks</v>
      </c>
    </row>
    <row r="1930">
      <c r="A1930" s="2">
        <v>1943.0</v>
      </c>
      <c r="B1930" s="3" t="s">
        <v>23</v>
      </c>
      <c r="C1930" s="4" t="str">
        <f>hyperlink("https://terraria.gamepedia.com/Elf_set","Elf Hat")</f>
        <v>Elf Hat</v>
      </c>
    </row>
    <row r="1931">
      <c r="A1931" s="2">
        <v>1944.0</v>
      </c>
      <c r="B1931" s="3" t="s">
        <v>23</v>
      </c>
      <c r="C1931" s="4" t="str">
        <f>hyperlink("https://terraria.gamepedia.com/Elf_set","Elf Shirt")</f>
        <v>Elf Shirt</v>
      </c>
    </row>
    <row r="1932">
      <c r="A1932" s="2">
        <v>1945.0</v>
      </c>
      <c r="B1932" s="3" t="s">
        <v>23</v>
      </c>
      <c r="C1932" s="4" t="str">
        <f>hyperlink("https://terraria.gamepedia.com/Elf_set","Elf Pants")</f>
        <v>Elf Pants</v>
      </c>
    </row>
    <row r="1933">
      <c r="A1933" s="2">
        <v>1946.0</v>
      </c>
      <c r="B1933" s="3" t="s">
        <v>5</v>
      </c>
      <c r="C1933" s="4" t="str">
        <f>hyperlink("https://terraria.gamepedia.com/Snowman_Cannon","Snowman Cannon")</f>
        <v>Snowman Cannon</v>
      </c>
    </row>
    <row r="1934">
      <c r="A1934" s="2">
        <v>1947.0</v>
      </c>
      <c r="B1934" s="3" t="s">
        <v>5</v>
      </c>
      <c r="C1934" s="4" t="str">
        <f>hyperlink("https://terraria.gamepedia.com/North_Pole","North Pole")</f>
        <v>North Pole</v>
      </c>
    </row>
    <row r="1935">
      <c r="A1935" s="2">
        <v>1948.0</v>
      </c>
      <c r="B1935" s="3" t="s">
        <v>13</v>
      </c>
      <c r="C1935" s="4" t="str">
        <f>hyperlink("https://terraria.gamepedia.com/Wallpapers","Christmas Tree Wallpaper")</f>
        <v>Christmas Tree Wallpaper</v>
      </c>
    </row>
    <row r="1936">
      <c r="A1936" s="2">
        <v>1949.0</v>
      </c>
      <c r="B1936" s="3" t="s">
        <v>13</v>
      </c>
      <c r="C1936" s="4" t="str">
        <f>hyperlink("https://terraria.gamepedia.com/Wallpapers","Ornament Wallpaper")</f>
        <v>Ornament Wallpaper</v>
      </c>
    </row>
    <row r="1937">
      <c r="A1937" s="2">
        <v>1950.0</v>
      </c>
      <c r="B1937" s="3" t="s">
        <v>13</v>
      </c>
      <c r="C1937" s="4" t="str">
        <f>hyperlink("https://terraria.gamepedia.com/Wallpapers","Candy Cane Wallpaper")</f>
        <v>Candy Cane Wallpaper</v>
      </c>
    </row>
    <row r="1938">
      <c r="A1938" s="2">
        <v>1951.0</v>
      </c>
      <c r="B1938" s="3" t="s">
        <v>13</v>
      </c>
      <c r="C1938" s="4" t="str">
        <f>hyperlink("https://terraria.gamepedia.com/Wallpapers","Festive Wallpaper")</f>
        <v>Festive Wallpaper</v>
      </c>
    </row>
    <row r="1939">
      <c r="A1939" s="2">
        <v>1952.0</v>
      </c>
      <c r="B1939" s="3" t="s">
        <v>13</v>
      </c>
      <c r="C1939" s="4" t="str">
        <f>hyperlink("https://terraria.gamepedia.com/Wallpapers","Stars Wallpaper")</f>
        <v>Stars Wallpaper</v>
      </c>
    </row>
    <row r="1940">
      <c r="A1940" s="2">
        <v>1953.0</v>
      </c>
      <c r="B1940" s="3" t="s">
        <v>13</v>
      </c>
      <c r="C1940" s="4" t="str">
        <f>hyperlink("https://terraria.gamepedia.com/Wallpapers","Squiggles Wallpaper")</f>
        <v>Squiggles Wallpaper</v>
      </c>
    </row>
    <row r="1941">
      <c r="A1941" s="2">
        <v>1954.0</v>
      </c>
      <c r="B1941" s="3" t="s">
        <v>13</v>
      </c>
      <c r="C1941" s="4" t="str">
        <f>hyperlink("https://terraria.gamepedia.com/Wallpapers","Snowflake Wallpaper")</f>
        <v>Snowflake Wallpaper</v>
      </c>
    </row>
    <row r="1942">
      <c r="A1942" s="2">
        <v>1955.0</v>
      </c>
      <c r="B1942" s="3" t="s">
        <v>13</v>
      </c>
      <c r="C1942" s="4" t="str">
        <f>hyperlink("https://terraria.gamepedia.com/Wallpapers","Krampus Horn Wallpaper")</f>
        <v>Krampus Horn Wallpaper</v>
      </c>
    </row>
    <row r="1943">
      <c r="A1943" s="2">
        <v>1956.0</v>
      </c>
      <c r="B1943" s="3" t="s">
        <v>13</v>
      </c>
      <c r="C1943" s="4" t="str">
        <f>hyperlink("https://terraria.gamepedia.com/Wallpapers","Bluegreen Wallpaper")</f>
        <v>Bluegreen Wallpaper</v>
      </c>
    </row>
    <row r="1944">
      <c r="A1944" s="2">
        <v>1957.0</v>
      </c>
      <c r="B1944" s="3" t="s">
        <v>13</v>
      </c>
      <c r="C1944" s="4" t="str">
        <f>hyperlink("https://terraria.gamepedia.com/Wallpapers","Grinch Finger Wallpaper")</f>
        <v>Grinch Finger Wallpaper</v>
      </c>
    </row>
    <row r="1945">
      <c r="A1945" s="2">
        <v>1958.0</v>
      </c>
      <c r="B1945" s="3" t="s">
        <v>19</v>
      </c>
      <c r="C1945" s="4" t="str">
        <f>hyperlink("https://terraria.gamepedia.com/Naughty_Present","Naughty Present")</f>
        <v>Naughty Present</v>
      </c>
    </row>
    <row r="1946">
      <c r="A1946" s="2">
        <v>1959.0</v>
      </c>
      <c r="B1946" s="3" t="s">
        <v>22</v>
      </c>
      <c r="C1946" s="4" t="str">
        <f>hyperlink("https://terraria.gamepedia.com/Baby_Grinch's_Mischief_Whistle","Baby Grinch's Mischief Whistle")</f>
        <v>Baby Grinch's Mischief Whistle</v>
      </c>
    </row>
    <row r="1947">
      <c r="A1947" s="2">
        <v>1960.0</v>
      </c>
      <c r="B1947" s="3" t="s">
        <v>35</v>
      </c>
      <c r="C1947" s="4" t="str">
        <f>hyperlink("https://terraria.gamepedia.com/Trophies","Ice Queen Trophy")</f>
        <v>Ice Queen Trophy</v>
      </c>
    </row>
    <row r="1948">
      <c r="A1948" s="2">
        <v>1961.0</v>
      </c>
      <c r="B1948" s="3" t="s">
        <v>35</v>
      </c>
      <c r="C1948" s="4" t="str">
        <f>hyperlink("https://terraria.gamepedia.com/Trophies","Santa-NK1 Trophy")</f>
        <v>Santa-NK1 Trophy</v>
      </c>
    </row>
    <row r="1949">
      <c r="A1949" s="2">
        <v>1962.0</v>
      </c>
      <c r="B1949" s="3" t="s">
        <v>35</v>
      </c>
      <c r="C1949" s="4" t="str">
        <f>hyperlink("https://terraria.gamepedia.com/Trophies","Everscream Trophy")</f>
        <v>Everscream Trophy</v>
      </c>
    </row>
    <row r="1950">
      <c r="A1950" s="2">
        <v>1963.0</v>
      </c>
      <c r="B1950" s="3" t="s">
        <v>29</v>
      </c>
      <c r="C1950" s="4" t="str">
        <f>hyperlink("https://terraria.gamepedia.com/Music_Boxes","Music Box (Pumpkin Moon)")</f>
        <v>Music Box (Pumpkin Moon)</v>
      </c>
    </row>
    <row r="1951">
      <c r="A1951" s="2">
        <v>1964.0</v>
      </c>
      <c r="B1951" s="3" t="s">
        <v>29</v>
      </c>
      <c r="C1951" s="4" t="str">
        <f>hyperlink("https://terraria.gamepedia.com/Music_Boxes","Music Box (Alt Underground)")</f>
        <v>Music Box (Alt Underground)</v>
      </c>
    </row>
    <row r="1952">
      <c r="A1952" s="2">
        <v>1965.0</v>
      </c>
      <c r="B1952" s="3" t="s">
        <v>29</v>
      </c>
      <c r="C1952" s="4" t="str">
        <f>hyperlink("https://terraria.gamepedia.com/Music_Boxes","Music Box (Frost Moon)")</f>
        <v>Music Box (Frost Moon)</v>
      </c>
    </row>
    <row r="1953">
      <c r="A1953" s="2">
        <v>1966.0</v>
      </c>
      <c r="B1953" s="3" t="s">
        <v>33</v>
      </c>
      <c r="C1953" s="4" t="str">
        <f>hyperlink("https://terraria.gamepedia.com/Paints","Brown Paint")</f>
        <v>Brown Paint</v>
      </c>
    </row>
    <row r="1954">
      <c r="A1954" s="2">
        <v>1967.0</v>
      </c>
      <c r="B1954" s="3" t="s">
        <v>33</v>
      </c>
      <c r="C1954" s="4" t="str">
        <f>hyperlink("https://terraria.gamepedia.com/Paints","Shadow Paint")</f>
        <v>Shadow Paint</v>
      </c>
    </row>
    <row r="1955">
      <c r="A1955" s="2">
        <v>1968.0</v>
      </c>
      <c r="B1955" s="3" t="s">
        <v>33</v>
      </c>
      <c r="C1955" s="4" t="str">
        <f>hyperlink("https://terraria.gamepedia.com/Paints","Negative Paint")</f>
        <v>Negative Paint</v>
      </c>
    </row>
    <row r="1956">
      <c r="A1956" s="2">
        <v>1969.0</v>
      </c>
      <c r="B1956" s="3" t="s">
        <v>33</v>
      </c>
      <c r="C1956" s="4" t="str">
        <f>hyperlink("https://terraria.gamepedia.com/Team_Dye","Team Dye")</f>
        <v>Team Dye</v>
      </c>
    </row>
    <row r="1957">
      <c r="A1957" s="2">
        <v>1970.0</v>
      </c>
      <c r="B1957" s="3" t="s">
        <v>4</v>
      </c>
      <c r="C1957" s="4" t="str">
        <f>hyperlink("https://terraria.gamepedia.com/Gemspark_Blocks","Amethyst Gemspark Block")</f>
        <v>Amethyst Gemspark Block</v>
      </c>
    </row>
    <row r="1958">
      <c r="A1958" s="2">
        <v>1971.0</v>
      </c>
      <c r="B1958" s="3" t="s">
        <v>4</v>
      </c>
      <c r="C1958" s="4" t="str">
        <f>hyperlink("https://terraria.gamepedia.com/Gemspark_Blocks","Topaz Gemspark Block")</f>
        <v>Topaz Gemspark Block</v>
      </c>
    </row>
    <row r="1959">
      <c r="A1959" s="2">
        <v>1972.0</v>
      </c>
      <c r="B1959" s="3" t="s">
        <v>4</v>
      </c>
      <c r="C1959" s="4" t="str">
        <f>hyperlink("https://terraria.gamepedia.com/Gemspark_Blocks","Sapphire Gemspark Block")</f>
        <v>Sapphire Gemspark Block</v>
      </c>
    </row>
    <row r="1960">
      <c r="A1960" s="2">
        <v>1973.0</v>
      </c>
      <c r="B1960" s="3" t="s">
        <v>4</v>
      </c>
      <c r="C1960" s="4" t="str">
        <f>hyperlink("https://terraria.gamepedia.com/Gemspark_Blocks","Emerald Gemspark Block")</f>
        <v>Emerald Gemspark Block</v>
      </c>
    </row>
    <row r="1961">
      <c r="A1961" s="2">
        <v>1974.0</v>
      </c>
      <c r="B1961" s="3" t="s">
        <v>4</v>
      </c>
      <c r="C1961" s="4" t="str">
        <f>hyperlink("https://terraria.gamepedia.com/Gemspark_Blocks","Ruby Gemspark Block")</f>
        <v>Ruby Gemspark Block</v>
      </c>
    </row>
    <row r="1962">
      <c r="A1962" s="2">
        <v>1975.0</v>
      </c>
      <c r="B1962" s="3" t="s">
        <v>4</v>
      </c>
      <c r="C1962" s="4" t="str">
        <f>hyperlink("https://terraria.gamepedia.com/Gemspark_Blocks","Diamond Gemspark Block")</f>
        <v>Diamond Gemspark Block</v>
      </c>
    </row>
    <row r="1963">
      <c r="A1963" s="2">
        <v>1976.0</v>
      </c>
      <c r="B1963" s="3" t="s">
        <v>4</v>
      </c>
      <c r="C1963" s="4" t="str">
        <f>hyperlink("https://terraria.gamepedia.com/Gemspark_Blocks","Amber Gemspark Block")</f>
        <v>Amber Gemspark Block</v>
      </c>
    </row>
    <row r="1964">
      <c r="A1964" s="2">
        <v>1977.0</v>
      </c>
      <c r="B1964" s="3" t="s">
        <v>33</v>
      </c>
      <c r="C1964" s="4" t="str">
        <f>hyperlink("https://terraria.gamepedia.com/Hair_Dyes","Life Hair Dye")</f>
        <v>Life Hair Dye</v>
      </c>
    </row>
    <row r="1965">
      <c r="A1965" s="2">
        <v>1978.0</v>
      </c>
      <c r="B1965" s="3" t="s">
        <v>33</v>
      </c>
      <c r="C1965" s="4" t="str">
        <f>hyperlink("https://terraria.gamepedia.com/Hair_Dyes","Mana Hair Dye")</f>
        <v>Mana Hair Dye</v>
      </c>
    </row>
    <row r="1966">
      <c r="A1966" s="2">
        <v>1979.0</v>
      </c>
      <c r="B1966" s="3" t="s">
        <v>33</v>
      </c>
      <c r="C1966" s="4" t="str">
        <f>hyperlink("https://terraria.gamepedia.com/Hair_Dyes","Depth Hair Dye")</f>
        <v>Depth Hair Dye</v>
      </c>
    </row>
    <row r="1967">
      <c r="A1967" s="2">
        <v>1980.0</v>
      </c>
      <c r="B1967" s="3" t="s">
        <v>33</v>
      </c>
      <c r="C1967" s="4" t="str">
        <f>hyperlink("https://terraria.gamepedia.com/Hair_Dyes","Money Hair Dye")</f>
        <v>Money Hair Dye</v>
      </c>
    </row>
    <row r="1968">
      <c r="A1968" s="2">
        <v>1981.0</v>
      </c>
      <c r="B1968" s="3" t="s">
        <v>33</v>
      </c>
      <c r="C1968" s="4" t="str">
        <f>hyperlink("https://terraria.gamepedia.com/Hair_Dyes","Time Hair Dye")</f>
        <v>Time Hair Dye</v>
      </c>
    </row>
    <row r="1969">
      <c r="A1969" s="2">
        <v>1982.0</v>
      </c>
      <c r="B1969" s="3" t="s">
        <v>33</v>
      </c>
      <c r="C1969" s="4" t="str">
        <f>hyperlink("https://terraria.gamepedia.com/Hair_Dyes","Team Hair Dye")</f>
        <v>Team Hair Dye</v>
      </c>
    </row>
    <row r="1970">
      <c r="A1970" s="2">
        <v>1983.0</v>
      </c>
      <c r="B1970" s="3" t="s">
        <v>33</v>
      </c>
      <c r="C1970" s="4" t="str">
        <f>hyperlink("https://terraria.gamepedia.com/Hair_Dyes","Biome Hair Dye")</f>
        <v>Biome Hair Dye</v>
      </c>
    </row>
    <row r="1971">
      <c r="A1971" s="2">
        <v>1984.0</v>
      </c>
      <c r="B1971" s="3" t="s">
        <v>33</v>
      </c>
      <c r="C1971" s="4" t="str">
        <f>hyperlink("https://terraria.gamepedia.com/Hair_Dyes","Party Hair Dye")</f>
        <v>Party Hair Dye</v>
      </c>
    </row>
    <row r="1972">
      <c r="A1972" s="2">
        <v>1985.0</v>
      </c>
      <c r="B1972" s="3" t="s">
        <v>33</v>
      </c>
      <c r="C1972" s="4" t="str">
        <f>hyperlink("https://terraria.gamepedia.com/Hair_Dyes","Rainbow Hair Dye")</f>
        <v>Rainbow Hair Dye</v>
      </c>
    </row>
    <row r="1973">
      <c r="A1973" s="2">
        <v>1986.0</v>
      </c>
      <c r="B1973" s="3" t="s">
        <v>33</v>
      </c>
      <c r="C1973" s="4" t="str">
        <f>hyperlink("https://terraria.gamepedia.com/Hair_Dyes","Speed Hair Dye")</f>
        <v>Speed Hair Dye</v>
      </c>
    </row>
    <row r="1974">
      <c r="A1974" s="2">
        <v>1987.0</v>
      </c>
      <c r="B1974" s="3" t="s">
        <v>23</v>
      </c>
      <c r="C1974" s="4" t="str">
        <f>hyperlink("https://terraria.gamepedia.com/Angel_Halo","Angel Halo")</f>
        <v>Angel Halo</v>
      </c>
    </row>
    <row r="1975">
      <c r="A1975" s="2">
        <v>1988.0</v>
      </c>
      <c r="B1975" s="3" t="s">
        <v>23</v>
      </c>
      <c r="C1975" s="4" t="str">
        <f>hyperlink("https://terraria.gamepedia.com/Fez","Fez")</f>
        <v>Fez</v>
      </c>
    </row>
    <row r="1976">
      <c r="A1976" s="2">
        <v>1989.0</v>
      </c>
      <c r="B1976" s="3" t="s">
        <v>12</v>
      </c>
      <c r="C1976" s="4" t="str">
        <f>hyperlink("https://terraria.gamepedia.com/Womannequin","Womannequin")</f>
        <v>Womannequin</v>
      </c>
    </row>
    <row r="1977">
      <c r="A1977" s="2">
        <v>1990.0</v>
      </c>
      <c r="B1977" s="3" t="s">
        <v>33</v>
      </c>
      <c r="C1977" s="4" t="str">
        <f>hyperlink("https://terraria.gamepedia.com/Hair_Dyes","Hair Dye Remover")</f>
        <v>Hair Dye Remover</v>
      </c>
    </row>
    <row r="1978">
      <c r="A1978" s="2">
        <v>1991.0</v>
      </c>
      <c r="B1978" s="3" t="s">
        <v>3</v>
      </c>
      <c r="C1978" s="4" t="str">
        <f>hyperlink("https://terraria.gamepedia.com/Bug_Net","Bug Net")</f>
        <v>Bug Net</v>
      </c>
    </row>
    <row r="1979">
      <c r="A1979" s="2">
        <v>1992.0</v>
      </c>
      <c r="B1979" s="3" t="s">
        <v>24</v>
      </c>
      <c r="C1979" s="4" t="str">
        <f>hyperlink("https://terraria.gamepedia.com/Firefly","Firefly")</f>
        <v>Firefly</v>
      </c>
    </row>
    <row r="1980">
      <c r="A1980" s="2">
        <v>1993.0</v>
      </c>
      <c r="B1980" s="3" t="s">
        <v>24</v>
      </c>
      <c r="C1980" s="4" t="str">
        <f>hyperlink("https://terraria.gamepedia.com/Lanterns","Firefly in a Bottle")</f>
        <v>Firefly in a Bottle</v>
      </c>
    </row>
    <row r="1981">
      <c r="A1981" s="2">
        <v>1994.0</v>
      </c>
      <c r="B1981" s="3" t="s">
        <v>24</v>
      </c>
      <c r="C1981" s="4" t="str">
        <f>hyperlink("https://terraria.gamepedia.com/Butterflies","Monarch Butterfly")</f>
        <v>Monarch Butterfly</v>
      </c>
    </row>
    <row r="1982">
      <c r="A1982" s="2">
        <v>1995.0</v>
      </c>
      <c r="B1982" s="3" t="s">
        <v>24</v>
      </c>
      <c r="C1982" s="4" t="str">
        <f>hyperlink("https://terraria.gamepedia.com/Butterflies","Purple Emperor Butterfly")</f>
        <v>Purple Emperor Butterfly</v>
      </c>
    </row>
    <row r="1983">
      <c r="A1983" s="2">
        <v>1996.0</v>
      </c>
      <c r="B1983" s="3" t="s">
        <v>24</v>
      </c>
      <c r="C1983" s="4" t="str">
        <f>hyperlink("https://terraria.gamepedia.com/Butterflies","Red Admiral Butterfly")</f>
        <v>Red Admiral Butterfly</v>
      </c>
    </row>
    <row r="1984">
      <c r="A1984" s="2">
        <v>1997.0</v>
      </c>
      <c r="B1984" s="3" t="s">
        <v>24</v>
      </c>
      <c r="C1984" s="4" t="str">
        <f>hyperlink("https://terraria.gamepedia.com/Butterflies","Ulysses Butterfly")</f>
        <v>Ulysses Butterfly</v>
      </c>
    </row>
    <row r="1985">
      <c r="A1985" s="2">
        <v>1998.0</v>
      </c>
      <c r="B1985" s="3" t="s">
        <v>24</v>
      </c>
      <c r="C1985" s="4" t="str">
        <f>hyperlink("https://terraria.gamepedia.com/Butterflies","Sulphur Butterfly")</f>
        <v>Sulphur Butterfly</v>
      </c>
    </row>
    <row r="1986">
      <c r="A1986" s="2">
        <v>1999.0</v>
      </c>
      <c r="B1986" s="3" t="s">
        <v>24</v>
      </c>
      <c r="C1986" s="4" t="str">
        <f>hyperlink("https://terraria.gamepedia.com/Butterflies","Tree Nymph Butterfly")</f>
        <v>Tree Nymph Butterfly</v>
      </c>
    </row>
    <row r="1987">
      <c r="A1987" s="2">
        <v>2000.0</v>
      </c>
      <c r="B1987" s="3" t="s">
        <v>24</v>
      </c>
      <c r="C1987" s="4" t="str">
        <f>hyperlink("https://terraria.gamepedia.com/Butterflies","Zebra Swallowtail Butterfly")</f>
        <v>Zebra Swallowtail Butterfly</v>
      </c>
    </row>
    <row r="1988">
      <c r="A1988" s="2">
        <v>2001.0</v>
      </c>
      <c r="B1988" s="3" t="s">
        <v>24</v>
      </c>
      <c r="C1988" s="4" t="str">
        <f>hyperlink("https://terraria.gamepedia.com/Butterflies","Julia Butterfly")</f>
        <v>Julia Butterfly</v>
      </c>
    </row>
    <row r="1989">
      <c r="A1989" s="2">
        <v>2002.0</v>
      </c>
      <c r="B1989" s="3" t="s">
        <v>24</v>
      </c>
      <c r="C1989" s="4" t="str">
        <f>hyperlink("https://terraria.gamepedia.com/Worm","Worm")</f>
        <v>Worm</v>
      </c>
    </row>
    <row r="1990">
      <c r="A1990" s="2">
        <v>2003.0</v>
      </c>
      <c r="B1990" s="3" t="s">
        <v>24</v>
      </c>
      <c r="C1990" s="4" t="str">
        <f>hyperlink("https://terraria.gamepedia.com/Mouse","Mouse")</f>
        <v>Mouse</v>
      </c>
    </row>
    <row r="1991">
      <c r="A1991" s="2">
        <v>2004.0</v>
      </c>
      <c r="B1991" s="3" t="s">
        <v>24</v>
      </c>
      <c r="C1991" s="4" t="str">
        <f>hyperlink("https://terraria.gamepedia.com/Lightning_Bug","Lightning Bug")</f>
        <v>Lightning Bug</v>
      </c>
    </row>
    <row r="1992">
      <c r="A1992" s="2">
        <v>2005.0</v>
      </c>
      <c r="B1992" s="3" t="s">
        <v>24</v>
      </c>
      <c r="C1992" s="4" t="str">
        <f>hyperlink("https://terraria.gamepedia.com/Lanterns","Lightning Bug in a Bottle")</f>
        <v>Lightning Bug in a Bottle</v>
      </c>
    </row>
    <row r="1993">
      <c r="A1993" s="2">
        <v>2006.0</v>
      </c>
      <c r="B1993" s="3" t="s">
        <v>24</v>
      </c>
      <c r="C1993" s="4" t="str">
        <f>hyperlink("https://terraria.gamepedia.com/Snail","Snail")</f>
        <v>Snail</v>
      </c>
    </row>
    <row r="1994">
      <c r="A1994" s="2">
        <v>2007.0</v>
      </c>
      <c r="B1994" s="3" t="s">
        <v>24</v>
      </c>
      <c r="C1994" s="4" t="str">
        <f>hyperlink("https://terraria.gamepedia.com/Glowing_Snail","Glowing Snail")</f>
        <v>Glowing Snail</v>
      </c>
    </row>
    <row r="1995">
      <c r="A1995" s="2">
        <v>2008.0</v>
      </c>
      <c r="B1995" s="3" t="s">
        <v>13</v>
      </c>
      <c r="C1995" s="4" t="str">
        <f>hyperlink("https://terraria.gamepedia.com/Wallpapers","Fancy Gray Wallpaper")</f>
        <v>Fancy Gray Wallpaper</v>
      </c>
    </row>
    <row r="1996">
      <c r="A1996" s="2">
        <v>2009.0</v>
      </c>
      <c r="B1996" s="3" t="s">
        <v>13</v>
      </c>
      <c r="C1996" s="4" t="str">
        <f>hyperlink("https://terraria.gamepedia.com/Wallpapers","Ice Floe Wallpaper")</f>
        <v>Ice Floe Wallpaper</v>
      </c>
    </row>
    <row r="1997">
      <c r="A1997" s="2">
        <v>2010.0</v>
      </c>
      <c r="B1997" s="3" t="s">
        <v>13</v>
      </c>
      <c r="C1997" s="4" t="str">
        <f>hyperlink("https://terraria.gamepedia.com/Wallpapers","Music Wallpaper")</f>
        <v>Music Wallpaper</v>
      </c>
    </row>
    <row r="1998">
      <c r="A1998" s="2">
        <v>2011.0</v>
      </c>
      <c r="B1998" s="3" t="s">
        <v>13</v>
      </c>
      <c r="C1998" s="4" t="str">
        <f>hyperlink("https://terraria.gamepedia.com/Wallpapers","Purple Rain Wallpaper")</f>
        <v>Purple Rain Wallpaper</v>
      </c>
    </row>
    <row r="1999">
      <c r="A1999" s="2">
        <v>2012.0</v>
      </c>
      <c r="B1999" s="3" t="s">
        <v>13</v>
      </c>
      <c r="C1999" s="4" t="str">
        <f>hyperlink("https://terraria.gamepedia.com/Wallpapers","Rainbow Wallpaper")</f>
        <v>Rainbow Wallpaper</v>
      </c>
    </row>
    <row r="2000">
      <c r="A2000" s="2">
        <v>2013.0</v>
      </c>
      <c r="B2000" s="3" t="s">
        <v>13</v>
      </c>
      <c r="C2000" s="4" t="str">
        <f>hyperlink("https://terraria.gamepedia.com/Wallpapers","Sparkle Stone Wallpaper")</f>
        <v>Sparkle Stone Wallpaper</v>
      </c>
    </row>
    <row r="2001">
      <c r="A2001" s="2">
        <v>2014.0</v>
      </c>
      <c r="B2001" s="3" t="s">
        <v>13</v>
      </c>
      <c r="C2001" s="4" t="str">
        <f>hyperlink("https://terraria.gamepedia.com/Wallpapers","Starlit Heaven Wallpaper")</f>
        <v>Starlit Heaven Wallpaper</v>
      </c>
    </row>
    <row r="2002">
      <c r="A2002" s="2">
        <v>2015.0</v>
      </c>
      <c r="B2002" s="3" t="s">
        <v>24</v>
      </c>
      <c r="C2002" s="4" t="str">
        <f>hyperlink("https://terraria.gamepedia.com/Birds","Bird")</f>
        <v>Bird</v>
      </c>
    </row>
    <row r="2003">
      <c r="A2003" s="2">
        <v>2016.0</v>
      </c>
      <c r="B2003" s="3" t="s">
        <v>24</v>
      </c>
      <c r="C2003" s="4" t="str">
        <f>hyperlink("https://terraria.gamepedia.com/Birds","Blue Jay")</f>
        <v>Blue Jay</v>
      </c>
    </row>
    <row r="2004">
      <c r="A2004" s="2">
        <v>2017.0</v>
      </c>
      <c r="B2004" s="3" t="s">
        <v>24</v>
      </c>
      <c r="C2004" s="4" t="str">
        <f>hyperlink("https://terraria.gamepedia.com/Birds","Cardinal")</f>
        <v>Cardinal</v>
      </c>
    </row>
    <row r="2005">
      <c r="A2005" s="2">
        <v>2018.0</v>
      </c>
      <c r="B2005" s="3" t="s">
        <v>24</v>
      </c>
      <c r="C2005" s="4" t="str">
        <f>hyperlink("https://terraria.gamepedia.com/Squirrel","Squirrel")</f>
        <v>Squirrel</v>
      </c>
    </row>
    <row r="2006">
      <c r="A2006" s="2">
        <v>2019.0</v>
      </c>
      <c r="B2006" s="3" t="s">
        <v>24</v>
      </c>
      <c r="C2006" s="4" t="str">
        <f>hyperlink("https://terraria.gamepedia.com/Bunny","Bunny")</f>
        <v>Bunny</v>
      </c>
    </row>
    <row r="2007">
      <c r="A2007" s="2">
        <v>2020.0</v>
      </c>
      <c r="B2007" s="3" t="s">
        <v>31</v>
      </c>
      <c r="C2007" s="4" t="str">
        <f>hyperlink("https://terraria.gamepedia.com/Bookcases","Cactus Bookcase")</f>
        <v>Cactus Bookcase</v>
      </c>
    </row>
    <row r="2008">
      <c r="A2008" s="2">
        <v>2021.0</v>
      </c>
      <c r="B2008" s="3" t="s">
        <v>31</v>
      </c>
      <c r="C2008" s="4" t="str">
        <f>hyperlink("https://terraria.gamepedia.com/Bookcases","Ebonwood Bookcase")</f>
        <v>Ebonwood Bookcase</v>
      </c>
    </row>
    <row r="2009">
      <c r="A2009" s="2">
        <v>2022.0</v>
      </c>
      <c r="B2009" s="3" t="s">
        <v>31</v>
      </c>
      <c r="C2009" s="4" t="str">
        <f>hyperlink("https://terraria.gamepedia.com/Bookcases","Flesh Bookcase")</f>
        <v>Flesh Bookcase</v>
      </c>
    </row>
    <row r="2010">
      <c r="A2010" s="2">
        <v>2023.0</v>
      </c>
      <c r="B2010" s="3" t="s">
        <v>31</v>
      </c>
      <c r="C2010" s="4" t="str">
        <f>hyperlink("https://terraria.gamepedia.com/Bookcases","Honey Bookcase")</f>
        <v>Honey Bookcase</v>
      </c>
    </row>
    <row r="2011">
      <c r="A2011" s="2">
        <v>2024.0</v>
      </c>
      <c r="B2011" s="3" t="s">
        <v>31</v>
      </c>
      <c r="C2011" s="4" t="str">
        <f>hyperlink("https://terraria.gamepedia.com/Bookcases","Steampunk Bookcase")</f>
        <v>Steampunk Bookcase</v>
      </c>
    </row>
    <row r="2012">
      <c r="A2012" s="2">
        <v>2025.0</v>
      </c>
      <c r="B2012" s="3" t="s">
        <v>31</v>
      </c>
      <c r="C2012" s="4" t="str">
        <f>hyperlink("https://terraria.gamepedia.com/Bookcases","Glass Bookcase")</f>
        <v>Glass Bookcase</v>
      </c>
    </row>
    <row r="2013">
      <c r="A2013" s="2">
        <v>2026.0</v>
      </c>
      <c r="B2013" s="3" t="s">
        <v>31</v>
      </c>
      <c r="C2013" s="4" t="str">
        <f>hyperlink("https://terraria.gamepedia.com/Bookcases","Rich Mahogany Bookcase")</f>
        <v>Rich Mahogany Bookcase</v>
      </c>
    </row>
    <row r="2014">
      <c r="A2014" s="2">
        <v>2027.0</v>
      </c>
      <c r="B2014" s="3" t="s">
        <v>31</v>
      </c>
      <c r="C2014" s="4" t="str">
        <f>hyperlink("https://terraria.gamepedia.com/Bookcases","Pearlwood Bookcase")</f>
        <v>Pearlwood Bookcase</v>
      </c>
    </row>
    <row r="2015">
      <c r="A2015" s="2">
        <v>2028.0</v>
      </c>
      <c r="B2015" s="3" t="s">
        <v>31</v>
      </c>
      <c r="C2015" s="4" t="str">
        <f>hyperlink("https://terraria.gamepedia.com/Bookcases","Spooky Bookcase")</f>
        <v>Spooky Bookcase</v>
      </c>
    </row>
    <row r="2016">
      <c r="A2016" s="2">
        <v>2029.0</v>
      </c>
      <c r="B2016" s="3" t="s">
        <v>31</v>
      </c>
      <c r="C2016" s="4" t="str">
        <f>hyperlink("https://terraria.gamepedia.com/Bookcases","Skyware Bookcase")</f>
        <v>Skyware Bookcase</v>
      </c>
    </row>
    <row r="2017">
      <c r="A2017" s="2">
        <v>2030.0</v>
      </c>
      <c r="B2017" s="3" t="s">
        <v>31</v>
      </c>
      <c r="C2017" s="4" t="str">
        <f>hyperlink("https://terraria.gamepedia.com/Bookcases","Lihzahrd Bookcase")</f>
        <v>Lihzahrd Bookcase</v>
      </c>
    </row>
    <row r="2018">
      <c r="A2018" s="2">
        <v>2031.0</v>
      </c>
      <c r="B2018" s="3" t="s">
        <v>31</v>
      </c>
      <c r="C2018" s="4" t="str">
        <f>hyperlink("https://terraria.gamepedia.com/Bookcases","Frozen Bookcase")</f>
        <v>Frozen Bookcase</v>
      </c>
    </row>
    <row r="2019">
      <c r="A2019" s="2">
        <v>2032.0</v>
      </c>
      <c r="B2019" s="3" t="s">
        <v>7</v>
      </c>
      <c r="C2019" s="4" t="str">
        <f>hyperlink("https://terraria.gamepedia.com/Lanterns","Cactus Lantern")</f>
        <v>Cactus Lantern</v>
      </c>
    </row>
    <row r="2020">
      <c r="A2020" s="2">
        <v>2033.0</v>
      </c>
      <c r="B2020" s="3" t="s">
        <v>7</v>
      </c>
      <c r="C2020" s="4" t="str">
        <f>hyperlink("https://terraria.gamepedia.com/Lanterns","Ebonwood Lantern")</f>
        <v>Ebonwood Lantern</v>
      </c>
    </row>
    <row r="2021">
      <c r="A2021" s="2">
        <v>2034.0</v>
      </c>
      <c r="B2021" s="3" t="s">
        <v>7</v>
      </c>
      <c r="C2021" s="4" t="str">
        <f>hyperlink("https://terraria.gamepedia.com/Lanterns","Flesh Lantern")</f>
        <v>Flesh Lantern</v>
      </c>
    </row>
    <row r="2022">
      <c r="A2022" s="2">
        <v>2035.0</v>
      </c>
      <c r="B2022" s="3" t="s">
        <v>7</v>
      </c>
      <c r="C2022" s="4" t="str">
        <f>hyperlink("https://terraria.gamepedia.com/Lanterns","Honey Lantern")</f>
        <v>Honey Lantern</v>
      </c>
    </row>
    <row r="2023">
      <c r="A2023" s="2">
        <v>2036.0</v>
      </c>
      <c r="B2023" s="3" t="s">
        <v>7</v>
      </c>
      <c r="C2023" s="4" t="str">
        <f>hyperlink("https://terraria.gamepedia.com/Lanterns","Steampunk Lantern")</f>
        <v>Steampunk Lantern</v>
      </c>
    </row>
    <row r="2024">
      <c r="A2024" s="2">
        <v>2037.0</v>
      </c>
      <c r="B2024" s="3" t="s">
        <v>7</v>
      </c>
      <c r="C2024" s="4" t="str">
        <f>hyperlink("https://terraria.gamepedia.com/Lanterns","Glass Lantern")</f>
        <v>Glass Lantern</v>
      </c>
    </row>
    <row r="2025">
      <c r="A2025" s="2">
        <v>2038.0</v>
      </c>
      <c r="B2025" s="3" t="s">
        <v>7</v>
      </c>
      <c r="C2025" s="4" t="str">
        <f>hyperlink("https://terraria.gamepedia.com/Lanterns","Rich Mahogany Lantern")</f>
        <v>Rich Mahogany Lantern</v>
      </c>
    </row>
    <row r="2026">
      <c r="A2026" s="2">
        <v>2039.0</v>
      </c>
      <c r="B2026" s="3" t="s">
        <v>7</v>
      </c>
      <c r="C2026" s="4" t="str">
        <f>hyperlink("https://terraria.gamepedia.com/Lanterns","Pearlwood Lantern")</f>
        <v>Pearlwood Lantern</v>
      </c>
    </row>
    <row r="2027">
      <c r="A2027" s="2">
        <v>2040.0</v>
      </c>
      <c r="B2027" s="3" t="s">
        <v>7</v>
      </c>
      <c r="C2027" s="4" t="str">
        <f>hyperlink("https://terraria.gamepedia.com/Lanterns","Frozen Lantern")</f>
        <v>Frozen Lantern</v>
      </c>
    </row>
    <row r="2028">
      <c r="A2028" s="2">
        <v>2041.0</v>
      </c>
      <c r="B2028" s="3" t="s">
        <v>7</v>
      </c>
      <c r="C2028" s="4" t="str">
        <f>hyperlink("https://terraria.gamepedia.com/Lanterns","Lihzahrd Lantern")</f>
        <v>Lihzahrd Lantern</v>
      </c>
    </row>
    <row r="2029">
      <c r="A2029" s="2">
        <v>2042.0</v>
      </c>
      <c r="B2029" s="3" t="s">
        <v>7</v>
      </c>
      <c r="C2029" s="4" t="str">
        <f>hyperlink("https://terraria.gamepedia.com/Lanterns","Skyware Lantern")</f>
        <v>Skyware Lantern</v>
      </c>
    </row>
    <row r="2030">
      <c r="A2030" s="2">
        <v>2043.0</v>
      </c>
      <c r="B2030" s="3" t="s">
        <v>7</v>
      </c>
      <c r="C2030" s="4" t="str">
        <f>hyperlink("https://terraria.gamepedia.com/Lanterns","Spooky Lantern")</f>
        <v>Spooky Lantern</v>
      </c>
    </row>
    <row r="2031">
      <c r="A2031" s="2">
        <v>2044.0</v>
      </c>
      <c r="B2031" s="3" t="s">
        <v>31</v>
      </c>
      <c r="C2031" s="4" t="str">
        <f>hyperlink("https://terraria.gamepedia.com/Doors","Frozen Door")</f>
        <v>Frozen Door</v>
      </c>
    </row>
    <row r="2032">
      <c r="A2032" s="2">
        <v>2045.0</v>
      </c>
      <c r="B2032" s="3" t="s">
        <v>7</v>
      </c>
      <c r="C2032" s="4" t="str">
        <f>hyperlink("https://terraria.gamepedia.com/Candles","Cactus Candle")</f>
        <v>Cactus Candle</v>
      </c>
    </row>
    <row r="2033">
      <c r="A2033" s="2">
        <v>2046.0</v>
      </c>
      <c r="B2033" s="3" t="s">
        <v>7</v>
      </c>
      <c r="C2033" s="4" t="str">
        <f>hyperlink("https://terraria.gamepedia.com/Candles","Ebonwood Candle")</f>
        <v>Ebonwood Candle</v>
      </c>
    </row>
    <row r="2034">
      <c r="A2034" s="2">
        <v>2047.0</v>
      </c>
      <c r="B2034" s="3" t="s">
        <v>7</v>
      </c>
      <c r="C2034" s="4" t="str">
        <f>hyperlink("https://terraria.gamepedia.com/Candles","Flesh Candle")</f>
        <v>Flesh Candle</v>
      </c>
    </row>
    <row r="2035">
      <c r="A2035" s="2">
        <v>2048.0</v>
      </c>
      <c r="B2035" s="3" t="s">
        <v>7</v>
      </c>
      <c r="C2035" s="4" t="str">
        <f>hyperlink("https://terraria.gamepedia.com/Candles","Glass Candle")</f>
        <v>Glass Candle</v>
      </c>
    </row>
    <row r="2036">
      <c r="A2036" s="2">
        <v>2049.0</v>
      </c>
      <c r="B2036" s="3" t="s">
        <v>7</v>
      </c>
      <c r="C2036" s="4" t="str">
        <f>hyperlink("https://terraria.gamepedia.com/Candles","Frozen Candle")</f>
        <v>Frozen Candle</v>
      </c>
    </row>
    <row r="2037">
      <c r="A2037" s="2">
        <v>2050.0</v>
      </c>
      <c r="B2037" s="3" t="s">
        <v>7</v>
      </c>
      <c r="C2037" s="4" t="str">
        <f>hyperlink("https://terraria.gamepedia.com/Candles","Rich Mahogany Candle")</f>
        <v>Rich Mahogany Candle</v>
      </c>
    </row>
    <row r="2038">
      <c r="A2038" s="2">
        <v>2051.0</v>
      </c>
      <c r="B2038" s="3" t="s">
        <v>7</v>
      </c>
      <c r="C2038" s="4" t="str">
        <f>hyperlink("https://terraria.gamepedia.com/Candles","Pearlwood Candle")</f>
        <v>Pearlwood Candle</v>
      </c>
    </row>
    <row r="2039">
      <c r="A2039" s="2">
        <v>2052.0</v>
      </c>
      <c r="B2039" s="3" t="s">
        <v>7</v>
      </c>
      <c r="C2039" s="4" t="str">
        <f>hyperlink("https://terraria.gamepedia.com/Candles","Lihzahrd Candle")</f>
        <v>Lihzahrd Candle</v>
      </c>
    </row>
    <row r="2040">
      <c r="A2040" s="2">
        <v>2053.0</v>
      </c>
      <c r="B2040" s="3" t="s">
        <v>7</v>
      </c>
      <c r="C2040" s="4" t="str">
        <f>hyperlink("https://terraria.gamepedia.com/Candles","Skyware Candle")</f>
        <v>Skyware Candle</v>
      </c>
    </row>
    <row r="2041">
      <c r="A2041" s="2">
        <v>2054.0</v>
      </c>
      <c r="B2041" s="3" t="s">
        <v>7</v>
      </c>
      <c r="C2041" s="4" t="str">
        <f>hyperlink("https://terraria.gamepedia.com/Candles","Pumpkin Candle")</f>
        <v>Pumpkin Candle</v>
      </c>
    </row>
    <row r="2042">
      <c r="A2042" s="2">
        <v>2055.0</v>
      </c>
      <c r="B2042" s="3" t="s">
        <v>7</v>
      </c>
      <c r="C2042" s="4" t="str">
        <f>hyperlink("https://terraria.gamepedia.com/Chandeliers","Cactus Chandelier")</f>
        <v>Cactus Chandelier</v>
      </c>
    </row>
    <row r="2043">
      <c r="A2043" s="2">
        <v>2056.0</v>
      </c>
      <c r="B2043" s="3" t="s">
        <v>7</v>
      </c>
      <c r="C2043" s="4" t="str">
        <f>hyperlink("https://terraria.gamepedia.com/Chandeliers","Ebonwood Chandelier")</f>
        <v>Ebonwood Chandelier</v>
      </c>
    </row>
    <row r="2044">
      <c r="A2044" s="2">
        <v>2057.0</v>
      </c>
      <c r="B2044" s="3" t="s">
        <v>7</v>
      </c>
      <c r="C2044" s="4" t="str">
        <f>hyperlink("https://terraria.gamepedia.com/Chandeliers","Flesh Chandelier")</f>
        <v>Flesh Chandelier</v>
      </c>
    </row>
    <row r="2045">
      <c r="A2045" s="2">
        <v>2058.0</v>
      </c>
      <c r="B2045" s="3" t="s">
        <v>7</v>
      </c>
      <c r="C2045" s="4" t="str">
        <f>hyperlink("https://terraria.gamepedia.com/Chandeliers","Honey Chandelier")</f>
        <v>Honey Chandelier</v>
      </c>
    </row>
    <row r="2046">
      <c r="A2046" s="2">
        <v>2059.0</v>
      </c>
      <c r="B2046" s="3" t="s">
        <v>7</v>
      </c>
      <c r="C2046" s="4" t="str">
        <f>hyperlink("https://terraria.gamepedia.com/Chandeliers","Frozen Chandelier")</f>
        <v>Frozen Chandelier</v>
      </c>
    </row>
    <row r="2047">
      <c r="A2047" s="2">
        <v>2060.0</v>
      </c>
      <c r="B2047" s="3" t="s">
        <v>7</v>
      </c>
      <c r="C2047" s="4" t="str">
        <f>hyperlink("https://terraria.gamepedia.com/Chandeliers","Rich Mahogany Chandelier")</f>
        <v>Rich Mahogany Chandelier</v>
      </c>
    </row>
    <row r="2048">
      <c r="A2048" s="2">
        <v>2061.0</v>
      </c>
      <c r="B2048" s="3" t="s">
        <v>7</v>
      </c>
      <c r="C2048" s="4" t="str">
        <f>hyperlink("https://terraria.gamepedia.com/Chandeliers","Pearlwood Chandelier")</f>
        <v>Pearlwood Chandelier</v>
      </c>
    </row>
    <row r="2049">
      <c r="A2049" s="2">
        <v>2062.0</v>
      </c>
      <c r="B2049" s="3" t="s">
        <v>7</v>
      </c>
      <c r="C2049" s="4" t="str">
        <f>hyperlink("https://terraria.gamepedia.com/Chandeliers","Lihzahrd Chandelier")</f>
        <v>Lihzahrd Chandelier</v>
      </c>
    </row>
    <row r="2050">
      <c r="A2050" s="2">
        <v>2063.0</v>
      </c>
      <c r="B2050" s="3" t="s">
        <v>7</v>
      </c>
      <c r="C2050" s="4" t="str">
        <f>hyperlink("https://terraria.gamepedia.com/Chandeliers","Skyware Chandelier")</f>
        <v>Skyware Chandelier</v>
      </c>
    </row>
    <row r="2051">
      <c r="A2051" s="2">
        <v>2064.0</v>
      </c>
      <c r="B2051" s="3" t="s">
        <v>7</v>
      </c>
      <c r="C2051" s="4" t="str">
        <f>hyperlink("https://terraria.gamepedia.com/Chandeliers","Spooky Chandelier")</f>
        <v>Spooky Chandelier</v>
      </c>
    </row>
    <row r="2052">
      <c r="A2052" s="2">
        <v>2065.0</v>
      </c>
      <c r="B2052" s="3" t="s">
        <v>7</v>
      </c>
      <c r="C2052" s="4" t="str">
        <f>hyperlink("https://terraria.gamepedia.com/Chandeliers","Glass Chandelier")</f>
        <v>Glass Chandelier</v>
      </c>
    </row>
    <row r="2053">
      <c r="A2053" s="2">
        <v>2066.0</v>
      </c>
      <c r="B2053" s="3" t="s">
        <v>31</v>
      </c>
      <c r="C2053" s="4" t="str">
        <f>hyperlink("https://terraria.gamepedia.com/Beds","Cactus Bed")</f>
        <v>Cactus Bed</v>
      </c>
    </row>
    <row r="2054">
      <c r="A2054" s="2">
        <v>2067.0</v>
      </c>
      <c r="B2054" s="3" t="s">
        <v>31</v>
      </c>
      <c r="C2054" s="4" t="str">
        <f>hyperlink("https://terraria.gamepedia.com/Beds","Flesh Bed")</f>
        <v>Flesh Bed</v>
      </c>
    </row>
    <row r="2055">
      <c r="A2055" s="2">
        <v>2068.0</v>
      </c>
      <c r="B2055" s="3" t="s">
        <v>31</v>
      </c>
      <c r="C2055" s="4" t="str">
        <f>hyperlink("https://terraria.gamepedia.com/Beds","Frozen Bed")</f>
        <v>Frozen Bed</v>
      </c>
    </row>
    <row r="2056">
      <c r="A2056" s="2">
        <v>2069.0</v>
      </c>
      <c r="B2056" s="3" t="s">
        <v>31</v>
      </c>
      <c r="C2056" s="4" t="str">
        <f>hyperlink("https://terraria.gamepedia.com/Beds","Lihzahrd Bed")</f>
        <v>Lihzahrd Bed</v>
      </c>
    </row>
    <row r="2057">
      <c r="A2057" s="2">
        <v>2070.0</v>
      </c>
      <c r="B2057" s="3" t="s">
        <v>31</v>
      </c>
      <c r="C2057" s="4" t="str">
        <f>hyperlink("https://terraria.gamepedia.com/Beds","Skyware Bed")</f>
        <v>Skyware Bed</v>
      </c>
    </row>
    <row r="2058">
      <c r="A2058" s="2">
        <v>2071.0</v>
      </c>
      <c r="B2058" s="3" t="s">
        <v>31</v>
      </c>
      <c r="C2058" s="4" t="str">
        <f>hyperlink("https://terraria.gamepedia.com/Beds","Spooky Bed")</f>
        <v>Spooky Bed</v>
      </c>
    </row>
    <row r="2059">
      <c r="A2059" s="2">
        <v>2072.0</v>
      </c>
      <c r="B2059" s="3" t="s">
        <v>31</v>
      </c>
      <c r="C2059" s="4" t="str">
        <f>hyperlink("https://terraria.gamepedia.com/Bathtubs","Cactus Bathtub")</f>
        <v>Cactus Bathtub</v>
      </c>
    </row>
    <row r="2060">
      <c r="A2060" s="2">
        <v>2073.0</v>
      </c>
      <c r="B2060" s="3" t="s">
        <v>31</v>
      </c>
      <c r="C2060" s="4" t="str">
        <f>hyperlink("https://terraria.gamepedia.com/Bathtubs","Ebonwood Bathtub")</f>
        <v>Ebonwood Bathtub</v>
      </c>
    </row>
    <row r="2061">
      <c r="A2061" s="2">
        <v>2074.0</v>
      </c>
      <c r="B2061" s="3" t="s">
        <v>31</v>
      </c>
      <c r="C2061" s="4" t="str">
        <f>hyperlink("https://terraria.gamepedia.com/Bathtubs","Flesh Bathtub")</f>
        <v>Flesh Bathtub</v>
      </c>
    </row>
    <row r="2062">
      <c r="A2062" s="2">
        <v>2075.0</v>
      </c>
      <c r="B2062" s="3" t="s">
        <v>31</v>
      </c>
      <c r="C2062" s="4" t="str">
        <f>hyperlink("https://terraria.gamepedia.com/Bathtubs","Glass Bathtub")</f>
        <v>Glass Bathtub</v>
      </c>
    </row>
    <row r="2063">
      <c r="A2063" s="2">
        <v>2076.0</v>
      </c>
      <c r="B2063" s="3" t="s">
        <v>31</v>
      </c>
      <c r="C2063" s="4" t="str">
        <f>hyperlink("https://terraria.gamepedia.com/Bathtubs","Frozen Bathtub")</f>
        <v>Frozen Bathtub</v>
      </c>
    </row>
    <row r="2064">
      <c r="A2064" s="2">
        <v>2077.0</v>
      </c>
      <c r="B2064" s="3" t="s">
        <v>31</v>
      </c>
      <c r="C2064" s="4" t="str">
        <f>hyperlink("https://terraria.gamepedia.com/Bathtubs","Rich Mahogany Bathtub")</f>
        <v>Rich Mahogany Bathtub</v>
      </c>
    </row>
    <row r="2065">
      <c r="A2065" s="2">
        <v>2078.0</v>
      </c>
      <c r="B2065" s="3" t="s">
        <v>31</v>
      </c>
      <c r="C2065" s="4" t="str">
        <f>hyperlink("https://terraria.gamepedia.com/Bathtubs","Pearlwood Bathtub")</f>
        <v>Pearlwood Bathtub</v>
      </c>
    </row>
    <row r="2066">
      <c r="A2066" s="2">
        <v>2079.0</v>
      </c>
      <c r="B2066" s="3" t="s">
        <v>31</v>
      </c>
      <c r="C2066" s="4" t="str">
        <f>hyperlink("https://terraria.gamepedia.com/Bathtubs","Lihzahrd Bathtub")</f>
        <v>Lihzahrd Bathtub</v>
      </c>
    </row>
    <row r="2067">
      <c r="A2067" s="2">
        <v>2080.0</v>
      </c>
      <c r="B2067" s="3" t="s">
        <v>31</v>
      </c>
      <c r="C2067" s="4" t="str">
        <f>hyperlink("https://terraria.gamepedia.com/Bathtubs","Skyware Bathtub")</f>
        <v>Skyware Bathtub</v>
      </c>
    </row>
    <row r="2068">
      <c r="A2068" s="2">
        <v>2081.0</v>
      </c>
      <c r="B2068" s="3" t="s">
        <v>31</v>
      </c>
      <c r="C2068" s="4" t="str">
        <f>hyperlink("https://terraria.gamepedia.com/Bathtubs","Spooky Bathtub")</f>
        <v>Spooky Bathtub</v>
      </c>
    </row>
    <row r="2069">
      <c r="A2069" s="2">
        <v>2082.0</v>
      </c>
      <c r="B2069" s="3" t="s">
        <v>7</v>
      </c>
      <c r="C2069" s="4" t="str">
        <f>hyperlink("https://terraria.gamepedia.com/Lamps","Cactus Lamp")</f>
        <v>Cactus Lamp</v>
      </c>
    </row>
    <row r="2070">
      <c r="A2070" s="2">
        <v>2083.0</v>
      </c>
      <c r="B2070" s="3" t="s">
        <v>7</v>
      </c>
      <c r="C2070" s="4" t="str">
        <f>hyperlink("https://terraria.gamepedia.com/Lamps","Ebonwood Lamp")</f>
        <v>Ebonwood Lamp</v>
      </c>
    </row>
    <row r="2071">
      <c r="A2071" s="2">
        <v>2084.0</v>
      </c>
      <c r="B2071" s="3" t="s">
        <v>7</v>
      </c>
      <c r="C2071" s="4" t="str">
        <f>hyperlink("https://terraria.gamepedia.com/Lamps","Flesh Lamp")</f>
        <v>Flesh Lamp</v>
      </c>
    </row>
    <row r="2072">
      <c r="A2072" s="2">
        <v>2085.0</v>
      </c>
      <c r="B2072" s="3" t="s">
        <v>7</v>
      </c>
      <c r="C2072" s="4" t="str">
        <f>hyperlink("https://terraria.gamepedia.com/Lamps","Glass Lamp")</f>
        <v>Glass Lamp</v>
      </c>
    </row>
    <row r="2073">
      <c r="A2073" s="2">
        <v>2086.0</v>
      </c>
      <c r="B2073" s="3" t="s">
        <v>7</v>
      </c>
      <c r="C2073" s="4" t="str">
        <f>hyperlink("https://terraria.gamepedia.com/Lamps","Frozen Lamp")</f>
        <v>Frozen Lamp</v>
      </c>
    </row>
    <row r="2074">
      <c r="A2074" s="2">
        <v>2087.0</v>
      </c>
      <c r="B2074" s="3" t="s">
        <v>7</v>
      </c>
      <c r="C2074" s="4" t="str">
        <f>hyperlink("https://terraria.gamepedia.com/Lamps","Rich Mahogany Lamp")</f>
        <v>Rich Mahogany Lamp</v>
      </c>
    </row>
    <row r="2075">
      <c r="A2075" s="2">
        <v>2088.0</v>
      </c>
      <c r="B2075" s="3" t="s">
        <v>7</v>
      </c>
      <c r="C2075" s="4" t="str">
        <f>hyperlink("https://terraria.gamepedia.com/Lamps","Pearlwood Lamp")</f>
        <v>Pearlwood Lamp</v>
      </c>
    </row>
    <row r="2076">
      <c r="A2076" s="2">
        <v>2089.0</v>
      </c>
      <c r="B2076" s="3" t="s">
        <v>7</v>
      </c>
      <c r="C2076" s="4" t="str">
        <f>hyperlink("https://terraria.gamepedia.com/Lamps","Lihzahrd Lamp")</f>
        <v>Lihzahrd Lamp</v>
      </c>
    </row>
    <row r="2077">
      <c r="A2077" s="2">
        <v>2090.0</v>
      </c>
      <c r="B2077" s="3" t="s">
        <v>7</v>
      </c>
      <c r="C2077" s="4" t="str">
        <f>hyperlink("https://terraria.gamepedia.com/Lamps","Skyware Lamp")</f>
        <v>Skyware Lamp</v>
      </c>
    </row>
    <row r="2078">
      <c r="A2078" s="2">
        <v>2091.0</v>
      </c>
      <c r="B2078" s="3" t="s">
        <v>7</v>
      </c>
      <c r="C2078" s="4" t="str">
        <f>hyperlink("https://terraria.gamepedia.com/Lamps","Spooky Lamp")</f>
        <v>Spooky Lamp</v>
      </c>
    </row>
    <row r="2079">
      <c r="A2079" s="2">
        <v>2092.0</v>
      </c>
      <c r="B2079" s="3" t="s">
        <v>7</v>
      </c>
      <c r="C2079" s="4" t="str">
        <f>hyperlink("https://terraria.gamepedia.com/Candelabras","Cactus Candelabra")</f>
        <v>Cactus Candelabra</v>
      </c>
    </row>
    <row r="2080">
      <c r="A2080" s="2">
        <v>2093.0</v>
      </c>
      <c r="B2080" s="3" t="s">
        <v>7</v>
      </c>
      <c r="C2080" s="4" t="str">
        <f>hyperlink("https://terraria.gamepedia.com/Candelabras","Ebonwood Candelabra")</f>
        <v>Ebonwood Candelabra</v>
      </c>
    </row>
    <row r="2081">
      <c r="A2081" s="2">
        <v>2094.0</v>
      </c>
      <c r="B2081" s="3" t="s">
        <v>7</v>
      </c>
      <c r="C2081" s="4" t="str">
        <f>hyperlink("https://terraria.gamepedia.com/Candelabras","Flesh Candelabra")</f>
        <v>Flesh Candelabra</v>
      </c>
    </row>
    <row r="2082">
      <c r="A2082" s="2">
        <v>2095.0</v>
      </c>
      <c r="B2082" s="3" t="s">
        <v>7</v>
      </c>
      <c r="C2082" s="4" t="str">
        <f>hyperlink("https://terraria.gamepedia.com/Candelabras","Honey Candelabra")</f>
        <v>Honey Candelabra</v>
      </c>
    </row>
    <row r="2083">
      <c r="A2083" s="2">
        <v>2096.0</v>
      </c>
      <c r="B2083" s="3" t="s">
        <v>7</v>
      </c>
      <c r="C2083" s="4" t="str">
        <f>hyperlink("https://terraria.gamepedia.com/Candelabras","Steampunk Candelabra")</f>
        <v>Steampunk Candelabra</v>
      </c>
    </row>
    <row r="2084">
      <c r="A2084" s="2">
        <v>2097.0</v>
      </c>
      <c r="B2084" s="3" t="s">
        <v>7</v>
      </c>
      <c r="C2084" s="4" t="str">
        <f>hyperlink("https://terraria.gamepedia.com/Candelabras","Glass Candelabra")</f>
        <v>Glass Candelabra</v>
      </c>
    </row>
    <row r="2085">
      <c r="A2085" s="2">
        <v>2098.0</v>
      </c>
      <c r="B2085" s="3" t="s">
        <v>7</v>
      </c>
      <c r="C2085" s="4" t="str">
        <f>hyperlink("https://terraria.gamepedia.com/Candelabras","Rich Mahogany Candelabra")</f>
        <v>Rich Mahogany Candelabra</v>
      </c>
    </row>
    <row r="2086">
      <c r="A2086" s="2">
        <v>2099.0</v>
      </c>
      <c r="B2086" s="3" t="s">
        <v>7</v>
      </c>
      <c r="C2086" s="4" t="str">
        <f>hyperlink("https://terraria.gamepedia.com/Candelabras","Pearlwood Candelabra")</f>
        <v>Pearlwood Candelabra</v>
      </c>
    </row>
    <row r="2087">
      <c r="A2087" s="2">
        <v>2100.0</v>
      </c>
      <c r="B2087" s="3" t="s">
        <v>7</v>
      </c>
      <c r="C2087" s="4" t="str">
        <f>hyperlink("https://terraria.gamepedia.com/Candelabras","Frozen Candelabra")</f>
        <v>Frozen Candelabra</v>
      </c>
    </row>
    <row r="2088">
      <c r="A2088" s="2">
        <v>2101.0</v>
      </c>
      <c r="B2088" s="3" t="s">
        <v>7</v>
      </c>
      <c r="C2088" s="4" t="str">
        <f>hyperlink("https://terraria.gamepedia.com/Candelabras","Lihzahrd Candelabra")</f>
        <v>Lihzahrd Candelabra</v>
      </c>
    </row>
    <row r="2089">
      <c r="A2089" s="2">
        <v>2102.0</v>
      </c>
      <c r="B2089" s="3" t="s">
        <v>7</v>
      </c>
      <c r="C2089" s="4" t="str">
        <f>hyperlink("https://terraria.gamepedia.com/Candelabras","Skyware Candelabra")</f>
        <v>Skyware Candelabra</v>
      </c>
    </row>
    <row r="2090">
      <c r="A2090" s="2">
        <v>2103.0</v>
      </c>
      <c r="B2090" s="3" t="s">
        <v>7</v>
      </c>
      <c r="C2090" s="4" t="str">
        <f>hyperlink("https://terraria.gamepedia.com/Candelabras","Spooky Candelabra")</f>
        <v>Spooky Candelabra</v>
      </c>
    </row>
    <row r="2091">
      <c r="A2091" s="2">
        <v>2104.0</v>
      </c>
      <c r="B2091" s="3" t="s">
        <v>34</v>
      </c>
      <c r="C2091" s="4" t="str">
        <f>hyperlink("https://terraria.gamepedia.com/Masks","Brain of Cthulhu Mask")</f>
        <v>Brain of Cthulhu Mask</v>
      </c>
    </row>
    <row r="2092">
      <c r="A2092" s="2">
        <v>2105.0</v>
      </c>
      <c r="B2092" s="3" t="s">
        <v>34</v>
      </c>
      <c r="C2092" s="4" t="str">
        <f>hyperlink("https://terraria.gamepedia.com/Masks","Wall of Flesh Mask")</f>
        <v>Wall of Flesh Mask</v>
      </c>
    </row>
    <row r="2093">
      <c r="A2093" s="2">
        <v>2106.0</v>
      </c>
      <c r="B2093" s="3" t="s">
        <v>34</v>
      </c>
      <c r="C2093" s="4" t="str">
        <f>hyperlink("https://terraria.gamepedia.com/Masks","Twin Mask")</f>
        <v>Twin Mask</v>
      </c>
    </row>
    <row r="2094">
      <c r="A2094" s="2">
        <v>2107.0</v>
      </c>
      <c r="B2094" s="3" t="s">
        <v>34</v>
      </c>
      <c r="C2094" s="4" t="str">
        <f>hyperlink("https://terraria.gamepedia.com/Masks","Skeletron Prime Mask")</f>
        <v>Skeletron Prime Mask</v>
      </c>
    </row>
    <row r="2095">
      <c r="A2095" s="2">
        <v>2108.0</v>
      </c>
      <c r="B2095" s="3" t="s">
        <v>34</v>
      </c>
      <c r="C2095" s="4" t="str">
        <f>hyperlink("https://terraria.gamepedia.com/Masks","Queen Bee Mask")</f>
        <v>Queen Bee Mask</v>
      </c>
    </row>
    <row r="2096">
      <c r="A2096" s="2">
        <v>2109.0</v>
      </c>
      <c r="B2096" s="3" t="s">
        <v>34</v>
      </c>
      <c r="C2096" s="4" t="str">
        <f>hyperlink("https://terraria.gamepedia.com/Masks","Plantera Mask")</f>
        <v>Plantera Mask</v>
      </c>
    </row>
    <row r="2097">
      <c r="A2097" s="2">
        <v>2110.0</v>
      </c>
      <c r="B2097" s="3" t="s">
        <v>34</v>
      </c>
      <c r="C2097" s="4" t="str">
        <f>hyperlink("https://terraria.gamepedia.com/Masks","Golem Mask")</f>
        <v>Golem Mask</v>
      </c>
    </row>
    <row r="2098">
      <c r="A2098" s="2">
        <v>2111.0</v>
      </c>
      <c r="B2098" s="3" t="s">
        <v>34</v>
      </c>
      <c r="C2098" s="4" t="str">
        <f>hyperlink("https://terraria.gamepedia.com/Masks","Eater of Worlds Mask")</f>
        <v>Eater of Worlds Mask</v>
      </c>
    </row>
    <row r="2099">
      <c r="A2099" s="2">
        <v>2112.0</v>
      </c>
      <c r="B2099" s="3" t="s">
        <v>34</v>
      </c>
      <c r="C2099" s="4" t="str">
        <f>hyperlink("https://terraria.gamepedia.com/Masks","Eye of Cthulhu Mask")</f>
        <v>Eye of Cthulhu Mask</v>
      </c>
    </row>
    <row r="2100">
      <c r="A2100" s="2">
        <v>2113.0</v>
      </c>
      <c r="B2100" s="3" t="s">
        <v>34</v>
      </c>
      <c r="C2100" s="4" t="str">
        <f>hyperlink("https://terraria.gamepedia.com/Masks","Destroyer Mask")</f>
        <v>Destroyer Mask</v>
      </c>
    </row>
    <row r="2101">
      <c r="A2101" s="2">
        <v>2114.0</v>
      </c>
      <c r="B2101" s="3" t="s">
        <v>12</v>
      </c>
      <c r="C2101" s="4" t="str">
        <f>hyperlink("https://terraria.gamepedia.com/Racks","Blacksmith Rack")</f>
        <v>Blacksmith Rack</v>
      </c>
    </row>
    <row r="2102">
      <c r="A2102" s="2">
        <v>2115.0</v>
      </c>
      <c r="B2102" s="3" t="s">
        <v>12</v>
      </c>
      <c r="C2102" s="4" t="str">
        <f>hyperlink("https://terraria.gamepedia.com/Racks","Carpentry Rack")</f>
        <v>Carpentry Rack</v>
      </c>
    </row>
    <row r="2103">
      <c r="A2103" s="2">
        <v>2116.0</v>
      </c>
      <c r="B2103" s="3" t="s">
        <v>12</v>
      </c>
      <c r="C2103" s="4" t="str">
        <f>hyperlink("https://terraria.gamepedia.com/Racks","Helmet Rack")</f>
        <v>Helmet Rack</v>
      </c>
    </row>
    <row r="2104">
      <c r="A2104" s="2">
        <v>2117.0</v>
      </c>
      <c r="B2104" s="3" t="s">
        <v>12</v>
      </c>
      <c r="C2104" s="4" t="str">
        <f>hyperlink("https://terraria.gamepedia.com/Racks","Spear Rack")</f>
        <v>Spear Rack</v>
      </c>
    </row>
    <row r="2105">
      <c r="A2105" s="2">
        <v>2118.0</v>
      </c>
      <c r="B2105" s="3" t="s">
        <v>12</v>
      </c>
      <c r="C2105" s="4" t="str">
        <f>hyperlink("https://terraria.gamepedia.com/Racks","Sword Rack")</f>
        <v>Sword Rack</v>
      </c>
    </row>
    <row r="2106">
      <c r="A2106" s="2">
        <v>2119.0</v>
      </c>
      <c r="B2106" s="3" t="s">
        <v>4</v>
      </c>
      <c r="C2106" s="4" t="str">
        <f>hyperlink("https://terraria.gamepedia.com/Stone_Slab","Stone Slab")</f>
        <v>Stone Slab</v>
      </c>
    </row>
    <row r="2107">
      <c r="A2107" s="2">
        <v>2120.0</v>
      </c>
      <c r="B2107" s="3" t="s">
        <v>4</v>
      </c>
      <c r="C2107" s="4" t="str">
        <f>hyperlink("https://terraria.gamepedia.com/Sandstone_Slab","Sandstone Slab")</f>
        <v>Sandstone Slab</v>
      </c>
    </row>
    <row r="2108">
      <c r="A2108" s="2">
        <v>2121.0</v>
      </c>
      <c r="B2108" s="3" t="s">
        <v>24</v>
      </c>
      <c r="C2108" s="4" t="str">
        <f>hyperlink("https://terraria.gamepedia.com/Frog","Frog")</f>
        <v>Frog</v>
      </c>
    </row>
    <row r="2109">
      <c r="A2109" s="2">
        <v>2122.0</v>
      </c>
      <c r="B2109" s="3" t="s">
        <v>24</v>
      </c>
      <c r="C2109" s="4" t="str">
        <f>hyperlink("https://terraria.gamepedia.com/Ducks","Mallard Duck")</f>
        <v>Mallard Duck</v>
      </c>
    </row>
    <row r="2110">
      <c r="A2110" s="2">
        <v>2123.0</v>
      </c>
      <c r="B2110" s="3" t="s">
        <v>24</v>
      </c>
      <c r="C2110" s="4" t="str">
        <f>hyperlink("https://terraria.gamepedia.com/Ducks","Duck")</f>
        <v>Duck</v>
      </c>
    </row>
    <row r="2111">
      <c r="A2111" s="2">
        <v>2124.0</v>
      </c>
      <c r="B2111" s="3" t="s">
        <v>31</v>
      </c>
      <c r="C2111" s="4" t="str">
        <f>hyperlink("https://terraria.gamepedia.com/Bathtubs","Honey Bathtub")</f>
        <v>Honey Bathtub</v>
      </c>
    </row>
    <row r="2112">
      <c r="A2112" s="2">
        <v>2125.0</v>
      </c>
      <c r="B2112" s="3" t="s">
        <v>31</v>
      </c>
      <c r="C2112" s="4" t="str">
        <f>hyperlink("https://terraria.gamepedia.com/Bathtubs","Steampunk Bathtub")</f>
        <v>Steampunk Bathtub</v>
      </c>
    </row>
    <row r="2113">
      <c r="A2113" s="2">
        <v>2126.0</v>
      </c>
      <c r="B2113" s="3" t="s">
        <v>31</v>
      </c>
      <c r="C2113" s="4" t="str">
        <f>hyperlink("https://terraria.gamepedia.com/Bathtubs","Living Wood Bathtub")</f>
        <v>Living Wood Bathtub</v>
      </c>
    </row>
    <row r="2114">
      <c r="A2114" s="2">
        <v>2127.0</v>
      </c>
      <c r="B2114" s="3" t="s">
        <v>31</v>
      </c>
      <c r="C2114" s="4" t="str">
        <f>hyperlink("https://terraria.gamepedia.com/Bathtubs","Shadewood Bathtub")</f>
        <v>Shadewood Bathtub</v>
      </c>
    </row>
    <row r="2115">
      <c r="A2115" s="2">
        <v>2128.0</v>
      </c>
      <c r="B2115" s="3" t="s">
        <v>31</v>
      </c>
      <c r="C2115" s="4" t="str">
        <f>hyperlink("https://terraria.gamepedia.com/Bathtubs","Bone Bathtub")</f>
        <v>Bone Bathtub</v>
      </c>
    </row>
    <row r="2116">
      <c r="A2116" s="2">
        <v>2129.0</v>
      </c>
      <c r="B2116" s="3" t="s">
        <v>7</v>
      </c>
      <c r="C2116" s="4" t="str">
        <f>hyperlink("https://terraria.gamepedia.com/Lamps","Honey Lamp")</f>
        <v>Honey Lamp</v>
      </c>
    </row>
    <row r="2117">
      <c r="A2117" s="2">
        <v>2130.0</v>
      </c>
      <c r="B2117" s="3" t="s">
        <v>7</v>
      </c>
      <c r="C2117" s="4" t="str">
        <f>hyperlink("https://terraria.gamepedia.com/Lamps","Steampunk Lamp")</f>
        <v>Steampunk Lamp</v>
      </c>
    </row>
    <row r="2118">
      <c r="A2118" s="2">
        <v>2131.0</v>
      </c>
      <c r="B2118" s="3" t="s">
        <v>7</v>
      </c>
      <c r="C2118" s="4" t="str">
        <f>hyperlink("https://terraria.gamepedia.com/Lamps","Living Wood Lamp")</f>
        <v>Living Wood Lamp</v>
      </c>
    </row>
    <row r="2119">
      <c r="A2119" s="2">
        <v>2132.0</v>
      </c>
      <c r="B2119" s="3" t="s">
        <v>7</v>
      </c>
      <c r="C2119" s="4" t="str">
        <f>hyperlink("https://terraria.gamepedia.com/Lamps","Shadewood Lamp")</f>
        <v>Shadewood Lamp</v>
      </c>
    </row>
    <row r="2120">
      <c r="A2120" s="2">
        <v>2133.0</v>
      </c>
      <c r="B2120" s="3" t="s">
        <v>7</v>
      </c>
      <c r="C2120" s="4" t="str">
        <f>hyperlink("https://terraria.gamepedia.com/Lamps","Golden Lamp")</f>
        <v>Golden Lamp</v>
      </c>
    </row>
    <row r="2121">
      <c r="A2121" s="2">
        <v>2134.0</v>
      </c>
      <c r="B2121" s="3" t="s">
        <v>7</v>
      </c>
      <c r="C2121" s="4" t="str">
        <f>hyperlink("https://terraria.gamepedia.com/Lamps","Bone Lamp")</f>
        <v>Bone Lamp</v>
      </c>
    </row>
    <row r="2122">
      <c r="A2122" s="2">
        <v>2135.0</v>
      </c>
      <c r="B2122" s="3" t="s">
        <v>31</v>
      </c>
      <c r="C2122" s="4" t="str">
        <f>hyperlink("https://terraria.gamepedia.com/Bookcases","Living Wood Bookcase")</f>
        <v>Living Wood Bookcase</v>
      </c>
    </row>
    <row r="2123">
      <c r="A2123" s="2">
        <v>2136.0</v>
      </c>
      <c r="B2123" s="3" t="s">
        <v>31</v>
      </c>
      <c r="C2123" s="4" t="str">
        <f>hyperlink("https://terraria.gamepedia.com/Bookcases","Shadewood Bookcase")</f>
        <v>Shadewood Bookcase</v>
      </c>
    </row>
    <row r="2124">
      <c r="A2124" s="2">
        <v>2137.0</v>
      </c>
      <c r="B2124" s="3" t="s">
        <v>31</v>
      </c>
      <c r="C2124" s="4" t="str">
        <f>hyperlink("https://terraria.gamepedia.com/Bookcases","Golden Bookcase")</f>
        <v>Golden Bookcase</v>
      </c>
    </row>
    <row r="2125">
      <c r="A2125" s="2">
        <v>2138.0</v>
      </c>
      <c r="B2125" s="3" t="s">
        <v>31</v>
      </c>
      <c r="C2125" s="4" t="str">
        <f>hyperlink("https://terraria.gamepedia.com/Bookcases","Bone Bookcase")</f>
        <v>Bone Bookcase</v>
      </c>
    </row>
    <row r="2126">
      <c r="A2126" s="2">
        <v>2139.0</v>
      </c>
      <c r="B2126" s="3" t="s">
        <v>31</v>
      </c>
      <c r="C2126" s="4" t="str">
        <f>hyperlink("https://terraria.gamepedia.com/Beds","Living Wood Bed")</f>
        <v>Living Wood Bed</v>
      </c>
    </row>
    <row r="2127">
      <c r="A2127" s="2">
        <v>2140.0</v>
      </c>
      <c r="B2127" s="3" t="s">
        <v>31</v>
      </c>
      <c r="C2127" s="4" t="str">
        <f>hyperlink("https://terraria.gamepedia.com/Beds","Bone Bed")</f>
        <v>Bone Bed</v>
      </c>
    </row>
    <row r="2128">
      <c r="A2128" s="2">
        <v>2141.0</v>
      </c>
      <c r="B2128" s="3" t="s">
        <v>7</v>
      </c>
      <c r="C2128" s="4" t="str">
        <f>hyperlink("https://terraria.gamepedia.com/Chandeliers","Living Wood Chandelier")</f>
        <v>Living Wood Chandelier</v>
      </c>
    </row>
    <row r="2129">
      <c r="A2129" s="2">
        <v>2142.0</v>
      </c>
      <c r="B2129" s="3" t="s">
        <v>7</v>
      </c>
      <c r="C2129" s="4" t="str">
        <f>hyperlink("https://terraria.gamepedia.com/Chandeliers","Shadewood Chandelier")</f>
        <v>Shadewood Chandelier</v>
      </c>
    </row>
    <row r="2130">
      <c r="A2130" s="2">
        <v>2143.0</v>
      </c>
      <c r="B2130" s="3" t="s">
        <v>7</v>
      </c>
      <c r="C2130" s="4" t="str">
        <f>hyperlink("https://terraria.gamepedia.com/Chandeliers","Golden Chandelier")</f>
        <v>Golden Chandelier</v>
      </c>
    </row>
    <row r="2131">
      <c r="A2131" s="2">
        <v>2144.0</v>
      </c>
      <c r="B2131" s="3" t="s">
        <v>7</v>
      </c>
      <c r="C2131" s="4" t="str">
        <f>hyperlink("https://terraria.gamepedia.com/Chandeliers","Bone Chandelier")</f>
        <v>Bone Chandelier</v>
      </c>
    </row>
    <row r="2132">
      <c r="A2132" s="2">
        <v>2145.0</v>
      </c>
      <c r="B2132" s="3" t="s">
        <v>7</v>
      </c>
      <c r="C2132" s="4" t="str">
        <f>hyperlink("https://terraria.gamepedia.com/Lanterns","Living Wood Lantern")</f>
        <v>Living Wood Lantern</v>
      </c>
    </row>
    <row r="2133">
      <c r="A2133" s="2">
        <v>2146.0</v>
      </c>
      <c r="B2133" s="3" t="s">
        <v>7</v>
      </c>
      <c r="C2133" s="4" t="str">
        <f>hyperlink("https://terraria.gamepedia.com/Lanterns","Shadewood Lantern")</f>
        <v>Shadewood Lantern</v>
      </c>
    </row>
    <row r="2134">
      <c r="A2134" s="2">
        <v>2147.0</v>
      </c>
      <c r="B2134" s="3" t="s">
        <v>7</v>
      </c>
      <c r="C2134" s="4" t="str">
        <f>hyperlink("https://terraria.gamepedia.com/Lanterns","Golden Lantern")</f>
        <v>Golden Lantern</v>
      </c>
    </row>
    <row r="2135">
      <c r="A2135" s="2">
        <v>2148.0</v>
      </c>
      <c r="B2135" s="3" t="s">
        <v>7</v>
      </c>
      <c r="C2135" s="4" t="str">
        <f>hyperlink("https://terraria.gamepedia.com/Lanterns","Bone Lantern")</f>
        <v>Bone Lantern</v>
      </c>
    </row>
    <row r="2136">
      <c r="A2136" s="2">
        <v>2149.0</v>
      </c>
      <c r="B2136" s="3" t="s">
        <v>7</v>
      </c>
      <c r="C2136" s="4" t="str">
        <f>hyperlink("https://terraria.gamepedia.com/Candelabras","Living Wood Candelabra")</f>
        <v>Living Wood Candelabra</v>
      </c>
    </row>
    <row r="2137">
      <c r="A2137" s="2">
        <v>2150.0</v>
      </c>
      <c r="B2137" s="3" t="s">
        <v>7</v>
      </c>
      <c r="C2137" s="4" t="str">
        <f>hyperlink("https://terraria.gamepedia.com/Candelabras","Shadewood Candelabra")</f>
        <v>Shadewood Candelabra</v>
      </c>
    </row>
    <row r="2138">
      <c r="A2138" s="2">
        <v>2151.0</v>
      </c>
      <c r="B2138" s="3" t="s">
        <v>7</v>
      </c>
      <c r="C2138" s="4" t="str">
        <f>hyperlink("https://terraria.gamepedia.com/Candelabras","Golden Candelabra")</f>
        <v>Golden Candelabra</v>
      </c>
    </row>
    <row r="2139">
      <c r="A2139" s="2">
        <v>2152.0</v>
      </c>
      <c r="B2139" s="3" t="s">
        <v>7</v>
      </c>
      <c r="C2139" s="4" t="str">
        <f>hyperlink("https://terraria.gamepedia.com/Candelabras","Bone Candelabra")</f>
        <v>Bone Candelabra</v>
      </c>
    </row>
    <row r="2140">
      <c r="A2140" s="2">
        <v>2153.0</v>
      </c>
      <c r="B2140" s="3" t="s">
        <v>7</v>
      </c>
      <c r="C2140" s="4" t="str">
        <f>hyperlink("https://terraria.gamepedia.com/Candles","Living Wood Candle")</f>
        <v>Living Wood Candle</v>
      </c>
    </row>
    <row r="2141">
      <c r="A2141" s="2">
        <v>2154.0</v>
      </c>
      <c r="B2141" s="3" t="s">
        <v>7</v>
      </c>
      <c r="C2141" s="4" t="str">
        <f>hyperlink("https://terraria.gamepedia.com/Candles","Shadewood Candle")</f>
        <v>Shadewood Candle</v>
      </c>
    </row>
    <row r="2142">
      <c r="A2142" s="2">
        <v>2155.0</v>
      </c>
      <c r="B2142" s="3" t="s">
        <v>7</v>
      </c>
      <c r="C2142" s="4" t="str">
        <f>hyperlink("https://terraria.gamepedia.com/Candles","Golden Candle")</f>
        <v>Golden Candle</v>
      </c>
    </row>
    <row r="2143">
      <c r="A2143" s="2">
        <v>2156.0</v>
      </c>
      <c r="B2143" s="3" t="s">
        <v>24</v>
      </c>
      <c r="C2143" s="4" t="str">
        <f>hyperlink("https://terraria.gamepedia.com/Black_Scorpion","Black Scorpion")</f>
        <v>Black Scorpion</v>
      </c>
    </row>
    <row r="2144">
      <c r="A2144" s="2">
        <v>2157.0</v>
      </c>
      <c r="B2144" s="3" t="s">
        <v>24</v>
      </c>
      <c r="C2144" s="4" t="str">
        <f>hyperlink("https://terraria.gamepedia.com/Scorpion","Scorpion")</f>
        <v>Scorpion</v>
      </c>
    </row>
    <row r="2145">
      <c r="A2145" s="2">
        <v>2158.0</v>
      </c>
      <c r="B2145" s="3" t="s">
        <v>13</v>
      </c>
      <c r="C2145" s="4" t="str">
        <f>hyperlink("https://terraria.gamepedia.com/Wallpapers","Bubble Wallpaper")</f>
        <v>Bubble Wallpaper</v>
      </c>
    </row>
    <row r="2146">
      <c r="A2146" s="2">
        <v>2159.0</v>
      </c>
      <c r="B2146" s="3" t="s">
        <v>13</v>
      </c>
      <c r="C2146" s="4" t="str">
        <f>hyperlink("https://terraria.gamepedia.com/Wallpapers","Copper Pipe Wallpaper")</f>
        <v>Copper Pipe Wallpaper</v>
      </c>
    </row>
    <row r="2147">
      <c r="A2147" s="2">
        <v>2160.0</v>
      </c>
      <c r="B2147" s="3" t="s">
        <v>13</v>
      </c>
      <c r="C2147" s="4" t="str">
        <f>hyperlink("https://terraria.gamepedia.com/Wallpapers","Ducky Wallpaper")</f>
        <v>Ducky Wallpaper</v>
      </c>
    </row>
    <row r="2148">
      <c r="A2148" s="2">
        <v>2161.0</v>
      </c>
      <c r="B2148" s="3" t="s">
        <v>11</v>
      </c>
      <c r="C2148" s="4" t="str">
        <f>hyperlink("https://terraria.gamepedia.com/Frost_Core","Frost Core")</f>
        <v>Frost Core</v>
      </c>
    </row>
    <row r="2149">
      <c r="A2149" s="2">
        <v>2162.0</v>
      </c>
      <c r="B2149" s="3" t="s">
        <v>24</v>
      </c>
      <c r="C2149" s="4" t="str">
        <f>hyperlink("https://terraria.gamepedia.com/Cages","Bunny Cage")</f>
        <v>Bunny Cage</v>
      </c>
    </row>
    <row r="2150">
      <c r="A2150" s="2">
        <v>2163.0</v>
      </c>
      <c r="B2150" s="3" t="s">
        <v>24</v>
      </c>
      <c r="C2150" s="4" t="str">
        <f>hyperlink("https://terraria.gamepedia.com/Cages","Squirrel Cage")</f>
        <v>Squirrel Cage</v>
      </c>
    </row>
    <row r="2151">
      <c r="A2151" s="2">
        <v>2164.0</v>
      </c>
      <c r="B2151" s="3" t="s">
        <v>24</v>
      </c>
      <c r="C2151" s="4" t="str">
        <f>hyperlink("https://terraria.gamepedia.com/Cages","Mallard Duck Cage")</f>
        <v>Mallard Duck Cage</v>
      </c>
    </row>
    <row r="2152">
      <c r="A2152" s="2">
        <v>2165.0</v>
      </c>
      <c r="B2152" s="3" t="s">
        <v>24</v>
      </c>
      <c r="C2152" s="4" t="str">
        <f>hyperlink("https://terraria.gamepedia.com/Cages","Duck Cage")</f>
        <v>Duck Cage</v>
      </c>
    </row>
    <row r="2153">
      <c r="A2153" s="2">
        <v>2166.0</v>
      </c>
      <c r="B2153" s="3" t="s">
        <v>24</v>
      </c>
      <c r="C2153" s="4" t="str">
        <f>hyperlink("https://terraria.gamepedia.com/Cages","Bird Cage")</f>
        <v>Bird Cage</v>
      </c>
    </row>
    <row r="2154">
      <c r="A2154" s="2">
        <v>2167.0</v>
      </c>
      <c r="B2154" s="3" t="s">
        <v>24</v>
      </c>
      <c r="C2154" s="4" t="str">
        <f>hyperlink("https://terraria.gamepedia.com/Cages","Blue Jay Cage")</f>
        <v>Blue Jay Cage</v>
      </c>
    </row>
    <row r="2155">
      <c r="A2155" s="2">
        <v>2168.0</v>
      </c>
      <c r="B2155" s="3" t="s">
        <v>24</v>
      </c>
      <c r="C2155" s="4" t="str">
        <f>hyperlink("https://terraria.gamepedia.com/Cages","Cardinal Cage")</f>
        <v>Cardinal Cage</v>
      </c>
    </row>
    <row r="2156">
      <c r="A2156" s="2">
        <v>2169.0</v>
      </c>
      <c r="B2156" s="3" t="s">
        <v>13</v>
      </c>
      <c r="C2156" s="4" t="str">
        <f>hyperlink("https://terraria.gamepedia.com/Waterfall_Wall","Waterfall Wall")</f>
        <v>Waterfall Wall</v>
      </c>
    </row>
    <row r="2157">
      <c r="A2157" s="2">
        <v>2170.0</v>
      </c>
      <c r="B2157" s="3" t="s">
        <v>13</v>
      </c>
      <c r="C2157" s="4" t="str">
        <f>hyperlink("https://terraria.gamepedia.com/Lavafall_Wall","Lavafall Wall")</f>
        <v>Lavafall Wall</v>
      </c>
    </row>
    <row r="2158">
      <c r="A2158" s="2">
        <v>2171.0</v>
      </c>
      <c r="B2158" s="3" t="s">
        <v>6</v>
      </c>
      <c r="C2158" s="4" t="str">
        <f>hyperlink("https://terraria.gamepedia.com/Crimson_Seeds","Crimson Seeds")</f>
        <v>Crimson Seeds</v>
      </c>
    </row>
    <row r="2159">
      <c r="A2159" s="2">
        <v>2172.0</v>
      </c>
      <c r="B2159" s="3" t="s">
        <v>16</v>
      </c>
      <c r="C2159" s="4" t="str">
        <f>hyperlink("https://terraria.gamepedia.com/Heavy_Work_Bench","Heavy Work Bench")</f>
        <v>Heavy Work Bench</v>
      </c>
    </row>
    <row r="2160">
      <c r="A2160" s="2">
        <v>2173.0</v>
      </c>
      <c r="B2160" s="3" t="s">
        <v>4</v>
      </c>
      <c r="C2160" s="4" t="str">
        <f>hyperlink("https://terraria.gamepedia.com/Copper_Plating","Copper Plating")</f>
        <v>Copper Plating</v>
      </c>
    </row>
    <row r="2161">
      <c r="A2161" s="2">
        <v>2174.0</v>
      </c>
      <c r="B2161" s="3" t="s">
        <v>24</v>
      </c>
      <c r="C2161" s="4" t="str">
        <f>hyperlink("https://terraria.gamepedia.com/Cages","Snail Cage")</f>
        <v>Snail Cage</v>
      </c>
    </row>
    <row r="2162">
      <c r="A2162" s="2">
        <v>2175.0</v>
      </c>
      <c r="B2162" s="3" t="s">
        <v>24</v>
      </c>
      <c r="C2162" s="4" t="str">
        <f>hyperlink("https://terraria.gamepedia.com/Cages","Glowing Snail Cage")</f>
        <v>Glowing Snail Cage</v>
      </c>
    </row>
    <row r="2163">
      <c r="A2163" s="2">
        <v>2176.0</v>
      </c>
      <c r="B2163" s="3" t="s">
        <v>3</v>
      </c>
      <c r="C2163" s="4" t="str">
        <f>hyperlink("https://terraria.gamepedia.com/Shroomite_Digging_Claw","Shroomite Digging Claw")</f>
        <v>Shroomite Digging Claw</v>
      </c>
    </row>
    <row r="2164">
      <c r="A2164" s="2">
        <v>2177.0</v>
      </c>
      <c r="B2164" s="3" t="s">
        <v>16</v>
      </c>
      <c r="C2164" s="4" t="str">
        <f>hyperlink("https://terraria.gamepedia.com/Ammo_Box","Ammo Box")</f>
        <v>Ammo Box</v>
      </c>
    </row>
    <row r="2165">
      <c r="A2165" s="2">
        <v>2178.0</v>
      </c>
      <c r="B2165" s="3" t="s">
        <v>24</v>
      </c>
      <c r="C2165" s="4" t="str">
        <f>hyperlink("https://terraria.gamepedia.com/Butterfly_Jars","Monarch Butterfly Jar")</f>
        <v>Monarch Butterfly Jar</v>
      </c>
    </row>
    <row r="2166">
      <c r="A2166" s="2">
        <v>2179.0</v>
      </c>
      <c r="B2166" s="3" t="s">
        <v>24</v>
      </c>
      <c r="C2166" s="4" t="str">
        <f>hyperlink("https://terraria.gamepedia.com/Butterfly_Jars","Purple Emperor Butterfly Jar")</f>
        <v>Purple Emperor Butterfly Jar</v>
      </c>
    </row>
    <row r="2167">
      <c r="A2167" s="2">
        <v>2180.0</v>
      </c>
      <c r="B2167" s="3" t="s">
        <v>24</v>
      </c>
      <c r="C2167" s="4" t="str">
        <f>hyperlink("https://terraria.gamepedia.com/Butterfly_Jars","Red Admiral Butterfly Jar")</f>
        <v>Red Admiral Butterfly Jar</v>
      </c>
    </row>
    <row r="2168">
      <c r="A2168" s="2">
        <v>2181.0</v>
      </c>
      <c r="B2168" s="3" t="s">
        <v>24</v>
      </c>
      <c r="C2168" s="4" t="str">
        <f>hyperlink("https://terraria.gamepedia.com/Butterfly_Jars","Ulysses Butterfly Jar")</f>
        <v>Ulysses Butterfly Jar</v>
      </c>
    </row>
    <row r="2169">
      <c r="A2169" s="2">
        <v>2182.0</v>
      </c>
      <c r="B2169" s="3" t="s">
        <v>24</v>
      </c>
      <c r="C2169" s="4" t="str">
        <f>hyperlink("https://terraria.gamepedia.com/Butterfly_Jars","Sulphur Butterfly Jar")</f>
        <v>Sulphur Butterfly Jar</v>
      </c>
    </row>
    <row r="2170">
      <c r="A2170" s="2">
        <v>2183.0</v>
      </c>
      <c r="B2170" s="3" t="s">
        <v>24</v>
      </c>
      <c r="C2170" s="4" t="str">
        <f>hyperlink("https://terraria.gamepedia.com/Butterfly_Jars","Tree Nymph Butterfly Jar")</f>
        <v>Tree Nymph Butterfly Jar</v>
      </c>
    </row>
    <row r="2171">
      <c r="A2171" s="2">
        <v>2184.0</v>
      </c>
      <c r="B2171" s="3" t="s">
        <v>24</v>
      </c>
      <c r="C2171" s="4" t="str">
        <f>hyperlink("https://terraria.gamepedia.com/Butterfly_Jars","Zebra Swallowtail Butterfly Jar")</f>
        <v>Zebra Swallowtail Butterfly Jar</v>
      </c>
    </row>
    <row r="2172">
      <c r="A2172" s="2">
        <v>2185.0</v>
      </c>
      <c r="B2172" s="3" t="s">
        <v>24</v>
      </c>
      <c r="C2172" s="4" t="str">
        <f>hyperlink("https://terraria.gamepedia.com/Butterfly_Jars","Julia Butterfly Jar")</f>
        <v>Julia Butterfly Jar</v>
      </c>
    </row>
    <row r="2173">
      <c r="A2173" s="2">
        <v>2186.0</v>
      </c>
      <c r="B2173" s="3" t="s">
        <v>24</v>
      </c>
      <c r="C2173" s="4" t="str">
        <f>hyperlink("https://terraria.gamepedia.com/Cages","Scorpion Cage")</f>
        <v>Scorpion Cage</v>
      </c>
    </row>
    <row r="2174">
      <c r="A2174" s="2">
        <v>2187.0</v>
      </c>
      <c r="B2174" s="3" t="s">
        <v>24</v>
      </c>
      <c r="C2174" s="4" t="str">
        <f>hyperlink("https://terraria.gamepedia.com/Cages","Black Scorpion Cage")</f>
        <v>Black Scorpion Cage</v>
      </c>
    </row>
    <row r="2175">
      <c r="A2175" s="2">
        <v>2188.0</v>
      </c>
      <c r="B2175" s="3" t="s">
        <v>5</v>
      </c>
      <c r="C2175" s="4" t="str">
        <f>hyperlink("https://terraria.gamepedia.com/Venom_Staff","Venom Staff")</f>
        <v>Venom Staff</v>
      </c>
    </row>
    <row r="2176">
      <c r="A2176" s="2">
        <v>2189.0</v>
      </c>
      <c r="B2176" s="3" t="s">
        <v>17</v>
      </c>
      <c r="C2176" s="4" t="str">
        <f>hyperlink("https://terraria.gamepedia.com/Spectre_armor","Spectre Mask")</f>
        <v>Spectre Mask</v>
      </c>
    </row>
    <row r="2177">
      <c r="A2177" s="2">
        <v>2190.0</v>
      </c>
      <c r="B2177" s="3" t="s">
        <v>24</v>
      </c>
      <c r="C2177" s="4" t="str">
        <f>hyperlink("https://terraria.gamepedia.com/Cages","Frog Cage")</f>
        <v>Frog Cage</v>
      </c>
    </row>
    <row r="2178">
      <c r="A2178" s="2">
        <v>2191.0</v>
      </c>
      <c r="B2178" s="3" t="s">
        <v>24</v>
      </c>
      <c r="C2178" s="4" t="str">
        <f>hyperlink("https://terraria.gamepedia.com/Cages","Mouse Cage")</f>
        <v>Mouse Cage</v>
      </c>
    </row>
    <row r="2179">
      <c r="A2179" s="2">
        <v>2192.0</v>
      </c>
      <c r="B2179" s="3" t="s">
        <v>16</v>
      </c>
      <c r="C2179" s="4" t="str">
        <f>hyperlink("https://terraria.gamepedia.com/Bone_Welder","Bone Welder")</f>
        <v>Bone Welder</v>
      </c>
    </row>
    <row r="2180">
      <c r="A2180" s="2">
        <v>2193.0</v>
      </c>
      <c r="B2180" s="3" t="s">
        <v>16</v>
      </c>
      <c r="C2180" s="4" t="str">
        <f>hyperlink("https://terraria.gamepedia.com/Flesh_Cloning_Vat","Flesh Cloning Vat")</f>
        <v>Flesh Cloning Vat</v>
      </c>
    </row>
    <row r="2181">
      <c r="A2181" s="2">
        <v>2194.0</v>
      </c>
      <c r="B2181" s="3" t="s">
        <v>16</v>
      </c>
      <c r="C2181" s="4" t="str">
        <f>hyperlink("https://terraria.gamepedia.com/Glass_Kiln","Glass Kiln")</f>
        <v>Glass Kiln</v>
      </c>
    </row>
    <row r="2182">
      <c r="A2182" s="2">
        <v>2195.0</v>
      </c>
      <c r="B2182" s="3" t="s">
        <v>16</v>
      </c>
      <c r="C2182" s="4" t="str">
        <f>hyperlink("https://terraria.gamepedia.com/Lihzahrd_Furnace","Lihzahrd Furnace")</f>
        <v>Lihzahrd Furnace</v>
      </c>
    </row>
    <row r="2183">
      <c r="A2183" s="2">
        <v>2196.0</v>
      </c>
      <c r="B2183" s="3" t="s">
        <v>16</v>
      </c>
      <c r="C2183" s="4" t="str">
        <f>hyperlink("https://terraria.gamepedia.com/Living_Loom","Living Loom")</f>
        <v>Living Loom</v>
      </c>
    </row>
    <row r="2184">
      <c r="A2184" s="2">
        <v>2197.0</v>
      </c>
      <c r="B2184" s="3" t="s">
        <v>16</v>
      </c>
      <c r="C2184" s="4" t="str">
        <f>hyperlink("https://terraria.gamepedia.com/Sky_Mill","Sky Mill")</f>
        <v>Sky Mill</v>
      </c>
    </row>
    <row r="2185">
      <c r="A2185" s="2">
        <v>2198.0</v>
      </c>
      <c r="B2185" s="3" t="s">
        <v>16</v>
      </c>
      <c r="C2185" s="4" t="str">
        <f>hyperlink("https://terraria.gamepedia.com/Ice_Machine","Ice Machine")</f>
        <v>Ice Machine</v>
      </c>
    </row>
    <row r="2186">
      <c r="A2186" s="2">
        <v>2199.0</v>
      </c>
      <c r="B2186" s="3" t="s">
        <v>17</v>
      </c>
      <c r="C2186" s="4" t="str">
        <f>hyperlink("https://terraria.gamepedia.com/Beetle_armor","Beetle Helmet")</f>
        <v>Beetle Helmet</v>
      </c>
    </row>
    <row r="2187">
      <c r="A2187" s="2">
        <v>2200.0</v>
      </c>
      <c r="B2187" s="3" t="s">
        <v>17</v>
      </c>
      <c r="C2187" s="4" t="str">
        <f>hyperlink("https://terraria.gamepedia.com/Beetle_armor","Beetle Scale Mail")</f>
        <v>Beetle Scale Mail</v>
      </c>
    </row>
    <row r="2188">
      <c r="A2188" s="2">
        <v>2201.0</v>
      </c>
      <c r="B2188" s="3" t="s">
        <v>17</v>
      </c>
      <c r="C2188" s="4" t="str">
        <f>hyperlink("https://terraria.gamepedia.com/Beetle_armor","Beetle Shell")</f>
        <v>Beetle Shell</v>
      </c>
    </row>
    <row r="2189">
      <c r="A2189" s="2">
        <v>2202.0</v>
      </c>
      <c r="B2189" s="3" t="s">
        <v>17</v>
      </c>
      <c r="C2189" s="4" t="str">
        <f>hyperlink("https://terraria.gamepedia.com/Beetle_armor","Beetle Leggings")</f>
        <v>Beetle Leggings</v>
      </c>
    </row>
    <row r="2190">
      <c r="A2190" s="2">
        <v>2203.0</v>
      </c>
      <c r="B2190" s="3" t="s">
        <v>16</v>
      </c>
      <c r="C2190" s="4" t="str">
        <f>hyperlink("https://terraria.gamepedia.com/Steampunk_Boiler","Steampunk Boiler")</f>
        <v>Steampunk Boiler</v>
      </c>
    </row>
    <row r="2191">
      <c r="A2191" s="2">
        <v>2204.0</v>
      </c>
      <c r="B2191" s="3" t="s">
        <v>16</v>
      </c>
      <c r="C2191" s="4" t="str">
        <f>hyperlink("https://terraria.gamepedia.com/Honey_Dispenser","Honey Dispenser")</f>
        <v>Honey Dispenser</v>
      </c>
    </row>
    <row r="2192">
      <c r="A2192" s="2">
        <v>2205.0</v>
      </c>
      <c r="B2192" s="3" t="s">
        <v>24</v>
      </c>
      <c r="C2192" s="4" t="str">
        <f>hyperlink("https://terraria.gamepedia.com/Penguin","Penguin")</f>
        <v>Penguin</v>
      </c>
    </row>
    <row r="2193">
      <c r="A2193" s="2">
        <v>2206.0</v>
      </c>
      <c r="B2193" s="3" t="s">
        <v>24</v>
      </c>
      <c r="C2193" s="4" t="str">
        <f>hyperlink("https://terraria.gamepedia.com/Cages","Penguin Cage")</f>
        <v>Penguin Cage</v>
      </c>
    </row>
    <row r="2194">
      <c r="A2194" s="2">
        <v>2207.0</v>
      </c>
      <c r="B2194" s="3" t="s">
        <v>24</v>
      </c>
      <c r="C2194" s="4" t="str">
        <f>hyperlink("https://terraria.gamepedia.com/Cages","Worm Cage")</f>
        <v>Worm Cage</v>
      </c>
    </row>
    <row r="2195">
      <c r="A2195" s="2">
        <v>2208.0</v>
      </c>
      <c r="B2195" s="3" t="s">
        <v>11</v>
      </c>
      <c r="C2195" s="4" t="str">
        <f>hyperlink("https://terraria.gamepedia.com/Terrarium","Terrarium")</f>
        <v>Terrarium</v>
      </c>
    </row>
    <row r="2196">
      <c r="A2196" s="2">
        <v>2209.0</v>
      </c>
      <c r="B2196" s="3" t="s">
        <v>14</v>
      </c>
      <c r="C2196" s="4" t="str">
        <f>hyperlink("https://terraria.gamepedia.com/Super_Mana_Potion","Super Mana Potion")</f>
        <v>Super Mana Potion</v>
      </c>
    </row>
    <row r="2197">
      <c r="A2197" s="2">
        <v>2210.0</v>
      </c>
      <c r="B2197" s="3" t="s">
        <v>8</v>
      </c>
      <c r="C2197" s="4" t="str">
        <f>hyperlink("https://terraria.gamepedia.com/Fences","Ebonwood Fence")</f>
        <v>Ebonwood Fence</v>
      </c>
    </row>
    <row r="2198">
      <c r="A2198" s="2">
        <v>2211.0</v>
      </c>
      <c r="B2198" s="3" t="s">
        <v>8</v>
      </c>
      <c r="C2198" s="4" t="str">
        <f>hyperlink("https://terraria.gamepedia.com/Fences","Rich Mahogany Fence")</f>
        <v>Rich Mahogany Fence</v>
      </c>
    </row>
    <row r="2199">
      <c r="A2199" s="2">
        <v>2212.0</v>
      </c>
      <c r="B2199" s="3" t="s">
        <v>8</v>
      </c>
      <c r="C2199" s="4" t="str">
        <f>hyperlink("https://terraria.gamepedia.com/Fences","Pearlwood Fence")</f>
        <v>Pearlwood Fence</v>
      </c>
    </row>
    <row r="2200">
      <c r="A2200" s="2">
        <v>2213.0</v>
      </c>
      <c r="B2200" s="3" t="s">
        <v>8</v>
      </c>
      <c r="C2200" s="4" t="str">
        <f>hyperlink("https://terraria.gamepedia.com/Fences","Shadewood Fence")</f>
        <v>Shadewood Fence</v>
      </c>
    </row>
    <row r="2201">
      <c r="A2201" s="2">
        <v>2214.0</v>
      </c>
      <c r="B2201" s="3" t="s">
        <v>3</v>
      </c>
      <c r="C2201" s="4" t="str">
        <f>hyperlink("https://terraria.gamepedia.com/Brick_Layer","Brick Layer")</f>
        <v>Brick Layer</v>
      </c>
    </row>
    <row r="2202">
      <c r="A2202" s="2">
        <v>2215.0</v>
      </c>
      <c r="B2202" s="3" t="s">
        <v>10</v>
      </c>
      <c r="C2202" s="4" t="str">
        <f>hyperlink("https://terraria.gamepedia.com/Extendo_Grip","Extendo Grip")</f>
        <v>Extendo Grip</v>
      </c>
    </row>
    <row r="2203">
      <c r="A2203" s="2">
        <v>2216.0</v>
      </c>
      <c r="B2203" s="3" t="s">
        <v>3</v>
      </c>
      <c r="C2203" s="4" t="str">
        <f>hyperlink("https://terraria.gamepedia.com/Paint_Sprayer","Paint Sprayer")</f>
        <v>Paint Sprayer</v>
      </c>
    </row>
    <row r="2204">
      <c r="A2204" s="2">
        <v>2217.0</v>
      </c>
      <c r="B2204" s="3" t="s">
        <v>10</v>
      </c>
      <c r="C2204" s="4" t="str">
        <f>hyperlink("https://terraria.gamepedia.com/Portable_Cement_Mixer","Portable Cement Mixer")</f>
        <v>Portable Cement Mixer</v>
      </c>
    </row>
    <row r="2205">
      <c r="A2205" s="2">
        <v>2218.0</v>
      </c>
      <c r="B2205" s="3" t="s">
        <v>11</v>
      </c>
      <c r="C2205" s="4" t="str">
        <f>hyperlink("https://terraria.gamepedia.com/Beetle_Husk","Beetle Husk")</f>
        <v>Beetle Husk</v>
      </c>
    </row>
    <row r="2206">
      <c r="A2206" s="2">
        <v>2219.0</v>
      </c>
      <c r="B2206" s="3" t="s">
        <v>10</v>
      </c>
      <c r="C2206" s="4" t="str">
        <f>hyperlink("https://terraria.gamepedia.com/Celestial_Magnet","Celestial Magnet")</f>
        <v>Celestial Magnet</v>
      </c>
    </row>
    <row r="2207">
      <c r="A2207" s="2">
        <v>2220.0</v>
      </c>
      <c r="B2207" s="3" t="s">
        <v>10</v>
      </c>
      <c r="C2207" s="4" t="str">
        <f>hyperlink("https://terraria.gamepedia.com/Celestial_Emblem","Celestial Emblem")</f>
        <v>Celestial Emblem</v>
      </c>
    </row>
    <row r="2208">
      <c r="A2208" s="2">
        <v>2221.0</v>
      </c>
      <c r="B2208" s="3" t="s">
        <v>10</v>
      </c>
      <c r="C2208" s="4" t="str">
        <f>hyperlink("https://terraria.gamepedia.com/Celestial_Cuffs","Celestial Cuffs")</f>
        <v>Celestial Cuffs</v>
      </c>
    </row>
    <row r="2209">
      <c r="A2209" s="2">
        <v>2222.0</v>
      </c>
      <c r="B2209" s="3" t="s">
        <v>23</v>
      </c>
      <c r="C2209" s="4" t="str">
        <f>hyperlink("https://terraria.gamepedia.com/Peddler's_Hat","Peddler's Hat")</f>
        <v>Peddler's Hat</v>
      </c>
    </row>
    <row r="2210">
      <c r="A2210" s="2">
        <v>2223.0</v>
      </c>
      <c r="B2210" s="3" t="s">
        <v>5</v>
      </c>
      <c r="C2210" s="4" t="str">
        <f>hyperlink("https://terraria.gamepedia.com/Pulse_Bow","Pulse Bow")</f>
        <v>Pulse Bow</v>
      </c>
    </row>
    <row r="2211">
      <c r="A2211" s="2">
        <v>2224.0</v>
      </c>
      <c r="B2211" s="3" t="s">
        <v>7</v>
      </c>
      <c r="C2211" s="4" t="str">
        <f>hyperlink("https://terraria.gamepedia.com/Chandeliers","Large Dynasty Lantern")</f>
        <v>Large Dynasty Lantern</v>
      </c>
    </row>
    <row r="2212">
      <c r="A2212" s="2">
        <v>2225.0</v>
      </c>
      <c r="B2212" s="3" t="s">
        <v>7</v>
      </c>
      <c r="C2212" s="4" t="str">
        <f>hyperlink("https://terraria.gamepedia.com/Lamps","Dynasty Lamp")</f>
        <v>Dynasty Lamp</v>
      </c>
    </row>
    <row r="2213">
      <c r="A2213" s="2">
        <v>2226.0</v>
      </c>
      <c r="B2213" s="3" t="s">
        <v>7</v>
      </c>
      <c r="C2213" s="4" t="str">
        <f>hyperlink("https://terraria.gamepedia.com/Lanterns","Dynasty Lantern")</f>
        <v>Dynasty Lantern</v>
      </c>
    </row>
    <row r="2214">
      <c r="A2214" s="2">
        <v>2227.0</v>
      </c>
      <c r="B2214" s="3" t="s">
        <v>7</v>
      </c>
      <c r="C2214" s="4" t="str">
        <f>hyperlink("https://terraria.gamepedia.com/Candelabras","Large Dynasty Candle")</f>
        <v>Large Dynasty Candle</v>
      </c>
    </row>
    <row r="2215">
      <c r="A2215" s="2">
        <v>2228.0</v>
      </c>
      <c r="B2215" s="3" t="s">
        <v>31</v>
      </c>
      <c r="C2215" s="4" t="str">
        <f>hyperlink("https://terraria.gamepedia.com/Chairs","Dynasty Chair")</f>
        <v>Dynasty Chair</v>
      </c>
    </row>
    <row r="2216">
      <c r="A2216" s="2">
        <v>2229.0</v>
      </c>
      <c r="B2216" s="3" t="s">
        <v>31</v>
      </c>
      <c r="C2216" s="4" t="str">
        <f>hyperlink("https://terraria.gamepedia.com/Work_Benches","Dynasty Work Bench")</f>
        <v>Dynasty Work Bench</v>
      </c>
    </row>
    <row r="2217">
      <c r="A2217" s="2">
        <v>2230.0</v>
      </c>
      <c r="B2217" s="3" t="s">
        <v>20</v>
      </c>
      <c r="C2217" s="4" t="str">
        <f>hyperlink("https://terraria.gamepedia.com/Chests","Dynasty Chest")</f>
        <v>Dynasty Chest</v>
      </c>
    </row>
    <row r="2218">
      <c r="A2218" s="2">
        <v>2231.0</v>
      </c>
      <c r="B2218" s="3" t="s">
        <v>31</v>
      </c>
      <c r="C2218" s="4" t="str">
        <f>hyperlink("https://terraria.gamepedia.com/Beds","Dynasty Bed")</f>
        <v>Dynasty Bed</v>
      </c>
    </row>
    <row r="2219">
      <c r="A2219" s="2">
        <v>2232.0</v>
      </c>
      <c r="B2219" s="3" t="s">
        <v>31</v>
      </c>
      <c r="C2219" s="4" t="str">
        <f>hyperlink("https://terraria.gamepedia.com/Bathtubs","Dynasty Bathtub")</f>
        <v>Dynasty Bathtub</v>
      </c>
    </row>
    <row r="2220">
      <c r="A2220" s="2">
        <v>2233.0</v>
      </c>
      <c r="B2220" s="3" t="s">
        <v>31</v>
      </c>
      <c r="C2220" s="4" t="str">
        <f>hyperlink("https://terraria.gamepedia.com/Bookcases","Dynasty Bookcase")</f>
        <v>Dynasty Bookcase</v>
      </c>
    </row>
    <row r="2221">
      <c r="A2221" s="2">
        <v>2234.0</v>
      </c>
      <c r="B2221" s="3" t="s">
        <v>12</v>
      </c>
      <c r="C2221" s="4" t="str">
        <f>hyperlink("https://terraria.gamepedia.com/Cups","Dynasty Cup")</f>
        <v>Dynasty Cup</v>
      </c>
    </row>
    <row r="2222">
      <c r="A2222" s="2">
        <v>2235.0</v>
      </c>
      <c r="B2222" s="3" t="s">
        <v>12</v>
      </c>
      <c r="C2222" s="4" t="str">
        <f>hyperlink("https://terraria.gamepedia.com/Bowls","Dynasty Bowl")</f>
        <v>Dynasty Bowl</v>
      </c>
    </row>
    <row r="2223">
      <c r="A2223" s="2">
        <v>2236.0</v>
      </c>
      <c r="B2223" s="3" t="s">
        <v>7</v>
      </c>
      <c r="C2223" s="4" t="str">
        <f>hyperlink("https://terraria.gamepedia.com/Candles","Dynasty Candle")</f>
        <v>Dynasty Candle</v>
      </c>
    </row>
    <row r="2224">
      <c r="A2224" s="2">
        <v>2237.0</v>
      </c>
      <c r="B2224" s="3" t="s">
        <v>31</v>
      </c>
      <c r="C2224" s="4" t="str">
        <f>hyperlink("https://terraria.gamepedia.com/Grandfather_Clocks","Dynasty Clock")</f>
        <v>Dynasty Clock</v>
      </c>
    </row>
    <row r="2225">
      <c r="A2225" s="2">
        <v>2238.0</v>
      </c>
      <c r="B2225" s="3" t="s">
        <v>31</v>
      </c>
      <c r="C2225" s="4" t="str">
        <f>hyperlink("https://terraria.gamepedia.com/Grandfather_Clocks","Golden Clock")</f>
        <v>Golden Clock</v>
      </c>
    </row>
    <row r="2226">
      <c r="A2226" s="2">
        <v>2239.0</v>
      </c>
      <c r="B2226" s="3" t="s">
        <v>31</v>
      </c>
      <c r="C2226" s="4" t="str">
        <f>hyperlink("https://terraria.gamepedia.com/Grandfather_Clocks","Glass Clock")</f>
        <v>Glass Clock</v>
      </c>
    </row>
    <row r="2227">
      <c r="A2227" s="2">
        <v>2240.0</v>
      </c>
      <c r="B2227" s="3" t="s">
        <v>31</v>
      </c>
      <c r="C2227" s="4" t="str">
        <f>hyperlink("https://terraria.gamepedia.com/Grandfather_Clocks","Honey Clock")</f>
        <v>Honey Clock</v>
      </c>
    </row>
    <row r="2228">
      <c r="A2228" s="2">
        <v>2241.0</v>
      </c>
      <c r="B2228" s="3" t="s">
        <v>31</v>
      </c>
      <c r="C2228" s="4" t="str">
        <f>hyperlink("https://terraria.gamepedia.com/Grandfather_Clocks","Steampunk Clock")</f>
        <v>Steampunk Clock</v>
      </c>
    </row>
    <row r="2229">
      <c r="A2229" s="2">
        <v>2242.0</v>
      </c>
      <c r="B2229" s="3" t="s">
        <v>12</v>
      </c>
      <c r="C2229" s="4" t="str">
        <f>hyperlink("https://terraria.gamepedia.com/Fancy_Dishes","Fancy Dishes")</f>
        <v>Fancy Dishes</v>
      </c>
    </row>
    <row r="2230">
      <c r="A2230" s="2">
        <v>2243.0</v>
      </c>
      <c r="B2230" s="3" t="s">
        <v>12</v>
      </c>
      <c r="C2230" s="4" t="str">
        <f>hyperlink("https://terraria.gamepedia.com/Bowls","Glass Bowl")</f>
        <v>Glass Bowl</v>
      </c>
    </row>
    <row r="2231">
      <c r="A2231" s="2">
        <v>2244.0</v>
      </c>
      <c r="B2231" s="3" t="s">
        <v>12</v>
      </c>
      <c r="C2231" s="4" t="str">
        <f>hyperlink("https://terraria.gamepedia.com/Cups","Wine Glass")</f>
        <v>Wine Glass</v>
      </c>
    </row>
    <row r="2232">
      <c r="A2232" s="2">
        <v>2245.0</v>
      </c>
      <c r="B2232" s="3" t="s">
        <v>31</v>
      </c>
      <c r="C2232" s="4" t="str">
        <f>hyperlink("https://terraria.gamepedia.com/Pianos","Living Wood Piano")</f>
        <v>Living Wood Piano</v>
      </c>
    </row>
    <row r="2233">
      <c r="A2233" s="2">
        <v>2246.0</v>
      </c>
      <c r="B2233" s="3" t="s">
        <v>31</v>
      </c>
      <c r="C2233" s="4" t="str">
        <f>hyperlink("https://terraria.gamepedia.com/Pianos","Flesh Piano")</f>
        <v>Flesh Piano</v>
      </c>
    </row>
    <row r="2234">
      <c r="A2234" s="2">
        <v>2247.0</v>
      </c>
      <c r="B2234" s="3" t="s">
        <v>31</v>
      </c>
      <c r="C2234" s="4" t="str">
        <f>hyperlink("https://terraria.gamepedia.com/Pianos","Frozen Piano")</f>
        <v>Frozen Piano</v>
      </c>
    </row>
    <row r="2235">
      <c r="A2235" s="2">
        <v>2248.0</v>
      </c>
      <c r="B2235" s="3" t="s">
        <v>31</v>
      </c>
      <c r="C2235" s="4" t="str">
        <f>hyperlink("https://terraria.gamepedia.com/Tables","Frozen Table")</f>
        <v>Frozen Table</v>
      </c>
    </row>
    <row r="2236">
      <c r="A2236" s="2">
        <v>2249.0</v>
      </c>
      <c r="B2236" s="3" t="s">
        <v>20</v>
      </c>
      <c r="C2236" s="4" t="str">
        <f>hyperlink("https://terraria.gamepedia.com/Chests","Honey Chest")</f>
        <v>Honey Chest</v>
      </c>
    </row>
    <row r="2237">
      <c r="A2237" s="2">
        <v>2250.0</v>
      </c>
      <c r="B2237" s="3" t="s">
        <v>20</v>
      </c>
      <c r="C2237" s="4" t="str">
        <f>hyperlink("https://terraria.gamepedia.com/Chests","Steampunk Chest")</f>
        <v>Steampunk Chest</v>
      </c>
    </row>
    <row r="2238">
      <c r="A2238" s="2">
        <v>2251.0</v>
      </c>
      <c r="B2238" s="3" t="s">
        <v>31</v>
      </c>
      <c r="C2238" s="4" t="str">
        <f>hyperlink("https://terraria.gamepedia.com/Work_Benches","Honey Work Bench")</f>
        <v>Honey Work Bench</v>
      </c>
    </row>
    <row r="2239">
      <c r="A2239" s="2">
        <v>2252.0</v>
      </c>
      <c r="B2239" s="3" t="s">
        <v>31</v>
      </c>
      <c r="C2239" s="4" t="str">
        <f>hyperlink("https://terraria.gamepedia.com/Work_Benches","Frozen Work Bench")</f>
        <v>Frozen Work Bench</v>
      </c>
    </row>
    <row r="2240">
      <c r="A2240" s="2">
        <v>2253.0</v>
      </c>
      <c r="B2240" s="3" t="s">
        <v>31</v>
      </c>
      <c r="C2240" s="4" t="str">
        <f>hyperlink("https://terraria.gamepedia.com/Work_Benches","Steampunk Work Bench")</f>
        <v>Steampunk Work Bench</v>
      </c>
    </row>
    <row r="2241">
      <c r="A2241" s="2">
        <v>2254.0</v>
      </c>
      <c r="B2241" s="3" t="s">
        <v>31</v>
      </c>
      <c r="C2241" s="4" t="str">
        <f>hyperlink("https://terraria.gamepedia.com/Pianos","Glass Piano")</f>
        <v>Glass Piano</v>
      </c>
    </row>
    <row r="2242">
      <c r="A2242" s="2">
        <v>2255.0</v>
      </c>
      <c r="B2242" s="3" t="s">
        <v>31</v>
      </c>
      <c r="C2242" s="4" t="str">
        <f>hyperlink("https://terraria.gamepedia.com/Pianos","Honey Piano")</f>
        <v>Honey Piano</v>
      </c>
    </row>
    <row r="2243">
      <c r="A2243" s="2">
        <v>2256.0</v>
      </c>
      <c r="B2243" s="3" t="s">
        <v>31</v>
      </c>
      <c r="C2243" s="4" t="str">
        <f>hyperlink("https://terraria.gamepedia.com/Pianos","Steampunk Piano")</f>
        <v>Steampunk Piano</v>
      </c>
    </row>
    <row r="2244">
      <c r="A2244" s="2">
        <v>2257.0</v>
      </c>
      <c r="B2244" s="3" t="s">
        <v>12</v>
      </c>
      <c r="C2244" s="4" t="str">
        <f>hyperlink("https://terraria.gamepedia.com/Cups","Honey Cup")</f>
        <v>Honey Cup</v>
      </c>
    </row>
    <row r="2245">
      <c r="A2245" s="2">
        <v>2258.0</v>
      </c>
      <c r="B2245" s="3" t="s">
        <v>12</v>
      </c>
      <c r="C2245" s="4" t="str">
        <f>hyperlink("https://terraria.gamepedia.com/Cups","Chalice")</f>
        <v>Chalice</v>
      </c>
    </row>
    <row r="2246">
      <c r="A2246" s="2">
        <v>2259.0</v>
      </c>
      <c r="B2246" s="3" t="s">
        <v>31</v>
      </c>
      <c r="C2246" s="4" t="str">
        <f>hyperlink("https://terraria.gamepedia.com/Tables","Dynasty Table")</f>
        <v>Dynasty Table</v>
      </c>
    </row>
    <row r="2247">
      <c r="A2247" s="2">
        <v>2260.0</v>
      </c>
      <c r="B2247" s="3" t="s">
        <v>8</v>
      </c>
      <c r="C2247" s="4" t="str">
        <f>hyperlink("https://terraria.gamepedia.com/Dynasty_Wood","Dynasty Wood")</f>
        <v>Dynasty Wood</v>
      </c>
    </row>
    <row r="2248">
      <c r="A2248" s="2">
        <v>2261.0</v>
      </c>
      <c r="B2248" s="3" t="s">
        <v>4</v>
      </c>
      <c r="C2248" s="4" t="str">
        <f>hyperlink("https://terraria.gamepedia.com/Dynasty_Shingles","Red Dynasty Shingles")</f>
        <v>Red Dynasty Shingles</v>
      </c>
    </row>
    <row r="2249">
      <c r="A2249" s="2">
        <v>2262.0</v>
      </c>
      <c r="B2249" s="3" t="s">
        <v>4</v>
      </c>
      <c r="C2249" s="4" t="str">
        <f>hyperlink("https://terraria.gamepedia.com/Dynasty_Shingles","Blue Dynasty Shingles")</f>
        <v>Blue Dynasty Shingles</v>
      </c>
    </row>
    <row r="2250">
      <c r="A2250" s="2">
        <v>2263.0</v>
      </c>
      <c r="B2250" s="3" t="s">
        <v>13</v>
      </c>
      <c r="C2250" s="4" t="str">
        <f>hyperlink("https://terraria.gamepedia.com/Dynasty_Walls","White Dynasty Wall")</f>
        <v>White Dynasty Wall</v>
      </c>
    </row>
    <row r="2251">
      <c r="A2251" s="2">
        <v>2264.0</v>
      </c>
      <c r="B2251" s="3" t="s">
        <v>13</v>
      </c>
      <c r="C2251" s="4" t="str">
        <f>hyperlink("https://terraria.gamepedia.com/Dynasty_Walls","Blue Dynasty Wall")</f>
        <v>Blue Dynasty Wall</v>
      </c>
    </row>
    <row r="2252">
      <c r="A2252" s="2">
        <v>2265.0</v>
      </c>
      <c r="B2252" s="3" t="s">
        <v>31</v>
      </c>
      <c r="C2252" s="4" t="str">
        <f>hyperlink("https://terraria.gamepedia.com/Doors","Dynasty Door")</f>
        <v>Dynasty Door</v>
      </c>
    </row>
    <row r="2253">
      <c r="A2253" s="2">
        <v>2266.0</v>
      </c>
      <c r="B2253" s="3" t="s">
        <v>26</v>
      </c>
      <c r="C2253" s="4" t="str">
        <f>hyperlink("https://terraria.gamepedia.com/Sake","Sake")</f>
        <v>Sake</v>
      </c>
    </row>
    <row r="2254">
      <c r="A2254" s="2">
        <v>2267.0</v>
      </c>
      <c r="B2254" s="3" t="s">
        <v>26</v>
      </c>
      <c r="C2254" s="4" t="str">
        <f>hyperlink("https://terraria.gamepedia.com/Pad_Thai","Pad Thai")</f>
        <v>Pad Thai</v>
      </c>
    </row>
    <row r="2255">
      <c r="A2255" s="2">
        <v>2268.0</v>
      </c>
      <c r="B2255" s="3" t="s">
        <v>26</v>
      </c>
      <c r="C2255" s="4" t="str">
        <f>hyperlink("https://terraria.gamepedia.com/Pho","Pho")</f>
        <v>Pho</v>
      </c>
    </row>
    <row r="2256">
      <c r="A2256" s="2">
        <v>2269.0</v>
      </c>
      <c r="B2256" s="3" t="s">
        <v>5</v>
      </c>
      <c r="C2256" s="4" t="str">
        <f>hyperlink("https://terraria.gamepedia.com/Revolver","Revolver")</f>
        <v>Revolver</v>
      </c>
    </row>
    <row r="2257">
      <c r="A2257" s="2">
        <v>2270.0</v>
      </c>
      <c r="B2257" s="3" t="s">
        <v>5</v>
      </c>
      <c r="C2257" s="4" t="str">
        <f>hyperlink("https://terraria.gamepedia.com/Gatligator","Gatligator")</f>
        <v>Gatligator</v>
      </c>
    </row>
    <row r="2258">
      <c r="A2258" s="2">
        <v>2271.0</v>
      </c>
      <c r="B2258" s="3" t="s">
        <v>13</v>
      </c>
      <c r="C2258" s="4" t="str">
        <f>hyperlink("https://terraria.gamepedia.com/Arcane_Rune_Wall","Arcane Rune Wall")</f>
        <v>Arcane Rune Wall</v>
      </c>
    </row>
    <row r="2259">
      <c r="A2259" s="2">
        <v>2272.0</v>
      </c>
      <c r="B2259" s="3" t="s">
        <v>5</v>
      </c>
      <c r="C2259" s="4" t="str">
        <f>hyperlink("https://terraria.gamepedia.com/Water_Gun","Water Gun")</f>
        <v>Water Gun</v>
      </c>
    </row>
    <row r="2260">
      <c r="A2260" s="2">
        <v>2273.0</v>
      </c>
      <c r="B2260" s="3" t="s">
        <v>5</v>
      </c>
      <c r="C2260" s="4" t="str">
        <f>hyperlink("https://terraria.gamepedia.com/Katana","Katana")</f>
        <v>Katana</v>
      </c>
    </row>
    <row r="2261">
      <c r="A2261" s="2">
        <v>2274.0</v>
      </c>
      <c r="B2261" s="3" t="s">
        <v>7</v>
      </c>
      <c r="C2261" s="4" t="str">
        <f>hyperlink("https://terraria.gamepedia.com/Torches","Ultrabright Torch")</f>
        <v>Ultrabright Torch</v>
      </c>
    </row>
    <row r="2262">
      <c r="A2262" s="2">
        <v>2275.0</v>
      </c>
      <c r="B2262" s="3" t="s">
        <v>10</v>
      </c>
      <c r="C2262" s="4" t="str">
        <f>hyperlink("https://terraria.gamepedia.com/Magic_Hat","Magic Hat")</f>
        <v>Magic Hat</v>
      </c>
    </row>
    <row r="2263">
      <c r="A2263" s="2">
        <v>2276.0</v>
      </c>
      <c r="B2263" s="3" t="s">
        <v>23</v>
      </c>
      <c r="C2263" s="4" t="str">
        <f>hyperlink("https://terraria.gamepedia.com/Diamond_Ring","Diamond Ring")</f>
        <v>Diamond Ring</v>
      </c>
    </row>
    <row r="2264">
      <c r="A2264" s="2">
        <v>2277.0</v>
      </c>
      <c r="B2264" s="3" t="s">
        <v>23</v>
      </c>
      <c r="C2264" s="4" t="str">
        <f>hyperlink("https://terraria.gamepedia.com/Gi","Gi")</f>
        <v>Gi</v>
      </c>
    </row>
    <row r="2265">
      <c r="A2265" s="2">
        <v>2278.0</v>
      </c>
      <c r="B2265" s="3" t="s">
        <v>23</v>
      </c>
      <c r="C2265" s="4" t="str">
        <f>hyperlink("https://terraria.gamepedia.com/Kimono","Kimono")</f>
        <v>Kimono</v>
      </c>
    </row>
    <row r="2266">
      <c r="A2266" s="2">
        <v>2279.0</v>
      </c>
      <c r="B2266" s="3" t="s">
        <v>23</v>
      </c>
      <c r="C2266" s="4" t="str">
        <f>hyperlink("https://terraria.gamepedia.com/Gypsy_Robe","Gypsy Robe")</f>
        <v>Gypsy Robe</v>
      </c>
    </row>
    <row r="2267">
      <c r="A2267" s="2">
        <v>2280.0</v>
      </c>
      <c r="B2267" s="3" t="s">
        <v>27</v>
      </c>
      <c r="C2267" s="4" t="str">
        <f>hyperlink("https://terraria.gamepedia.com/Wings","Beetle Wings")</f>
        <v>Beetle Wings</v>
      </c>
    </row>
    <row r="2268">
      <c r="A2268" s="2">
        <v>2281.0</v>
      </c>
      <c r="B2268" s="3" t="s">
        <v>12</v>
      </c>
      <c r="C2268" s="4" t="str">
        <f>hyperlink("https://terraria.gamepedia.com/Animal_Skins","Tiger Skin")</f>
        <v>Tiger Skin</v>
      </c>
    </row>
    <row r="2269">
      <c r="A2269" s="2">
        <v>2282.0</v>
      </c>
      <c r="B2269" s="3" t="s">
        <v>12</v>
      </c>
      <c r="C2269" s="4" t="str">
        <f>hyperlink("https://terraria.gamepedia.com/Animal_Skins","Leopard Skin")</f>
        <v>Leopard Skin</v>
      </c>
    </row>
    <row r="2270">
      <c r="A2270" s="2">
        <v>2283.0</v>
      </c>
      <c r="B2270" s="3" t="s">
        <v>12</v>
      </c>
      <c r="C2270" s="4" t="str">
        <f>hyperlink("https://terraria.gamepedia.com/Animal_Skins","Zebra Skin")</f>
        <v>Zebra Skin</v>
      </c>
    </row>
    <row r="2271">
      <c r="A2271" s="2">
        <v>2284.0</v>
      </c>
      <c r="B2271" s="3" t="s">
        <v>23</v>
      </c>
      <c r="C2271" s="4" t="str">
        <f>hyperlink("https://terraria.gamepedia.com/Capes","Crimson Cloak")</f>
        <v>Crimson Cloak</v>
      </c>
    </row>
    <row r="2272">
      <c r="A2272" s="2">
        <v>2285.0</v>
      </c>
      <c r="B2272" s="3" t="s">
        <v>23</v>
      </c>
      <c r="C2272" s="4" t="str">
        <f>hyperlink("https://terraria.gamepedia.com/Capes","Mysterious Cape")</f>
        <v>Mysterious Cape</v>
      </c>
    </row>
    <row r="2273">
      <c r="A2273" s="2">
        <v>2286.0</v>
      </c>
      <c r="B2273" s="3" t="s">
        <v>23</v>
      </c>
      <c r="C2273" s="4" t="str">
        <f>hyperlink("https://terraria.gamepedia.com/Capes","Red Cape")</f>
        <v>Red Cape</v>
      </c>
    </row>
    <row r="2274">
      <c r="A2274" s="2">
        <v>2287.0</v>
      </c>
      <c r="B2274" s="3" t="s">
        <v>23</v>
      </c>
      <c r="C2274" s="4" t="str">
        <f>hyperlink("https://terraria.gamepedia.com/Capes","Winter Cape")</f>
        <v>Winter Cape</v>
      </c>
    </row>
    <row r="2275">
      <c r="A2275" s="2">
        <v>2288.0</v>
      </c>
      <c r="B2275" s="3" t="s">
        <v>31</v>
      </c>
      <c r="C2275" s="4" t="str">
        <f>hyperlink("https://terraria.gamepedia.com/Chairs","Frozen Chair")</f>
        <v>Frozen Chair</v>
      </c>
    </row>
    <row r="2276">
      <c r="A2276" s="2">
        <v>2289.0</v>
      </c>
      <c r="B2276" s="3" t="s">
        <v>3</v>
      </c>
      <c r="C2276" s="4" t="str">
        <f>hyperlink("https://terraria.gamepedia.com/Fishing_poles","Wood Fishing Pole")</f>
        <v>Wood Fishing Pole</v>
      </c>
    </row>
    <row r="2277">
      <c r="A2277" s="2">
        <v>2290.0</v>
      </c>
      <c r="B2277" s="3" t="s">
        <v>39</v>
      </c>
      <c r="C2277" s="4" t="str">
        <f>hyperlink("https://terraria.gamepedia.com/Bass","Bass")</f>
        <v>Bass</v>
      </c>
    </row>
    <row r="2278">
      <c r="A2278" s="2">
        <v>2291.0</v>
      </c>
      <c r="B2278" s="3" t="s">
        <v>3</v>
      </c>
      <c r="C2278" s="4" t="str">
        <f>hyperlink("https://terraria.gamepedia.com/Fishing_poles","Reinforced Fishing Pole")</f>
        <v>Reinforced Fishing Pole</v>
      </c>
    </row>
    <row r="2279">
      <c r="A2279" s="2">
        <v>2292.0</v>
      </c>
      <c r="B2279" s="3" t="s">
        <v>3</v>
      </c>
      <c r="C2279" s="4" t="str">
        <f>hyperlink("https://terraria.gamepedia.com/Fishing_poles","Fiberglass Fishing Pole")</f>
        <v>Fiberglass Fishing Pole</v>
      </c>
    </row>
    <row r="2280">
      <c r="A2280" s="2">
        <v>2293.0</v>
      </c>
      <c r="B2280" s="3" t="s">
        <v>3</v>
      </c>
      <c r="C2280" s="4" t="str">
        <f>hyperlink("https://terraria.gamepedia.com/Fishing_poles","Fisher of Souls")</f>
        <v>Fisher of Souls</v>
      </c>
    </row>
    <row r="2281">
      <c r="A2281" s="2">
        <v>2294.0</v>
      </c>
      <c r="B2281" s="3" t="s">
        <v>3</v>
      </c>
      <c r="C2281" s="4" t="str">
        <f>hyperlink("https://terraria.gamepedia.com/Fishing_poles","Golden Fishing Rod")</f>
        <v>Golden Fishing Rod</v>
      </c>
    </row>
    <row r="2282">
      <c r="A2282" s="2">
        <v>2295.0</v>
      </c>
      <c r="B2282" s="3" t="s">
        <v>3</v>
      </c>
      <c r="C2282" s="4" t="str">
        <f>hyperlink("https://terraria.gamepedia.com/Fishing_poles","Mechanic's Rod")</f>
        <v>Mechanic's Rod</v>
      </c>
    </row>
    <row r="2283">
      <c r="A2283" s="2">
        <v>2296.0</v>
      </c>
      <c r="B2283" s="3" t="s">
        <v>3</v>
      </c>
      <c r="C2283" s="4" t="str">
        <f>hyperlink("https://terraria.gamepedia.com/Fishing_poles","Sitting Duck's Fishing Pole")</f>
        <v>Sitting Duck's Fishing Pole</v>
      </c>
    </row>
    <row r="2284">
      <c r="A2284" s="2">
        <v>2297.0</v>
      </c>
      <c r="B2284" s="3" t="s">
        <v>39</v>
      </c>
      <c r="C2284" s="4" t="str">
        <f>hyperlink("https://terraria.gamepedia.com/Trout","Trout")</f>
        <v>Trout</v>
      </c>
    </row>
    <row r="2285">
      <c r="A2285" s="2">
        <v>2298.0</v>
      </c>
      <c r="B2285" s="3" t="s">
        <v>39</v>
      </c>
      <c r="C2285" s="4" t="str">
        <f>hyperlink("https://terraria.gamepedia.com/Salmon","Salmon")</f>
        <v>Salmon</v>
      </c>
    </row>
    <row r="2286">
      <c r="A2286" s="2">
        <v>2299.0</v>
      </c>
      <c r="B2286" s="3" t="s">
        <v>39</v>
      </c>
      <c r="C2286" s="4" t="str">
        <f>hyperlink("https://terraria.gamepedia.com/Atlantic_Cod","Atlantic Cod")</f>
        <v>Atlantic Cod</v>
      </c>
    </row>
    <row r="2287">
      <c r="A2287" s="2">
        <v>2300.0</v>
      </c>
      <c r="B2287" s="3" t="s">
        <v>39</v>
      </c>
      <c r="C2287" s="4" t="str">
        <f>hyperlink("https://terraria.gamepedia.com/Tuna","Tuna")</f>
        <v>Tuna</v>
      </c>
    </row>
    <row r="2288">
      <c r="A2288" s="2">
        <v>2301.0</v>
      </c>
      <c r="B2288" s="3" t="s">
        <v>39</v>
      </c>
      <c r="C2288" s="4" t="str">
        <f>hyperlink("https://terraria.gamepedia.com/Red_Snapper","Red Snapper")</f>
        <v>Red Snapper</v>
      </c>
    </row>
    <row r="2289">
      <c r="A2289" s="2">
        <v>2302.0</v>
      </c>
      <c r="B2289" s="3" t="s">
        <v>39</v>
      </c>
      <c r="C2289" s="4" t="str">
        <f>hyperlink("https://terraria.gamepedia.com/Neon_Tetra","Neon Tetra")</f>
        <v>Neon Tetra</v>
      </c>
    </row>
    <row r="2290">
      <c r="A2290" s="2">
        <v>2303.0</v>
      </c>
      <c r="B2290" s="3" t="s">
        <v>39</v>
      </c>
      <c r="C2290" s="4" t="str">
        <f>hyperlink("https://terraria.gamepedia.com/Armored_Cavefish","Armored Cavefish")</f>
        <v>Armored Cavefish</v>
      </c>
    </row>
    <row r="2291">
      <c r="A2291" s="2">
        <v>2304.0</v>
      </c>
      <c r="B2291" s="3" t="s">
        <v>39</v>
      </c>
      <c r="C2291" s="4" t="str">
        <f>hyperlink("https://terraria.gamepedia.com/Damselfish","Damselfish")</f>
        <v>Damselfish</v>
      </c>
    </row>
    <row r="2292">
      <c r="A2292" s="2">
        <v>2305.0</v>
      </c>
      <c r="B2292" s="3" t="s">
        <v>39</v>
      </c>
      <c r="C2292" s="4" t="str">
        <f>hyperlink("https://terraria.gamepedia.com/Crimson_Tigerfish","Crimson Tigerfish")</f>
        <v>Crimson Tigerfish</v>
      </c>
    </row>
    <row r="2293">
      <c r="A2293" s="2">
        <v>2306.0</v>
      </c>
      <c r="B2293" s="3" t="s">
        <v>39</v>
      </c>
      <c r="C2293" s="4" t="str">
        <f>hyperlink("https://terraria.gamepedia.com/Frost_Minnow","Frost Minnow")</f>
        <v>Frost Minnow</v>
      </c>
    </row>
    <row r="2294">
      <c r="A2294" s="2">
        <v>2307.0</v>
      </c>
      <c r="B2294" s="3" t="s">
        <v>39</v>
      </c>
      <c r="C2294" s="4" t="str">
        <f>hyperlink("https://terraria.gamepedia.com/Princess_Fish","Princess Fish")</f>
        <v>Princess Fish</v>
      </c>
    </row>
    <row r="2295">
      <c r="A2295" s="2">
        <v>2308.0</v>
      </c>
      <c r="B2295" s="3" t="s">
        <v>39</v>
      </c>
      <c r="C2295" s="4" t="str">
        <f>hyperlink("https://terraria.gamepedia.com/Golden_Carp","Golden Carp")</f>
        <v>Golden Carp</v>
      </c>
    </row>
    <row r="2296">
      <c r="A2296" s="2">
        <v>2309.0</v>
      </c>
      <c r="B2296" s="3" t="s">
        <v>39</v>
      </c>
      <c r="C2296" s="4" t="str">
        <f>hyperlink("https://terraria.gamepedia.com/Specular_Fish","Specular Fish")</f>
        <v>Specular Fish</v>
      </c>
    </row>
    <row r="2297">
      <c r="A2297" s="2">
        <v>2310.0</v>
      </c>
      <c r="B2297" s="3" t="s">
        <v>39</v>
      </c>
      <c r="C2297" s="4" t="str">
        <f>hyperlink("https://terraria.gamepedia.com/Prismite","Prismite")</f>
        <v>Prismite</v>
      </c>
    </row>
    <row r="2298">
      <c r="A2298" s="2">
        <v>2311.0</v>
      </c>
      <c r="B2298" s="3" t="s">
        <v>39</v>
      </c>
      <c r="C2298" s="4" t="str">
        <f>hyperlink("https://terraria.gamepedia.com/Variegated_Lardfish","Variegated Lardfish")</f>
        <v>Variegated Lardfish</v>
      </c>
    </row>
    <row r="2299">
      <c r="A2299" s="2">
        <v>2312.0</v>
      </c>
      <c r="B2299" s="3" t="s">
        <v>39</v>
      </c>
      <c r="C2299" s="4" t="str">
        <f>hyperlink("https://terraria.gamepedia.com/Flarefin_Koi","Flarefin Koi")</f>
        <v>Flarefin Koi</v>
      </c>
    </row>
    <row r="2300">
      <c r="A2300" s="2">
        <v>2313.0</v>
      </c>
      <c r="B2300" s="3" t="s">
        <v>39</v>
      </c>
      <c r="C2300" s="4" t="str">
        <f>hyperlink("https://terraria.gamepedia.com/Double_Cod","Double Cod")</f>
        <v>Double Cod</v>
      </c>
    </row>
    <row r="2301">
      <c r="A2301" s="2">
        <v>2314.0</v>
      </c>
      <c r="B2301" s="3" t="s">
        <v>26</v>
      </c>
      <c r="C2301" s="4" t="str">
        <f>hyperlink("https://terraria.gamepedia.com/Honeyfin","Honeyfin")</f>
        <v>Honeyfin</v>
      </c>
    </row>
    <row r="2302">
      <c r="A2302" s="2">
        <v>2315.0</v>
      </c>
      <c r="B2302" s="3" t="s">
        <v>39</v>
      </c>
      <c r="C2302" s="4" t="str">
        <f>hyperlink("https://terraria.gamepedia.com/Obsidifish","Obsidifish")</f>
        <v>Obsidifish</v>
      </c>
    </row>
    <row r="2303">
      <c r="A2303" s="2">
        <v>2316.0</v>
      </c>
      <c r="B2303" s="3" t="s">
        <v>39</v>
      </c>
      <c r="C2303" s="4" t="str">
        <f>hyperlink("https://terraria.gamepedia.com/Shrimp","Shrimp")</f>
        <v>Shrimp</v>
      </c>
    </row>
    <row r="2304">
      <c r="A2304" s="2">
        <v>2317.0</v>
      </c>
      <c r="B2304" s="3" t="s">
        <v>39</v>
      </c>
      <c r="C2304" s="4" t="str">
        <f>hyperlink("https://terraria.gamepedia.com/Chaos_Fish","Chaos Fish")</f>
        <v>Chaos Fish</v>
      </c>
    </row>
    <row r="2305">
      <c r="A2305" s="2">
        <v>2318.0</v>
      </c>
      <c r="B2305" s="3" t="s">
        <v>39</v>
      </c>
      <c r="C2305" s="4" t="str">
        <f>hyperlink("https://terraria.gamepedia.com/Ebonkoi","Ebonkoi")</f>
        <v>Ebonkoi</v>
      </c>
    </row>
    <row r="2306">
      <c r="A2306" s="2">
        <v>2319.0</v>
      </c>
      <c r="B2306" s="3" t="s">
        <v>39</v>
      </c>
      <c r="C2306" s="4" t="str">
        <f>hyperlink("https://terraria.gamepedia.com/Hemopiranha","Hemopiranha")</f>
        <v>Hemopiranha</v>
      </c>
    </row>
    <row r="2307">
      <c r="A2307" s="2">
        <v>2320.0</v>
      </c>
      <c r="B2307" s="3" t="s">
        <v>39</v>
      </c>
      <c r="C2307" s="4" t="str">
        <f>hyperlink("https://terraria.gamepedia.com/Rockfish","Rockfish")</f>
        <v>Rockfish</v>
      </c>
    </row>
    <row r="2308">
      <c r="A2308" s="2">
        <v>2321.0</v>
      </c>
      <c r="B2308" s="3" t="s">
        <v>39</v>
      </c>
      <c r="C2308" s="4" t="str">
        <f>hyperlink("https://terraria.gamepedia.com/Stinkfish","Stinkfish")</f>
        <v>Stinkfish</v>
      </c>
    </row>
    <row r="2309">
      <c r="A2309" s="2">
        <v>2322.0</v>
      </c>
      <c r="B2309" s="3" t="s">
        <v>14</v>
      </c>
      <c r="C2309" s="4" t="str">
        <f>hyperlink("https://terraria.gamepedia.com/Mining_Potion","Mining Potion")</f>
        <v>Mining Potion</v>
      </c>
    </row>
    <row r="2310">
      <c r="A2310" s="2">
        <v>2323.0</v>
      </c>
      <c r="B2310" s="3" t="s">
        <v>14</v>
      </c>
      <c r="C2310" s="4" t="str">
        <f>hyperlink("https://terraria.gamepedia.com/Heartreach_Potion","Heartreach Potion")</f>
        <v>Heartreach Potion</v>
      </c>
    </row>
    <row r="2311">
      <c r="A2311" s="2">
        <v>2324.0</v>
      </c>
      <c r="B2311" s="3" t="s">
        <v>14</v>
      </c>
      <c r="C2311" s="4" t="str">
        <f>hyperlink("https://terraria.gamepedia.com/Calming_Potion","Calming Potion")</f>
        <v>Calming Potion</v>
      </c>
    </row>
    <row r="2312">
      <c r="A2312" s="2">
        <v>2325.0</v>
      </c>
      <c r="B2312" s="3" t="s">
        <v>14</v>
      </c>
      <c r="C2312" s="4" t="str">
        <f>hyperlink("https://terraria.gamepedia.com/Builder_Potion","Builder Potion")</f>
        <v>Builder Potion</v>
      </c>
    </row>
    <row r="2313">
      <c r="A2313" s="2">
        <v>2326.0</v>
      </c>
      <c r="B2313" s="3" t="s">
        <v>14</v>
      </c>
      <c r="C2313" s="4" t="str">
        <f>hyperlink("https://terraria.gamepedia.com/Titan_Potion","Titan Potion")</f>
        <v>Titan Potion</v>
      </c>
    </row>
    <row r="2314">
      <c r="A2314" s="2">
        <v>2327.0</v>
      </c>
      <c r="B2314" s="3" t="s">
        <v>14</v>
      </c>
      <c r="C2314" s="4" t="str">
        <f>hyperlink("https://terraria.gamepedia.com/Flipper_Potion","Flipper Potion")</f>
        <v>Flipper Potion</v>
      </c>
    </row>
    <row r="2315">
      <c r="A2315" s="2">
        <v>2328.0</v>
      </c>
      <c r="B2315" s="3" t="s">
        <v>14</v>
      </c>
      <c r="C2315" s="4" t="str">
        <f>hyperlink("https://terraria.gamepedia.com/Summoning_Potion","Summoning Potion")</f>
        <v>Summoning Potion</v>
      </c>
    </row>
    <row r="2316">
      <c r="A2316" s="2">
        <v>2329.0</v>
      </c>
      <c r="B2316" s="3" t="s">
        <v>14</v>
      </c>
      <c r="C2316" s="4" t="str">
        <f>hyperlink("https://terraria.gamepedia.com/Dangersense_Potion","Dangersense Potion")</f>
        <v>Dangersense Potion</v>
      </c>
    </row>
    <row r="2317">
      <c r="A2317" s="2">
        <v>2330.0</v>
      </c>
      <c r="B2317" s="3" t="s">
        <v>5</v>
      </c>
      <c r="C2317" s="4" t="str">
        <f>hyperlink("https://terraria.gamepedia.com/Purple_Clubberfish","Purple Clubberfish")</f>
        <v>Purple Clubberfish</v>
      </c>
    </row>
    <row r="2318">
      <c r="A2318" s="2">
        <v>2331.0</v>
      </c>
      <c r="B2318" s="3" t="s">
        <v>5</v>
      </c>
      <c r="C2318" s="4" t="str">
        <f>hyperlink("https://terraria.gamepedia.com/Obsidian_Swordfish","Obsidian Swordfish")</f>
        <v>Obsidian Swordfish</v>
      </c>
    </row>
    <row r="2319">
      <c r="A2319" s="2">
        <v>2332.0</v>
      </c>
      <c r="B2319" s="3" t="s">
        <v>39</v>
      </c>
      <c r="C2319" s="4" t="str">
        <f>hyperlink("https://terraria.gamepedia.com/Swordfish","Swordfish")</f>
        <v>Swordfish</v>
      </c>
    </row>
    <row r="2320">
      <c r="A2320" s="2">
        <v>2333.0</v>
      </c>
      <c r="B2320" s="3" t="s">
        <v>8</v>
      </c>
      <c r="C2320" s="4" t="str">
        <f>hyperlink("https://terraria.gamepedia.com/Fences","Iron Fence")</f>
        <v>Iron Fence</v>
      </c>
    </row>
    <row r="2321">
      <c r="A2321" s="2">
        <v>2334.0</v>
      </c>
      <c r="B2321" s="3" t="s">
        <v>20</v>
      </c>
      <c r="C2321" s="4" t="str">
        <f>hyperlink("https://terraria.gamepedia.com/Wooden_Crate","Wooden Crate")</f>
        <v>Wooden Crate</v>
      </c>
    </row>
    <row r="2322">
      <c r="A2322" s="2">
        <v>2335.0</v>
      </c>
      <c r="B2322" s="3" t="s">
        <v>20</v>
      </c>
      <c r="C2322" s="4" t="str">
        <f>hyperlink("https://terraria.gamepedia.com/Iron_Crate","Iron Crate")</f>
        <v>Iron Crate</v>
      </c>
    </row>
    <row r="2323">
      <c r="A2323" s="2">
        <v>2336.0</v>
      </c>
      <c r="B2323" s="3" t="s">
        <v>20</v>
      </c>
      <c r="C2323" s="4" t="str">
        <f>hyperlink("https://terraria.gamepedia.com/Golden_Crate","Golden Crate")</f>
        <v>Golden Crate</v>
      </c>
    </row>
    <row r="2324">
      <c r="A2324" s="2">
        <v>2337.0</v>
      </c>
      <c r="B2324" s="3" t="s">
        <v>39</v>
      </c>
      <c r="C2324" s="4" t="str">
        <f>hyperlink("https://terraria.gamepedia.com/Fishing","Old Shoe")</f>
        <v>Old Shoe</v>
      </c>
    </row>
    <row r="2325">
      <c r="A2325" s="2">
        <v>2338.0</v>
      </c>
      <c r="B2325" s="3" t="s">
        <v>22</v>
      </c>
      <c r="C2325" s="4" t="str">
        <f>hyperlink("https://terraria.gamepedia.com/Fishing","Seaweed")</f>
        <v>Seaweed</v>
      </c>
    </row>
    <row r="2326">
      <c r="A2326" s="2">
        <v>2339.0</v>
      </c>
      <c r="B2326" s="3" t="s">
        <v>39</v>
      </c>
      <c r="C2326" s="4" t="str">
        <f>hyperlink("https://terraria.gamepedia.com/Fishing","Tin Can")</f>
        <v>Tin Can</v>
      </c>
    </row>
    <row r="2327">
      <c r="A2327" s="2">
        <v>2340.0</v>
      </c>
      <c r="B2327" s="3" t="s">
        <v>28</v>
      </c>
      <c r="C2327" s="4" t="str">
        <f>hyperlink("https://terraria.gamepedia.com/Minecart_Track","Minecart Track")</f>
        <v>Minecart Track</v>
      </c>
    </row>
    <row r="2328">
      <c r="A2328" s="2">
        <v>2341.0</v>
      </c>
      <c r="B2328" s="3" t="s">
        <v>3</v>
      </c>
      <c r="C2328" s="4" t="str">
        <f>hyperlink("https://terraria.gamepedia.com/Reaver_Shark","Reaver Shark")</f>
        <v>Reaver Shark</v>
      </c>
    </row>
    <row r="2329">
      <c r="A2329" s="2">
        <v>2342.0</v>
      </c>
      <c r="B2329" s="3" t="s">
        <v>3</v>
      </c>
      <c r="C2329" s="4" t="str">
        <f>hyperlink("https://terraria.gamepedia.com/Sawtooth_Shark","Sawtooth Shark")</f>
        <v>Sawtooth Shark</v>
      </c>
    </row>
    <row r="2330">
      <c r="A2330" s="2">
        <v>2343.0</v>
      </c>
      <c r="B2330" s="3" t="s">
        <v>40</v>
      </c>
      <c r="C2330" s="4" t="str">
        <f>hyperlink("https://terraria.gamepedia.com/Minecarts","Minecart")</f>
        <v>Minecart</v>
      </c>
    </row>
    <row r="2331">
      <c r="A2331" s="2">
        <v>2344.0</v>
      </c>
      <c r="B2331" s="3" t="s">
        <v>14</v>
      </c>
      <c r="C2331" s="4" t="str">
        <f>hyperlink("https://terraria.gamepedia.com/Ammo_Reservation_Potion","Ammo Reservation Potion")</f>
        <v>Ammo Reservation Potion</v>
      </c>
    </row>
    <row r="2332">
      <c r="A2332" s="2">
        <v>2345.0</v>
      </c>
      <c r="B2332" s="3" t="s">
        <v>14</v>
      </c>
      <c r="C2332" s="4" t="str">
        <f>hyperlink("https://terraria.gamepedia.com/Lifeforce_Potion","Lifeforce Potion")</f>
        <v>Lifeforce Potion</v>
      </c>
    </row>
    <row r="2333">
      <c r="A2333" s="2">
        <v>2346.0</v>
      </c>
      <c r="B2333" s="3" t="s">
        <v>14</v>
      </c>
      <c r="C2333" s="4" t="str">
        <f>hyperlink("https://terraria.gamepedia.com/Endurance_Potion","Endurance Potion")</f>
        <v>Endurance Potion</v>
      </c>
    </row>
    <row r="2334">
      <c r="A2334" s="2">
        <v>2347.0</v>
      </c>
      <c r="B2334" s="3" t="s">
        <v>14</v>
      </c>
      <c r="C2334" s="4" t="str">
        <f>hyperlink("https://terraria.gamepedia.com/Rage_Potion","Rage Potion")</f>
        <v>Rage Potion</v>
      </c>
    </row>
    <row r="2335">
      <c r="A2335" s="2">
        <v>2348.0</v>
      </c>
      <c r="B2335" s="3" t="s">
        <v>14</v>
      </c>
      <c r="C2335" s="4" t="str">
        <f>hyperlink("https://terraria.gamepedia.com/Inferno_Potion","Inferno Potion")</f>
        <v>Inferno Potion</v>
      </c>
    </row>
    <row r="2336">
      <c r="A2336" s="2">
        <v>2349.0</v>
      </c>
      <c r="B2336" s="3" t="s">
        <v>14</v>
      </c>
      <c r="C2336" s="4" t="str">
        <f>hyperlink("https://terraria.gamepedia.com/Wrath_Potion","Wrath Potion")</f>
        <v>Wrath Potion</v>
      </c>
    </row>
    <row r="2337">
      <c r="A2337" s="2">
        <v>2350.0</v>
      </c>
      <c r="B2337" s="3" t="s">
        <v>14</v>
      </c>
      <c r="C2337" s="4" t="str">
        <f>hyperlink("https://terraria.gamepedia.com/Recall_Potion","Recall Potion")</f>
        <v>Recall Potion</v>
      </c>
    </row>
    <row r="2338">
      <c r="A2338" s="2">
        <v>2351.0</v>
      </c>
      <c r="B2338" s="3" t="s">
        <v>14</v>
      </c>
      <c r="C2338" s="4" t="str">
        <f>hyperlink("https://terraria.gamepedia.com/Teleportation_Potion","Teleportation Potion")</f>
        <v>Teleportation Potion</v>
      </c>
    </row>
    <row r="2339">
      <c r="A2339" s="2">
        <v>2352.0</v>
      </c>
      <c r="B2339" s="3" t="s">
        <v>14</v>
      </c>
      <c r="C2339" s="4" t="str">
        <f>hyperlink("https://terraria.gamepedia.com/Love_Potion","Love Potion")</f>
        <v>Love Potion</v>
      </c>
    </row>
    <row r="2340">
      <c r="A2340" s="2">
        <v>2353.0</v>
      </c>
      <c r="B2340" s="3" t="s">
        <v>14</v>
      </c>
      <c r="C2340" s="4" t="str">
        <f>hyperlink("https://terraria.gamepedia.com/Stink_Potion","Stink Potion")</f>
        <v>Stink Potion</v>
      </c>
    </row>
    <row r="2341">
      <c r="A2341" s="2">
        <v>2354.0</v>
      </c>
      <c r="B2341" s="3" t="s">
        <v>14</v>
      </c>
      <c r="C2341" s="4" t="str">
        <f>hyperlink("https://terraria.gamepedia.com/Fishing_Potion","Fishing Potion")</f>
        <v>Fishing Potion</v>
      </c>
    </row>
    <row r="2342">
      <c r="A2342" s="2">
        <v>2355.0</v>
      </c>
      <c r="B2342" s="3" t="s">
        <v>14</v>
      </c>
      <c r="C2342" s="4" t="str">
        <f>hyperlink("https://terraria.gamepedia.com/Sonar_Potion","Sonar Potion")</f>
        <v>Sonar Potion</v>
      </c>
    </row>
    <row r="2343">
      <c r="A2343" s="2">
        <v>2356.0</v>
      </c>
      <c r="B2343" s="3" t="s">
        <v>14</v>
      </c>
      <c r="C2343" s="4" t="str">
        <f>hyperlink("https://terraria.gamepedia.com/Crate_Potion","Crate Potion")</f>
        <v>Crate Potion</v>
      </c>
    </row>
    <row r="2344">
      <c r="A2344" s="2">
        <v>2357.0</v>
      </c>
      <c r="B2344" s="3" t="s">
        <v>6</v>
      </c>
      <c r="C2344" s="4" t="str">
        <f>hyperlink("https://terraria.gamepedia.com/Shiverthorn_Seeds","Shiverthorn Seeds")</f>
        <v>Shiverthorn Seeds</v>
      </c>
    </row>
    <row r="2345">
      <c r="A2345" s="2">
        <v>2358.0</v>
      </c>
      <c r="B2345" s="3" t="s">
        <v>6</v>
      </c>
      <c r="C2345" s="4" t="str">
        <f>hyperlink("https://terraria.gamepedia.com/Shiverthorn","Shiverthorn")</f>
        <v>Shiverthorn</v>
      </c>
    </row>
    <row r="2346">
      <c r="A2346" s="2">
        <v>2359.0</v>
      </c>
      <c r="B2346" s="3" t="s">
        <v>14</v>
      </c>
      <c r="C2346" s="4" t="str">
        <f>hyperlink("https://terraria.gamepedia.com/Warmth_Potion","Warmth Potion")</f>
        <v>Warmth Potion</v>
      </c>
    </row>
    <row r="2347">
      <c r="A2347" s="2">
        <v>2360.0</v>
      </c>
      <c r="B2347" s="3" t="s">
        <v>3</v>
      </c>
      <c r="C2347" s="4" t="str">
        <f>hyperlink("https://terraria.gamepedia.com/Hooks","Fish Hook")</f>
        <v>Fish Hook</v>
      </c>
    </row>
    <row r="2348">
      <c r="A2348" s="2">
        <v>2361.0</v>
      </c>
      <c r="B2348" s="3" t="s">
        <v>17</v>
      </c>
      <c r="C2348" s="4" t="str">
        <f>hyperlink("https://terraria.gamepedia.com/Bee_armor","Bee Headgear")</f>
        <v>Bee Headgear</v>
      </c>
    </row>
    <row r="2349">
      <c r="A2349" s="2">
        <v>2362.0</v>
      </c>
      <c r="B2349" s="3" t="s">
        <v>17</v>
      </c>
      <c r="C2349" s="4" t="str">
        <f>hyperlink("https://terraria.gamepedia.com/Bee_armor","Bee Breastplate")</f>
        <v>Bee Breastplate</v>
      </c>
    </row>
    <row r="2350">
      <c r="A2350" s="2">
        <v>2363.0</v>
      </c>
      <c r="B2350" s="3" t="s">
        <v>17</v>
      </c>
      <c r="C2350" s="4" t="str">
        <f>hyperlink("https://terraria.gamepedia.com/Bee_armor","Bee Greaves")</f>
        <v>Bee Greaves</v>
      </c>
    </row>
    <row r="2351">
      <c r="A2351" s="2">
        <v>2364.0</v>
      </c>
      <c r="B2351" s="3" t="s">
        <v>5</v>
      </c>
      <c r="C2351" s="4" t="str">
        <f>hyperlink("https://terraria.gamepedia.com/Hornet_Staff","Hornet Staff")</f>
        <v>Hornet Staff</v>
      </c>
    </row>
    <row r="2352">
      <c r="A2352" s="2">
        <v>2365.0</v>
      </c>
      <c r="B2352" s="3" t="s">
        <v>5</v>
      </c>
      <c r="C2352" s="4" t="str">
        <f>hyperlink("https://terraria.gamepedia.com/Imp_Staff","Imp Staff")</f>
        <v>Imp Staff</v>
      </c>
    </row>
    <row r="2353">
      <c r="A2353" s="2">
        <v>2366.0</v>
      </c>
      <c r="B2353" s="3" t="s">
        <v>5</v>
      </c>
      <c r="C2353" s="4" t="str">
        <f>hyperlink("https://terraria.gamepedia.com/Queen_Spider_Staff","Queen Spider Staff")</f>
        <v>Queen Spider Staff</v>
      </c>
    </row>
    <row r="2354">
      <c r="A2354" s="2">
        <v>2367.0</v>
      </c>
      <c r="B2354" s="3" t="s">
        <v>17</v>
      </c>
      <c r="C2354" s="4" t="str">
        <f>hyperlink("https://terraria.gamepedia.com/Angler_armor","Angler Hat")</f>
        <v>Angler Hat</v>
      </c>
    </row>
    <row r="2355">
      <c r="A2355" s="2">
        <v>2368.0</v>
      </c>
      <c r="B2355" s="3" t="s">
        <v>17</v>
      </c>
      <c r="C2355" s="4" t="str">
        <f>hyperlink("https://terraria.gamepedia.com/Angler_armor","Angler Vest")</f>
        <v>Angler Vest</v>
      </c>
    </row>
    <row r="2356">
      <c r="A2356" s="2">
        <v>2369.0</v>
      </c>
      <c r="B2356" s="3" t="s">
        <v>17</v>
      </c>
      <c r="C2356" s="4" t="str">
        <f>hyperlink("https://terraria.gamepedia.com/Angler_armor","Angler Pants")</f>
        <v>Angler Pants</v>
      </c>
    </row>
    <row r="2357">
      <c r="A2357" s="2">
        <v>2370.0</v>
      </c>
      <c r="B2357" s="3" t="s">
        <v>17</v>
      </c>
      <c r="C2357" s="4" t="str">
        <f>hyperlink("https://terraria.gamepedia.com/Spider_armor","Spider Mask")</f>
        <v>Spider Mask</v>
      </c>
    </row>
    <row r="2358">
      <c r="A2358" s="2">
        <v>2371.0</v>
      </c>
      <c r="B2358" s="3" t="s">
        <v>17</v>
      </c>
      <c r="C2358" s="4" t="str">
        <f>hyperlink("https://terraria.gamepedia.com/Spider_armor","Spider Breastplate")</f>
        <v>Spider Breastplate</v>
      </c>
    </row>
    <row r="2359">
      <c r="A2359" s="2">
        <v>2372.0</v>
      </c>
      <c r="B2359" s="3" t="s">
        <v>17</v>
      </c>
      <c r="C2359" s="4" t="str">
        <f>hyperlink("https://terraria.gamepedia.com/Spider_armor","Spider Greaves")</f>
        <v>Spider Greaves</v>
      </c>
    </row>
    <row r="2360">
      <c r="A2360" s="2">
        <v>2373.0</v>
      </c>
      <c r="B2360" s="3" t="s">
        <v>10</v>
      </c>
      <c r="C2360" s="4" t="str">
        <f>hyperlink("https://terraria.gamepedia.com/High_Test_Fishing_Line","High Test Fishing Line")</f>
        <v>High Test Fishing Line</v>
      </c>
    </row>
    <row r="2361">
      <c r="A2361" s="2">
        <v>2374.0</v>
      </c>
      <c r="B2361" s="3" t="s">
        <v>10</v>
      </c>
      <c r="C2361" s="4" t="str">
        <f>hyperlink("https://terraria.gamepedia.com/Angler_Earring","Angler Earring")</f>
        <v>Angler Earring</v>
      </c>
    </row>
    <row r="2362">
      <c r="A2362" s="2">
        <v>2375.0</v>
      </c>
      <c r="B2362" s="3" t="s">
        <v>10</v>
      </c>
      <c r="C2362" s="4" t="str">
        <f>hyperlink("https://terraria.gamepedia.com/Tackle_Box","Tackle Box")</f>
        <v>Tackle Box</v>
      </c>
    </row>
    <row r="2363">
      <c r="A2363" s="2">
        <v>2376.0</v>
      </c>
      <c r="B2363" s="3" t="s">
        <v>31</v>
      </c>
      <c r="C2363" s="4" t="str">
        <f>hyperlink("https://terraria.gamepedia.com/Pianos","Blue Dungeon Piano")</f>
        <v>Blue Dungeon Piano</v>
      </c>
    </row>
    <row r="2364">
      <c r="A2364" s="2">
        <v>2377.0</v>
      </c>
      <c r="B2364" s="3" t="s">
        <v>31</v>
      </c>
      <c r="C2364" s="4" t="str">
        <f>hyperlink("https://terraria.gamepedia.com/Pianos","Green Dungeon Piano")</f>
        <v>Green Dungeon Piano</v>
      </c>
    </row>
    <row r="2365">
      <c r="A2365" s="2">
        <v>2378.0</v>
      </c>
      <c r="B2365" s="3" t="s">
        <v>31</v>
      </c>
      <c r="C2365" s="4" t="str">
        <f>hyperlink("https://terraria.gamepedia.com/Pianos","Pink Dungeon Piano")</f>
        <v>Pink Dungeon Piano</v>
      </c>
    </row>
    <row r="2366">
      <c r="A2366" s="2">
        <v>2379.0</v>
      </c>
      <c r="B2366" s="3" t="s">
        <v>31</v>
      </c>
      <c r="C2366" s="4" t="str">
        <f>hyperlink("https://terraria.gamepedia.com/Pianos","Golden Piano")</f>
        <v>Golden Piano</v>
      </c>
    </row>
    <row r="2367">
      <c r="A2367" s="2">
        <v>2380.0</v>
      </c>
      <c r="B2367" s="3" t="s">
        <v>31</v>
      </c>
      <c r="C2367" s="4" t="str">
        <f>hyperlink("https://terraria.gamepedia.com/Pianos","Obsidian Piano")</f>
        <v>Obsidian Piano</v>
      </c>
    </row>
    <row r="2368">
      <c r="A2368" s="2">
        <v>2381.0</v>
      </c>
      <c r="B2368" s="3" t="s">
        <v>31</v>
      </c>
      <c r="C2368" s="4" t="str">
        <f>hyperlink("https://terraria.gamepedia.com/Pianos","Bone Piano")</f>
        <v>Bone Piano</v>
      </c>
    </row>
    <row r="2369">
      <c r="A2369" s="2">
        <v>2382.0</v>
      </c>
      <c r="B2369" s="3" t="s">
        <v>31</v>
      </c>
      <c r="C2369" s="4" t="str">
        <f>hyperlink("https://terraria.gamepedia.com/Pianos","Cactus Piano")</f>
        <v>Cactus Piano</v>
      </c>
    </row>
    <row r="2370">
      <c r="A2370" s="2">
        <v>2383.0</v>
      </c>
      <c r="B2370" s="3" t="s">
        <v>31</v>
      </c>
      <c r="C2370" s="4" t="str">
        <f>hyperlink("https://terraria.gamepedia.com/Pianos","Spooky Piano")</f>
        <v>Spooky Piano</v>
      </c>
    </row>
    <row r="2371">
      <c r="A2371" s="2">
        <v>2384.0</v>
      </c>
      <c r="B2371" s="3" t="s">
        <v>31</v>
      </c>
      <c r="C2371" s="4" t="str">
        <f>hyperlink("https://terraria.gamepedia.com/Pianos","Skyware Piano")</f>
        <v>Skyware Piano</v>
      </c>
    </row>
    <row r="2372">
      <c r="A2372" s="2">
        <v>2385.0</v>
      </c>
      <c r="B2372" s="3" t="s">
        <v>31</v>
      </c>
      <c r="C2372" s="4" t="str">
        <f>hyperlink("https://terraria.gamepedia.com/Pianos","Lihzahrd Piano")</f>
        <v>Lihzahrd Piano</v>
      </c>
    </row>
    <row r="2373">
      <c r="A2373" s="2">
        <v>2386.0</v>
      </c>
      <c r="B2373" s="3" t="s">
        <v>31</v>
      </c>
      <c r="C2373" s="4" t="str">
        <f>hyperlink("https://terraria.gamepedia.com/Dressers","Blue Dungeon Dresser")</f>
        <v>Blue Dungeon Dresser</v>
      </c>
    </row>
    <row r="2374">
      <c r="A2374" s="2">
        <v>2387.0</v>
      </c>
      <c r="B2374" s="3" t="s">
        <v>31</v>
      </c>
      <c r="C2374" s="4" t="str">
        <f>hyperlink("https://terraria.gamepedia.com/Dressers","Green Dungeon Dresser")</f>
        <v>Green Dungeon Dresser</v>
      </c>
    </row>
    <row r="2375">
      <c r="A2375" s="2">
        <v>2388.0</v>
      </c>
      <c r="B2375" s="3" t="s">
        <v>31</v>
      </c>
      <c r="C2375" s="4" t="str">
        <f>hyperlink("https://terraria.gamepedia.com/Dressers","Pink Dungeon Dresser")</f>
        <v>Pink Dungeon Dresser</v>
      </c>
    </row>
    <row r="2376">
      <c r="A2376" s="2">
        <v>2389.0</v>
      </c>
      <c r="B2376" s="3" t="s">
        <v>31</v>
      </c>
      <c r="C2376" s="4" t="str">
        <f>hyperlink("https://terraria.gamepedia.com/Dressers","Golden Dresser")</f>
        <v>Golden Dresser</v>
      </c>
    </row>
    <row r="2377">
      <c r="A2377" s="2">
        <v>2390.0</v>
      </c>
      <c r="B2377" s="3" t="s">
        <v>31</v>
      </c>
      <c r="C2377" s="4" t="str">
        <f>hyperlink("https://terraria.gamepedia.com/Dressers","Obsidian Dresser")</f>
        <v>Obsidian Dresser</v>
      </c>
    </row>
    <row r="2378">
      <c r="A2378" s="2">
        <v>2391.0</v>
      </c>
      <c r="B2378" s="3" t="s">
        <v>31</v>
      </c>
      <c r="C2378" s="4" t="str">
        <f>hyperlink("https://terraria.gamepedia.com/Dressers","Bone Dresser")</f>
        <v>Bone Dresser</v>
      </c>
    </row>
    <row r="2379">
      <c r="A2379" s="2">
        <v>2392.0</v>
      </c>
      <c r="B2379" s="3" t="s">
        <v>31</v>
      </c>
      <c r="C2379" s="4" t="str">
        <f>hyperlink("https://terraria.gamepedia.com/Dressers","Cactus Dresser")</f>
        <v>Cactus Dresser</v>
      </c>
    </row>
    <row r="2380">
      <c r="A2380" s="2">
        <v>2393.0</v>
      </c>
      <c r="B2380" s="3" t="s">
        <v>31</v>
      </c>
      <c r="C2380" s="4" t="str">
        <f>hyperlink("https://terraria.gamepedia.com/Dressers","Spooky Dresser")</f>
        <v>Spooky Dresser</v>
      </c>
    </row>
    <row r="2381">
      <c r="A2381" s="2">
        <v>2394.0</v>
      </c>
      <c r="B2381" s="3" t="s">
        <v>31</v>
      </c>
      <c r="C2381" s="4" t="str">
        <f>hyperlink("https://terraria.gamepedia.com/Dressers","Skyware Dresser")</f>
        <v>Skyware Dresser</v>
      </c>
    </row>
    <row r="2382">
      <c r="A2382" s="2">
        <v>2395.0</v>
      </c>
      <c r="B2382" s="3" t="s">
        <v>31</v>
      </c>
      <c r="C2382" s="4" t="str">
        <f>hyperlink("https://terraria.gamepedia.com/Dressers","Honey Dresser")</f>
        <v>Honey Dresser</v>
      </c>
    </row>
    <row r="2383">
      <c r="A2383" s="2">
        <v>2396.0</v>
      </c>
      <c r="B2383" s="3" t="s">
        <v>31</v>
      </c>
      <c r="C2383" s="4" t="str">
        <f>hyperlink("https://terraria.gamepedia.com/Dressers","Lihzahrd Dresser")</f>
        <v>Lihzahrd Dresser</v>
      </c>
    </row>
    <row r="2384">
      <c r="A2384" s="2">
        <v>2397.0</v>
      </c>
      <c r="B2384" s="3" t="s">
        <v>12</v>
      </c>
      <c r="C2384" s="4" t="str">
        <f>hyperlink("https://terraria.gamepedia.com/Sofas","Sofa")</f>
        <v>Sofa</v>
      </c>
    </row>
    <row r="2385">
      <c r="A2385" s="2">
        <v>2398.0</v>
      </c>
      <c r="B2385" s="3" t="s">
        <v>31</v>
      </c>
      <c r="C2385" s="4" t="str">
        <f>hyperlink("https://terraria.gamepedia.com/Sofas","Ebonwood Sofa")</f>
        <v>Ebonwood Sofa</v>
      </c>
    </row>
    <row r="2386">
      <c r="A2386" s="2">
        <v>2399.0</v>
      </c>
      <c r="B2386" s="3" t="s">
        <v>31</v>
      </c>
      <c r="C2386" s="4" t="str">
        <f>hyperlink("https://terraria.gamepedia.com/Sofas","Rich Mahogany Sofa")</f>
        <v>Rich Mahogany Sofa</v>
      </c>
    </row>
    <row r="2387">
      <c r="A2387" s="2">
        <v>2400.0</v>
      </c>
      <c r="B2387" s="3" t="s">
        <v>31</v>
      </c>
      <c r="C2387" s="4" t="str">
        <f>hyperlink("https://terraria.gamepedia.com/Sofas","Pearlwood Sofa")</f>
        <v>Pearlwood Sofa</v>
      </c>
    </row>
    <row r="2388">
      <c r="A2388" s="2">
        <v>2401.0</v>
      </c>
      <c r="B2388" s="3" t="s">
        <v>31</v>
      </c>
      <c r="C2388" s="4" t="str">
        <f>hyperlink("https://terraria.gamepedia.com/Sofas","Shadewood Sofa")</f>
        <v>Shadewood Sofa</v>
      </c>
    </row>
    <row r="2389">
      <c r="A2389" s="2">
        <v>2402.0</v>
      </c>
      <c r="B2389" s="3" t="s">
        <v>31</v>
      </c>
      <c r="C2389" s="4" t="str">
        <f>hyperlink("https://terraria.gamepedia.com/Sofas","Blue Dungeon Sofa")</f>
        <v>Blue Dungeon Sofa</v>
      </c>
    </row>
    <row r="2390">
      <c r="A2390" s="2">
        <v>2403.0</v>
      </c>
      <c r="B2390" s="3" t="s">
        <v>31</v>
      </c>
      <c r="C2390" s="4" t="str">
        <f>hyperlink("https://terraria.gamepedia.com/Sofas","Green Dungeon Sofa")</f>
        <v>Green Dungeon Sofa</v>
      </c>
    </row>
    <row r="2391">
      <c r="A2391" s="2">
        <v>2404.0</v>
      </c>
      <c r="B2391" s="3" t="s">
        <v>31</v>
      </c>
      <c r="C2391" s="4" t="str">
        <f>hyperlink("https://terraria.gamepedia.com/Sofas","Pink Dungeon Sofa")</f>
        <v>Pink Dungeon Sofa</v>
      </c>
    </row>
    <row r="2392">
      <c r="A2392" s="2">
        <v>2405.0</v>
      </c>
      <c r="B2392" s="3" t="s">
        <v>31</v>
      </c>
      <c r="C2392" s="4" t="str">
        <f>hyperlink("https://terraria.gamepedia.com/Sofas","Golden Sofa")</f>
        <v>Golden Sofa</v>
      </c>
    </row>
    <row r="2393">
      <c r="A2393" s="2">
        <v>2406.0</v>
      </c>
      <c r="B2393" s="3" t="s">
        <v>31</v>
      </c>
      <c r="C2393" s="4" t="str">
        <f>hyperlink("https://terraria.gamepedia.com/Sofas","Obsidian Sofa")</f>
        <v>Obsidian Sofa</v>
      </c>
    </row>
    <row r="2394">
      <c r="A2394" s="2">
        <v>2407.0</v>
      </c>
      <c r="B2394" s="3" t="s">
        <v>31</v>
      </c>
      <c r="C2394" s="4" t="str">
        <f>hyperlink("https://terraria.gamepedia.com/Sofas","Bone Sofa")</f>
        <v>Bone Sofa</v>
      </c>
    </row>
    <row r="2395">
      <c r="A2395" s="2">
        <v>2408.0</v>
      </c>
      <c r="B2395" s="3" t="s">
        <v>31</v>
      </c>
      <c r="C2395" s="4" t="str">
        <f>hyperlink("https://terraria.gamepedia.com/Sofas","Cactus Sofa")</f>
        <v>Cactus Sofa</v>
      </c>
    </row>
    <row r="2396">
      <c r="A2396" s="2">
        <v>2409.0</v>
      </c>
      <c r="B2396" s="3" t="s">
        <v>31</v>
      </c>
      <c r="C2396" s="4" t="str">
        <f>hyperlink("https://terraria.gamepedia.com/Sofas","Spooky Sofa")</f>
        <v>Spooky Sofa</v>
      </c>
    </row>
    <row r="2397">
      <c r="A2397" s="2">
        <v>2410.0</v>
      </c>
      <c r="B2397" s="3" t="s">
        <v>31</v>
      </c>
      <c r="C2397" s="4" t="str">
        <f>hyperlink("https://terraria.gamepedia.com/Sofas","Skyware Sofa")</f>
        <v>Skyware Sofa</v>
      </c>
    </row>
    <row r="2398">
      <c r="A2398" s="2">
        <v>2411.0</v>
      </c>
      <c r="B2398" s="3" t="s">
        <v>31</v>
      </c>
      <c r="C2398" s="4" t="str">
        <f>hyperlink("https://terraria.gamepedia.com/Sofas","Honey Sofa")</f>
        <v>Honey Sofa</v>
      </c>
    </row>
    <row r="2399">
      <c r="A2399" s="2">
        <v>2412.0</v>
      </c>
      <c r="B2399" s="3" t="s">
        <v>31</v>
      </c>
      <c r="C2399" s="4" t="str">
        <f>hyperlink("https://terraria.gamepedia.com/Sofas","Steampunk Sofa")</f>
        <v>Steampunk Sofa</v>
      </c>
    </row>
    <row r="2400">
      <c r="A2400" s="2">
        <v>2413.0</v>
      </c>
      <c r="B2400" s="3" t="s">
        <v>31</v>
      </c>
      <c r="C2400" s="4" t="str">
        <f>hyperlink("https://terraria.gamepedia.com/Sofas","Mushroom Sofa")</f>
        <v>Mushroom Sofa</v>
      </c>
    </row>
    <row r="2401">
      <c r="A2401" s="2">
        <v>2414.0</v>
      </c>
      <c r="B2401" s="3" t="s">
        <v>31</v>
      </c>
      <c r="C2401" s="4" t="str">
        <f>hyperlink("https://terraria.gamepedia.com/Sofas","Glass Sofa")</f>
        <v>Glass Sofa</v>
      </c>
    </row>
    <row r="2402">
      <c r="A2402" s="2">
        <v>2415.0</v>
      </c>
      <c r="B2402" s="3" t="s">
        <v>31</v>
      </c>
      <c r="C2402" s="4" t="str">
        <f>hyperlink("https://terraria.gamepedia.com/Sofas","Pumpkin Sofa")</f>
        <v>Pumpkin Sofa</v>
      </c>
    </row>
    <row r="2403">
      <c r="A2403" s="2">
        <v>2416.0</v>
      </c>
      <c r="B2403" s="3" t="s">
        <v>31</v>
      </c>
      <c r="C2403" s="4" t="str">
        <f>hyperlink("https://terraria.gamepedia.com/Sofas","Lihzahrd Sofa")</f>
        <v>Lihzahrd Sofa</v>
      </c>
    </row>
    <row r="2404">
      <c r="A2404" s="2">
        <v>2417.0</v>
      </c>
      <c r="B2404" s="3" t="s">
        <v>23</v>
      </c>
      <c r="C2404" s="4" t="str">
        <f>hyperlink("https://terraria.gamepedia.com/Mermaid_set","Seashell Hairpin")</f>
        <v>Seashell Hairpin</v>
      </c>
    </row>
    <row r="2405">
      <c r="A2405" s="2">
        <v>2418.0</v>
      </c>
      <c r="B2405" s="3" t="s">
        <v>23</v>
      </c>
      <c r="C2405" s="4" t="str">
        <f>hyperlink("https://terraria.gamepedia.com/Mermaid_set","Mermaid Adornment")</f>
        <v>Mermaid Adornment</v>
      </c>
    </row>
    <row r="2406">
      <c r="A2406" s="2">
        <v>2419.0</v>
      </c>
      <c r="B2406" s="3" t="s">
        <v>23</v>
      </c>
      <c r="C2406" s="4" t="str">
        <f>hyperlink("https://terraria.gamepedia.com/Mermaid_set","Mermaid Tail")</f>
        <v>Mermaid Tail</v>
      </c>
    </row>
    <row r="2407">
      <c r="A2407" s="2">
        <v>2420.0</v>
      </c>
      <c r="B2407" s="3" t="s">
        <v>22</v>
      </c>
      <c r="C2407" s="4" t="str">
        <f>hyperlink("https://terraria.gamepedia.com/Zephyr_Fish","Zephyr Fish")</f>
        <v>Zephyr Fish</v>
      </c>
    </row>
    <row r="2408">
      <c r="A2408" s="2">
        <v>2421.0</v>
      </c>
      <c r="B2408" s="3" t="s">
        <v>3</v>
      </c>
      <c r="C2408" s="4" t="str">
        <f>hyperlink("https://terraria.gamepedia.com/Fishing_poles","Fleshcatcher")</f>
        <v>Fleshcatcher</v>
      </c>
    </row>
    <row r="2409">
      <c r="A2409" s="2">
        <v>2422.0</v>
      </c>
      <c r="B2409" s="3" t="s">
        <v>3</v>
      </c>
      <c r="C2409" s="4" t="str">
        <f>hyperlink("https://terraria.gamepedia.com/Fishing_poles","Hotline Fishing Hook")</f>
        <v>Hotline Fishing Hook</v>
      </c>
    </row>
    <row r="2410">
      <c r="A2410" s="2">
        <v>2423.0</v>
      </c>
      <c r="B2410" s="3" t="s">
        <v>10</v>
      </c>
      <c r="C2410" s="4" t="str">
        <f>hyperlink("https://terraria.gamepedia.com/Frog_Leg","Frog Leg")</f>
        <v>Frog Leg</v>
      </c>
    </row>
    <row r="2411">
      <c r="A2411" s="2">
        <v>2424.0</v>
      </c>
      <c r="B2411" s="3" t="s">
        <v>5</v>
      </c>
      <c r="C2411" s="4" t="str">
        <f>hyperlink("https://terraria.gamepedia.com/Anchor","Anchor")</f>
        <v>Anchor</v>
      </c>
    </row>
    <row r="2412">
      <c r="A2412" s="2">
        <v>2425.0</v>
      </c>
      <c r="B2412" s="3" t="s">
        <v>26</v>
      </c>
      <c r="C2412" s="4" t="str">
        <f>hyperlink("https://terraria.gamepedia.com/Fishing_foods","Cooked Fish")</f>
        <v>Cooked Fish</v>
      </c>
    </row>
    <row r="2413">
      <c r="A2413" s="2">
        <v>2426.0</v>
      </c>
      <c r="B2413" s="3" t="s">
        <v>26</v>
      </c>
      <c r="C2413" s="4" t="str">
        <f>hyperlink("https://terraria.gamepedia.com/Fishing_foods","Cooked Shrimp")</f>
        <v>Cooked Shrimp</v>
      </c>
    </row>
    <row r="2414">
      <c r="A2414" s="2">
        <v>2427.0</v>
      </c>
      <c r="B2414" s="3" t="s">
        <v>26</v>
      </c>
      <c r="C2414" s="4" t="str">
        <f>hyperlink("https://terraria.gamepedia.com/Fishing_foods","Sashimi")</f>
        <v>Sashimi</v>
      </c>
    </row>
    <row r="2415">
      <c r="A2415" s="2">
        <v>2428.0</v>
      </c>
      <c r="B2415" s="3" t="s">
        <v>22</v>
      </c>
      <c r="C2415" s="4" t="str">
        <f>hyperlink("https://terraria.gamepedia.com/Fuzzy_Carrot","Fuzzy Carrot")</f>
        <v>Fuzzy Carrot</v>
      </c>
    </row>
    <row r="2416">
      <c r="A2416" s="2">
        <v>2429.0</v>
      </c>
      <c r="B2416" s="3" t="s">
        <v>22</v>
      </c>
      <c r="C2416" s="4" t="str">
        <f>hyperlink("https://terraria.gamepedia.com/Scaly_Truffle","Scaly Truffle")</f>
        <v>Scaly Truffle</v>
      </c>
    </row>
    <row r="2417">
      <c r="A2417" s="2">
        <v>2430.0</v>
      </c>
      <c r="B2417" s="3" t="s">
        <v>22</v>
      </c>
      <c r="C2417" s="4" t="str">
        <f>hyperlink("https://terraria.gamepedia.com/Slimy_Saddle","Slimy Saddle")</f>
        <v>Slimy Saddle</v>
      </c>
    </row>
    <row r="2418">
      <c r="A2418" s="2">
        <v>2431.0</v>
      </c>
      <c r="B2418" s="3" t="s">
        <v>11</v>
      </c>
      <c r="C2418" s="4" t="str">
        <f>hyperlink("https://terraria.gamepedia.com/Bee_Wax","Bee Wax")</f>
        <v>Bee Wax</v>
      </c>
    </row>
    <row r="2419">
      <c r="A2419" s="2">
        <v>2432.0</v>
      </c>
      <c r="B2419" s="3" t="s">
        <v>13</v>
      </c>
      <c r="C2419" s="4" t="str">
        <f>hyperlink("https://terraria.gamepedia.com/Copper_Plating_Wall","Copper Plating Wall")</f>
        <v>Copper Plating Wall</v>
      </c>
    </row>
    <row r="2420">
      <c r="A2420" s="2">
        <v>2433.0</v>
      </c>
      <c r="B2420" s="3" t="s">
        <v>13</v>
      </c>
      <c r="C2420" s="4" t="str">
        <f>hyperlink("https://terraria.gamepedia.com/Stone_Slab_Wall","Stone Slab Wall")</f>
        <v>Stone Slab Wall</v>
      </c>
    </row>
    <row r="2421">
      <c r="A2421" s="2">
        <v>2434.0</v>
      </c>
      <c r="B2421" s="3" t="s">
        <v>13</v>
      </c>
      <c r="C2421" s="4" t="str">
        <f>hyperlink("https://terraria.gamepedia.com/Sail","Sail")</f>
        <v>Sail</v>
      </c>
    </row>
    <row r="2422">
      <c r="A2422" s="2">
        <v>2435.0</v>
      </c>
      <c r="B2422" s="3" t="s">
        <v>4</v>
      </c>
      <c r="C2422" s="4" t="str">
        <f>hyperlink("https://terraria.gamepedia.com/Coralstone_Block","Coralstone Block")</f>
        <v>Coralstone Block</v>
      </c>
    </row>
    <row r="2423">
      <c r="A2423" s="2">
        <v>2436.0</v>
      </c>
      <c r="B2423" s="3" t="s">
        <v>24</v>
      </c>
      <c r="C2423" s="4" t="str">
        <f>hyperlink("https://terraria.gamepedia.com/Jellyfish_(bait)","Blue Jellyfish")</f>
        <v>Blue Jellyfish</v>
      </c>
    </row>
    <row r="2424">
      <c r="A2424" s="2">
        <v>2437.0</v>
      </c>
      <c r="B2424" s="3" t="s">
        <v>24</v>
      </c>
      <c r="C2424" s="4" t="str">
        <f>hyperlink("https://terraria.gamepedia.com/Jellyfish_(bait)","Green Jellyfish")</f>
        <v>Green Jellyfish</v>
      </c>
    </row>
    <row r="2425">
      <c r="A2425" s="2">
        <v>2438.0</v>
      </c>
      <c r="B2425" s="3" t="s">
        <v>24</v>
      </c>
      <c r="C2425" s="4" t="str">
        <f>hyperlink("https://terraria.gamepedia.com/Jellyfish_(bait)","Pink Jellyfish")</f>
        <v>Pink Jellyfish</v>
      </c>
    </row>
    <row r="2426">
      <c r="A2426" s="2">
        <v>2439.0</v>
      </c>
      <c r="B2426" s="3" t="s">
        <v>24</v>
      </c>
      <c r="C2426" s="4" t="str">
        <f>hyperlink("https://terraria.gamepedia.com/Jellyfish_Jars","Blue Jellyfish Jar")</f>
        <v>Blue Jellyfish Jar</v>
      </c>
    </row>
    <row r="2427">
      <c r="A2427" s="2">
        <v>2440.0</v>
      </c>
      <c r="B2427" s="3" t="s">
        <v>24</v>
      </c>
      <c r="C2427" s="4" t="str">
        <f>hyperlink("https://terraria.gamepedia.com/Jellyfish_Jars","Green Jellyfish Jar")</f>
        <v>Green Jellyfish Jar</v>
      </c>
    </row>
    <row r="2428">
      <c r="A2428" s="2">
        <v>2441.0</v>
      </c>
      <c r="B2428" s="3" t="s">
        <v>24</v>
      </c>
      <c r="C2428" s="4" t="str">
        <f>hyperlink("https://terraria.gamepedia.com/Jellyfish_Jars","Pink Jellyfish Jar")</f>
        <v>Pink Jellyfish Jar</v>
      </c>
    </row>
    <row r="2429">
      <c r="A2429" s="2">
        <v>2442.0</v>
      </c>
      <c r="B2429" s="3" t="s">
        <v>12</v>
      </c>
      <c r="C2429" s="4" t="str">
        <f>hyperlink("https://terraria.gamepedia.com/Life_Preserver","Life Preserver")</f>
        <v>Life Preserver</v>
      </c>
    </row>
    <row r="2430">
      <c r="A2430" s="2">
        <v>2443.0</v>
      </c>
      <c r="B2430" s="3" t="s">
        <v>12</v>
      </c>
      <c r="C2430" s="4" t="str">
        <f>hyperlink("https://terraria.gamepedia.com/Ship's_Wheel","Ship's Wheel")</f>
        <v>Ship's Wheel</v>
      </c>
    </row>
    <row r="2431">
      <c r="A2431" s="2">
        <v>2444.0</v>
      </c>
      <c r="B2431" s="3" t="s">
        <v>35</v>
      </c>
      <c r="C2431" s="4" t="str">
        <f>hyperlink("https://terraria.gamepedia.com/Compass_Rose","Compass Rose")</f>
        <v>Compass Rose</v>
      </c>
    </row>
    <row r="2432">
      <c r="A2432" s="2">
        <v>2445.0</v>
      </c>
      <c r="B2432" s="3" t="s">
        <v>12</v>
      </c>
      <c r="C2432" s="4" t="str">
        <f>hyperlink("https://terraria.gamepedia.com/Wall_Anchor","Wall Anchor")</f>
        <v>Wall Anchor</v>
      </c>
    </row>
    <row r="2433">
      <c r="A2433" s="2">
        <v>2446.0</v>
      </c>
      <c r="B2433" s="3" t="s">
        <v>35</v>
      </c>
      <c r="C2433" s="4" t="str">
        <f>hyperlink("https://terraria.gamepedia.com/Trophies","Goldfish Trophy")</f>
        <v>Goldfish Trophy</v>
      </c>
    </row>
    <row r="2434">
      <c r="A2434" s="2">
        <v>2447.0</v>
      </c>
      <c r="B2434" s="3" t="s">
        <v>35</v>
      </c>
      <c r="C2434" s="4" t="str">
        <f>hyperlink("https://terraria.gamepedia.com/Trophies","Bunnyfish Trophy")</f>
        <v>Bunnyfish Trophy</v>
      </c>
    </row>
    <row r="2435">
      <c r="A2435" s="2">
        <v>2448.0</v>
      </c>
      <c r="B2435" s="3" t="s">
        <v>35</v>
      </c>
      <c r="C2435" s="4" t="str">
        <f>hyperlink("https://terraria.gamepedia.com/Trophies","Swordfish Trophy")</f>
        <v>Swordfish Trophy</v>
      </c>
    </row>
    <row r="2436">
      <c r="A2436" s="2">
        <v>2449.0</v>
      </c>
      <c r="B2436" s="3" t="s">
        <v>35</v>
      </c>
      <c r="C2436" s="4" t="str">
        <f>hyperlink("https://terraria.gamepedia.com/Trophies","Sharkteeth Trophy")</f>
        <v>Sharkteeth Trophy</v>
      </c>
    </row>
    <row r="2437">
      <c r="A2437" s="2">
        <v>2450.0</v>
      </c>
      <c r="B2437" s="3" t="s">
        <v>39</v>
      </c>
      <c r="C2437" s="4" t="str">
        <f>hyperlink("https://terraria.gamepedia.com/Angler/Quests","Batfish")</f>
        <v>Batfish</v>
      </c>
    </row>
    <row r="2438">
      <c r="A2438" s="2">
        <v>2451.0</v>
      </c>
      <c r="B2438" s="3" t="s">
        <v>39</v>
      </c>
      <c r="C2438" s="4" t="str">
        <f>hyperlink("https://terraria.gamepedia.com/Angler/Quests","Bumblebee Tuna")</f>
        <v>Bumblebee Tuna</v>
      </c>
    </row>
    <row r="2439">
      <c r="A2439" s="2">
        <v>2452.0</v>
      </c>
      <c r="B2439" s="3" t="s">
        <v>39</v>
      </c>
      <c r="C2439" s="4" t="str">
        <f>hyperlink("https://terraria.gamepedia.com/Angler/Quests","Catfish")</f>
        <v>Catfish</v>
      </c>
    </row>
    <row r="2440">
      <c r="A2440" s="2">
        <v>2453.0</v>
      </c>
      <c r="B2440" s="3" t="s">
        <v>39</v>
      </c>
      <c r="C2440" s="4" t="str">
        <f>hyperlink("https://terraria.gamepedia.com/Angler/Quests","Cloudfish")</f>
        <v>Cloudfish</v>
      </c>
    </row>
    <row r="2441">
      <c r="A2441" s="2">
        <v>2454.0</v>
      </c>
      <c r="B2441" s="3" t="s">
        <v>39</v>
      </c>
      <c r="C2441" s="4" t="str">
        <f>hyperlink("https://terraria.gamepedia.com/Angler/Quests","Cursedfish")</f>
        <v>Cursedfish</v>
      </c>
    </row>
    <row r="2442">
      <c r="A2442" s="2">
        <v>2455.0</v>
      </c>
      <c r="B2442" s="3" t="s">
        <v>39</v>
      </c>
      <c r="C2442" s="4" t="str">
        <f>hyperlink("https://terraria.gamepedia.com/Angler/Quests","Dirtfish")</f>
        <v>Dirtfish</v>
      </c>
    </row>
    <row r="2443">
      <c r="A2443" s="2">
        <v>2456.0</v>
      </c>
      <c r="B2443" s="3" t="s">
        <v>39</v>
      </c>
      <c r="C2443" s="4" t="str">
        <f>hyperlink("https://terraria.gamepedia.com/Angler/Quests","Dynamite Fish")</f>
        <v>Dynamite Fish</v>
      </c>
    </row>
    <row r="2444">
      <c r="A2444" s="2">
        <v>2457.0</v>
      </c>
      <c r="B2444" s="3" t="s">
        <v>39</v>
      </c>
      <c r="C2444" s="4" t="str">
        <f>hyperlink("https://terraria.gamepedia.com/Angler/Quests","Eater of Plankton")</f>
        <v>Eater of Plankton</v>
      </c>
    </row>
    <row r="2445">
      <c r="A2445" s="2">
        <v>2458.0</v>
      </c>
      <c r="B2445" s="3" t="s">
        <v>39</v>
      </c>
      <c r="C2445" s="4" t="str">
        <f>hyperlink("https://terraria.gamepedia.com/Angler/Quests","Fallen Starfish")</f>
        <v>Fallen Starfish</v>
      </c>
    </row>
    <row r="2446">
      <c r="A2446" s="2">
        <v>2459.0</v>
      </c>
      <c r="B2446" s="3" t="s">
        <v>39</v>
      </c>
      <c r="C2446" s="4" t="str">
        <f>hyperlink("https://terraria.gamepedia.com/Angler/Quests","The Fish of Cthulhu")</f>
        <v>The Fish of Cthulhu</v>
      </c>
    </row>
    <row r="2447">
      <c r="A2447" s="2">
        <v>2460.0</v>
      </c>
      <c r="B2447" s="3" t="s">
        <v>39</v>
      </c>
      <c r="C2447" s="4" t="str">
        <f>hyperlink("https://terraria.gamepedia.com/Angler/Quests","Fishotron")</f>
        <v>Fishotron</v>
      </c>
    </row>
    <row r="2448">
      <c r="A2448" s="2">
        <v>2461.0</v>
      </c>
      <c r="B2448" s="3" t="s">
        <v>39</v>
      </c>
      <c r="C2448" s="4" t="str">
        <f>hyperlink("https://terraria.gamepedia.com/Angler/Quests","Harpyfish")</f>
        <v>Harpyfish</v>
      </c>
    </row>
    <row r="2449">
      <c r="A2449" s="2">
        <v>2462.0</v>
      </c>
      <c r="B2449" s="3" t="s">
        <v>39</v>
      </c>
      <c r="C2449" s="4" t="str">
        <f>hyperlink("https://terraria.gamepedia.com/Angler/Quests","Hungerfish")</f>
        <v>Hungerfish</v>
      </c>
    </row>
    <row r="2450">
      <c r="A2450" s="2">
        <v>2463.0</v>
      </c>
      <c r="B2450" s="3" t="s">
        <v>39</v>
      </c>
      <c r="C2450" s="4" t="str">
        <f>hyperlink("https://terraria.gamepedia.com/Angler/Quests","Ichorfish")</f>
        <v>Ichorfish</v>
      </c>
    </row>
    <row r="2451">
      <c r="A2451" s="2">
        <v>2464.0</v>
      </c>
      <c r="B2451" s="3" t="s">
        <v>39</v>
      </c>
      <c r="C2451" s="4" t="str">
        <f>hyperlink("https://terraria.gamepedia.com/Angler/Quests","Jewelfish")</f>
        <v>Jewelfish</v>
      </c>
    </row>
    <row r="2452">
      <c r="A2452" s="2">
        <v>2465.0</v>
      </c>
      <c r="B2452" s="3" t="s">
        <v>39</v>
      </c>
      <c r="C2452" s="4" t="str">
        <f>hyperlink("https://terraria.gamepedia.com/Angler/Quests","Mirage Fish")</f>
        <v>Mirage Fish</v>
      </c>
    </row>
    <row r="2453">
      <c r="A2453" s="2">
        <v>2466.0</v>
      </c>
      <c r="B2453" s="3" t="s">
        <v>39</v>
      </c>
      <c r="C2453" s="4" t="str">
        <f>hyperlink("https://terraria.gamepedia.com/Angler/Quests","Mutant Flinxfin")</f>
        <v>Mutant Flinxfin</v>
      </c>
    </row>
    <row r="2454">
      <c r="A2454" s="2">
        <v>2467.0</v>
      </c>
      <c r="B2454" s="3" t="s">
        <v>39</v>
      </c>
      <c r="C2454" s="4" t="str">
        <f>hyperlink("https://terraria.gamepedia.com/Angler/Quests","Pengfish")</f>
        <v>Pengfish</v>
      </c>
    </row>
    <row r="2455">
      <c r="A2455" s="2">
        <v>2468.0</v>
      </c>
      <c r="B2455" s="3" t="s">
        <v>39</v>
      </c>
      <c r="C2455" s="4" t="str">
        <f>hyperlink("https://terraria.gamepedia.com/Angler/Quests","Pixiefish")</f>
        <v>Pixiefish</v>
      </c>
    </row>
    <row r="2456">
      <c r="A2456" s="2">
        <v>2469.0</v>
      </c>
      <c r="B2456" s="3" t="s">
        <v>39</v>
      </c>
      <c r="C2456" s="4" t="str">
        <f>hyperlink("https://terraria.gamepedia.com/Angler/Quests","Spiderfish")</f>
        <v>Spiderfish</v>
      </c>
    </row>
    <row r="2457">
      <c r="A2457" s="2">
        <v>2470.0</v>
      </c>
      <c r="B2457" s="3" t="s">
        <v>39</v>
      </c>
      <c r="C2457" s="4" t="str">
        <f>hyperlink("https://terraria.gamepedia.com/Angler/Quests","Tundra Trout")</f>
        <v>Tundra Trout</v>
      </c>
    </row>
    <row r="2458">
      <c r="A2458" s="2">
        <v>2471.0</v>
      </c>
      <c r="B2458" s="3" t="s">
        <v>39</v>
      </c>
      <c r="C2458" s="4" t="str">
        <f>hyperlink("https://terraria.gamepedia.com/Angler/Quests","Unicorn Fish")</f>
        <v>Unicorn Fish</v>
      </c>
    </row>
    <row r="2459">
      <c r="A2459" s="2">
        <v>2472.0</v>
      </c>
      <c r="B2459" s="3" t="s">
        <v>39</v>
      </c>
      <c r="C2459" s="4" t="str">
        <f>hyperlink("https://terraria.gamepedia.com/Angler/Quests","Guide Voodoo Fish")</f>
        <v>Guide Voodoo Fish</v>
      </c>
    </row>
    <row r="2460">
      <c r="A2460" s="2">
        <v>2473.0</v>
      </c>
      <c r="B2460" s="3" t="s">
        <v>39</v>
      </c>
      <c r="C2460" s="4" t="str">
        <f>hyperlink("https://terraria.gamepedia.com/Angler/Quests","Wyverntail")</f>
        <v>Wyverntail</v>
      </c>
    </row>
    <row r="2461">
      <c r="A2461" s="2">
        <v>2474.0</v>
      </c>
      <c r="B2461" s="3" t="s">
        <v>39</v>
      </c>
      <c r="C2461" s="4" t="str">
        <f>hyperlink("https://terraria.gamepedia.com/Angler/Quests","Zombie Fish")</f>
        <v>Zombie Fish</v>
      </c>
    </row>
    <row r="2462">
      <c r="A2462" s="2">
        <v>2475.0</v>
      </c>
      <c r="B2462" s="3" t="s">
        <v>39</v>
      </c>
      <c r="C2462" s="4" t="str">
        <f>hyperlink("https://terraria.gamepedia.com/Angler/Quests","Amanita Fungifin")</f>
        <v>Amanita Fungifin</v>
      </c>
    </row>
    <row r="2463">
      <c r="A2463" s="2">
        <v>2476.0</v>
      </c>
      <c r="B2463" s="3" t="s">
        <v>39</v>
      </c>
      <c r="C2463" s="4" t="str">
        <f>hyperlink("https://terraria.gamepedia.com/Angler/Quests","Angelfish")</f>
        <v>Angelfish</v>
      </c>
    </row>
    <row r="2464">
      <c r="A2464" s="2">
        <v>2477.0</v>
      </c>
      <c r="B2464" s="3" t="s">
        <v>39</v>
      </c>
      <c r="C2464" s="4" t="str">
        <f>hyperlink("https://terraria.gamepedia.com/Angler/Quests","Bloody Manowar")</f>
        <v>Bloody Manowar</v>
      </c>
    </row>
    <row r="2465">
      <c r="A2465" s="2">
        <v>2478.0</v>
      </c>
      <c r="B2465" s="3" t="s">
        <v>39</v>
      </c>
      <c r="C2465" s="4" t="str">
        <f>hyperlink("https://terraria.gamepedia.com/Angler/Quests","Bonefish")</f>
        <v>Bonefish</v>
      </c>
    </row>
    <row r="2466">
      <c r="A2466" s="2">
        <v>2479.0</v>
      </c>
      <c r="B2466" s="3" t="s">
        <v>39</v>
      </c>
      <c r="C2466" s="4" t="str">
        <f>hyperlink("https://terraria.gamepedia.com/Angler/Quests","Bunnyfish")</f>
        <v>Bunnyfish</v>
      </c>
    </row>
    <row r="2467">
      <c r="A2467" s="2">
        <v>2480.0</v>
      </c>
      <c r="B2467" s="3" t="s">
        <v>39</v>
      </c>
      <c r="C2467" s="4" t="str">
        <f>hyperlink("https://terraria.gamepedia.com/Angler/Quests","Cap'n Tunabeard")</f>
        <v>Cap'n Tunabeard</v>
      </c>
    </row>
    <row r="2468">
      <c r="A2468" s="2">
        <v>2481.0</v>
      </c>
      <c r="B2468" s="3" t="s">
        <v>39</v>
      </c>
      <c r="C2468" s="4" t="str">
        <f>hyperlink("https://terraria.gamepedia.com/Angler/Quests","Clownfish")</f>
        <v>Clownfish</v>
      </c>
    </row>
    <row r="2469">
      <c r="A2469" s="2">
        <v>2482.0</v>
      </c>
      <c r="B2469" s="3" t="s">
        <v>39</v>
      </c>
      <c r="C2469" s="4" t="str">
        <f>hyperlink("https://terraria.gamepedia.com/Angler/Quests","Demonic Hellfish")</f>
        <v>Demonic Hellfish</v>
      </c>
    </row>
    <row r="2470">
      <c r="A2470" s="2">
        <v>2483.0</v>
      </c>
      <c r="B2470" s="3" t="s">
        <v>39</v>
      </c>
      <c r="C2470" s="4" t="str">
        <f>hyperlink("https://terraria.gamepedia.com/Angler/Quests","Derpfish")</f>
        <v>Derpfish</v>
      </c>
    </row>
    <row r="2471">
      <c r="A2471" s="2">
        <v>2484.0</v>
      </c>
      <c r="B2471" s="3" t="s">
        <v>39</v>
      </c>
      <c r="C2471" s="4" t="str">
        <f>hyperlink("https://terraria.gamepedia.com/Angler/Quests","Fishron")</f>
        <v>Fishron</v>
      </c>
    </row>
    <row r="2472">
      <c r="A2472" s="2">
        <v>2485.0</v>
      </c>
      <c r="B2472" s="3" t="s">
        <v>39</v>
      </c>
      <c r="C2472" s="4" t="str">
        <f>hyperlink("https://terraria.gamepedia.com/Angler/Quests","Infected Scabbardfish")</f>
        <v>Infected Scabbardfish</v>
      </c>
    </row>
    <row r="2473">
      <c r="A2473" s="2">
        <v>2486.0</v>
      </c>
      <c r="B2473" s="3" t="s">
        <v>39</v>
      </c>
      <c r="C2473" s="4" t="str">
        <f>hyperlink("https://terraria.gamepedia.com/Angler/Quests","Mudfish")</f>
        <v>Mudfish</v>
      </c>
    </row>
    <row r="2474">
      <c r="A2474" s="2">
        <v>2487.0</v>
      </c>
      <c r="B2474" s="3" t="s">
        <v>39</v>
      </c>
      <c r="C2474" s="4" t="str">
        <f>hyperlink("https://terraria.gamepedia.com/Angler/Quests","Slimefish")</f>
        <v>Slimefish</v>
      </c>
    </row>
    <row r="2475">
      <c r="A2475" s="2">
        <v>2488.0</v>
      </c>
      <c r="B2475" s="3" t="s">
        <v>39</v>
      </c>
      <c r="C2475" s="4" t="str">
        <f>hyperlink("https://terraria.gamepedia.com/Angler/Quests","Tropical Barracuda")</f>
        <v>Tropical Barracuda</v>
      </c>
    </row>
    <row r="2476">
      <c r="A2476" s="2">
        <v>2489.0</v>
      </c>
      <c r="B2476" s="3" t="s">
        <v>35</v>
      </c>
      <c r="C2476" s="4" t="str">
        <f>hyperlink("https://terraria.gamepedia.com/Trophies","King Slime Trophy")</f>
        <v>King Slime Trophy</v>
      </c>
    </row>
    <row r="2477">
      <c r="A2477" s="2">
        <v>2490.0</v>
      </c>
      <c r="B2477" s="3" t="s">
        <v>12</v>
      </c>
      <c r="C2477" s="4" t="str">
        <f>hyperlink("https://terraria.gamepedia.com/Ship_in_a_Bottle","Ship in a Bottle")</f>
        <v>Ship in a Bottle</v>
      </c>
    </row>
    <row r="2478">
      <c r="A2478" s="2">
        <v>2491.0</v>
      </c>
      <c r="B2478" s="3" t="s">
        <v>22</v>
      </c>
      <c r="C2478" s="4" t="str">
        <f>hyperlink("https://terraria.gamepedia.com/Hardy_Saddle","Hardy Saddle")</f>
        <v>Hardy Saddle</v>
      </c>
    </row>
    <row r="2479">
      <c r="A2479" s="2">
        <v>2492.0</v>
      </c>
      <c r="B2479" s="3" t="s">
        <v>28</v>
      </c>
      <c r="C2479" s="4" t="str">
        <f>hyperlink("https://terraria.gamepedia.com/Pressure_Plate_Track","Pressure Plate Track")</f>
        <v>Pressure Plate Track</v>
      </c>
    </row>
    <row r="2480">
      <c r="A2480" s="2">
        <v>2493.0</v>
      </c>
      <c r="B2480" s="3" t="s">
        <v>34</v>
      </c>
      <c r="C2480" s="4" t="str">
        <f>hyperlink("https://terraria.gamepedia.com/Masks","King Slime Mask")</f>
        <v>King Slime Mask</v>
      </c>
    </row>
    <row r="2481">
      <c r="A2481" s="2">
        <v>2494.0</v>
      </c>
      <c r="B2481" s="3" t="s">
        <v>27</v>
      </c>
      <c r="C2481" s="4" t="str">
        <f>hyperlink("https://terraria.gamepedia.com/Wings","Fin Wings")</f>
        <v>Fin Wings</v>
      </c>
    </row>
    <row r="2482">
      <c r="A2482" s="2">
        <v>2495.0</v>
      </c>
      <c r="B2482" s="3" t="s">
        <v>36</v>
      </c>
      <c r="C2482" s="4" t="str">
        <f>hyperlink("https://terraria.gamepedia.com/Treasure_Map","Treasure Map")</f>
        <v>Treasure Map</v>
      </c>
    </row>
    <row r="2483">
      <c r="A2483" s="2">
        <v>2496.0</v>
      </c>
      <c r="B2483" s="3" t="s">
        <v>6</v>
      </c>
      <c r="C2483" s="4" t="str">
        <f>hyperlink("https://terraria.gamepedia.com/Seaweed_Planter","Seaweed Planter")</f>
        <v>Seaweed Planter</v>
      </c>
    </row>
    <row r="2484">
      <c r="A2484" s="2">
        <v>2497.0</v>
      </c>
      <c r="B2484" s="3" t="s">
        <v>36</v>
      </c>
      <c r="C2484" s="4" t="str">
        <f>hyperlink("https://terraria.gamepedia.com/Paintings","Pillagin Me Pixels")</f>
        <v>Pillagin Me Pixels</v>
      </c>
    </row>
    <row r="2485">
      <c r="A2485" s="2">
        <v>2498.0</v>
      </c>
      <c r="B2485" s="3" t="s">
        <v>23</v>
      </c>
      <c r="C2485" s="4" t="str">
        <f>hyperlink("https://terraria.gamepedia.com/Fish_set","Fish Costume Mask")</f>
        <v>Fish Costume Mask</v>
      </c>
    </row>
    <row r="2486">
      <c r="A2486" s="2">
        <v>2499.0</v>
      </c>
      <c r="B2486" s="3" t="s">
        <v>23</v>
      </c>
      <c r="C2486" s="4" t="str">
        <f>hyperlink("https://terraria.gamepedia.com/Fish_set","Fish Costume Shirt")</f>
        <v>Fish Costume Shirt</v>
      </c>
    </row>
    <row r="2487">
      <c r="A2487" s="2">
        <v>2500.0</v>
      </c>
      <c r="B2487" s="3" t="s">
        <v>23</v>
      </c>
      <c r="C2487" s="4" t="str">
        <f>hyperlink("https://terraria.gamepedia.com/Fish_set","Fish Costume Finskirt")</f>
        <v>Fish Costume Finskirt</v>
      </c>
    </row>
    <row r="2488">
      <c r="A2488" s="2">
        <v>2501.0</v>
      </c>
      <c r="B2488" s="3" t="s">
        <v>23</v>
      </c>
      <c r="C2488" s="4" t="str">
        <f>hyperlink("https://terraria.gamepedia.com/Ginger_Beard","Ginger Beard")</f>
        <v>Ginger Beard</v>
      </c>
    </row>
    <row r="2489">
      <c r="A2489" s="2">
        <v>2502.0</v>
      </c>
      <c r="B2489" s="3" t="s">
        <v>22</v>
      </c>
      <c r="C2489" s="4" t="str">
        <f>hyperlink("https://terraria.gamepedia.com/Honeyed_Goggles","Honeyed Goggles")</f>
        <v>Honeyed Goggles</v>
      </c>
    </row>
    <row r="2490">
      <c r="A2490" s="2">
        <v>2503.0</v>
      </c>
      <c r="B2490" s="3" t="s">
        <v>8</v>
      </c>
      <c r="C2490" s="4" t="str">
        <f>hyperlink("https://terraria.gamepedia.com/Boreal_Wood","Boreal Wood")</f>
        <v>Boreal Wood</v>
      </c>
    </row>
    <row r="2491">
      <c r="A2491" s="2">
        <v>2504.0</v>
      </c>
      <c r="B2491" s="3" t="s">
        <v>8</v>
      </c>
      <c r="C2491" s="4" t="str">
        <f>hyperlink("https://terraria.gamepedia.com/Palm_Wood","Palm Wood")</f>
        <v>Palm Wood</v>
      </c>
    </row>
    <row r="2492">
      <c r="A2492" s="2">
        <v>2505.0</v>
      </c>
      <c r="B2492" s="3" t="s">
        <v>13</v>
      </c>
      <c r="C2492" s="4" t="str">
        <f>hyperlink("https://terraria.gamepedia.com/Boreal_Wood_Wall","Boreal Wood Wall")</f>
        <v>Boreal Wood Wall</v>
      </c>
    </row>
    <row r="2493">
      <c r="A2493" s="2">
        <v>2506.0</v>
      </c>
      <c r="B2493" s="3" t="s">
        <v>13</v>
      </c>
      <c r="C2493" s="4" t="str">
        <f>hyperlink("https://terraria.gamepedia.com/Palm_Wood_Wall","Palm Wood Wall")</f>
        <v>Palm Wood Wall</v>
      </c>
    </row>
    <row r="2494">
      <c r="A2494" s="2">
        <v>2507.0</v>
      </c>
      <c r="B2494" s="3" t="s">
        <v>8</v>
      </c>
      <c r="C2494" s="4" t="str">
        <f>hyperlink("https://terraria.gamepedia.com/Fences","Boreal Wood Fence")</f>
        <v>Boreal Wood Fence</v>
      </c>
    </row>
    <row r="2495">
      <c r="A2495" s="2">
        <v>2508.0</v>
      </c>
      <c r="B2495" s="3" t="s">
        <v>8</v>
      </c>
      <c r="C2495" s="4" t="str">
        <f>hyperlink("https://terraria.gamepedia.com/Fences","Palm Wood Fence")</f>
        <v>Palm Wood Fence</v>
      </c>
    </row>
    <row r="2496">
      <c r="A2496" s="2">
        <v>2509.0</v>
      </c>
      <c r="B2496" s="3" t="s">
        <v>17</v>
      </c>
      <c r="C2496" s="4" t="str">
        <f>hyperlink("https://terraria.gamepedia.com/Boreal_Wood_armor","Boreal Wood Helmet")</f>
        <v>Boreal Wood Helmet</v>
      </c>
    </row>
    <row r="2497">
      <c r="A2497" s="2">
        <v>2510.0</v>
      </c>
      <c r="B2497" s="3" t="s">
        <v>17</v>
      </c>
      <c r="C2497" s="4" t="str">
        <f>hyperlink("https://terraria.gamepedia.com/Boreal_Wood_armor","Boreal Wood Breastplate")</f>
        <v>Boreal Wood Breastplate</v>
      </c>
    </row>
    <row r="2498">
      <c r="A2498" s="2">
        <v>2511.0</v>
      </c>
      <c r="B2498" s="3" t="s">
        <v>17</v>
      </c>
      <c r="C2498" s="4" t="str">
        <f>hyperlink("https://terraria.gamepedia.com/Boreal_Wood_armor","Boreal Wood Greaves")</f>
        <v>Boreal Wood Greaves</v>
      </c>
    </row>
    <row r="2499">
      <c r="A2499" s="2">
        <v>2512.0</v>
      </c>
      <c r="B2499" s="3" t="s">
        <v>17</v>
      </c>
      <c r="C2499" s="4" t="str">
        <f>hyperlink("https://terraria.gamepedia.com/Palm_Wood_armor","Palm Wood Helmet")</f>
        <v>Palm Wood Helmet</v>
      </c>
    </row>
    <row r="2500">
      <c r="A2500" s="2">
        <v>2513.0</v>
      </c>
      <c r="B2500" s="3" t="s">
        <v>17</v>
      </c>
      <c r="C2500" s="4" t="str">
        <f>hyperlink("https://terraria.gamepedia.com/Palm_Wood_armor","Palm Wood Breastplate")</f>
        <v>Palm Wood Breastplate</v>
      </c>
    </row>
    <row r="2501">
      <c r="A2501" s="2">
        <v>2514.0</v>
      </c>
      <c r="B2501" s="3" t="s">
        <v>17</v>
      </c>
      <c r="C2501" s="4" t="str">
        <f>hyperlink("https://terraria.gamepedia.com/Palm_Wood_armor","Palm Wood Greaves")</f>
        <v>Palm Wood Greaves</v>
      </c>
    </row>
    <row r="2502">
      <c r="A2502" s="2">
        <v>2515.0</v>
      </c>
      <c r="B2502" s="3" t="s">
        <v>5</v>
      </c>
      <c r="C2502" s="4" t="str">
        <f>hyperlink("https://terraria.gamepedia.com/Palm_Wood_Bow","Palm Wood Bow")</f>
        <v>Palm Wood Bow</v>
      </c>
    </row>
    <row r="2503">
      <c r="A2503" s="2">
        <v>2516.0</v>
      </c>
      <c r="B2503" s="3" t="s">
        <v>3</v>
      </c>
      <c r="C2503" s="4" t="str">
        <f>hyperlink("https://terraria.gamepedia.com/Palm_Wood_Hammer","Palm Wood Hammer")</f>
        <v>Palm Wood Hammer</v>
      </c>
    </row>
    <row r="2504">
      <c r="A2504" s="2">
        <v>2517.0</v>
      </c>
      <c r="B2504" s="3" t="s">
        <v>5</v>
      </c>
      <c r="C2504" s="4" t="str">
        <f>hyperlink("https://terraria.gamepedia.com/Palm_Wood_Sword","Palm Wood Sword")</f>
        <v>Palm Wood Sword</v>
      </c>
    </row>
    <row r="2505">
      <c r="A2505" s="2">
        <v>2518.0</v>
      </c>
      <c r="B2505" s="3" t="s">
        <v>8</v>
      </c>
      <c r="C2505" s="4" t="str">
        <f>hyperlink("https://terraria.gamepedia.com/Platforms","Palm Wood Platform")</f>
        <v>Palm Wood Platform</v>
      </c>
    </row>
    <row r="2506">
      <c r="A2506" s="2">
        <v>2519.0</v>
      </c>
      <c r="B2506" s="3" t="s">
        <v>31</v>
      </c>
      <c r="C2506" s="4" t="str">
        <f>hyperlink("https://terraria.gamepedia.com/Bathtubs","Palm Wood Bathtub")</f>
        <v>Palm Wood Bathtub</v>
      </c>
    </row>
    <row r="2507">
      <c r="A2507" s="2">
        <v>2520.0</v>
      </c>
      <c r="B2507" s="3" t="s">
        <v>31</v>
      </c>
      <c r="C2507" s="4" t="str">
        <f>hyperlink("https://terraria.gamepedia.com/Beds","Palm Wood Bed")</f>
        <v>Palm Wood Bed</v>
      </c>
    </row>
    <row r="2508">
      <c r="A2508" s="2">
        <v>2521.0</v>
      </c>
      <c r="B2508" s="3" t="s">
        <v>31</v>
      </c>
      <c r="C2508" s="4" t="str">
        <f>hyperlink("https://terraria.gamepedia.com/Benches","Palm Wood Bench")</f>
        <v>Palm Wood Bench</v>
      </c>
    </row>
    <row r="2509">
      <c r="A2509" s="2">
        <v>2522.0</v>
      </c>
      <c r="B2509" s="3" t="s">
        <v>7</v>
      </c>
      <c r="C2509" s="4" t="str">
        <f>hyperlink("https://terraria.gamepedia.com/Candelabras","Palm Wood Candelabra")</f>
        <v>Palm Wood Candelabra</v>
      </c>
    </row>
    <row r="2510">
      <c r="A2510" s="2">
        <v>2523.0</v>
      </c>
      <c r="B2510" s="3" t="s">
        <v>7</v>
      </c>
      <c r="C2510" s="4" t="str">
        <f>hyperlink("https://terraria.gamepedia.com/Candles","Palm Wood Candle")</f>
        <v>Palm Wood Candle</v>
      </c>
    </row>
    <row r="2511">
      <c r="A2511" s="2">
        <v>2524.0</v>
      </c>
      <c r="B2511" s="3" t="s">
        <v>31</v>
      </c>
      <c r="C2511" s="4" t="str">
        <f>hyperlink("https://terraria.gamepedia.com/Chairs","Palm Wood Chair")</f>
        <v>Palm Wood Chair</v>
      </c>
    </row>
    <row r="2512">
      <c r="A2512" s="2">
        <v>2525.0</v>
      </c>
      <c r="B2512" s="3" t="s">
        <v>7</v>
      </c>
      <c r="C2512" s="4" t="str">
        <f>hyperlink("https://terraria.gamepedia.com/Chandeliers","Palm Wood Chandelier")</f>
        <v>Palm Wood Chandelier</v>
      </c>
    </row>
    <row r="2513">
      <c r="A2513" s="2">
        <v>2526.0</v>
      </c>
      <c r="B2513" s="3" t="s">
        <v>20</v>
      </c>
      <c r="C2513" s="4" t="str">
        <f>hyperlink("https://terraria.gamepedia.com/Chests","Palm Wood Chest")</f>
        <v>Palm Wood Chest</v>
      </c>
    </row>
    <row r="2514">
      <c r="A2514" s="2">
        <v>2527.0</v>
      </c>
      <c r="B2514" s="3" t="s">
        <v>31</v>
      </c>
      <c r="C2514" s="4" t="str">
        <f>hyperlink("https://terraria.gamepedia.com/Sofas","Palm Wood Sofa")</f>
        <v>Palm Wood Sofa</v>
      </c>
    </row>
    <row r="2515">
      <c r="A2515" s="2">
        <v>2528.0</v>
      </c>
      <c r="B2515" s="3" t="s">
        <v>31</v>
      </c>
      <c r="C2515" s="4" t="str">
        <f>hyperlink("https://terraria.gamepedia.com/Doors","Palm Wood Door")</f>
        <v>Palm Wood Door</v>
      </c>
    </row>
    <row r="2516">
      <c r="A2516" s="2">
        <v>2529.0</v>
      </c>
      <c r="B2516" s="3" t="s">
        <v>31</v>
      </c>
      <c r="C2516" s="4" t="str">
        <f>hyperlink("https://terraria.gamepedia.com/Dressers","Palm Wood Dresser")</f>
        <v>Palm Wood Dresser</v>
      </c>
    </row>
    <row r="2517">
      <c r="A2517" s="2">
        <v>2530.0</v>
      </c>
      <c r="B2517" s="3" t="s">
        <v>7</v>
      </c>
      <c r="C2517" s="4" t="str">
        <f>hyperlink("https://terraria.gamepedia.com/Lanterns","Palm Wood Lantern")</f>
        <v>Palm Wood Lantern</v>
      </c>
    </row>
    <row r="2518">
      <c r="A2518" s="2">
        <v>2531.0</v>
      </c>
      <c r="B2518" s="3" t="s">
        <v>31</v>
      </c>
      <c r="C2518" s="4" t="str">
        <f>hyperlink("https://terraria.gamepedia.com/Pianos","Palm Wood Piano")</f>
        <v>Palm Wood Piano</v>
      </c>
    </row>
    <row r="2519">
      <c r="A2519" s="2">
        <v>2532.0</v>
      </c>
      <c r="B2519" s="3" t="s">
        <v>31</v>
      </c>
      <c r="C2519" s="4" t="str">
        <f>hyperlink("https://terraria.gamepedia.com/Tables","Palm Wood Table")</f>
        <v>Palm Wood Table</v>
      </c>
    </row>
    <row r="2520">
      <c r="A2520" s="2">
        <v>2533.0</v>
      </c>
      <c r="B2520" s="3" t="s">
        <v>7</v>
      </c>
      <c r="C2520" s="4" t="str">
        <f>hyperlink("https://terraria.gamepedia.com/Lamps","Palm Wood Lamp")</f>
        <v>Palm Wood Lamp</v>
      </c>
    </row>
    <row r="2521">
      <c r="A2521" s="2">
        <v>2534.0</v>
      </c>
      <c r="B2521" s="3" t="s">
        <v>31</v>
      </c>
      <c r="C2521" s="4" t="str">
        <f>hyperlink("https://terraria.gamepedia.com/Work_Benches","Palm Wood Work Bench")</f>
        <v>Palm Wood Work Bench</v>
      </c>
    </row>
    <row r="2522">
      <c r="A2522" s="2">
        <v>2535.0</v>
      </c>
      <c r="B2522" s="3" t="s">
        <v>5</v>
      </c>
      <c r="C2522" s="4" t="str">
        <f>hyperlink("https://terraria.gamepedia.com/Optic_Staff","Optic Staff")</f>
        <v>Optic Staff</v>
      </c>
    </row>
    <row r="2523">
      <c r="A2523" s="2">
        <v>2536.0</v>
      </c>
      <c r="B2523" s="3" t="s">
        <v>31</v>
      </c>
      <c r="C2523" s="4" t="str">
        <f>hyperlink("https://terraria.gamepedia.com/Bookcases","Palm Wood Bookcase")</f>
        <v>Palm Wood Bookcase</v>
      </c>
    </row>
    <row r="2524">
      <c r="A2524" s="2">
        <v>2537.0</v>
      </c>
      <c r="B2524" s="3" t="s">
        <v>31</v>
      </c>
      <c r="C2524" s="4" t="str">
        <f>hyperlink("https://terraria.gamepedia.com/Bathtubs","Mushroom Bathtub")</f>
        <v>Mushroom Bathtub</v>
      </c>
    </row>
    <row r="2525">
      <c r="A2525" s="2">
        <v>2538.0</v>
      </c>
      <c r="B2525" s="3" t="s">
        <v>31</v>
      </c>
      <c r="C2525" s="4" t="str">
        <f>hyperlink("https://terraria.gamepedia.com/Beds","Mushroom Bed")</f>
        <v>Mushroom Bed</v>
      </c>
    </row>
    <row r="2526">
      <c r="A2526" s="2">
        <v>2539.0</v>
      </c>
      <c r="B2526" s="3" t="s">
        <v>31</v>
      </c>
      <c r="C2526" s="4" t="str">
        <f>hyperlink("https://terraria.gamepedia.com/Benches","Mushroom Bench")</f>
        <v>Mushroom Bench</v>
      </c>
    </row>
    <row r="2527">
      <c r="A2527" s="2">
        <v>2540.0</v>
      </c>
      <c r="B2527" s="3" t="s">
        <v>31</v>
      </c>
      <c r="C2527" s="4" t="str">
        <f>hyperlink("https://terraria.gamepedia.com/Bookcases","Mushroom Bookcase")</f>
        <v>Mushroom Bookcase</v>
      </c>
    </row>
    <row r="2528">
      <c r="A2528" s="2">
        <v>2541.0</v>
      </c>
      <c r="B2528" s="3" t="s">
        <v>7</v>
      </c>
      <c r="C2528" s="4" t="str">
        <f>hyperlink("https://terraria.gamepedia.com/Candelabras","Mushroom Candelabra")</f>
        <v>Mushroom Candelabra</v>
      </c>
    </row>
    <row r="2529">
      <c r="A2529" s="2">
        <v>2542.0</v>
      </c>
      <c r="B2529" s="3" t="s">
        <v>7</v>
      </c>
      <c r="C2529" s="4" t="str">
        <f>hyperlink("https://terraria.gamepedia.com/Candles","Mushroom Candle")</f>
        <v>Mushroom Candle</v>
      </c>
    </row>
    <row r="2530">
      <c r="A2530" s="2">
        <v>2543.0</v>
      </c>
      <c r="B2530" s="3" t="s">
        <v>7</v>
      </c>
      <c r="C2530" s="4" t="str">
        <f>hyperlink("https://terraria.gamepedia.com/Chandeliers","Mushroom Chandelier")</f>
        <v>Mushroom Chandelier</v>
      </c>
    </row>
    <row r="2531">
      <c r="A2531" s="2">
        <v>2544.0</v>
      </c>
      <c r="B2531" s="3" t="s">
        <v>20</v>
      </c>
      <c r="C2531" s="4" t="str">
        <f>hyperlink("https://terraria.gamepedia.com/Mushroom_Chest","Mushroom Chest")</f>
        <v>Mushroom Chest</v>
      </c>
    </row>
    <row r="2532">
      <c r="A2532" s="2">
        <v>2545.0</v>
      </c>
      <c r="B2532" s="3" t="s">
        <v>31</v>
      </c>
      <c r="C2532" s="4" t="str">
        <f>hyperlink("https://terraria.gamepedia.com/Dressers","Mushroom Dresser")</f>
        <v>Mushroom Dresser</v>
      </c>
    </row>
    <row r="2533">
      <c r="A2533" s="2">
        <v>2546.0</v>
      </c>
      <c r="B2533" s="3" t="s">
        <v>7</v>
      </c>
      <c r="C2533" s="4" t="str">
        <f>hyperlink("https://terraria.gamepedia.com/Lanterns","Mushroom Lantern")</f>
        <v>Mushroom Lantern</v>
      </c>
    </row>
    <row r="2534">
      <c r="A2534" s="2">
        <v>2547.0</v>
      </c>
      <c r="B2534" s="3" t="s">
        <v>7</v>
      </c>
      <c r="C2534" s="4" t="str">
        <f>hyperlink("https://terraria.gamepedia.com/Lamps","Mushroom Lamp")</f>
        <v>Mushroom Lamp</v>
      </c>
    </row>
    <row r="2535">
      <c r="A2535" s="2">
        <v>2548.0</v>
      </c>
      <c r="B2535" s="3" t="s">
        <v>31</v>
      </c>
      <c r="C2535" s="4" t="str">
        <f>hyperlink("https://terraria.gamepedia.com/Pianos","Mushroom Piano")</f>
        <v>Mushroom Piano</v>
      </c>
    </row>
    <row r="2536">
      <c r="A2536" s="2">
        <v>2549.0</v>
      </c>
      <c r="B2536" s="3" t="s">
        <v>8</v>
      </c>
      <c r="C2536" s="4" t="str">
        <f>hyperlink("https://terraria.gamepedia.com/Platforms","Mushroom Platform")</f>
        <v>Mushroom Platform</v>
      </c>
    </row>
    <row r="2537">
      <c r="A2537" s="2">
        <v>2550.0</v>
      </c>
      <c r="B2537" s="3" t="s">
        <v>31</v>
      </c>
      <c r="C2537" s="4" t="str">
        <f>hyperlink("https://terraria.gamepedia.com/Tables","Mushroom Table")</f>
        <v>Mushroom Table</v>
      </c>
    </row>
    <row r="2538">
      <c r="A2538" s="2">
        <v>2551.0</v>
      </c>
      <c r="B2538" s="3" t="s">
        <v>5</v>
      </c>
      <c r="C2538" s="4" t="str">
        <f>hyperlink("https://terraria.gamepedia.com/Spider_Staff","Spider Staff")</f>
        <v>Spider Staff</v>
      </c>
    </row>
    <row r="2539">
      <c r="A2539" s="2">
        <v>2552.0</v>
      </c>
      <c r="B2539" s="3" t="s">
        <v>31</v>
      </c>
      <c r="C2539" s="4" t="str">
        <f>hyperlink("https://terraria.gamepedia.com/Bathtubs","Boreal Wood Bathtub")</f>
        <v>Boreal Wood Bathtub</v>
      </c>
    </row>
    <row r="2540">
      <c r="A2540" s="2">
        <v>2553.0</v>
      </c>
      <c r="B2540" s="3" t="s">
        <v>31</v>
      </c>
      <c r="C2540" s="4" t="str">
        <f>hyperlink("https://terraria.gamepedia.com/Beds","Boreal Wood Bed")</f>
        <v>Boreal Wood Bed</v>
      </c>
    </row>
    <row r="2541">
      <c r="A2541" s="2">
        <v>2554.0</v>
      </c>
      <c r="B2541" s="3" t="s">
        <v>31</v>
      </c>
      <c r="C2541" s="4" t="str">
        <f>hyperlink("https://terraria.gamepedia.com/Bookcases","Boreal Wood Bookcase")</f>
        <v>Boreal Wood Bookcase</v>
      </c>
    </row>
    <row r="2542">
      <c r="A2542" s="2">
        <v>2555.0</v>
      </c>
      <c r="B2542" s="3" t="s">
        <v>7</v>
      </c>
      <c r="C2542" s="4" t="str">
        <f>hyperlink("https://terraria.gamepedia.com/Candelabras","Boreal Wood Candelabra")</f>
        <v>Boreal Wood Candelabra</v>
      </c>
    </row>
    <row r="2543">
      <c r="A2543" s="2">
        <v>2556.0</v>
      </c>
      <c r="B2543" s="3" t="s">
        <v>7</v>
      </c>
      <c r="C2543" s="4" t="str">
        <f>hyperlink("https://terraria.gamepedia.com/Candles","Boreal Wood Candle")</f>
        <v>Boreal Wood Candle</v>
      </c>
    </row>
    <row r="2544">
      <c r="A2544" s="2">
        <v>2557.0</v>
      </c>
      <c r="B2544" s="3" t="s">
        <v>31</v>
      </c>
      <c r="C2544" s="4" t="str">
        <f>hyperlink("https://terraria.gamepedia.com/Chairs","Boreal Wood Chair")</f>
        <v>Boreal Wood Chair</v>
      </c>
    </row>
    <row r="2545">
      <c r="A2545" s="2">
        <v>2558.0</v>
      </c>
      <c r="B2545" s="3" t="s">
        <v>7</v>
      </c>
      <c r="C2545" s="4" t="str">
        <f>hyperlink("https://terraria.gamepedia.com/Chandeliers","Boreal Wood Chandelier")</f>
        <v>Boreal Wood Chandelier</v>
      </c>
    </row>
    <row r="2546">
      <c r="A2546" s="2">
        <v>2559.0</v>
      </c>
      <c r="B2546" s="3" t="s">
        <v>20</v>
      </c>
      <c r="C2546" s="4" t="str">
        <f>hyperlink("https://terraria.gamepedia.com/Chests","Boreal Wood Chest")</f>
        <v>Boreal Wood Chest</v>
      </c>
    </row>
    <row r="2547">
      <c r="A2547" s="2">
        <v>2560.0</v>
      </c>
      <c r="B2547" s="3" t="s">
        <v>31</v>
      </c>
      <c r="C2547" s="4" t="str">
        <f>hyperlink("https://terraria.gamepedia.com/Grandfather_Clocks","Boreal Wood Clock")</f>
        <v>Boreal Wood Clock</v>
      </c>
    </row>
    <row r="2548">
      <c r="A2548" s="2">
        <v>2561.0</v>
      </c>
      <c r="B2548" s="3" t="s">
        <v>31</v>
      </c>
      <c r="C2548" s="4" t="str">
        <f>hyperlink("https://terraria.gamepedia.com/Doors","Boreal Wood Door")</f>
        <v>Boreal Wood Door</v>
      </c>
    </row>
    <row r="2549">
      <c r="A2549" s="2">
        <v>2562.0</v>
      </c>
      <c r="B2549" s="3" t="s">
        <v>31</v>
      </c>
      <c r="C2549" s="4" t="str">
        <f>hyperlink("https://terraria.gamepedia.com/Dressers","Boreal Wood Dresser")</f>
        <v>Boreal Wood Dresser</v>
      </c>
    </row>
    <row r="2550">
      <c r="A2550" s="2">
        <v>2563.0</v>
      </c>
      <c r="B2550" s="3" t="s">
        <v>7</v>
      </c>
      <c r="C2550" s="4" t="str">
        <f>hyperlink("https://terraria.gamepedia.com/Lamps","Boreal Wood Lamp")</f>
        <v>Boreal Wood Lamp</v>
      </c>
    </row>
    <row r="2551">
      <c r="A2551" s="2">
        <v>2564.0</v>
      </c>
      <c r="B2551" s="3" t="s">
        <v>7</v>
      </c>
      <c r="C2551" s="4" t="str">
        <f>hyperlink("https://terraria.gamepedia.com/Lanterns","Boreal Wood Lantern")</f>
        <v>Boreal Wood Lantern</v>
      </c>
    </row>
    <row r="2552">
      <c r="A2552" s="2">
        <v>2565.0</v>
      </c>
      <c r="B2552" s="3" t="s">
        <v>31</v>
      </c>
      <c r="C2552" s="4" t="str">
        <f>hyperlink("https://terraria.gamepedia.com/Pianos","Boreal Wood Piano")</f>
        <v>Boreal Wood Piano</v>
      </c>
    </row>
    <row r="2553">
      <c r="A2553" s="2">
        <v>2566.0</v>
      </c>
      <c r="B2553" s="3" t="s">
        <v>8</v>
      </c>
      <c r="C2553" s="4" t="str">
        <f>hyperlink("https://terraria.gamepedia.com/Platforms","Boreal Wood Platform")</f>
        <v>Boreal Wood Platform</v>
      </c>
    </row>
    <row r="2554">
      <c r="A2554" s="2">
        <v>2567.0</v>
      </c>
      <c r="B2554" s="3" t="s">
        <v>31</v>
      </c>
      <c r="C2554" s="4" t="str">
        <f>hyperlink("https://terraria.gamepedia.com/Bathtubs","Slime Bathtub")</f>
        <v>Slime Bathtub</v>
      </c>
    </row>
    <row r="2555">
      <c r="A2555" s="2">
        <v>2568.0</v>
      </c>
      <c r="B2555" s="3" t="s">
        <v>31</v>
      </c>
      <c r="C2555" s="4" t="str">
        <f>hyperlink("https://terraria.gamepedia.com/Beds","Slime Bed")</f>
        <v>Slime Bed</v>
      </c>
    </row>
    <row r="2556">
      <c r="A2556" s="2">
        <v>2569.0</v>
      </c>
      <c r="B2556" s="3" t="s">
        <v>31</v>
      </c>
      <c r="C2556" s="4" t="str">
        <f>hyperlink("https://terraria.gamepedia.com/Bookcases","Slime Bookcase")</f>
        <v>Slime Bookcase</v>
      </c>
    </row>
    <row r="2557">
      <c r="A2557" s="2">
        <v>2570.0</v>
      </c>
      <c r="B2557" s="3" t="s">
        <v>7</v>
      </c>
      <c r="C2557" s="4" t="str">
        <f>hyperlink("https://terraria.gamepedia.com/Candelabras","Slime Candelabra")</f>
        <v>Slime Candelabra</v>
      </c>
    </row>
    <row r="2558">
      <c r="A2558" s="2">
        <v>2571.0</v>
      </c>
      <c r="B2558" s="3" t="s">
        <v>7</v>
      </c>
      <c r="C2558" s="4" t="str">
        <f>hyperlink("https://terraria.gamepedia.com/Candles","Slime Candle")</f>
        <v>Slime Candle</v>
      </c>
    </row>
    <row r="2559">
      <c r="A2559" s="2">
        <v>2572.0</v>
      </c>
      <c r="B2559" s="3" t="s">
        <v>31</v>
      </c>
      <c r="C2559" s="4" t="str">
        <f>hyperlink("https://terraria.gamepedia.com/Chairs","Slime Chair")</f>
        <v>Slime Chair</v>
      </c>
    </row>
    <row r="2560">
      <c r="A2560" s="2">
        <v>2573.0</v>
      </c>
      <c r="B2560" s="3" t="s">
        <v>7</v>
      </c>
      <c r="C2560" s="4" t="str">
        <f>hyperlink("https://terraria.gamepedia.com/Chandeliers","Slime Chandelier")</f>
        <v>Slime Chandelier</v>
      </c>
    </row>
    <row r="2561">
      <c r="A2561" s="2">
        <v>2574.0</v>
      </c>
      <c r="B2561" s="3" t="s">
        <v>20</v>
      </c>
      <c r="C2561" s="4" t="str">
        <f>hyperlink("https://terraria.gamepedia.com/Chests","Slime Chest")</f>
        <v>Slime Chest</v>
      </c>
    </row>
    <row r="2562">
      <c r="A2562" s="2">
        <v>2575.0</v>
      </c>
      <c r="B2562" s="3" t="s">
        <v>31</v>
      </c>
      <c r="C2562" s="4" t="str">
        <f>hyperlink("https://terraria.gamepedia.com/Grandfather_Clocks","Slime Clock")</f>
        <v>Slime Clock</v>
      </c>
    </row>
    <row r="2563">
      <c r="A2563" s="2">
        <v>2576.0</v>
      </c>
      <c r="B2563" s="3" t="s">
        <v>31</v>
      </c>
      <c r="C2563" s="4" t="str">
        <f>hyperlink("https://terraria.gamepedia.com/Doors","Slime Door")</f>
        <v>Slime Door</v>
      </c>
    </row>
    <row r="2564">
      <c r="A2564" s="2">
        <v>2577.0</v>
      </c>
      <c r="B2564" s="3" t="s">
        <v>31</v>
      </c>
      <c r="C2564" s="4" t="str">
        <f>hyperlink("https://terraria.gamepedia.com/Dressers","Slime Dresser")</f>
        <v>Slime Dresser</v>
      </c>
    </row>
    <row r="2565">
      <c r="A2565" s="2">
        <v>2578.0</v>
      </c>
      <c r="B2565" s="3" t="s">
        <v>7</v>
      </c>
      <c r="C2565" s="4" t="str">
        <f>hyperlink("https://terraria.gamepedia.com/Lamps","Slime Lamp")</f>
        <v>Slime Lamp</v>
      </c>
    </row>
    <row r="2566">
      <c r="A2566" s="2">
        <v>2579.0</v>
      </c>
      <c r="B2566" s="3" t="s">
        <v>7</v>
      </c>
      <c r="C2566" s="4" t="str">
        <f>hyperlink("https://terraria.gamepedia.com/Lanterns","Slime Lantern")</f>
        <v>Slime Lantern</v>
      </c>
    </row>
    <row r="2567">
      <c r="A2567" s="2">
        <v>2580.0</v>
      </c>
      <c r="B2567" s="3" t="s">
        <v>31</v>
      </c>
      <c r="C2567" s="4" t="str">
        <f>hyperlink("https://terraria.gamepedia.com/Pianos","Slime Piano")</f>
        <v>Slime Piano</v>
      </c>
    </row>
    <row r="2568">
      <c r="A2568" s="2">
        <v>2581.0</v>
      </c>
      <c r="B2568" s="3" t="s">
        <v>8</v>
      </c>
      <c r="C2568" s="4" t="str">
        <f>hyperlink("https://terraria.gamepedia.com/Platforms","Slime Platform")</f>
        <v>Slime Platform</v>
      </c>
    </row>
    <row r="2569">
      <c r="A2569" s="2">
        <v>2582.0</v>
      </c>
      <c r="B2569" s="3" t="s">
        <v>31</v>
      </c>
      <c r="C2569" s="4" t="str">
        <f>hyperlink("https://terraria.gamepedia.com/Sofas","Slime Sofa")</f>
        <v>Slime Sofa</v>
      </c>
    </row>
    <row r="2570">
      <c r="A2570" s="2">
        <v>2583.0</v>
      </c>
      <c r="B2570" s="3" t="s">
        <v>31</v>
      </c>
      <c r="C2570" s="4" t="str">
        <f>hyperlink("https://terraria.gamepedia.com/Tables","Slime Table")</f>
        <v>Slime Table</v>
      </c>
    </row>
    <row r="2571">
      <c r="A2571" s="2">
        <v>2584.0</v>
      </c>
      <c r="B2571" s="3" t="s">
        <v>5</v>
      </c>
      <c r="C2571" s="4" t="str">
        <f>hyperlink("https://terraria.gamepedia.com/Pirate_Staff","Pirate Staff")</f>
        <v>Pirate Staff</v>
      </c>
    </row>
    <row r="2572">
      <c r="A2572" s="2">
        <v>2585.0</v>
      </c>
      <c r="B2572" s="3" t="s">
        <v>3</v>
      </c>
      <c r="C2572" s="4" t="str">
        <f>hyperlink("https://terraria.gamepedia.com/Hooks","Slime Hook")</f>
        <v>Slime Hook</v>
      </c>
    </row>
    <row r="2573">
      <c r="A2573" s="2">
        <v>2586.0</v>
      </c>
      <c r="B2573" s="3" t="s">
        <v>18</v>
      </c>
      <c r="C2573" s="4" t="str">
        <f>hyperlink("https://terraria.gamepedia.com/Sticky_Grenade","Sticky Grenade")</f>
        <v>Sticky Grenade</v>
      </c>
    </row>
    <row r="2574">
      <c r="A2574" s="2">
        <v>2587.0</v>
      </c>
      <c r="B2574" s="3" t="s">
        <v>22</v>
      </c>
      <c r="C2574" s="4" t="str">
        <f>hyperlink("https://terraria.gamepedia.com/Tartar_Sauce","Tartar Sauce")</f>
        <v>Tartar Sauce</v>
      </c>
    </row>
    <row r="2575">
      <c r="A2575" s="2">
        <v>2588.0</v>
      </c>
      <c r="B2575" s="3" t="s">
        <v>34</v>
      </c>
      <c r="C2575" s="4" t="str">
        <f>hyperlink("https://terraria.gamepedia.com/Masks","Duke Fishron Mask")</f>
        <v>Duke Fishron Mask</v>
      </c>
    </row>
    <row r="2576">
      <c r="A2576" s="2">
        <v>2589.0</v>
      </c>
      <c r="B2576" s="3" t="s">
        <v>35</v>
      </c>
      <c r="C2576" s="4" t="str">
        <f>hyperlink("https://terraria.gamepedia.com/Trophies","Duke Fishron Trophy")</f>
        <v>Duke Fishron Trophy</v>
      </c>
    </row>
    <row r="2577">
      <c r="A2577" s="2">
        <v>2590.0</v>
      </c>
      <c r="B2577" s="3" t="s">
        <v>5</v>
      </c>
      <c r="C2577" s="4" t="str">
        <f>hyperlink("https://terraria.gamepedia.com/Molotov_Cocktail","Molotov Cocktail")</f>
        <v>Molotov Cocktail</v>
      </c>
    </row>
    <row r="2578">
      <c r="A2578" s="2">
        <v>2591.0</v>
      </c>
      <c r="B2578" s="3" t="s">
        <v>31</v>
      </c>
      <c r="C2578" s="4" t="str">
        <f>hyperlink("https://terraria.gamepedia.com/Grandfather_Clocks","Bone Clock")</f>
        <v>Bone Clock</v>
      </c>
    </row>
    <row r="2579">
      <c r="A2579" s="2">
        <v>2592.0</v>
      </c>
      <c r="B2579" s="3" t="s">
        <v>31</v>
      </c>
      <c r="C2579" s="4" t="str">
        <f>hyperlink("https://terraria.gamepedia.com/Grandfather_Clocks","Cactus Clock")</f>
        <v>Cactus Clock</v>
      </c>
    </row>
    <row r="2580">
      <c r="A2580" s="2">
        <v>2593.0</v>
      </c>
      <c r="B2580" s="3" t="s">
        <v>31</v>
      </c>
      <c r="C2580" s="4" t="str">
        <f>hyperlink("https://terraria.gamepedia.com/Grandfather_Clocks","Ebonwood Clock")</f>
        <v>Ebonwood Clock</v>
      </c>
    </row>
    <row r="2581">
      <c r="A2581" s="2">
        <v>2594.0</v>
      </c>
      <c r="B2581" s="3" t="s">
        <v>31</v>
      </c>
      <c r="C2581" s="4" t="str">
        <f>hyperlink("https://terraria.gamepedia.com/Grandfather_Clocks","Frozen Clock")</f>
        <v>Frozen Clock</v>
      </c>
    </row>
    <row r="2582">
      <c r="A2582" s="2">
        <v>2595.0</v>
      </c>
      <c r="B2582" s="3" t="s">
        <v>31</v>
      </c>
      <c r="C2582" s="4" t="str">
        <f>hyperlink("https://terraria.gamepedia.com/Grandfather_Clocks","Lihzahrd Clock")</f>
        <v>Lihzahrd Clock</v>
      </c>
    </row>
    <row r="2583">
      <c r="A2583" s="2">
        <v>2596.0</v>
      </c>
      <c r="B2583" s="3" t="s">
        <v>31</v>
      </c>
      <c r="C2583" s="4" t="str">
        <f>hyperlink("https://terraria.gamepedia.com/Grandfather_Clocks","Living Wood Clock")</f>
        <v>Living Wood Clock</v>
      </c>
    </row>
    <row r="2584">
      <c r="A2584" s="2">
        <v>2597.0</v>
      </c>
      <c r="B2584" s="3" t="s">
        <v>31</v>
      </c>
      <c r="C2584" s="4" t="str">
        <f>hyperlink("https://terraria.gamepedia.com/Grandfather_Clocks","Rich Mahogany Clock")</f>
        <v>Rich Mahogany Clock</v>
      </c>
    </row>
    <row r="2585">
      <c r="A2585" s="2">
        <v>2598.0</v>
      </c>
      <c r="B2585" s="3" t="s">
        <v>31</v>
      </c>
      <c r="C2585" s="4" t="str">
        <f>hyperlink("https://terraria.gamepedia.com/Grandfather_Clocks","Flesh Clock")</f>
        <v>Flesh Clock</v>
      </c>
    </row>
    <row r="2586">
      <c r="A2586" s="2">
        <v>2599.0</v>
      </c>
      <c r="B2586" s="3" t="s">
        <v>31</v>
      </c>
      <c r="C2586" s="4" t="str">
        <f>hyperlink("https://terraria.gamepedia.com/Grandfather_Clocks","Mushroom Clock")</f>
        <v>Mushroom Clock</v>
      </c>
    </row>
    <row r="2587">
      <c r="A2587" s="2">
        <v>2600.0</v>
      </c>
      <c r="B2587" s="3" t="s">
        <v>31</v>
      </c>
      <c r="C2587" s="4" t="str">
        <f>hyperlink("https://terraria.gamepedia.com/Grandfather_Clocks","Obsidian Clock")</f>
        <v>Obsidian Clock</v>
      </c>
    </row>
    <row r="2588">
      <c r="A2588" s="2">
        <v>2601.0</v>
      </c>
      <c r="B2588" s="3" t="s">
        <v>31</v>
      </c>
      <c r="C2588" s="4" t="str">
        <f>hyperlink("https://terraria.gamepedia.com/Grandfather_Clocks","Palm Wood Clock")</f>
        <v>Palm Wood Clock</v>
      </c>
    </row>
    <row r="2589">
      <c r="A2589" s="2">
        <v>2602.0</v>
      </c>
      <c r="B2589" s="3" t="s">
        <v>31</v>
      </c>
      <c r="C2589" s="4" t="str">
        <f>hyperlink("https://terraria.gamepedia.com/Grandfather_Clocks","Pearlwood Clock")</f>
        <v>Pearlwood Clock</v>
      </c>
    </row>
    <row r="2590">
      <c r="A2590" s="2">
        <v>2603.0</v>
      </c>
      <c r="B2590" s="3" t="s">
        <v>31</v>
      </c>
      <c r="C2590" s="4" t="str">
        <f>hyperlink("https://terraria.gamepedia.com/Grandfather_Clocks","Pumpkin Clock")</f>
        <v>Pumpkin Clock</v>
      </c>
    </row>
    <row r="2591">
      <c r="A2591" s="2">
        <v>2604.0</v>
      </c>
      <c r="B2591" s="3" t="s">
        <v>31</v>
      </c>
      <c r="C2591" s="4" t="str">
        <f>hyperlink("https://terraria.gamepedia.com/Grandfather_Clocks","Shadewood Clock")</f>
        <v>Shadewood Clock</v>
      </c>
    </row>
    <row r="2592">
      <c r="A2592" s="2">
        <v>2605.0</v>
      </c>
      <c r="B2592" s="3" t="s">
        <v>31</v>
      </c>
      <c r="C2592" s="4" t="str">
        <f>hyperlink("https://terraria.gamepedia.com/Grandfather_Clocks","Spooky Clock")</f>
        <v>Spooky Clock</v>
      </c>
    </row>
    <row r="2593">
      <c r="A2593" s="2">
        <v>2606.0</v>
      </c>
      <c r="B2593" s="3" t="s">
        <v>31</v>
      </c>
      <c r="C2593" s="4" t="str">
        <f>hyperlink("https://terraria.gamepedia.com/Grandfather_Clocks","Skyware Clock")</f>
        <v>Skyware Clock</v>
      </c>
    </row>
    <row r="2594">
      <c r="A2594" s="2">
        <v>2607.0</v>
      </c>
      <c r="B2594" s="3" t="s">
        <v>11</v>
      </c>
      <c r="C2594" s="4" t="str">
        <f>hyperlink("https://terraria.gamepedia.com/Spider_Fang","Spider Fang")</f>
        <v>Spider Fang</v>
      </c>
    </row>
    <row r="2595">
      <c r="A2595" s="2">
        <v>2608.0</v>
      </c>
      <c r="B2595" s="3" t="s">
        <v>5</v>
      </c>
      <c r="C2595" s="4" t="str">
        <f>hyperlink("https://terraria.gamepedia.com/Falcon_Blade","Falcon Blade")</f>
        <v>Falcon Blade</v>
      </c>
    </row>
    <row r="2596">
      <c r="A2596" s="2">
        <v>2609.0</v>
      </c>
      <c r="B2596" s="3" t="s">
        <v>27</v>
      </c>
      <c r="C2596" s="4" t="str">
        <f>hyperlink("https://terraria.gamepedia.com/Wings","Fishron Wings")</f>
        <v>Fishron Wings</v>
      </c>
    </row>
    <row r="2597">
      <c r="A2597" s="2">
        <v>2610.0</v>
      </c>
      <c r="B2597" s="3" t="s">
        <v>5</v>
      </c>
      <c r="C2597" s="4" t="str">
        <f>hyperlink("https://terraria.gamepedia.com/Slime_Gun","Slime Gun")</f>
        <v>Slime Gun</v>
      </c>
    </row>
    <row r="2598">
      <c r="A2598" s="2">
        <v>2611.0</v>
      </c>
      <c r="B2598" s="3" t="s">
        <v>5</v>
      </c>
      <c r="C2598" s="4" t="str">
        <f>hyperlink("https://terraria.gamepedia.com/Flairon","Flairon")</f>
        <v>Flairon</v>
      </c>
    </row>
    <row r="2599">
      <c r="A2599" s="2">
        <v>2612.0</v>
      </c>
      <c r="B2599" s="3" t="s">
        <v>20</v>
      </c>
      <c r="C2599" s="4" t="str">
        <f>hyperlink("https://terraria.gamepedia.com/Chests","Green Dungeon Chest")</f>
        <v>Green Dungeon Chest</v>
      </c>
    </row>
    <row r="2600">
      <c r="A2600" s="2">
        <v>2613.0</v>
      </c>
      <c r="B2600" s="3" t="s">
        <v>20</v>
      </c>
      <c r="C2600" s="4" t="str">
        <f>hyperlink("https://terraria.gamepedia.com/Chests","Pink Dungeon Chest")</f>
        <v>Pink Dungeon Chest</v>
      </c>
    </row>
    <row r="2601">
      <c r="A2601" s="2">
        <v>2614.0</v>
      </c>
      <c r="B2601" s="3" t="s">
        <v>20</v>
      </c>
      <c r="C2601" s="4" t="str">
        <f>hyperlink("https://terraria.gamepedia.com/Chests","Blue Dungeon Chest")</f>
        <v>Blue Dungeon Chest</v>
      </c>
    </row>
    <row r="2602">
      <c r="A2602" s="2">
        <v>2615.0</v>
      </c>
      <c r="B2602" s="3" t="s">
        <v>20</v>
      </c>
      <c r="C2602" s="4" t="str">
        <f>hyperlink("https://terraria.gamepedia.com/Chests","Bone Chest")</f>
        <v>Bone Chest</v>
      </c>
    </row>
    <row r="2603">
      <c r="A2603" s="2">
        <v>2616.0</v>
      </c>
      <c r="B2603" s="3" t="s">
        <v>20</v>
      </c>
      <c r="C2603" s="4" t="str">
        <f>hyperlink("https://terraria.gamepedia.com/Chests","Cactus Chest")</f>
        <v>Cactus Chest</v>
      </c>
    </row>
    <row r="2604">
      <c r="A2604" s="2">
        <v>2617.0</v>
      </c>
      <c r="B2604" s="3" t="s">
        <v>20</v>
      </c>
      <c r="C2604" s="4" t="str">
        <f>hyperlink("https://terraria.gamepedia.com/Chests","Flesh Chest")</f>
        <v>Flesh Chest</v>
      </c>
    </row>
    <row r="2605">
      <c r="A2605" s="2">
        <v>2618.0</v>
      </c>
      <c r="B2605" s="3" t="s">
        <v>20</v>
      </c>
      <c r="C2605" s="4" t="str">
        <f>hyperlink("https://terraria.gamepedia.com/Chests","Obsidian Chest")</f>
        <v>Obsidian Chest</v>
      </c>
    </row>
    <row r="2606">
      <c r="A2606" s="2">
        <v>2619.0</v>
      </c>
      <c r="B2606" s="3" t="s">
        <v>20</v>
      </c>
      <c r="C2606" s="4" t="str">
        <f>hyperlink("https://terraria.gamepedia.com/Chests","Pumpkin Chest")</f>
        <v>Pumpkin Chest</v>
      </c>
    </row>
    <row r="2607">
      <c r="A2607" s="2">
        <v>2620.0</v>
      </c>
      <c r="B2607" s="3" t="s">
        <v>20</v>
      </c>
      <c r="C2607" s="4" t="str">
        <f>hyperlink("https://terraria.gamepedia.com/Chests","Spooky Chest")</f>
        <v>Spooky Chest</v>
      </c>
    </row>
    <row r="2608">
      <c r="A2608" s="2">
        <v>2621.0</v>
      </c>
      <c r="B2608" s="3" t="s">
        <v>5</v>
      </c>
      <c r="C2608" s="4" t="str">
        <f>hyperlink("https://terraria.gamepedia.com/Tempest_Staff","Tempest Staff")</f>
        <v>Tempest Staff</v>
      </c>
    </row>
    <row r="2609">
      <c r="A2609" s="2">
        <v>2622.0</v>
      </c>
      <c r="B2609" s="3" t="s">
        <v>5</v>
      </c>
      <c r="C2609" s="4" t="str">
        <f>hyperlink("https://terraria.gamepedia.com/Razorblade_Typhoon","Razorblade Typhoon")</f>
        <v>Razorblade Typhoon</v>
      </c>
    </row>
    <row r="2610">
      <c r="A2610" s="2">
        <v>2623.0</v>
      </c>
      <c r="B2610" s="3" t="s">
        <v>5</v>
      </c>
      <c r="C2610" s="4" t="str">
        <f>hyperlink("https://terraria.gamepedia.com/Bubble_Gun","Bubble Gun")</f>
        <v>Bubble Gun</v>
      </c>
    </row>
    <row r="2611">
      <c r="A2611" s="2">
        <v>2624.0</v>
      </c>
      <c r="B2611" s="3" t="s">
        <v>5</v>
      </c>
      <c r="C2611" s="4" t="str">
        <f>hyperlink("https://terraria.gamepedia.com/Tsunami","Tsunami")</f>
        <v>Tsunami</v>
      </c>
    </row>
    <row r="2612">
      <c r="A2612" s="2">
        <v>2625.0</v>
      </c>
      <c r="B2612" s="3" t="s">
        <v>11</v>
      </c>
      <c r="C2612" s="4" t="str">
        <f>hyperlink("https://terraria.gamepedia.com/Seashells","Seashell")</f>
        <v>Seashell</v>
      </c>
    </row>
    <row r="2613">
      <c r="A2613" s="2">
        <v>2626.0</v>
      </c>
      <c r="B2613" s="3" t="s">
        <v>15</v>
      </c>
      <c r="C2613" s="4" t="str">
        <f>hyperlink("https://terraria.gamepedia.com/Seashells","Starfish")</f>
        <v>Starfish</v>
      </c>
    </row>
    <row r="2614">
      <c r="A2614" s="2">
        <v>2627.0</v>
      </c>
      <c r="B2614" s="3" t="s">
        <v>8</v>
      </c>
      <c r="C2614" s="4" t="str">
        <f>hyperlink("https://terraria.gamepedia.com/Platforms","Steampunk Platform")</f>
        <v>Steampunk Platform</v>
      </c>
    </row>
    <row r="2615">
      <c r="A2615" s="2">
        <v>2628.0</v>
      </c>
      <c r="B2615" s="3" t="s">
        <v>8</v>
      </c>
      <c r="C2615" s="4" t="str">
        <f>hyperlink("https://terraria.gamepedia.com/Platforms","Skyware Platform")</f>
        <v>Skyware Platform</v>
      </c>
    </row>
    <row r="2616">
      <c r="A2616" s="2">
        <v>2629.0</v>
      </c>
      <c r="B2616" s="3" t="s">
        <v>8</v>
      </c>
      <c r="C2616" s="4" t="str">
        <f>hyperlink("https://terraria.gamepedia.com/Platforms","Living Wood Platform")</f>
        <v>Living Wood Platform</v>
      </c>
    </row>
    <row r="2617">
      <c r="A2617" s="2">
        <v>2630.0</v>
      </c>
      <c r="B2617" s="3" t="s">
        <v>8</v>
      </c>
      <c r="C2617" s="4" t="str">
        <f>hyperlink("https://terraria.gamepedia.com/Platforms","Honey Platform")</f>
        <v>Honey Platform</v>
      </c>
    </row>
    <row r="2618">
      <c r="A2618" s="2">
        <v>2631.0</v>
      </c>
      <c r="B2618" s="3" t="s">
        <v>31</v>
      </c>
      <c r="C2618" s="4" t="str">
        <f>hyperlink("https://terraria.gamepedia.com/Work_Benches","Skyware Work Bench")</f>
        <v>Skyware Work Bench</v>
      </c>
    </row>
    <row r="2619">
      <c r="A2619" s="2">
        <v>2632.0</v>
      </c>
      <c r="B2619" s="3" t="s">
        <v>31</v>
      </c>
      <c r="C2619" s="4" t="str">
        <f>hyperlink("https://terraria.gamepedia.com/Work_Benches","Glass Work Bench")</f>
        <v>Glass Work Bench</v>
      </c>
    </row>
    <row r="2620">
      <c r="A2620" s="2">
        <v>2633.0</v>
      </c>
      <c r="B2620" s="3" t="s">
        <v>31</v>
      </c>
      <c r="C2620" s="4" t="str">
        <f>hyperlink("https://terraria.gamepedia.com/Work_Benches","Living Wood Work Bench")</f>
        <v>Living Wood Work Bench</v>
      </c>
    </row>
    <row r="2621">
      <c r="A2621" s="2">
        <v>2634.0</v>
      </c>
      <c r="B2621" s="3" t="s">
        <v>31</v>
      </c>
      <c r="C2621" s="4" t="str">
        <f>hyperlink("https://terraria.gamepedia.com/Sofas","Flesh Sofa")</f>
        <v>Flesh Sofa</v>
      </c>
    </row>
    <row r="2622">
      <c r="A2622" s="2">
        <v>2635.0</v>
      </c>
      <c r="B2622" s="3" t="s">
        <v>31</v>
      </c>
      <c r="C2622" s="4" t="str">
        <f>hyperlink("https://terraria.gamepedia.com/Sofas","Frozen Sofa")</f>
        <v>Frozen Sofa</v>
      </c>
    </row>
    <row r="2623">
      <c r="A2623" s="2">
        <v>2636.0</v>
      </c>
      <c r="B2623" s="3" t="s">
        <v>31</v>
      </c>
      <c r="C2623" s="4" t="str">
        <f>hyperlink("https://terraria.gamepedia.com/Sofas","Living Wood Sofa")</f>
        <v>Living Wood Sofa</v>
      </c>
    </row>
    <row r="2624">
      <c r="A2624" s="2">
        <v>2637.0</v>
      </c>
      <c r="B2624" s="3" t="s">
        <v>31</v>
      </c>
      <c r="C2624" s="4" t="str">
        <f>hyperlink("https://terraria.gamepedia.com/Dressers","Pumpkin Dresser")</f>
        <v>Pumpkin Dresser</v>
      </c>
    </row>
    <row r="2625">
      <c r="A2625" s="2">
        <v>2638.0</v>
      </c>
      <c r="B2625" s="3" t="s">
        <v>31</v>
      </c>
      <c r="C2625" s="4" t="str">
        <f>hyperlink("https://terraria.gamepedia.com/Dressers","Steampunk Dresser")</f>
        <v>Steampunk Dresser</v>
      </c>
    </row>
    <row r="2626">
      <c r="A2626" s="2">
        <v>2639.0</v>
      </c>
      <c r="B2626" s="3" t="s">
        <v>31</v>
      </c>
      <c r="C2626" s="4" t="str">
        <f>hyperlink("https://terraria.gamepedia.com/Dressers","Glass Dresser")</f>
        <v>Glass Dresser</v>
      </c>
    </row>
    <row r="2627">
      <c r="A2627" s="2">
        <v>2640.0</v>
      </c>
      <c r="B2627" s="3" t="s">
        <v>31</v>
      </c>
      <c r="C2627" s="4" t="str">
        <f>hyperlink("https://terraria.gamepedia.com/Dressers","Flesh Dresser")</f>
        <v>Flesh Dresser</v>
      </c>
    </row>
    <row r="2628">
      <c r="A2628" s="2">
        <v>2641.0</v>
      </c>
      <c r="B2628" s="3" t="s">
        <v>7</v>
      </c>
      <c r="C2628" s="4" t="str">
        <f>hyperlink("https://terraria.gamepedia.com/Lanterns","Pumpkin Lantern")</f>
        <v>Pumpkin Lantern</v>
      </c>
    </row>
    <row r="2629">
      <c r="A2629" s="2">
        <v>2642.0</v>
      </c>
      <c r="B2629" s="3" t="s">
        <v>7</v>
      </c>
      <c r="C2629" s="4" t="str">
        <f>hyperlink("https://terraria.gamepedia.com/Lanterns","Obsidian Lantern")</f>
        <v>Obsidian Lantern</v>
      </c>
    </row>
    <row r="2630">
      <c r="A2630" s="2">
        <v>2643.0</v>
      </c>
      <c r="B2630" s="3" t="s">
        <v>7</v>
      </c>
      <c r="C2630" s="4" t="str">
        <f>hyperlink("https://terraria.gamepedia.com/Lamps","Pumpkin Lamp")</f>
        <v>Pumpkin Lamp</v>
      </c>
    </row>
    <row r="2631">
      <c r="A2631" s="2">
        <v>2644.0</v>
      </c>
      <c r="B2631" s="3" t="s">
        <v>7</v>
      </c>
      <c r="C2631" s="4" t="str">
        <f>hyperlink("https://terraria.gamepedia.com/Lamps","Obsidian Lamp")</f>
        <v>Obsidian Lamp</v>
      </c>
    </row>
    <row r="2632">
      <c r="A2632" s="2">
        <v>2645.0</v>
      </c>
      <c r="B2632" s="3" t="s">
        <v>7</v>
      </c>
      <c r="C2632" s="4" t="str">
        <f>hyperlink("https://terraria.gamepedia.com/Lamps","Blue Dungeon Lamp")</f>
        <v>Blue Dungeon Lamp</v>
      </c>
    </row>
    <row r="2633">
      <c r="A2633" s="2">
        <v>2646.0</v>
      </c>
      <c r="B2633" s="3" t="s">
        <v>7</v>
      </c>
      <c r="C2633" s="4" t="str">
        <f>hyperlink("https://terraria.gamepedia.com/Lamps","Green Dungeon Lamp")</f>
        <v>Green Dungeon Lamp</v>
      </c>
    </row>
    <row r="2634">
      <c r="A2634" s="2">
        <v>2647.0</v>
      </c>
      <c r="B2634" s="3" t="s">
        <v>7</v>
      </c>
      <c r="C2634" s="4" t="str">
        <f>hyperlink("https://terraria.gamepedia.com/Lamps","Pink Dungeon Lamp")</f>
        <v>Pink Dungeon Lamp</v>
      </c>
    </row>
    <row r="2635">
      <c r="A2635" s="2">
        <v>2648.0</v>
      </c>
      <c r="B2635" s="3" t="s">
        <v>7</v>
      </c>
      <c r="C2635" s="4" t="str">
        <f>hyperlink("https://terraria.gamepedia.com/Candles","Honey Candle")</f>
        <v>Honey Candle</v>
      </c>
    </row>
    <row r="2636">
      <c r="A2636" s="2">
        <v>2649.0</v>
      </c>
      <c r="B2636" s="3" t="s">
        <v>7</v>
      </c>
      <c r="C2636" s="4" t="str">
        <f>hyperlink("https://terraria.gamepedia.com/Candles","Steampunk Candle")</f>
        <v>Steampunk Candle</v>
      </c>
    </row>
    <row r="2637">
      <c r="A2637" s="2">
        <v>2650.0</v>
      </c>
      <c r="B2637" s="3" t="s">
        <v>7</v>
      </c>
      <c r="C2637" s="4" t="str">
        <f>hyperlink("https://terraria.gamepedia.com/Candles","Spooky Candle")</f>
        <v>Spooky Candle</v>
      </c>
    </row>
    <row r="2638">
      <c r="A2638" s="2">
        <v>2651.0</v>
      </c>
      <c r="B2638" s="3" t="s">
        <v>7</v>
      </c>
      <c r="C2638" s="4" t="str">
        <f>hyperlink("https://terraria.gamepedia.com/Candles","Obsidian Candle")</f>
        <v>Obsidian Candle</v>
      </c>
    </row>
    <row r="2639">
      <c r="A2639" s="2">
        <v>2652.0</v>
      </c>
      <c r="B2639" s="3" t="s">
        <v>7</v>
      </c>
      <c r="C2639" s="4" t="str">
        <f>hyperlink("https://terraria.gamepedia.com/Chandeliers","Blue Dungeon Chandelier")</f>
        <v>Blue Dungeon Chandelier</v>
      </c>
    </row>
    <row r="2640">
      <c r="A2640" s="2">
        <v>2653.0</v>
      </c>
      <c r="B2640" s="3" t="s">
        <v>7</v>
      </c>
      <c r="C2640" s="4" t="str">
        <f>hyperlink("https://terraria.gamepedia.com/Chandeliers","Green Dungeon Chandelier")</f>
        <v>Green Dungeon Chandelier</v>
      </c>
    </row>
    <row r="2641">
      <c r="A2641" s="2">
        <v>2654.0</v>
      </c>
      <c r="B2641" s="3" t="s">
        <v>7</v>
      </c>
      <c r="C2641" s="4" t="str">
        <f>hyperlink("https://terraria.gamepedia.com/Chandeliers","Pink Dungeon Chandelier")</f>
        <v>Pink Dungeon Chandelier</v>
      </c>
    </row>
    <row r="2642">
      <c r="A2642" s="2">
        <v>2655.0</v>
      </c>
      <c r="B2642" s="3" t="s">
        <v>7</v>
      </c>
      <c r="C2642" s="4" t="str">
        <f>hyperlink("https://terraria.gamepedia.com/Chandeliers","Steampunk Chandelier")</f>
        <v>Steampunk Chandelier</v>
      </c>
    </row>
    <row r="2643">
      <c r="A2643" s="2">
        <v>2656.0</v>
      </c>
      <c r="B2643" s="3" t="s">
        <v>7</v>
      </c>
      <c r="C2643" s="4" t="str">
        <f>hyperlink("https://terraria.gamepedia.com/Chandeliers","Pumpkin Chandelier")</f>
        <v>Pumpkin Chandelier</v>
      </c>
    </row>
    <row r="2644">
      <c r="A2644" s="2">
        <v>2657.0</v>
      </c>
      <c r="B2644" s="3" t="s">
        <v>7</v>
      </c>
      <c r="C2644" s="4" t="str">
        <f>hyperlink("https://terraria.gamepedia.com/Chandeliers","Obsidian Chandelier")</f>
        <v>Obsidian Chandelier</v>
      </c>
    </row>
    <row r="2645">
      <c r="A2645" s="2">
        <v>2658.0</v>
      </c>
      <c r="B2645" s="3" t="s">
        <v>31</v>
      </c>
      <c r="C2645" s="4" t="str">
        <f>hyperlink("https://terraria.gamepedia.com/Bathtubs","Blue Dungeon Bathtub")</f>
        <v>Blue Dungeon Bathtub</v>
      </c>
    </row>
    <row r="2646">
      <c r="A2646" s="2">
        <v>2659.0</v>
      </c>
      <c r="B2646" s="3" t="s">
        <v>31</v>
      </c>
      <c r="C2646" s="4" t="str">
        <f>hyperlink("https://terraria.gamepedia.com/Bathtubs","Green Dungeon Bathtub")</f>
        <v>Green Dungeon Bathtub</v>
      </c>
    </row>
    <row r="2647">
      <c r="A2647" s="2">
        <v>2660.0</v>
      </c>
      <c r="B2647" s="3" t="s">
        <v>31</v>
      </c>
      <c r="C2647" s="4" t="str">
        <f>hyperlink("https://terraria.gamepedia.com/Bathtubs","Pink Dungeon Bathtub")</f>
        <v>Pink Dungeon Bathtub</v>
      </c>
    </row>
    <row r="2648">
      <c r="A2648" s="2">
        <v>2661.0</v>
      </c>
      <c r="B2648" s="3" t="s">
        <v>31</v>
      </c>
      <c r="C2648" s="4" t="str">
        <f>hyperlink("https://terraria.gamepedia.com/Bathtubs","Pumpkin Bathtub")</f>
        <v>Pumpkin Bathtub</v>
      </c>
    </row>
    <row r="2649">
      <c r="A2649" s="2">
        <v>2662.0</v>
      </c>
      <c r="B2649" s="3" t="s">
        <v>31</v>
      </c>
      <c r="C2649" s="4" t="str">
        <f>hyperlink("https://terraria.gamepedia.com/Bathtubs","Obsidian Bathtub")</f>
        <v>Obsidian Bathtub</v>
      </c>
    </row>
    <row r="2650">
      <c r="A2650" s="2">
        <v>2663.0</v>
      </c>
      <c r="B2650" s="3" t="s">
        <v>31</v>
      </c>
      <c r="C2650" s="4" t="str">
        <f>hyperlink("https://terraria.gamepedia.com/Bathtubs","Golden Bathtub")</f>
        <v>Golden Bathtub</v>
      </c>
    </row>
    <row r="2651">
      <c r="A2651" s="2">
        <v>2664.0</v>
      </c>
      <c r="B2651" s="3" t="s">
        <v>7</v>
      </c>
      <c r="C2651" s="4" t="str">
        <f>hyperlink("https://terraria.gamepedia.com/Candelabras","Blue Dungeon Candelabra")</f>
        <v>Blue Dungeon Candelabra</v>
      </c>
    </row>
    <row r="2652">
      <c r="A2652" s="2">
        <v>2665.0</v>
      </c>
      <c r="B2652" s="3" t="s">
        <v>7</v>
      </c>
      <c r="C2652" s="4" t="str">
        <f>hyperlink("https://terraria.gamepedia.com/Candelabras","Green Dungeon Candelabra")</f>
        <v>Green Dungeon Candelabra</v>
      </c>
    </row>
    <row r="2653">
      <c r="A2653" s="2">
        <v>2666.0</v>
      </c>
      <c r="B2653" s="3" t="s">
        <v>7</v>
      </c>
      <c r="C2653" s="4" t="str">
        <f>hyperlink("https://terraria.gamepedia.com/Candelabras","Pink Dungeon Candelabra")</f>
        <v>Pink Dungeon Candelabra</v>
      </c>
    </row>
    <row r="2654">
      <c r="A2654" s="2">
        <v>2667.0</v>
      </c>
      <c r="B2654" s="3" t="s">
        <v>7</v>
      </c>
      <c r="C2654" s="4" t="str">
        <f>hyperlink("https://terraria.gamepedia.com/Candelabras","Obsidian Candelabra")</f>
        <v>Obsidian Candelabra</v>
      </c>
    </row>
    <row r="2655">
      <c r="A2655" s="2">
        <v>2668.0</v>
      </c>
      <c r="B2655" s="3" t="s">
        <v>7</v>
      </c>
      <c r="C2655" s="4" t="str">
        <f>hyperlink("https://terraria.gamepedia.com/Candelabras","Pumpkin Candelabra")</f>
        <v>Pumpkin Candelabra</v>
      </c>
    </row>
    <row r="2656">
      <c r="A2656" s="2">
        <v>2669.0</v>
      </c>
      <c r="B2656" s="3" t="s">
        <v>31</v>
      </c>
      <c r="C2656" s="4" t="str">
        <f>hyperlink("https://terraria.gamepedia.com/Beds","Pumpkin Bed")</f>
        <v>Pumpkin Bed</v>
      </c>
    </row>
    <row r="2657">
      <c r="A2657" s="2">
        <v>2670.0</v>
      </c>
      <c r="B2657" s="3" t="s">
        <v>31</v>
      </c>
      <c r="C2657" s="4" t="str">
        <f>hyperlink("https://terraria.gamepedia.com/Bookcases","Pumpkin Bookcase")</f>
        <v>Pumpkin Bookcase</v>
      </c>
    </row>
    <row r="2658">
      <c r="A2658" s="2">
        <v>2671.0</v>
      </c>
      <c r="B2658" s="3" t="s">
        <v>31</v>
      </c>
      <c r="C2658" s="4" t="str">
        <f>hyperlink("https://terraria.gamepedia.com/Pianos","Pumpkin Piano")</f>
        <v>Pumpkin Piano</v>
      </c>
    </row>
    <row r="2659">
      <c r="A2659" s="2">
        <v>2672.0</v>
      </c>
      <c r="B2659" s="3" t="s">
        <v>21</v>
      </c>
      <c r="C2659" s="4" t="str">
        <f>hyperlink("https://terraria.gamepedia.com/Statues","Shark Statue")</f>
        <v>Shark Statue</v>
      </c>
    </row>
    <row r="2660">
      <c r="A2660" s="2">
        <v>2673.0</v>
      </c>
      <c r="B2660" s="3" t="s">
        <v>19</v>
      </c>
      <c r="C2660" s="4" t="str">
        <f>hyperlink("https://terraria.gamepedia.com/Truffle_Worm","Truffle Worm")</f>
        <v>Truffle Worm</v>
      </c>
    </row>
    <row r="2661">
      <c r="A2661" s="2">
        <v>2674.0</v>
      </c>
      <c r="B2661" s="3" t="s">
        <v>15</v>
      </c>
      <c r="C2661" s="4" t="str">
        <f>hyperlink("https://terraria.gamepedia.com/Ammunition_items","Apprentice Bait")</f>
        <v>Apprentice Bait</v>
      </c>
    </row>
    <row r="2662">
      <c r="A2662" s="2">
        <v>2675.0</v>
      </c>
      <c r="B2662" s="3" t="s">
        <v>15</v>
      </c>
      <c r="C2662" s="4" t="str">
        <f>hyperlink("https://terraria.gamepedia.com/Ammunition_items","Journeyman Bait")</f>
        <v>Journeyman Bait</v>
      </c>
    </row>
    <row r="2663">
      <c r="A2663" s="2">
        <v>2676.0</v>
      </c>
      <c r="B2663" s="3" t="s">
        <v>15</v>
      </c>
      <c r="C2663" s="4" t="str">
        <f>hyperlink("https://terraria.gamepedia.com/Ammunition_items","Master Bait")</f>
        <v>Master Bait</v>
      </c>
    </row>
    <row r="2664">
      <c r="A2664" s="2">
        <v>2677.0</v>
      </c>
      <c r="B2664" s="3" t="s">
        <v>13</v>
      </c>
      <c r="C2664" s="4" t="str">
        <f>hyperlink("https://terraria.gamepedia.com/Gemspark_Walls","Amber Gemspark Wall")</f>
        <v>Amber Gemspark Wall</v>
      </c>
    </row>
    <row r="2665">
      <c r="A2665" s="2">
        <v>2678.0</v>
      </c>
      <c r="B2665" s="3" t="s">
        <v>13</v>
      </c>
      <c r="C2665" s="4" t="str">
        <f>hyperlink("https://terraria.gamepedia.com/Offline_Gemspark_Walls","Offline Amber Gemspark Wall")</f>
        <v>Offline Amber Gemspark Wall</v>
      </c>
    </row>
    <row r="2666">
      <c r="A2666" s="2">
        <v>2679.0</v>
      </c>
      <c r="B2666" s="3" t="s">
        <v>13</v>
      </c>
      <c r="C2666" s="4" t="str">
        <f>hyperlink("https://terraria.gamepedia.com/Gemspark_Walls","Amethyst Gemspark Wall")</f>
        <v>Amethyst Gemspark Wall</v>
      </c>
    </row>
    <row r="2667">
      <c r="A2667" s="2">
        <v>2680.0</v>
      </c>
      <c r="B2667" s="3" t="s">
        <v>13</v>
      </c>
      <c r="C2667" s="4" t="str">
        <f>hyperlink("https://terraria.gamepedia.com/Offline_Gemspark_Walls","Offline Amethyst Gemspark Wall")</f>
        <v>Offline Amethyst Gemspark Wall</v>
      </c>
    </row>
    <row r="2668">
      <c r="A2668" s="2">
        <v>2681.0</v>
      </c>
      <c r="B2668" s="3" t="s">
        <v>13</v>
      </c>
      <c r="C2668" s="4" t="str">
        <f>hyperlink("https://terraria.gamepedia.com/Gemspark_Walls","Diamond Gemspark Wall")</f>
        <v>Diamond Gemspark Wall</v>
      </c>
    </row>
    <row r="2669">
      <c r="A2669" s="2">
        <v>2682.0</v>
      </c>
      <c r="B2669" s="3" t="s">
        <v>13</v>
      </c>
      <c r="C2669" s="4" t="str">
        <f>hyperlink("https://terraria.gamepedia.com/Offline_Gemspark_Walls","Offline Diamond Gemspark Wall")</f>
        <v>Offline Diamond Gemspark Wall</v>
      </c>
    </row>
    <row r="2670">
      <c r="A2670" s="2">
        <v>2683.0</v>
      </c>
      <c r="B2670" s="3" t="s">
        <v>13</v>
      </c>
      <c r="C2670" s="4" t="str">
        <f>hyperlink("https://terraria.gamepedia.com/Gemspark_Walls","Emerald Gemspark Wall")</f>
        <v>Emerald Gemspark Wall</v>
      </c>
    </row>
    <row r="2671">
      <c r="A2671" s="2">
        <v>2684.0</v>
      </c>
      <c r="B2671" s="3" t="s">
        <v>13</v>
      </c>
      <c r="C2671" s="4" t="str">
        <f>hyperlink("https://terraria.gamepedia.com/Offline_Gemspark_Walls","Offline Emerald Gemspark Wall")</f>
        <v>Offline Emerald Gemspark Wall</v>
      </c>
    </row>
    <row r="2672">
      <c r="A2672" s="2">
        <v>2685.0</v>
      </c>
      <c r="B2672" s="3" t="s">
        <v>13</v>
      </c>
      <c r="C2672" s="4" t="str">
        <f>hyperlink("https://terraria.gamepedia.com/Gemspark_Walls","Ruby Gemspark Wall")</f>
        <v>Ruby Gemspark Wall</v>
      </c>
    </row>
    <row r="2673">
      <c r="A2673" s="2">
        <v>2686.0</v>
      </c>
      <c r="B2673" s="3" t="s">
        <v>13</v>
      </c>
      <c r="C2673" s="4" t="str">
        <f>hyperlink("https://terraria.gamepedia.com/Offline_Gemspark_Walls","Offline Ruby Gemspark Wall")</f>
        <v>Offline Ruby Gemspark Wall</v>
      </c>
    </row>
    <row r="2674">
      <c r="A2674" s="2">
        <v>2687.0</v>
      </c>
      <c r="B2674" s="3" t="s">
        <v>13</v>
      </c>
      <c r="C2674" s="4" t="str">
        <f>hyperlink("https://terraria.gamepedia.com/Gemspark_Walls","Sapphire Gemspark Wall")</f>
        <v>Sapphire Gemspark Wall</v>
      </c>
    </row>
    <row r="2675">
      <c r="A2675" s="2">
        <v>2688.0</v>
      </c>
      <c r="B2675" s="3" t="s">
        <v>13</v>
      </c>
      <c r="C2675" s="4" t="str">
        <f>hyperlink("https://terraria.gamepedia.com/Offline_Gemspark_Walls","Offline Sapphire Gemspark Wall")</f>
        <v>Offline Sapphire Gemspark Wall</v>
      </c>
    </row>
    <row r="2676">
      <c r="A2676" s="2">
        <v>2689.0</v>
      </c>
      <c r="B2676" s="3" t="s">
        <v>13</v>
      </c>
      <c r="C2676" s="4" t="str">
        <f>hyperlink("https://terraria.gamepedia.com/Gemspark_Walls","Topaz Gemspark Wall")</f>
        <v>Topaz Gemspark Wall</v>
      </c>
    </row>
    <row r="2677">
      <c r="A2677" s="2">
        <v>2690.0</v>
      </c>
      <c r="B2677" s="3" t="s">
        <v>13</v>
      </c>
      <c r="C2677" s="4" t="str">
        <f>hyperlink("https://terraria.gamepedia.com/Offline_Gemspark_Walls","Offline Topaz Gemspark Wall")</f>
        <v>Offline Topaz Gemspark Wall</v>
      </c>
    </row>
    <row r="2678">
      <c r="A2678" s="2">
        <v>2691.0</v>
      </c>
      <c r="B2678" s="3" t="s">
        <v>13</v>
      </c>
      <c r="C2678" s="4" t="str">
        <f>hyperlink("https://terraria.gamepedia.com/Tin_Plating_Wall","Tin Plating Wall")</f>
        <v>Tin Plating Wall</v>
      </c>
    </row>
    <row r="2679">
      <c r="A2679" s="2">
        <v>2692.0</v>
      </c>
      <c r="B2679" s="3" t="s">
        <v>4</v>
      </c>
      <c r="C2679" s="4" t="str">
        <f>hyperlink("https://terraria.gamepedia.com/Tin_Plating","Tin Plating")</f>
        <v>Tin Plating</v>
      </c>
    </row>
    <row r="2680">
      <c r="A2680" s="2">
        <v>2693.0</v>
      </c>
      <c r="B2680" s="3" t="s">
        <v>4</v>
      </c>
      <c r="C2680" s="4" t="str">
        <f>hyperlink("https://terraria.gamepedia.com/Waterfall_Block","Waterfall Block")</f>
        <v>Waterfall Block</v>
      </c>
    </row>
    <row r="2681">
      <c r="A2681" s="2">
        <v>2694.0</v>
      </c>
      <c r="B2681" s="3" t="s">
        <v>4</v>
      </c>
      <c r="C2681" s="4" t="str">
        <f>hyperlink("https://terraria.gamepedia.com/Lavafall_Block","Lavafall Block")</f>
        <v>Lavafall Block</v>
      </c>
    </row>
    <row r="2682">
      <c r="A2682" s="2">
        <v>2695.0</v>
      </c>
      <c r="B2682" s="3" t="s">
        <v>4</v>
      </c>
      <c r="C2682" s="4" t="str">
        <f>hyperlink("https://terraria.gamepedia.com/Confetti_Block","Confetti Block")</f>
        <v>Confetti Block</v>
      </c>
    </row>
    <row r="2683">
      <c r="A2683" s="2">
        <v>2696.0</v>
      </c>
      <c r="B2683" s="3" t="s">
        <v>13</v>
      </c>
      <c r="C2683" s="4" t="str">
        <f>hyperlink("https://terraria.gamepedia.com/Confetti_Wall","Confetti Wall")</f>
        <v>Confetti Wall</v>
      </c>
    </row>
    <row r="2684">
      <c r="A2684" s="2">
        <v>2697.0</v>
      </c>
      <c r="B2684" s="3" t="s">
        <v>4</v>
      </c>
      <c r="C2684" s="4" t="str">
        <f>hyperlink("https://terraria.gamepedia.com/Midnight_Confetti_Block","Midnight Confetti Block")</f>
        <v>Midnight Confetti Block</v>
      </c>
    </row>
    <row r="2685">
      <c r="A2685" s="2">
        <v>2698.0</v>
      </c>
      <c r="B2685" s="3" t="s">
        <v>13</v>
      </c>
      <c r="C2685" s="4" t="str">
        <f>hyperlink("https://terraria.gamepedia.com/Midnight_Confetti_Wall","Midnight Confetti Wall")</f>
        <v>Midnight Confetti Wall</v>
      </c>
    </row>
    <row r="2686">
      <c r="A2686" s="2">
        <v>2699.0</v>
      </c>
      <c r="B2686" s="3" t="s">
        <v>12</v>
      </c>
      <c r="C2686" s="4" t="str">
        <f>hyperlink("https://terraria.gamepedia.com/Weapon_Rack","Weapon Rack")</f>
        <v>Weapon Rack</v>
      </c>
    </row>
    <row r="2687">
      <c r="A2687" s="2">
        <v>2700.0</v>
      </c>
      <c r="B2687" s="3" t="s">
        <v>12</v>
      </c>
      <c r="C2687" s="4" t="str">
        <f>hyperlink("https://terraria.gamepedia.com/Fireworks_Box","Fireworks Box")</f>
        <v>Fireworks Box</v>
      </c>
    </row>
    <row r="2688">
      <c r="A2688" s="2">
        <v>2701.0</v>
      </c>
      <c r="B2688" s="3" t="s">
        <v>4</v>
      </c>
      <c r="C2688" s="4" t="str">
        <f>hyperlink("https://terraria.gamepedia.com/Living_Fire_Blocks","Living Fire Block")</f>
        <v>Living Fire Block</v>
      </c>
    </row>
    <row r="2689">
      <c r="A2689" s="2">
        <v>2702.0</v>
      </c>
      <c r="B2689" s="3" t="s">
        <v>21</v>
      </c>
      <c r="C2689" s="4" t="str">
        <f>hyperlink("https://terraria.gamepedia.com/Statues","0' Statue")</f>
        <v>0' Statue</v>
      </c>
    </row>
    <row r="2690">
      <c r="A2690" s="2">
        <v>2703.0</v>
      </c>
      <c r="B2690" s="3" t="s">
        <v>21</v>
      </c>
      <c r="C2690" s="4" t="str">
        <f>hyperlink("https://terraria.gamepedia.com/Statues","1' Statue")</f>
        <v>1' Statue</v>
      </c>
    </row>
    <row r="2691">
      <c r="A2691" s="2">
        <v>2704.0</v>
      </c>
      <c r="B2691" s="3" t="s">
        <v>21</v>
      </c>
      <c r="C2691" s="4" t="str">
        <f>hyperlink("https://terraria.gamepedia.com/Statues","2' Statue")</f>
        <v>2' Statue</v>
      </c>
    </row>
    <row r="2692">
      <c r="A2692" s="2">
        <v>2705.0</v>
      </c>
      <c r="B2692" s="3" t="s">
        <v>21</v>
      </c>
      <c r="C2692" s="4" t="str">
        <f>hyperlink("https://terraria.gamepedia.com/Statues","3' Statue")</f>
        <v>3' Statue</v>
      </c>
    </row>
    <row r="2693">
      <c r="A2693" s="2">
        <v>2706.0</v>
      </c>
      <c r="B2693" s="3" t="s">
        <v>21</v>
      </c>
      <c r="C2693" s="4" t="str">
        <f>hyperlink("https://terraria.gamepedia.com/Statues","4' Statue")</f>
        <v>4' Statue</v>
      </c>
    </row>
    <row r="2694">
      <c r="A2694" s="2">
        <v>2707.0</v>
      </c>
      <c r="B2694" s="3" t="s">
        <v>21</v>
      </c>
      <c r="C2694" s="4" t="str">
        <f>hyperlink("https://terraria.gamepedia.com/Statues","5' Statue")</f>
        <v>5' Statue</v>
      </c>
    </row>
    <row r="2695">
      <c r="A2695" s="2">
        <v>2708.0</v>
      </c>
      <c r="B2695" s="3" t="s">
        <v>21</v>
      </c>
      <c r="C2695" s="4" t="str">
        <f>hyperlink("https://terraria.gamepedia.com/Statues","6' Statue")</f>
        <v>6' Statue</v>
      </c>
    </row>
    <row r="2696">
      <c r="A2696" s="2">
        <v>2709.0</v>
      </c>
      <c r="B2696" s="3" t="s">
        <v>21</v>
      </c>
      <c r="C2696" s="4" t="str">
        <f>hyperlink("https://terraria.gamepedia.com/Statues","7' Statue")</f>
        <v>7' Statue</v>
      </c>
    </row>
    <row r="2697">
      <c r="A2697" s="2">
        <v>2710.0</v>
      </c>
      <c r="B2697" s="3" t="s">
        <v>21</v>
      </c>
      <c r="C2697" s="4" t="str">
        <f>hyperlink("https://terraria.gamepedia.com/Statues","8' Statue")</f>
        <v>8' Statue</v>
      </c>
    </row>
    <row r="2698">
      <c r="A2698" s="2">
        <v>2711.0</v>
      </c>
      <c r="B2698" s="3" t="s">
        <v>21</v>
      </c>
      <c r="C2698" s="4" t="str">
        <f>hyperlink("https://terraria.gamepedia.com/Statues","9' Statue")</f>
        <v>9' Statue</v>
      </c>
    </row>
    <row r="2699">
      <c r="A2699" s="2">
        <v>2712.0</v>
      </c>
      <c r="B2699" s="3" t="s">
        <v>21</v>
      </c>
      <c r="C2699" s="4" t="str">
        <f>hyperlink("https://terraria.gamepedia.com/Statues","A' Statue")</f>
        <v>A' Statue</v>
      </c>
    </row>
    <row r="2700">
      <c r="A2700" s="2">
        <v>2713.0</v>
      </c>
      <c r="B2700" s="3" t="s">
        <v>21</v>
      </c>
      <c r="C2700" s="4" t="str">
        <f>hyperlink("https://terraria.gamepedia.com/Statues","B' Statue")</f>
        <v>B' Statue</v>
      </c>
    </row>
    <row r="2701">
      <c r="A2701" s="2">
        <v>2714.0</v>
      </c>
      <c r="B2701" s="3" t="s">
        <v>21</v>
      </c>
      <c r="C2701" s="4" t="str">
        <f>hyperlink("https://terraria.gamepedia.com/Statues","C' Statue")</f>
        <v>C' Statue</v>
      </c>
    </row>
    <row r="2702">
      <c r="A2702" s="2">
        <v>2715.0</v>
      </c>
      <c r="B2702" s="3" t="s">
        <v>21</v>
      </c>
      <c r="C2702" s="4" t="str">
        <f>hyperlink("https://terraria.gamepedia.com/Statues","D' Statue")</f>
        <v>D' Statue</v>
      </c>
    </row>
    <row r="2703">
      <c r="A2703" s="2">
        <v>2716.0</v>
      </c>
      <c r="B2703" s="3" t="s">
        <v>21</v>
      </c>
      <c r="C2703" s="4" t="str">
        <f>hyperlink("https://terraria.gamepedia.com/Statues","E' Statue")</f>
        <v>E' Statue</v>
      </c>
    </row>
    <row r="2704">
      <c r="A2704" s="2">
        <v>2717.0</v>
      </c>
      <c r="B2704" s="3" t="s">
        <v>21</v>
      </c>
      <c r="C2704" s="4" t="str">
        <f>hyperlink("https://terraria.gamepedia.com/Statues","F' Statue")</f>
        <v>F' Statue</v>
      </c>
    </row>
    <row r="2705">
      <c r="A2705" s="2">
        <v>2718.0</v>
      </c>
      <c r="B2705" s="3" t="s">
        <v>21</v>
      </c>
      <c r="C2705" s="4" t="str">
        <f>hyperlink("https://terraria.gamepedia.com/Statues","G' Statue")</f>
        <v>G' Statue</v>
      </c>
    </row>
    <row r="2706">
      <c r="A2706" s="2">
        <v>2719.0</v>
      </c>
      <c r="B2706" s="3" t="s">
        <v>21</v>
      </c>
      <c r="C2706" s="4" t="str">
        <f>hyperlink("https://terraria.gamepedia.com/Statues","H' Statue")</f>
        <v>H' Statue</v>
      </c>
    </row>
    <row r="2707">
      <c r="A2707" s="2">
        <v>2720.0</v>
      </c>
      <c r="B2707" s="3" t="s">
        <v>21</v>
      </c>
      <c r="C2707" s="4" t="str">
        <f>hyperlink("https://terraria.gamepedia.com/Statues","I' Statue")</f>
        <v>I' Statue</v>
      </c>
    </row>
    <row r="2708">
      <c r="A2708" s="2">
        <v>2721.0</v>
      </c>
      <c r="B2708" s="3" t="s">
        <v>21</v>
      </c>
      <c r="C2708" s="4" t="str">
        <f>hyperlink("https://terraria.gamepedia.com/Statues","J' Statue")</f>
        <v>J' Statue</v>
      </c>
    </row>
    <row r="2709">
      <c r="A2709" s="2">
        <v>2722.0</v>
      </c>
      <c r="B2709" s="3" t="s">
        <v>21</v>
      </c>
      <c r="C2709" s="4" t="str">
        <f>hyperlink("https://terraria.gamepedia.com/Statues","K' Statue")</f>
        <v>K' Statue</v>
      </c>
    </row>
    <row r="2710">
      <c r="A2710" s="2">
        <v>2723.0</v>
      </c>
      <c r="B2710" s="3" t="s">
        <v>21</v>
      </c>
      <c r="C2710" s="4" t="str">
        <f>hyperlink("https://terraria.gamepedia.com/Statues","L' Statue")</f>
        <v>L' Statue</v>
      </c>
    </row>
    <row r="2711">
      <c r="A2711" s="2">
        <v>2724.0</v>
      </c>
      <c r="B2711" s="3" t="s">
        <v>21</v>
      </c>
      <c r="C2711" s="4" t="str">
        <f>hyperlink("https://terraria.gamepedia.com/Statues","M' Statue")</f>
        <v>M' Statue</v>
      </c>
    </row>
    <row r="2712">
      <c r="A2712" s="2">
        <v>2725.0</v>
      </c>
      <c r="B2712" s="3" t="s">
        <v>21</v>
      </c>
      <c r="C2712" s="4" t="str">
        <f>hyperlink("https://terraria.gamepedia.com/Statues","N' Statue")</f>
        <v>N' Statue</v>
      </c>
    </row>
    <row r="2713">
      <c r="A2713" s="2">
        <v>2726.0</v>
      </c>
      <c r="B2713" s="3" t="s">
        <v>21</v>
      </c>
      <c r="C2713" s="4" t="str">
        <f>hyperlink("https://terraria.gamepedia.com/Statues","O' Statue")</f>
        <v>O' Statue</v>
      </c>
    </row>
    <row r="2714">
      <c r="A2714" s="2">
        <v>2727.0</v>
      </c>
      <c r="B2714" s="3" t="s">
        <v>21</v>
      </c>
      <c r="C2714" s="4" t="str">
        <f>hyperlink("https://terraria.gamepedia.com/Statues","P' Statue")</f>
        <v>P' Statue</v>
      </c>
    </row>
    <row r="2715">
      <c r="A2715" s="2">
        <v>2728.0</v>
      </c>
      <c r="B2715" s="3" t="s">
        <v>21</v>
      </c>
      <c r="C2715" s="4" t="str">
        <f>hyperlink("https://terraria.gamepedia.com/Statues","Q' Statue")</f>
        <v>Q' Statue</v>
      </c>
    </row>
    <row r="2716">
      <c r="A2716" s="2">
        <v>2729.0</v>
      </c>
      <c r="B2716" s="3" t="s">
        <v>21</v>
      </c>
      <c r="C2716" s="4" t="str">
        <f>hyperlink("https://terraria.gamepedia.com/Statues","R' Statue")</f>
        <v>R' Statue</v>
      </c>
    </row>
    <row r="2717">
      <c r="A2717" s="2">
        <v>2730.0</v>
      </c>
      <c r="B2717" s="3" t="s">
        <v>21</v>
      </c>
      <c r="C2717" s="4" t="str">
        <f>hyperlink("https://terraria.gamepedia.com/Statues","S' Statue")</f>
        <v>S' Statue</v>
      </c>
    </row>
    <row r="2718">
      <c r="A2718" s="2">
        <v>2731.0</v>
      </c>
      <c r="B2718" s="3" t="s">
        <v>21</v>
      </c>
      <c r="C2718" s="4" t="str">
        <f>hyperlink("https://terraria.gamepedia.com/Statues","T' Statue")</f>
        <v>T' Statue</v>
      </c>
    </row>
    <row r="2719">
      <c r="A2719" s="2">
        <v>2732.0</v>
      </c>
      <c r="B2719" s="3" t="s">
        <v>21</v>
      </c>
      <c r="C2719" s="4" t="str">
        <f>hyperlink("https://terraria.gamepedia.com/Statues","U' Statue")</f>
        <v>U' Statue</v>
      </c>
    </row>
    <row r="2720">
      <c r="A2720" s="2">
        <v>2733.0</v>
      </c>
      <c r="B2720" s="3" t="s">
        <v>21</v>
      </c>
      <c r="C2720" s="4" t="str">
        <f>hyperlink("https://terraria.gamepedia.com/Statues","V' Statue")</f>
        <v>V' Statue</v>
      </c>
    </row>
    <row r="2721">
      <c r="A2721" s="2">
        <v>2734.0</v>
      </c>
      <c r="B2721" s="3" t="s">
        <v>21</v>
      </c>
      <c r="C2721" s="4" t="str">
        <f>hyperlink("https://terraria.gamepedia.com/Statues","W' Statue")</f>
        <v>W' Statue</v>
      </c>
    </row>
    <row r="2722">
      <c r="A2722" s="2">
        <v>2735.0</v>
      </c>
      <c r="B2722" s="3" t="s">
        <v>21</v>
      </c>
      <c r="C2722" s="4" t="str">
        <f>hyperlink("https://terraria.gamepedia.com/Statues","X' Statue")</f>
        <v>X' Statue</v>
      </c>
    </row>
    <row r="2723">
      <c r="A2723" s="2">
        <v>2736.0</v>
      </c>
      <c r="B2723" s="3" t="s">
        <v>21</v>
      </c>
      <c r="C2723" s="4" t="str">
        <f>hyperlink("https://terraria.gamepedia.com/Statues","Y' Statue")</f>
        <v>Y' Statue</v>
      </c>
    </row>
    <row r="2724">
      <c r="A2724" s="2">
        <v>2737.0</v>
      </c>
      <c r="B2724" s="3" t="s">
        <v>21</v>
      </c>
      <c r="C2724" s="4" t="str">
        <f>hyperlink("https://terraria.gamepedia.com/Statues","Z' Statue")</f>
        <v>Z' Statue</v>
      </c>
    </row>
    <row r="2725">
      <c r="A2725" s="2">
        <v>2738.0</v>
      </c>
      <c r="B2725" s="3" t="s">
        <v>12</v>
      </c>
      <c r="C2725" s="4" t="str">
        <f>hyperlink("https://terraria.gamepedia.com/Firework_Fountain","Firework Fountain")</f>
        <v>Firework Fountain</v>
      </c>
    </row>
    <row r="2726">
      <c r="A2726" s="2">
        <v>2739.0</v>
      </c>
      <c r="B2726" s="3" t="s">
        <v>28</v>
      </c>
      <c r="C2726" s="4" t="str">
        <f>hyperlink("https://terraria.gamepedia.com/Booster_Track","Booster Track")</f>
        <v>Booster Track</v>
      </c>
    </row>
    <row r="2727">
      <c r="A2727" s="2">
        <v>2740.0</v>
      </c>
      <c r="B2727" s="3" t="s">
        <v>24</v>
      </c>
      <c r="C2727" s="4" t="str">
        <f>hyperlink("https://terraria.gamepedia.com/Grasshopper","Grasshopper")</f>
        <v>Grasshopper</v>
      </c>
    </row>
    <row r="2728">
      <c r="A2728" s="2">
        <v>2741.0</v>
      </c>
      <c r="B2728" s="3" t="s">
        <v>24</v>
      </c>
      <c r="C2728" s="4" t="str">
        <f>hyperlink("https://terraria.gamepedia.com/Cages","Grasshopper Cage")</f>
        <v>Grasshopper Cage</v>
      </c>
    </row>
    <row r="2729">
      <c r="A2729" s="2">
        <v>2742.0</v>
      </c>
      <c r="B2729" s="3" t="s">
        <v>29</v>
      </c>
      <c r="C2729" s="4" t="str">
        <f>hyperlink("https://terraria.gamepedia.com/Music_Boxes","Music Box (Underground Crimson)")</f>
        <v>Music Box (Underground Crimson)</v>
      </c>
    </row>
    <row r="2730">
      <c r="A2730" s="2">
        <v>2743.0</v>
      </c>
      <c r="B2730" s="3" t="s">
        <v>31</v>
      </c>
      <c r="C2730" s="4" t="str">
        <f>hyperlink("https://terraria.gamepedia.com/Tables","Cactus Table")</f>
        <v>Cactus Table</v>
      </c>
    </row>
    <row r="2731">
      <c r="A2731" s="2">
        <v>2744.0</v>
      </c>
      <c r="B2731" s="3" t="s">
        <v>8</v>
      </c>
      <c r="C2731" s="4" t="str">
        <f>hyperlink("https://terraria.gamepedia.com/Platforms","Cactus Platform")</f>
        <v>Cactus Platform</v>
      </c>
    </row>
    <row r="2732">
      <c r="A2732" s="2">
        <v>2745.0</v>
      </c>
      <c r="B2732" s="3" t="s">
        <v>5</v>
      </c>
      <c r="C2732" s="4" t="str">
        <f>hyperlink("https://terraria.gamepedia.com/Boreal_Wood_Sword","Boreal Wood Sword")</f>
        <v>Boreal Wood Sword</v>
      </c>
    </row>
    <row r="2733">
      <c r="A2733" s="2">
        <v>2746.0</v>
      </c>
      <c r="B2733" s="3" t="s">
        <v>3</v>
      </c>
      <c r="C2733" s="4" t="str">
        <f>hyperlink("https://terraria.gamepedia.com/Boreal_Wood_Hammer","Boreal Wood Hammer")</f>
        <v>Boreal Wood Hammer</v>
      </c>
    </row>
    <row r="2734">
      <c r="A2734" s="2">
        <v>2747.0</v>
      </c>
      <c r="B2734" s="3" t="s">
        <v>5</v>
      </c>
      <c r="C2734" s="4" t="str">
        <f>hyperlink("https://terraria.gamepedia.com/Boreal_Wood_Bow","Boreal Wood Bow")</f>
        <v>Boreal Wood Bow</v>
      </c>
    </row>
    <row r="2735">
      <c r="A2735" s="2">
        <v>2748.0</v>
      </c>
      <c r="B2735" s="3" t="s">
        <v>20</v>
      </c>
      <c r="C2735" s="4" t="str">
        <f>hyperlink("https://terraria.gamepedia.com/Chests","Glass Chest")</f>
        <v>Glass Chest</v>
      </c>
    </row>
    <row r="2736">
      <c r="A2736" s="2">
        <v>2749.0</v>
      </c>
      <c r="B2736" s="3" t="s">
        <v>5</v>
      </c>
      <c r="C2736" s="4" t="str">
        <f>hyperlink("https://terraria.gamepedia.com/Xeno_Staff","Xeno Staff")</f>
        <v>Xeno Staff</v>
      </c>
    </row>
    <row r="2737">
      <c r="A2737" s="2">
        <v>2750.0</v>
      </c>
      <c r="B2737" s="3" t="s">
        <v>5</v>
      </c>
      <c r="C2737" s="4" t="str">
        <f>hyperlink("https://terraria.gamepedia.com/Meteor_Staff","Meteor Staff")</f>
        <v>Meteor Staff</v>
      </c>
    </row>
    <row r="2738">
      <c r="A2738" s="2">
        <v>2751.0</v>
      </c>
      <c r="B2738" s="3" t="s">
        <v>4</v>
      </c>
      <c r="C2738" s="4" t="str">
        <f>hyperlink("https://terraria.gamepedia.com/Living_Fire_Blocks","Living Cursed Fire Block")</f>
        <v>Living Cursed Fire Block</v>
      </c>
    </row>
    <row r="2739">
      <c r="A2739" s="2">
        <v>2752.0</v>
      </c>
      <c r="B2739" s="3" t="s">
        <v>4</v>
      </c>
      <c r="C2739" s="4" t="str">
        <f>hyperlink("https://terraria.gamepedia.com/Living_Fire_Blocks","Living Demon Fire Block")</f>
        <v>Living Demon Fire Block</v>
      </c>
    </row>
    <row r="2740">
      <c r="A2740" s="2">
        <v>2753.0</v>
      </c>
      <c r="B2740" s="3" t="s">
        <v>4</v>
      </c>
      <c r="C2740" s="4" t="str">
        <f>hyperlink("https://terraria.gamepedia.com/Living_Fire_Blocks","Living Frost Fire Block")</f>
        <v>Living Frost Fire Block</v>
      </c>
    </row>
    <row r="2741">
      <c r="A2741" s="2">
        <v>2754.0</v>
      </c>
      <c r="B2741" s="3" t="s">
        <v>4</v>
      </c>
      <c r="C2741" s="4" t="str">
        <f>hyperlink("https://terraria.gamepedia.com/Living_Fire_Blocks","Living Ichor Block")</f>
        <v>Living Ichor Block</v>
      </c>
    </row>
    <row r="2742">
      <c r="A2742" s="2">
        <v>2755.0</v>
      </c>
      <c r="B2742" s="3" t="s">
        <v>4</v>
      </c>
      <c r="C2742" s="4" t="str">
        <f>hyperlink("https://terraria.gamepedia.com/Living_Fire_Blocks","Living Ultrabright Fire Block")</f>
        <v>Living Ultrabright Fire Block</v>
      </c>
    </row>
    <row r="2743">
      <c r="A2743" s="2">
        <v>2756.0</v>
      </c>
      <c r="B2743" s="3" t="s">
        <v>14</v>
      </c>
      <c r="C2743" s="4" t="str">
        <f>hyperlink("https://terraria.gamepedia.com/Gender_Change_Potion","Gender Change Potion")</f>
        <v>Gender Change Potion</v>
      </c>
    </row>
    <row r="2744">
      <c r="A2744" s="2">
        <v>2757.0</v>
      </c>
      <c r="B2744" s="3" t="s">
        <v>17</v>
      </c>
      <c r="C2744" s="4" t="str">
        <f>hyperlink("https://terraria.gamepedia.com/Vortex_armor","Vortex Helmet")</f>
        <v>Vortex Helmet</v>
      </c>
    </row>
    <row r="2745">
      <c r="A2745" s="2">
        <v>2758.0</v>
      </c>
      <c r="B2745" s="3" t="s">
        <v>17</v>
      </c>
      <c r="C2745" s="4" t="str">
        <f>hyperlink("https://terraria.gamepedia.com/Vortex_armor","Vortex Breastplate")</f>
        <v>Vortex Breastplate</v>
      </c>
    </row>
    <row r="2746">
      <c r="A2746" s="2">
        <v>2759.0</v>
      </c>
      <c r="B2746" s="3" t="s">
        <v>17</v>
      </c>
      <c r="C2746" s="4" t="str">
        <f>hyperlink("https://terraria.gamepedia.com/Vortex_armor","Vortex Leggings")</f>
        <v>Vortex Leggings</v>
      </c>
    </row>
    <row r="2747">
      <c r="A2747" s="2">
        <v>2760.0</v>
      </c>
      <c r="B2747" s="3" t="s">
        <v>17</v>
      </c>
      <c r="C2747" s="4" t="str">
        <f>hyperlink("https://terraria.gamepedia.com/Nebula_armor","Nebula Helmet")</f>
        <v>Nebula Helmet</v>
      </c>
    </row>
    <row r="2748">
      <c r="A2748" s="2">
        <v>2761.0</v>
      </c>
      <c r="B2748" s="3" t="s">
        <v>17</v>
      </c>
      <c r="C2748" s="4" t="str">
        <f>hyperlink("https://terraria.gamepedia.com/Nebula_armor","Nebula Breastplate")</f>
        <v>Nebula Breastplate</v>
      </c>
    </row>
    <row r="2749">
      <c r="A2749" s="2">
        <v>2762.0</v>
      </c>
      <c r="B2749" s="3" t="s">
        <v>17</v>
      </c>
      <c r="C2749" s="4" t="str">
        <f>hyperlink("https://terraria.gamepedia.com/Nebula_armor","Nebula Leggings")</f>
        <v>Nebula Leggings</v>
      </c>
    </row>
    <row r="2750">
      <c r="A2750" s="2">
        <v>2763.0</v>
      </c>
      <c r="B2750" s="3" t="s">
        <v>17</v>
      </c>
      <c r="C2750" s="4" t="str">
        <f>hyperlink("https://terraria.gamepedia.com/Solar_Flare_armor","Solar Flare Helmet")</f>
        <v>Solar Flare Helmet</v>
      </c>
    </row>
    <row r="2751">
      <c r="A2751" s="2">
        <v>2764.0</v>
      </c>
      <c r="B2751" s="3" t="s">
        <v>17</v>
      </c>
      <c r="C2751" s="4" t="str">
        <f>hyperlink("https://terraria.gamepedia.com/Solar_Flare_armor","Solar Flare Breastplate")</f>
        <v>Solar Flare Breastplate</v>
      </c>
    </row>
    <row r="2752">
      <c r="A2752" s="2">
        <v>2765.0</v>
      </c>
      <c r="B2752" s="3" t="s">
        <v>17</v>
      </c>
      <c r="C2752" s="4" t="str">
        <f>hyperlink("https://terraria.gamepedia.com/Solar_Flare_armor","Solar Flare Leggings")</f>
        <v>Solar Flare Leggings</v>
      </c>
    </row>
    <row r="2753">
      <c r="A2753" s="2">
        <v>2766.0</v>
      </c>
      <c r="B2753" s="3" t="s">
        <v>11</v>
      </c>
      <c r="C2753" s="4" t="str">
        <f>hyperlink("https://terraria.gamepedia.com/Solar_Tablet_Fragment","Solar Tablet Fragment")</f>
        <v>Solar Tablet Fragment</v>
      </c>
    </row>
    <row r="2754">
      <c r="A2754" s="2">
        <v>2767.0</v>
      </c>
      <c r="B2754" s="3" t="s">
        <v>19</v>
      </c>
      <c r="C2754" s="4" t="str">
        <f>hyperlink("https://terraria.gamepedia.com/Solar_Tablet","Solar Tablet")</f>
        <v>Solar Tablet</v>
      </c>
    </row>
    <row r="2755">
      <c r="A2755" s="2">
        <v>2768.0</v>
      </c>
      <c r="B2755" s="3" t="s">
        <v>22</v>
      </c>
      <c r="C2755" s="4" t="str">
        <f>hyperlink("https://terraria.gamepedia.com/Drill_Containment_Unit","Drill Containment Unit")</f>
        <v>Drill Containment Unit</v>
      </c>
    </row>
    <row r="2756">
      <c r="A2756" s="2">
        <v>2769.0</v>
      </c>
      <c r="B2756" s="3" t="s">
        <v>22</v>
      </c>
      <c r="C2756" s="4" t="str">
        <f>hyperlink("https://terraria.gamepedia.com/Cosmic_Car_Key","Cosmic Car Key")</f>
        <v>Cosmic Car Key</v>
      </c>
    </row>
    <row r="2757">
      <c r="A2757" s="2">
        <v>2770.0</v>
      </c>
      <c r="B2757" s="3" t="s">
        <v>27</v>
      </c>
      <c r="C2757" s="4" t="str">
        <f>hyperlink("https://terraria.gamepedia.com/Wings","Mothron Wings")</f>
        <v>Mothron Wings</v>
      </c>
    </row>
    <row r="2758">
      <c r="A2758" s="2">
        <v>2771.0</v>
      </c>
      <c r="B2758" s="3" t="s">
        <v>5</v>
      </c>
      <c r="C2758" s="4" t="str">
        <f>hyperlink("https://terraria.gamepedia.com/Brain_Scrambler_(item)","Brain Scrambler")</f>
        <v>Brain Scrambler</v>
      </c>
    </row>
    <row r="2759">
      <c r="A2759" s="2">
        <v>2774.0</v>
      </c>
      <c r="B2759" s="3" t="s">
        <v>3</v>
      </c>
      <c r="C2759" s="4" t="str">
        <f>hyperlink("https://terraria.gamepedia.com/Luminite_Drills","Vortex Drill")</f>
        <v>Vortex Drill</v>
      </c>
    </row>
    <row r="2760">
      <c r="A2760" s="2">
        <v>2776.0</v>
      </c>
      <c r="B2760" s="3" t="s">
        <v>3</v>
      </c>
      <c r="C2760" s="4" t="str">
        <f>hyperlink("https://terraria.gamepedia.com/Luminite_Pickaxes","Vortex Pickaxe")</f>
        <v>Vortex Pickaxe</v>
      </c>
    </row>
    <row r="2761">
      <c r="A2761" s="2">
        <v>2779.0</v>
      </c>
      <c r="B2761" s="3" t="s">
        <v>3</v>
      </c>
      <c r="C2761" s="4" t="str">
        <f>hyperlink("https://terraria.gamepedia.com/Luminite_Drills","Nebula Drill")</f>
        <v>Nebula Drill</v>
      </c>
    </row>
    <row r="2762">
      <c r="A2762" s="2">
        <v>2781.0</v>
      </c>
      <c r="B2762" s="3" t="s">
        <v>3</v>
      </c>
      <c r="C2762" s="4" t="str">
        <f>hyperlink("https://terraria.gamepedia.com/Luminite_Pickaxes","Nebula Pickaxe")</f>
        <v>Nebula Pickaxe</v>
      </c>
    </row>
    <row r="2763">
      <c r="A2763" s="2">
        <v>2784.0</v>
      </c>
      <c r="B2763" s="3" t="s">
        <v>3</v>
      </c>
      <c r="C2763" s="4" t="str">
        <f>hyperlink("https://terraria.gamepedia.com/Luminite_Drills","Solar Flare Drill")</f>
        <v>Solar Flare Drill</v>
      </c>
    </row>
    <row r="2764">
      <c r="A2764" s="2">
        <v>2786.0</v>
      </c>
      <c r="B2764" s="3" t="s">
        <v>3</v>
      </c>
      <c r="C2764" s="4" t="str">
        <f>hyperlink("https://terraria.gamepedia.com/Luminite_Pickaxes","Solar Flare Pickaxe")</f>
        <v>Solar Flare Pickaxe</v>
      </c>
    </row>
    <row r="2765">
      <c r="A2765" s="2">
        <v>2787.0</v>
      </c>
      <c r="B2765" s="3" t="s">
        <v>4</v>
      </c>
      <c r="C2765" s="4" t="str">
        <f>hyperlink("https://terraria.gamepedia.com/Honeyfall_Block","Honeyfall Block")</f>
        <v>Honeyfall Block</v>
      </c>
    </row>
    <row r="2766">
      <c r="A2766" s="2">
        <v>2788.0</v>
      </c>
      <c r="B2766" s="3" t="s">
        <v>13</v>
      </c>
      <c r="C2766" s="4" t="str">
        <f>hyperlink("https://terraria.gamepedia.com/Honeyfall_Wall","Honeyfall Wall")</f>
        <v>Honeyfall Wall</v>
      </c>
    </row>
    <row r="2767">
      <c r="A2767" s="2">
        <v>2789.0</v>
      </c>
      <c r="B2767" s="3" t="s">
        <v>13</v>
      </c>
      <c r="C2767" s="4" t="str">
        <f>hyperlink("https://terraria.gamepedia.com/Chlorophyte_Brick_Wall","Chlorophyte Brick Wall")</f>
        <v>Chlorophyte Brick Wall</v>
      </c>
    </row>
    <row r="2768">
      <c r="A2768" s="2">
        <v>2790.0</v>
      </c>
      <c r="B2768" s="3" t="s">
        <v>13</v>
      </c>
      <c r="C2768" s="4" t="str">
        <f>hyperlink("https://terraria.gamepedia.com/Crimtane_Brick_Wall","Crimtane Brick Wall")</f>
        <v>Crimtane Brick Wall</v>
      </c>
    </row>
    <row r="2769">
      <c r="A2769" s="2">
        <v>2791.0</v>
      </c>
      <c r="B2769" s="3" t="s">
        <v>13</v>
      </c>
      <c r="C2769" s="4" t="str">
        <f>hyperlink("https://terraria.gamepedia.com/Shroomite_Plating_Wall","Shroomite Plating Wall")</f>
        <v>Shroomite Plating Wall</v>
      </c>
    </row>
    <row r="2770">
      <c r="A2770" s="2">
        <v>2792.0</v>
      </c>
      <c r="B2770" s="3" t="s">
        <v>4</v>
      </c>
      <c r="C2770" s="4" t="str">
        <f>hyperlink("https://terraria.gamepedia.com/Chlorophyte_Brick","Chlorophyte Brick")</f>
        <v>Chlorophyte Brick</v>
      </c>
    </row>
    <row r="2771">
      <c r="A2771" s="2">
        <v>2793.0</v>
      </c>
      <c r="B2771" s="3" t="s">
        <v>4</v>
      </c>
      <c r="C2771" s="4" t="str">
        <f>hyperlink("https://terraria.gamepedia.com/Crimtane_Brick","Crimtane Brick")</f>
        <v>Crimtane Brick</v>
      </c>
    </row>
    <row r="2772">
      <c r="A2772" s="2">
        <v>2794.0</v>
      </c>
      <c r="B2772" s="3" t="s">
        <v>4</v>
      </c>
      <c r="C2772" s="4" t="str">
        <f>hyperlink("https://terraria.gamepedia.com/Shroomite_Plating","Shroomite Plating")</f>
        <v>Shroomite Plating</v>
      </c>
    </row>
    <row r="2773">
      <c r="A2773" s="2">
        <v>2795.0</v>
      </c>
      <c r="B2773" s="3" t="s">
        <v>5</v>
      </c>
      <c r="C2773" s="4" t="str">
        <f>hyperlink("https://terraria.gamepedia.com/Laser_Machinegun","Laser Machinegun")</f>
        <v>Laser Machinegun</v>
      </c>
    </row>
    <row r="2774">
      <c r="A2774" s="2">
        <v>2796.0</v>
      </c>
      <c r="B2774" s="3" t="s">
        <v>5</v>
      </c>
      <c r="C2774" s="4" t="str">
        <f>hyperlink("https://terraria.gamepedia.com/Electrosphere_Launcher","Electrosphere Launcher")</f>
        <v>Electrosphere Launcher</v>
      </c>
    </row>
    <row r="2775">
      <c r="A2775" s="2">
        <v>2797.0</v>
      </c>
      <c r="B2775" s="3" t="s">
        <v>5</v>
      </c>
      <c r="C2775" s="4" t="str">
        <f>hyperlink("https://terraria.gamepedia.com/Xenopopper","Xenopopper")</f>
        <v>Xenopopper</v>
      </c>
    </row>
    <row r="2776">
      <c r="A2776" s="2">
        <v>2798.0</v>
      </c>
      <c r="B2776" s="3" t="s">
        <v>3</v>
      </c>
      <c r="C2776" s="4" t="str">
        <f>hyperlink("https://terraria.gamepedia.com/Laser_Drill","Laser Drill")</f>
        <v>Laser Drill</v>
      </c>
    </row>
    <row r="2777">
      <c r="A2777" s="2">
        <v>2799.0</v>
      </c>
      <c r="B2777" s="3" t="s">
        <v>10</v>
      </c>
      <c r="C2777" s="4" t="str">
        <f>hyperlink("https://terraria.gamepedia.com/Mechanical_Ruler","Mechanical Ruler")</f>
        <v>Mechanical Ruler</v>
      </c>
    </row>
    <row r="2778">
      <c r="A2778" s="2">
        <v>2800.0</v>
      </c>
      <c r="B2778" s="3" t="s">
        <v>3</v>
      </c>
      <c r="C2778" s="4" t="str">
        <f>hyperlink("https://terraria.gamepedia.com/Anti-Gravity_Hook","Anti-Gravity Hook")</f>
        <v>Anti-Gravity Hook</v>
      </c>
    </row>
    <row r="2779">
      <c r="A2779" s="2">
        <v>2801.0</v>
      </c>
      <c r="B2779" s="3" t="s">
        <v>23</v>
      </c>
      <c r="C2779" s="4" t="str">
        <f>hyperlink("https://terraria.gamepedia.com/Moon_Mask","Moon Mask")</f>
        <v>Moon Mask</v>
      </c>
    </row>
    <row r="2780">
      <c r="A2780" s="2">
        <v>2802.0</v>
      </c>
      <c r="B2780" s="3" t="s">
        <v>23</v>
      </c>
      <c r="C2780" s="4" t="str">
        <f>hyperlink("https://terraria.gamepedia.com/Sun_Mask","Sun Mask")</f>
        <v>Sun Mask</v>
      </c>
    </row>
    <row r="2781">
      <c r="A2781" s="2">
        <v>2803.0</v>
      </c>
      <c r="B2781" s="3" t="s">
        <v>23</v>
      </c>
      <c r="C2781" s="4" t="str">
        <f>hyperlink("https://terraria.gamepedia.com/Martian_Costume_set","Martian Costume Mask")</f>
        <v>Martian Costume Mask</v>
      </c>
    </row>
    <row r="2782">
      <c r="A2782" s="2">
        <v>2804.0</v>
      </c>
      <c r="B2782" s="3" t="s">
        <v>23</v>
      </c>
      <c r="C2782" s="4" t="str">
        <f>hyperlink("https://terraria.gamepedia.com/Martian_Costume_set","Martian Costume Shirt")</f>
        <v>Martian Costume Shirt</v>
      </c>
    </row>
    <row r="2783">
      <c r="A2783" s="2">
        <v>2805.0</v>
      </c>
      <c r="B2783" s="3" t="s">
        <v>23</v>
      </c>
      <c r="C2783" s="4" t="str">
        <f>hyperlink("https://terraria.gamepedia.com/Martian_Costume_set","Martian Costume Pants")</f>
        <v>Martian Costume Pants</v>
      </c>
    </row>
    <row r="2784">
      <c r="A2784" s="2">
        <v>2806.0</v>
      </c>
      <c r="B2784" s="3" t="s">
        <v>23</v>
      </c>
      <c r="C2784" s="4" t="str">
        <f>hyperlink("https://terraria.gamepedia.com/Martian_Uniform_set","Martian Uniform Helmet")</f>
        <v>Martian Uniform Helmet</v>
      </c>
    </row>
    <row r="2785">
      <c r="A2785" s="2">
        <v>2807.0</v>
      </c>
      <c r="B2785" s="3" t="s">
        <v>23</v>
      </c>
      <c r="C2785" s="4" t="str">
        <f>hyperlink("https://terraria.gamepedia.com/Martian_Uniform_set","Martian Uniform Torso")</f>
        <v>Martian Uniform Torso</v>
      </c>
    </row>
    <row r="2786">
      <c r="A2786" s="2">
        <v>2808.0</v>
      </c>
      <c r="B2786" s="3" t="s">
        <v>23</v>
      </c>
      <c r="C2786" s="4" t="str">
        <f>hyperlink("https://terraria.gamepedia.com/Martian_Uniform_set","Martian Uniform Pants")</f>
        <v>Martian Uniform Pants</v>
      </c>
    </row>
    <row r="2787">
      <c r="A2787" s="2">
        <v>2809.0</v>
      </c>
      <c r="B2787" s="3" t="s">
        <v>31</v>
      </c>
      <c r="C2787" s="4" t="str">
        <f>hyperlink("https://terraria.gamepedia.com/Grandfather_Clocks","Martian Astro Clock")</f>
        <v>Martian Astro Clock</v>
      </c>
    </row>
    <row r="2788">
      <c r="A2788" s="2">
        <v>2810.0</v>
      </c>
      <c r="B2788" s="3" t="s">
        <v>31</v>
      </c>
      <c r="C2788" s="4" t="str">
        <f>hyperlink("https://terraria.gamepedia.com/Bathtubs","Martian Bathtub")</f>
        <v>Martian Bathtub</v>
      </c>
    </row>
    <row r="2789">
      <c r="A2789" s="2">
        <v>2811.0</v>
      </c>
      <c r="B2789" s="3" t="s">
        <v>31</v>
      </c>
      <c r="C2789" s="4" t="str">
        <f>hyperlink("https://terraria.gamepedia.com/Beds","Martian Bed")</f>
        <v>Martian Bed</v>
      </c>
    </row>
    <row r="2790">
      <c r="A2790" s="2">
        <v>2812.0</v>
      </c>
      <c r="B2790" s="3" t="s">
        <v>31</v>
      </c>
      <c r="C2790" s="4" t="str">
        <f>hyperlink("https://terraria.gamepedia.com/Chairs","Martian Hover Chair")</f>
        <v>Martian Hover Chair</v>
      </c>
    </row>
    <row r="2791">
      <c r="A2791" s="2">
        <v>2813.0</v>
      </c>
      <c r="B2791" s="3" t="s">
        <v>7</v>
      </c>
      <c r="C2791" s="4" t="str">
        <f>hyperlink("https://terraria.gamepedia.com/Chandeliers","Martian Chandelier")</f>
        <v>Martian Chandelier</v>
      </c>
    </row>
    <row r="2792">
      <c r="A2792" s="2">
        <v>2814.0</v>
      </c>
      <c r="B2792" s="3" t="s">
        <v>20</v>
      </c>
      <c r="C2792" s="4" t="str">
        <f>hyperlink("https://terraria.gamepedia.com/Chests","Martian Chest")</f>
        <v>Martian Chest</v>
      </c>
    </row>
    <row r="2793">
      <c r="A2793" s="2">
        <v>2815.0</v>
      </c>
      <c r="B2793" s="3" t="s">
        <v>31</v>
      </c>
      <c r="C2793" s="4" t="str">
        <f>hyperlink("https://terraria.gamepedia.com/Doors","Martian Door")</f>
        <v>Martian Door</v>
      </c>
    </row>
    <row r="2794">
      <c r="A2794" s="2">
        <v>2816.0</v>
      </c>
      <c r="B2794" s="3" t="s">
        <v>31</v>
      </c>
      <c r="C2794" s="4" t="str">
        <f>hyperlink("https://terraria.gamepedia.com/Dressers","Martian Dresser")</f>
        <v>Martian Dresser</v>
      </c>
    </row>
    <row r="2795">
      <c r="A2795" s="2">
        <v>2817.0</v>
      </c>
      <c r="B2795" s="3" t="s">
        <v>31</v>
      </c>
      <c r="C2795" s="4" t="str">
        <f>hyperlink("https://terraria.gamepedia.com/Bookcases","Martian Holobookcase")</f>
        <v>Martian Holobookcase</v>
      </c>
    </row>
    <row r="2796">
      <c r="A2796" s="2">
        <v>2818.0</v>
      </c>
      <c r="B2796" s="3" t="s">
        <v>7</v>
      </c>
      <c r="C2796" s="4" t="str">
        <f>hyperlink("https://terraria.gamepedia.com/Candles","Martian Hover Candle")</f>
        <v>Martian Hover Candle</v>
      </c>
    </row>
    <row r="2797">
      <c r="A2797" s="2">
        <v>2819.0</v>
      </c>
      <c r="B2797" s="3" t="s">
        <v>7</v>
      </c>
      <c r="C2797" s="4" t="str">
        <f>hyperlink("https://terraria.gamepedia.com/Lamps","Martian Lamppost")</f>
        <v>Martian Lamppost</v>
      </c>
    </row>
    <row r="2798">
      <c r="A2798" s="2">
        <v>2820.0</v>
      </c>
      <c r="B2798" s="3" t="s">
        <v>7</v>
      </c>
      <c r="C2798" s="4" t="str">
        <f>hyperlink("https://terraria.gamepedia.com/Lanterns","Martian Lantern")</f>
        <v>Martian Lantern</v>
      </c>
    </row>
    <row r="2799">
      <c r="A2799" s="2">
        <v>2821.0</v>
      </c>
      <c r="B2799" s="3" t="s">
        <v>31</v>
      </c>
      <c r="C2799" s="4" t="str">
        <f>hyperlink("https://terraria.gamepedia.com/Pianos","Martian Piano")</f>
        <v>Martian Piano</v>
      </c>
    </row>
    <row r="2800">
      <c r="A2800" s="2">
        <v>2822.0</v>
      </c>
      <c r="B2800" s="3" t="s">
        <v>8</v>
      </c>
      <c r="C2800" s="4" t="str">
        <f>hyperlink("https://terraria.gamepedia.com/Platforms","Martian Platform")</f>
        <v>Martian Platform</v>
      </c>
    </row>
    <row r="2801">
      <c r="A2801" s="2">
        <v>2823.0</v>
      </c>
      <c r="B2801" s="3" t="s">
        <v>31</v>
      </c>
      <c r="C2801" s="4" t="str">
        <f>hyperlink("https://terraria.gamepedia.com/Sofas","Martian Sofa")</f>
        <v>Martian Sofa</v>
      </c>
    </row>
    <row r="2802">
      <c r="A2802" s="2">
        <v>2824.0</v>
      </c>
      <c r="B2802" s="3" t="s">
        <v>31</v>
      </c>
      <c r="C2802" s="4" t="str">
        <f>hyperlink("https://terraria.gamepedia.com/Tables","Martian Table")</f>
        <v>Martian Table</v>
      </c>
    </row>
    <row r="2803">
      <c r="A2803" s="2">
        <v>2825.0</v>
      </c>
      <c r="B2803" s="3" t="s">
        <v>7</v>
      </c>
      <c r="C2803" s="4" t="str">
        <f>hyperlink("https://terraria.gamepedia.com/Candelabras","Martian Table Lamp")</f>
        <v>Martian Table Lamp</v>
      </c>
    </row>
    <row r="2804">
      <c r="A2804" s="2">
        <v>2826.0</v>
      </c>
      <c r="B2804" s="3" t="s">
        <v>31</v>
      </c>
      <c r="C2804" s="4" t="str">
        <f>hyperlink("https://terraria.gamepedia.com/Work_Benches","Martian Work Bench")</f>
        <v>Martian Work Bench</v>
      </c>
    </row>
    <row r="2805">
      <c r="A2805" s="2">
        <v>2827.0</v>
      </c>
      <c r="B2805" s="3" t="s">
        <v>12</v>
      </c>
      <c r="C2805" s="4" t="str">
        <f>hyperlink("https://terraria.gamepedia.com/Sinks","Wooden Sink")</f>
        <v>Wooden Sink</v>
      </c>
    </row>
    <row r="2806">
      <c r="A2806" s="2">
        <v>2828.0</v>
      </c>
      <c r="B2806" s="3" t="s">
        <v>31</v>
      </c>
      <c r="C2806" s="4" t="str">
        <f>hyperlink("https://terraria.gamepedia.com/Sinks","Ebonwood Sink")</f>
        <v>Ebonwood Sink</v>
      </c>
    </row>
    <row r="2807">
      <c r="A2807" s="2">
        <v>2829.0</v>
      </c>
      <c r="B2807" s="3" t="s">
        <v>31</v>
      </c>
      <c r="C2807" s="4" t="str">
        <f>hyperlink("https://terraria.gamepedia.com/Sinks","Rich Mahogany Sink")</f>
        <v>Rich Mahogany Sink</v>
      </c>
    </row>
    <row r="2808">
      <c r="A2808" s="2">
        <v>2830.0</v>
      </c>
      <c r="B2808" s="3" t="s">
        <v>31</v>
      </c>
      <c r="C2808" s="4" t="str">
        <f>hyperlink("https://terraria.gamepedia.com/Sinks","Pearlwood Sink")</f>
        <v>Pearlwood Sink</v>
      </c>
    </row>
    <row r="2809">
      <c r="A2809" s="2">
        <v>2831.0</v>
      </c>
      <c r="B2809" s="3" t="s">
        <v>31</v>
      </c>
      <c r="C2809" s="4" t="str">
        <f>hyperlink("https://terraria.gamepedia.com/Sinks","Bone Sink")</f>
        <v>Bone Sink</v>
      </c>
    </row>
    <row r="2810">
      <c r="A2810" s="2">
        <v>2832.0</v>
      </c>
      <c r="B2810" s="3" t="s">
        <v>31</v>
      </c>
      <c r="C2810" s="4" t="str">
        <f>hyperlink("https://terraria.gamepedia.com/Sinks","Flesh Sink")</f>
        <v>Flesh Sink</v>
      </c>
    </row>
    <row r="2811">
      <c r="A2811" s="2">
        <v>2833.0</v>
      </c>
      <c r="B2811" s="3" t="s">
        <v>31</v>
      </c>
      <c r="C2811" s="4" t="str">
        <f>hyperlink("https://terraria.gamepedia.com/Sinks","Living Wood Sink")</f>
        <v>Living Wood Sink</v>
      </c>
    </row>
    <row r="2812">
      <c r="A2812" s="2">
        <v>2834.0</v>
      </c>
      <c r="B2812" s="3" t="s">
        <v>31</v>
      </c>
      <c r="C2812" s="4" t="str">
        <f>hyperlink("https://terraria.gamepedia.com/Sinks","Skyware Sink")</f>
        <v>Skyware Sink</v>
      </c>
    </row>
    <row r="2813">
      <c r="A2813" s="2">
        <v>2835.0</v>
      </c>
      <c r="B2813" s="3" t="s">
        <v>31</v>
      </c>
      <c r="C2813" s="4" t="str">
        <f>hyperlink("https://terraria.gamepedia.com/Sinks","Shadewood Sink")</f>
        <v>Shadewood Sink</v>
      </c>
    </row>
    <row r="2814">
      <c r="A2814" s="2">
        <v>2836.0</v>
      </c>
      <c r="B2814" s="3" t="s">
        <v>31</v>
      </c>
      <c r="C2814" s="4" t="str">
        <f>hyperlink("https://terraria.gamepedia.com/Sinks","Lihzahrd Sink")</f>
        <v>Lihzahrd Sink</v>
      </c>
    </row>
    <row r="2815">
      <c r="A2815" s="2">
        <v>2837.0</v>
      </c>
      <c r="B2815" s="3" t="s">
        <v>31</v>
      </c>
      <c r="C2815" s="4" t="str">
        <f>hyperlink("https://terraria.gamepedia.com/Sinks","Blue Dungeon Sink")</f>
        <v>Blue Dungeon Sink</v>
      </c>
    </row>
    <row r="2816">
      <c r="A2816" s="2">
        <v>2838.0</v>
      </c>
      <c r="B2816" s="3" t="s">
        <v>31</v>
      </c>
      <c r="C2816" s="4" t="str">
        <f>hyperlink("https://terraria.gamepedia.com/Sinks","Green Dungeon Sink")</f>
        <v>Green Dungeon Sink</v>
      </c>
    </row>
    <row r="2817">
      <c r="A2817" s="2">
        <v>2839.0</v>
      </c>
      <c r="B2817" s="3" t="s">
        <v>31</v>
      </c>
      <c r="C2817" s="4" t="str">
        <f>hyperlink("https://terraria.gamepedia.com/Sinks","Pink Dungeon Sink")</f>
        <v>Pink Dungeon Sink</v>
      </c>
    </row>
    <row r="2818">
      <c r="A2818" s="2">
        <v>2840.0</v>
      </c>
      <c r="B2818" s="3" t="s">
        <v>31</v>
      </c>
      <c r="C2818" s="4" t="str">
        <f>hyperlink("https://terraria.gamepedia.com/Sinks","Obsidian Sink")</f>
        <v>Obsidian Sink</v>
      </c>
    </row>
    <row r="2819">
      <c r="A2819" s="2">
        <v>2841.0</v>
      </c>
      <c r="B2819" s="3" t="s">
        <v>12</v>
      </c>
      <c r="C2819" s="4" t="str">
        <f>hyperlink("https://terraria.gamepedia.com/Sinks","Metal Sink")</f>
        <v>Metal Sink</v>
      </c>
    </row>
    <row r="2820">
      <c r="A2820" s="2">
        <v>2842.0</v>
      </c>
      <c r="B2820" s="3" t="s">
        <v>31</v>
      </c>
      <c r="C2820" s="4" t="str">
        <f>hyperlink("https://terraria.gamepedia.com/Sinks","Glass Sink")</f>
        <v>Glass Sink</v>
      </c>
    </row>
    <row r="2821">
      <c r="A2821" s="2">
        <v>2843.0</v>
      </c>
      <c r="B2821" s="3" t="s">
        <v>31</v>
      </c>
      <c r="C2821" s="4" t="str">
        <f>hyperlink("https://terraria.gamepedia.com/Sinks","Golden Sink")</f>
        <v>Golden Sink</v>
      </c>
    </row>
    <row r="2822">
      <c r="A2822" s="2">
        <v>2844.0</v>
      </c>
      <c r="B2822" s="3" t="s">
        <v>31</v>
      </c>
      <c r="C2822" s="4" t="str">
        <f>hyperlink("https://terraria.gamepedia.com/Sinks","Honey Sink")</f>
        <v>Honey Sink</v>
      </c>
    </row>
    <row r="2823">
      <c r="A2823" s="2">
        <v>2845.0</v>
      </c>
      <c r="B2823" s="3" t="s">
        <v>31</v>
      </c>
      <c r="C2823" s="4" t="str">
        <f>hyperlink("https://terraria.gamepedia.com/Sinks","Steampunk Sink")</f>
        <v>Steampunk Sink</v>
      </c>
    </row>
    <row r="2824">
      <c r="A2824" s="2">
        <v>2846.0</v>
      </c>
      <c r="B2824" s="3" t="s">
        <v>31</v>
      </c>
      <c r="C2824" s="4" t="str">
        <f>hyperlink("https://terraria.gamepedia.com/Sinks","Pumpkin Sink")</f>
        <v>Pumpkin Sink</v>
      </c>
    </row>
    <row r="2825">
      <c r="A2825" s="2">
        <v>2847.0</v>
      </c>
      <c r="B2825" s="3" t="s">
        <v>31</v>
      </c>
      <c r="C2825" s="4" t="str">
        <f>hyperlink("https://terraria.gamepedia.com/Sinks","Spooky Sink")</f>
        <v>Spooky Sink</v>
      </c>
    </row>
    <row r="2826">
      <c r="A2826" s="2">
        <v>2848.0</v>
      </c>
      <c r="B2826" s="3" t="s">
        <v>31</v>
      </c>
      <c r="C2826" s="4" t="str">
        <f>hyperlink("https://terraria.gamepedia.com/Sinks","Frozen Sink")</f>
        <v>Frozen Sink</v>
      </c>
    </row>
    <row r="2827">
      <c r="A2827" s="2">
        <v>2849.0</v>
      </c>
      <c r="B2827" s="3" t="s">
        <v>31</v>
      </c>
      <c r="C2827" s="4" t="str">
        <f>hyperlink("https://terraria.gamepedia.com/Sinks","Dynasty Sink")</f>
        <v>Dynasty Sink</v>
      </c>
    </row>
    <row r="2828">
      <c r="A2828" s="2">
        <v>2850.0</v>
      </c>
      <c r="B2828" s="3" t="s">
        <v>31</v>
      </c>
      <c r="C2828" s="4" t="str">
        <f>hyperlink("https://terraria.gamepedia.com/Sinks","Palm Wood Sink")</f>
        <v>Palm Wood Sink</v>
      </c>
    </row>
    <row r="2829">
      <c r="A2829" s="2">
        <v>2851.0</v>
      </c>
      <c r="B2829" s="3" t="s">
        <v>31</v>
      </c>
      <c r="C2829" s="4" t="str">
        <f>hyperlink("https://terraria.gamepedia.com/Sinks","Mushroom Sink")</f>
        <v>Mushroom Sink</v>
      </c>
    </row>
    <row r="2830">
      <c r="A2830" s="2">
        <v>2852.0</v>
      </c>
      <c r="B2830" s="3" t="s">
        <v>31</v>
      </c>
      <c r="C2830" s="4" t="str">
        <f>hyperlink("https://terraria.gamepedia.com/Sinks","Boreal Wood Sink")</f>
        <v>Boreal Wood Sink</v>
      </c>
    </row>
    <row r="2831">
      <c r="A2831" s="2">
        <v>2853.0</v>
      </c>
      <c r="B2831" s="3" t="s">
        <v>31</v>
      </c>
      <c r="C2831" s="4" t="str">
        <f>hyperlink("https://terraria.gamepedia.com/Sinks","Slime Sink")</f>
        <v>Slime Sink</v>
      </c>
    </row>
    <row r="2832">
      <c r="A2832" s="2">
        <v>2854.0</v>
      </c>
      <c r="B2832" s="3" t="s">
        <v>31</v>
      </c>
      <c r="C2832" s="4" t="str">
        <f>hyperlink("https://terraria.gamepedia.com/Sinks","Cactus Sink")</f>
        <v>Cactus Sink</v>
      </c>
    </row>
    <row r="2833">
      <c r="A2833" s="2">
        <v>2855.0</v>
      </c>
      <c r="B2833" s="3" t="s">
        <v>31</v>
      </c>
      <c r="C2833" s="4" t="str">
        <f>hyperlink("https://terraria.gamepedia.com/Sinks","Martian Sink")</f>
        <v>Martian Sink</v>
      </c>
    </row>
    <row r="2834">
      <c r="A2834" s="2">
        <v>2856.0</v>
      </c>
      <c r="B2834" s="3" t="s">
        <v>23</v>
      </c>
      <c r="C2834" s="4" t="str">
        <f>hyperlink("https://terraria.gamepedia.com/Cultist_set","Solar Cultist Hood")</f>
        <v>Solar Cultist Hood</v>
      </c>
    </row>
    <row r="2835">
      <c r="A2835" s="2">
        <v>2857.0</v>
      </c>
      <c r="B2835" s="3" t="s">
        <v>23</v>
      </c>
      <c r="C2835" s="4" t="str">
        <f>hyperlink("https://terraria.gamepedia.com/Cultist_set","Lunar Cultist Hood")</f>
        <v>Lunar Cultist Hood</v>
      </c>
    </row>
    <row r="2836">
      <c r="A2836" s="2">
        <v>2858.0</v>
      </c>
      <c r="B2836" s="3" t="s">
        <v>23</v>
      </c>
      <c r="C2836" s="4" t="str">
        <f>hyperlink("https://terraria.gamepedia.com/Cultist_set","Solar Cultist Robe")</f>
        <v>Solar Cultist Robe</v>
      </c>
    </row>
    <row r="2837">
      <c r="A2837" s="2">
        <v>2859.0</v>
      </c>
      <c r="B2837" s="3" t="s">
        <v>23</v>
      </c>
      <c r="C2837" s="4" t="str">
        <f>hyperlink("https://terraria.gamepedia.com/Cultist_set","Lunar Cultist Robe")</f>
        <v>Lunar Cultist Robe</v>
      </c>
    </row>
    <row r="2838">
      <c r="A2838" s="2">
        <v>2860.0</v>
      </c>
      <c r="B2838" s="3" t="s">
        <v>4</v>
      </c>
      <c r="C2838" s="4" t="str">
        <f>hyperlink("https://terraria.gamepedia.com/Martian_Conduit_Plating","Martian Conduit Plating")</f>
        <v>Martian Conduit Plating</v>
      </c>
    </row>
    <row r="2839">
      <c r="A2839" s="2">
        <v>2861.0</v>
      </c>
      <c r="B2839" s="3" t="s">
        <v>13</v>
      </c>
      <c r="C2839" s="4" t="str">
        <f>hyperlink("https://terraria.gamepedia.com/Martian_Conduit_Wall","Martian Conduit Wall")</f>
        <v>Martian Conduit Wall</v>
      </c>
    </row>
    <row r="2840">
      <c r="A2840" s="2">
        <v>2862.0</v>
      </c>
      <c r="B2840" s="3" t="s">
        <v>23</v>
      </c>
      <c r="C2840" s="4" t="str">
        <f>hyperlink("https://terraria.gamepedia.com/HiTek_Sunglasses","HiTek Sunglasses")</f>
        <v>HiTek Sunglasses</v>
      </c>
    </row>
    <row r="2841">
      <c r="A2841" s="2">
        <v>2863.0</v>
      </c>
      <c r="B2841" s="3" t="s">
        <v>33</v>
      </c>
      <c r="C2841" s="4" t="str">
        <f>hyperlink("https://terraria.gamepedia.com/Hair_Dyes","Martian Hair Dye")</f>
        <v>Martian Hair Dye</v>
      </c>
    </row>
    <row r="2842">
      <c r="A2842" s="2">
        <v>2864.0</v>
      </c>
      <c r="B2842" s="3" t="s">
        <v>33</v>
      </c>
      <c r="C2842" s="4" t="str">
        <f>hyperlink("https://terraria.gamepedia.com/Martian_Dye","Martian Dye")</f>
        <v>Martian Dye</v>
      </c>
    </row>
    <row r="2843">
      <c r="A2843" s="2">
        <v>2865.0</v>
      </c>
      <c r="B2843" s="3" t="s">
        <v>36</v>
      </c>
      <c r="C2843" s="4" t="str">
        <f>hyperlink("https://terraria.gamepedia.com/Paintings","Castle Marsberg")</f>
        <v>Castle Marsberg</v>
      </c>
    </row>
    <row r="2844">
      <c r="A2844" s="2">
        <v>2866.0</v>
      </c>
      <c r="B2844" s="3" t="s">
        <v>36</v>
      </c>
      <c r="C2844" s="4" t="str">
        <f>hyperlink("https://terraria.gamepedia.com/Paintings","Martia Lisa")</f>
        <v>Martia Lisa</v>
      </c>
    </row>
    <row r="2845">
      <c r="A2845" s="2">
        <v>2867.0</v>
      </c>
      <c r="B2845" s="3" t="s">
        <v>36</v>
      </c>
      <c r="C2845" s="4" t="str">
        <f>hyperlink("https://terraria.gamepedia.com/Paintings","The Truth Is Up There")</f>
        <v>The Truth Is Up There</v>
      </c>
    </row>
    <row r="2846">
      <c r="A2846" s="2">
        <v>2868.0</v>
      </c>
      <c r="B2846" s="3" t="s">
        <v>4</v>
      </c>
      <c r="C2846" s="4" t="str">
        <f>hyperlink("https://terraria.gamepedia.com/Smoke_Block","Smoke Block")</f>
        <v>Smoke Block</v>
      </c>
    </row>
    <row r="2847">
      <c r="A2847" s="2">
        <v>2869.0</v>
      </c>
      <c r="B2847" s="3" t="s">
        <v>33</v>
      </c>
      <c r="C2847" s="4" t="str">
        <f>hyperlink("https://terraria.gamepedia.com/Living_Flame_Dye","Living Flame Dye")</f>
        <v>Living Flame Dye</v>
      </c>
    </row>
    <row r="2848">
      <c r="A2848" s="2">
        <v>2870.0</v>
      </c>
      <c r="B2848" s="3" t="s">
        <v>33</v>
      </c>
      <c r="C2848" s="4" t="str">
        <f>hyperlink("https://terraria.gamepedia.com/Living_Rainbow_Dye","Living Rainbow Dye")</f>
        <v>Living Rainbow Dye</v>
      </c>
    </row>
    <row r="2849">
      <c r="A2849" s="2">
        <v>2871.0</v>
      </c>
      <c r="B2849" s="3" t="s">
        <v>33</v>
      </c>
      <c r="C2849" s="4" t="str">
        <f>hyperlink("https://terraria.gamepedia.com/Shadow_Dye","Shadow Dye")</f>
        <v>Shadow Dye</v>
      </c>
    </row>
    <row r="2850">
      <c r="A2850" s="2">
        <v>2872.0</v>
      </c>
      <c r="B2850" s="3" t="s">
        <v>33</v>
      </c>
      <c r="C2850" s="4" t="str">
        <f>hyperlink("https://terraria.gamepedia.com/Negative_Dye","Negative Dye")</f>
        <v>Negative Dye</v>
      </c>
    </row>
    <row r="2851">
      <c r="A2851" s="2">
        <v>2873.0</v>
      </c>
      <c r="B2851" s="3" t="s">
        <v>33</v>
      </c>
      <c r="C2851" s="4" t="str">
        <f>hyperlink("https://terraria.gamepedia.com/Living_Ocean_Dye","Living Ocean Dye")</f>
        <v>Living Ocean Dye</v>
      </c>
    </row>
    <row r="2852">
      <c r="A2852" s="2">
        <v>2874.0</v>
      </c>
      <c r="B2852" s="3" t="s">
        <v>33</v>
      </c>
      <c r="C2852" s="4" t="str">
        <f>hyperlink("https://terraria.gamepedia.com/Dyes","Brown Dye")</f>
        <v>Brown Dye</v>
      </c>
    </row>
    <row r="2853">
      <c r="A2853" s="2">
        <v>2875.0</v>
      </c>
      <c r="B2853" s="3" t="s">
        <v>33</v>
      </c>
      <c r="C2853" s="4" t="str">
        <f>hyperlink("https://terraria.gamepedia.com/Dyes","Brown and Black Dye")</f>
        <v>Brown and Black Dye</v>
      </c>
    </row>
    <row r="2854">
      <c r="A2854" s="2">
        <v>2876.0</v>
      </c>
      <c r="B2854" s="3" t="s">
        <v>33</v>
      </c>
      <c r="C2854" s="4" t="str">
        <f>hyperlink("https://terraria.gamepedia.com/Dyes","Bright Brown Dye")</f>
        <v>Bright Brown Dye</v>
      </c>
    </row>
    <row r="2855">
      <c r="A2855" s="2">
        <v>2877.0</v>
      </c>
      <c r="B2855" s="3" t="s">
        <v>33</v>
      </c>
      <c r="C2855" s="4" t="str">
        <f>hyperlink("https://terraria.gamepedia.com/Dyes","Brown and Silver Dye")</f>
        <v>Brown and Silver Dye</v>
      </c>
    </row>
    <row r="2856">
      <c r="A2856" s="2">
        <v>2878.0</v>
      </c>
      <c r="B2856" s="3" t="s">
        <v>33</v>
      </c>
      <c r="C2856" s="4" t="str">
        <f>hyperlink("https://terraria.gamepedia.com/Wisp_Dye","Wisp Dye")</f>
        <v>Wisp Dye</v>
      </c>
    </row>
    <row r="2857">
      <c r="A2857" s="2">
        <v>2879.0</v>
      </c>
      <c r="B2857" s="3" t="s">
        <v>33</v>
      </c>
      <c r="C2857" s="4" t="str">
        <f>hyperlink("https://terraria.gamepedia.com/Pixie_Dye","Pixie Dye")</f>
        <v>Pixie Dye</v>
      </c>
    </row>
    <row r="2858">
      <c r="A2858" s="2">
        <v>2880.0</v>
      </c>
      <c r="B2858" s="3" t="s">
        <v>5</v>
      </c>
      <c r="C2858" s="4" t="str">
        <f>hyperlink("https://terraria.gamepedia.com/Influx_Waver","Influx Waver")</f>
        <v>Influx Waver</v>
      </c>
    </row>
    <row r="2859">
      <c r="A2859" s="2">
        <v>2882.0</v>
      </c>
      <c r="B2859" s="3" t="s">
        <v>5</v>
      </c>
      <c r="C2859" s="4" t="str">
        <f>hyperlink("https://terraria.gamepedia.com/Charged_Blaster_Cannon","Charged Blaster Cannon")</f>
        <v>Charged Blaster Cannon</v>
      </c>
    </row>
    <row r="2860">
      <c r="A2860" s="2">
        <v>2883.0</v>
      </c>
      <c r="B2860" s="3" t="s">
        <v>33</v>
      </c>
      <c r="C2860" s="4" t="str">
        <f>hyperlink("https://terraria.gamepedia.com/Chlorophyte_Dye","Chlorophyte Dye")</f>
        <v>Chlorophyte Dye</v>
      </c>
    </row>
    <row r="2861">
      <c r="A2861" s="2">
        <v>2884.0</v>
      </c>
      <c r="B2861" s="3" t="s">
        <v>33</v>
      </c>
      <c r="C2861" s="4" t="str">
        <f>hyperlink("https://terraria.gamepedia.com/Unicorn_Wisp_Dye","Unicorn Wisp Dye")</f>
        <v>Unicorn Wisp Dye</v>
      </c>
    </row>
    <row r="2862">
      <c r="A2862" s="2">
        <v>2885.0</v>
      </c>
      <c r="B2862" s="3" t="s">
        <v>33</v>
      </c>
      <c r="C2862" s="4" t="str">
        <f>hyperlink("https://terraria.gamepedia.com/Infernal_Wisp_Dye","Infernal Wisp Dye")</f>
        <v>Infernal Wisp Dye</v>
      </c>
    </row>
    <row r="2863">
      <c r="A2863" s="2">
        <v>2886.0</v>
      </c>
      <c r="B2863" s="3" t="s">
        <v>15</v>
      </c>
      <c r="C2863" s="4" t="str">
        <f>hyperlink("https://terraria.gamepedia.com/Thrown_Powder","Vicious Powder")</f>
        <v>Vicious Powder</v>
      </c>
    </row>
    <row r="2864">
      <c r="A2864" s="2">
        <v>2887.0</v>
      </c>
      <c r="B2864" s="3" t="s">
        <v>6</v>
      </c>
      <c r="C2864" s="4" t="str">
        <f>hyperlink("https://terraria.gamepedia.com/Vicious_Mushroom","Vicious Mushroom")</f>
        <v>Vicious Mushroom</v>
      </c>
    </row>
    <row r="2865">
      <c r="A2865" s="2">
        <v>2888.0</v>
      </c>
      <c r="B2865" s="3" t="s">
        <v>5</v>
      </c>
      <c r="C2865" s="4" t="str">
        <f>hyperlink("https://terraria.gamepedia.com/The_Bee's_Knees","The Bee's Knees")</f>
        <v>The Bee's Knees</v>
      </c>
    </row>
    <row r="2866">
      <c r="A2866" s="2">
        <v>2889.0</v>
      </c>
      <c r="B2866" s="3" t="s">
        <v>24</v>
      </c>
      <c r="C2866" s="4" t="str">
        <f>hyperlink("https://terraria.gamepedia.com/Gold_Bird","Gold Bird")</f>
        <v>Gold Bird</v>
      </c>
    </row>
    <row r="2867">
      <c r="A2867" s="2">
        <v>2890.0</v>
      </c>
      <c r="B2867" s="3" t="s">
        <v>24</v>
      </c>
      <c r="C2867" s="4" t="str">
        <f>hyperlink("https://terraria.gamepedia.com/Gold_Bunny","Gold Bunny")</f>
        <v>Gold Bunny</v>
      </c>
    </row>
    <row r="2868">
      <c r="A2868" s="2">
        <v>2891.0</v>
      </c>
      <c r="B2868" s="3" t="s">
        <v>24</v>
      </c>
      <c r="C2868" s="4" t="str">
        <f>hyperlink("https://terraria.gamepedia.com/Gold_Butterfly","Gold Butterfly")</f>
        <v>Gold Butterfly</v>
      </c>
    </row>
    <row r="2869">
      <c r="A2869" s="2">
        <v>2892.0</v>
      </c>
      <c r="B2869" s="3" t="s">
        <v>24</v>
      </c>
      <c r="C2869" s="4" t="str">
        <f>hyperlink("https://terraria.gamepedia.com/Gold_Frog","Gold Frog")</f>
        <v>Gold Frog</v>
      </c>
    </row>
    <row r="2870">
      <c r="A2870" s="2">
        <v>2893.0</v>
      </c>
      <c r="B2870" s="3" t="s">
        <v>24</v>
      </c>
      <c r="C2870" s="4" t="str">
        <f>hyperlink("https://terraria.gamepedia.com/Gold_Grasshopper","Gold Grasshopper")</f>
        <v>Gold Grasshopper</v>
      </c>
    </row>
    <row r="2871">
      <c r="A2871" s="2">
        <v>2894.0</v>
      </c>
      <c r="B2871" s="3" t="s">
        <v>24</v>
      </c>
      <c r="C2871" s="4" t="str">
        <f>hyperlink("https://terraria.gamepedia.com/Gold_Mouse","Gold Mouse")</f>
        <v>Gold Mouse</v>
      </c>
    </row>
    <row r="2872">
      <c r="A2872" s="2">
        <v>2895.0</v>
      </c>
      <c r="B2872" s="3" t="s">
        <v>24</v>
      </c>
      <c r="C2872" s="4" t="str">
        <f>hyperlink("https://terraria.gamepedia.com/Gold_Worm","Gold Worm")</f>
        <v>Gold Worm</v>
      </c>
    </row>
    <row r="2873">
      <c r="A2873" s="2">
        <v>2896.0</v>
      </c>
      <c r="B2873" s="3" t="s">
        <v>18</v>
      </c>
      <c r="C2873" s="4" t="str">
        <f>hyperlink("https://terraria.gamepedia.com/Sticky_Dynamite","Sticky Dynamite")</f>
        <v>Sticky Dynamite</v>
      </c>
    </row>
    <row r="2874">
      <c r="A2874" s="2">
        <v>2897.0</v>
      </c>
      <c r="B2874" s="3" t="s">
        <v>37</v>
      </c>
      <c r="C2874" s="4" t="str">
        <f>hyperlink("https://terraria.gamepedia.com/Angry_Trapper","Angry Trapper Banner")</f>
        <v>Angry Trapper Banner</v>
      </c>
    </row>
    <row r="2875">
      <c r="A2875" s="2">
        <v>2898.0</v>
      </c>
      <c r="B2875" s="3" t="s">
        <v>37</v>
      </c>
      <c r="C2875" s="4" t="str">
        <f>hyperlink("https://terraria.gamepedia.com/Armored_Viking","Armored Viking Banner")</f>
        <v>Armored Viking Banner</v>
      </c>
    </row>
    <row r="2876">
      <c r="A2876" s="2">
        <v>2899.0</v>
      </c>
      <c r="B2876" s="3" t="s">
        <v>37</v>
      </c>
      <c r="C2876" s="4" t="str">
        <f>hyperlink("https://terraria.gamepedia.com/Black_Slime","Black Slime Banner")</f>
        <v>Black Slime Banner</v>
      </c>
    </row>
    <row r="2877">
      <c r="A2877" s="2">
        <v>2900.0</v>
      </c>
      <c r="B2877" s="3" t="s">
        <v>37</v>
      </c>
      <c r="C2877" s="4" t="str">
        <f>hyperlink("https://terraria.gamepedia.com/Blue_Armored_Bones","Blue Armored Bones Banner")</f>
        <v>Blue Armored Bones Banner</v>
      </c>
    </row>
    <row r="2878">
      <c r="A2878" s="2">
        <v>2901.0</v>
      </c>
      <c r="B2878" s="3" t="s">
        <v>38</v>
      </c>
      <c r="C2878" s="4" t="str">
        <f>hyperlink("https://terraria.gamepedia.com/Cultists","Blue Cultist Archer Banner")</f>
        <v>Blue Cultist Archer Banner</v>
      </c>
    </row>
    <row r="2879">
      <c r="A2879" s="2">
        <v>2902.0</v>
      </c>
      <c r="B2879" s="3" t="s">
        <v>38</v>
      </c>
      <c r="C2879" s="4" t="str">
        <f>hyperlink("https://terraria.gamepedia.com/Cultists","Lunatic Devotee Banner")</f>
        <v>Lunatic Devotee Banner</v>
      </c>
    </row>
    <row r="2880">
      <c r="A2880" s="2">
        <v>2904.0</v>
      </c>
      <c r="B2880" s="3" t="s">
        <v>37</v>
      </c>
      <c r="C2880" s="4" t="str">
        <f>hyperlink("https://terraria.gamepedia.com/Bone_Lee","Bone Lee Banner")</f>
        <v>Bone Lee Banner</v>
      </c>
    </row>
    <row r="2881">
      <c r="A2881" s="2">
        <v>2905.0</v>
      </c>
      <c r="B2881" s="3" t="s">
        <v>37</v>
      </c>
      <c r="C2881" s="4" t="str">
        <f>hyperlink("https://terraria.gamepedia.com/Clinger","Clinger Banner")</f>
        <v>Clinger Banner</v>
      </c>
    </row>
    <row r="2882">
      <c r="A2882" s="2">
        <v>2906.0</v>
      </c>
      <c r="B2882" s="3" t="s">
        <v>37</v>
      </c>
      <c r="C2882" s="4" t="str">
        <f>hyperlink("https://terraria.gamepedia.com/Cochineal_Beetle","Cochineal Beetle Banner")</f>
        <v>Cochineal Beetle Banner</v>
      </c>
    </row>
    <row r="2883">
      <c r="A2883" s="2">
        <v>2907.0</v>
      </c>
      <c r="B2883" s="3" t="s">
        <v>37</v>
      </c>
      <c r="C2883" s="4" t="str">
        <f>hyperlink("https://terraria.gamepedia.com/Corrupt_Penguin","Corrupt Penguin Banner")</f>
        <v>Corrupt Penguin Banner</v>
      </c>
    </row>
    <row r="2884">
      <c r="A2884" s="2">
        <v>2908.0</v>
      </c>
      <c r="B2884" s="3" t="s">
        <v>37</v>
      </c>
      <c r="C2884" s="4" t="str">
        <f>hyperlink("https://terraria.gamepedia.com/Corrupt_Slime","Corrupt Slime Banner")</f>
        <v>Corrupt Slime Banner</v>
      </c>
    </row>
    <row r="2885">
      <c r="A2885" s="2">
        <v>2909.0</v>
      </c>
      <c r="B2885" s="3" t="s">
        <v>37</v>
      </c>
      <c r="C2885" s="4" t="str">
        <f>hyperlink("https://terraria.gamepedia.com/Corruptor","Corruptor Banner")</f>
        <v>Corruptor Banner</v>
      </c>
    </row>
    <row r="2886">
      <c r="A2886" s="2">
        <v>2910.0</v>
      </c>
      <c r="B2886" s="3" t="s">
        <v>37</v>
      </c>
      <c r="C2886" s="4" t="str">
        <f>hyperlink("https://terraria.gamepedia.com/Crimslime","Crimslime Banner")</f>
        <v>Crimslime Banner</v>
      </c>
    </row>
    <row r="2887">
      <c r="A2887" s="2">
        <v>2911.0</v>
      </c>
      <c r="B2887" s="3" t="s">
        <v>37</v>
      </c>
      <c r="C2887" s="4" t="str">
        <f>hyperlink("https://terraria.gamepedia.com/Cursed_Skull","Cursed Skull Banner")</f>
        <v>Cursed Skull Banner</v>
      </c>
    </row>
    <row r="2888">
      <c r="A2888" s="2">
        <v>2912.0</v>
      </c>
      <c r="B2888" s="3" t="s">
        <v>37</v>
      </c>
      <c r="C2888" s="4" t="str">
        <f>hyperlink("https://terraria.gamepedia.com/Cyan_Beetle","Cyan Beetle Banner")</f>
        <v>Cyan Beetle Banner</v>
      </c>
    </row>
    <row r="2889">
      <c r="A2889" s="2">
        <v>2913.0</v>
      </c>
      <c r="B2889" s="3" t="s">
        <v>37</v>
      </c>
      <c r="C2889" s="4" t="str">
        <f>hyperlink("https://terraria.gamepedia.com/Devourer","Devourer Banner")</f>
        <v>Devourer Banner</v>
      </c>
    </row>
    <row r="2890">
      <c r="A2890" s="2">
        <v>2914.0</v>
      </c>
      <c r="B2890" s="3" t="s">
        <v>37</v>
      </c>
      <c r="C2890" s="4" t="str">
        <f>hyperlink("https://terraria.gamepedia.com/Diabolist","Diabolist Banner")</f>
        <v>Diabolist Banner</v>
      </c>
    </row>
    <row r="2891">
      <c r="A2891" s="2">
        <v>2915.0</v>
      </c>
      <c r="B2891" s="3" t="s">
        <v>37</v>
      </c>
      <c r="C2891" s="4" t="str">
        <f>hyperlink("https://terraria.gamepedia.com/Doctor_Bones","Doctor Bones Banner")</f>
        <v>Doctor Bones Banner</v>
      </c>
    </row>
    <row r="2892">
      <c r="A2892" s="2">
        <v>2916.0</v>
      </c>
      <c r="B2892" s="3" t="s">
        <v>37</v>
      </c>
      <c r="C2892" s="4" t="str">
        <f>hyperlink("https://terraria.gamepedia.com/Dungeon_Slime","Dungeon Slime Banner")</f>
        <v>Dungeon Slime Banner</v>
      </c>
    </row>
    <row r="2893">
      <c r="A2893" s="2">
        <v>2917.0</v>
      </c>
      <c r="B2893" s="3" t="s">
        <v>37</v>
      </c>
      <c r="C2893" s="4" t="str">
        <f>hyperlink("https://terraria.gamepedia.com/Dungeon_Spirit","Dungeon Spirit Banner")</f>
        <v>Dungeon Spirit Banner</v>
      </c>
    </row>
    <row r="2894">
      <c r="A2894" s="2">
        <v>2918.0</v>
      </c>
      <c r="B2894" s="3" t="s">
        <v>38</v>
      </c>
      <c r="C2894" s="4" t="str">
        <f>hyperlink("https://terraria.gamepedia.com/Elf_Archer","Elf Archer Banner")</f>
        <v>Elf Archer Banner</v>
      </c>
    </row>
    <row r="2895">
      <c r="A2895" s="2">
        <v>2919.0</v>
      </c>
      <c r="B2895" s="3" t="s">
        <v>38</v>
      </c>
      <c r="C2895" s="4" t="str">
        <f>hyperlink("https://terraria.gamepedia.com/Elf_Copter","Elf Copter Banner")</f>
        <v>Elf Copter Banner</v>
      </c>
    </row>
    <row r="2896">
      <c r="A2896" s="2">
        <v>2920.0</v>
      </c>
      <c r="B2896" s="3" t="s">
        <v>38</v>
      </c>
      <c r="C2896" s="4" t="str">
        <f>hyperlink("https://terraria.gamepedia.com/Eyezor","Eyezor Banner")</f>
        <v>Eyezor Banner</v>
      </c>
    </row>
    <row r="2897">
      <c r="A2897" s="2">
        <v>2921.0</v>
      </c>
      <c r="B2897" s="3" t="s">
        <v>38</v>
      </c>
      <c r="C2897" s="4" t="str">
        <f>hyperlink("https://terraria.gamepedia.com/Flocko","Flocko Banner")</f>
        <v>Flocko Banner</v>
      </c>
    </row>
    <row r="2898">
      <c r="A2898" s="2">
        <v>2922.0</v>
      </c>
      <c r="B2898" s="3" t="s">
        <v>37</v>
      </c>
      <c r="C2898" s="4" t="str">
        <f>hyperlink("https://terraria.gamepedia.com/Ghost_(enemy)","Ghost Banner")</f>
        <v>Ghost Banner</v>
      </c>
    </row>
    <row r="2899">
      <c r="A2899" s="2">
        <v>2923.0</v>
      </c>
      <c r="B2899" s="3" t="s">
        <v>37</v>
      </c>
      <c r="C2899" s="4" t="str">
        <f>hyperlink("https://terraria.gamepedia.com/Giant_Bat","Giant Bat Banner")</f>
        <v>Giant Bat Banner</v>
      </c>
    </row>
    <row r="2900">
      <c r="A2900" s="2">
        <v>2924.0</v>
      </c>
      <c r="B2900" s="3" t="s">
        <v>37</v>
      </c>
      <c r="C2900" s="4" t="str">
        <f>hyperlink("https://terraria.gamepedia.com/Giant_Cursed_Skull","Giant Cursed Skull Banner")</f>
        <v>Giant Cursed Skull Banner</v>
      </c>
    </row>
    <row r="2901">
      <c r="A2901" s="2">
        <v>2925.0</v>
      </c>
      <c r="B2901" s="3" t="s">
        <v>37</v>
      </c>
      <c r="C2901" s="4" t="str">
        <f>hyperlink("https://terraria.gamepedia.com/Giant_Flying_Fox","Giant Flying Fox Banner")</f>
        <v>Giant Flying Fox Banner</v>
      </c>
    </row>
    <row r="2902">
      <c r="A2902" s="2">
        <v>2926.0</v>
      </c>
      <c r="B2902" s="3" t="s">
        <v>38</v>
      </c>
      <c r="C2902" s="4" t="str">
        <f>hyperlink("https://terraria.gamepedia.com/Gingerbread_Man","Gingerbread Man Banner")</f>
        <v>Gingerbread Man Banner</v>
      </c>
    </row>
    <row r="2903">
      <c r="A2903" s="2">
        <v>2927.0</v>
      </c>
      <c r="B2903" s="3" t="s">
        <v>38</v>
      </c>
      <c r="C2903" s="4" t="str">
        <f>hyperlink("https://terraria.gamepedia.com/Goblin_Archer","Goblin Archer Banner")</f>
        <v>Goblin Archer Banner</v>
      </c>
    </row>
    <row r="2904">
      <c r="A2904" s="2">
        <v>2928.0</v>
      </c>
      <c r="B2904" s="3" t="s">
        <v>37</v>
      </c>
      <c r="C2904" s="4" t="str">
        <f>hyperlink("https://terraria.gamepedia.com/Green_Slime","Green Slime Banner")</f>
        <v>Green Slime Banner</v>
      </c>
    </row>
    <row r="2905">
      <c r="A2905" s="2">
        <v>2929.0</v>
      </c>
      <c r="B2905" s="3" t="s">
        <v>38</v>
      </c>
      <c r="C2905" s="4" t="str">
        <f>hyperlink("https://terraria.gamepedia.com/Headless_Horseman","Headless Horseman Banner")</f>
        <v>Headless Horseman Banner</v>
      </c>
    </row>
    <row r="2906">
      <c r="A2906" s="2">
        <v>2930.0</v>
      </c>
      <c r="B2906" s="3" t="s">
        <v>37</v>
      </c>
      <c r="C2906" s="4" t="str">
        <f>hyperlink("https://terraria.gamepedia.com/Hell_Armored_Bones","Hell Armored Bones Banner")</f>
        <v>Hell Armored Bones Banner</v>
      </c>
    </row>
    <row r="2907">
      <c r="A2907" s="2">
        <v>2931.0</v>
      </c>
      <c r="B2907" s="3" t="s">
        <v>38</v>
      </c>
      <c r="C2907" s="4" t="str">
        <f>hyperlink("https://terraria.gamepedia.com/Hellhound","Hellhound Banner")</f>
        <v>Hellhound Banner</v>
      </c>
    </row>
    <row r="2908">
      <c r="A2908" s="2">
        <v>2932.0</v>
      </c>
      <c r="B2908" s="3" t="s">
        <v>37</v>
      </c>
      <c r="C2908" s="4" t="str">
        <f>hyperlink("https://terraria.gamepedia.com/Hoppin'_Jack","Hoppin' Jack Banner")</f>
        <v>Hoppin' Jack Banner</v>
      </c>
    </row>
    <row r="2909">
      <c r="A2909" s="2">
        <v>2933.0</v>
      </c>
      <c r="B2909" s="3" t="s">
        <v>37</v>
      </c>
      <c r="C2909" s="4" t="str">
        <f>hyperlink("https://terraria.gamepedia.com/Ice_Bat","Ice Bat Banner")</f>
        <v>Ice Bat Banner</v>
      </c>
    </row>
    <row r="2910">
      <c r="A2910" s="2">
        <v>2934.0</v>
      </c>
      <c r="B2910" s="3" t="s">
        <v>37</v>
      </c>
      <c r="C2910" s="4" t="str">
        <f>hyperlink("https://terraria.gamepedia.com/Ice_Golem","Ice Golem Banner")</f>
        <v>Ice Golem Banner</v>
      </c>
    </row>
    <row r="2911">
      <c r="A2911" s="2">
        <v>2935.0</v>
      </c>
      <c r="B2911" s="3" t="s">
        <v>37</v>
      </c>
      <c r="C2911" s="4" t="str">
        <f>hyperlink("https://terraria.gamepedia.com/Ice_Slime","Ice Slime Banner")</f>
        <v>Ice Slime Banner</v>
      </c>
    </row>
    <row r="2912">
      <c r="A2912" s="2">
        <v>2936.0</v>
      </c>
      <c r="B2912" s="3" t="s">
        <v>37</v>
      </c>
      <c r="C2912" s="4" t="str">
        <f>hyperlink("https://terraria.gamepedia.com/Ichor_Sticker","Ichor Sticker Banner")</f>
        <v>Ichor Sticker Banner</v>
      </c>
    </row>
    <row r="2913">
      <c r="A2913" s="2">
        <v>2937.0</v>
      </c>
      <c r="B2913" s="3" t="s">
        <v>37</v>
      </c>
      <c r="C2913" s="4" t="str">
        <f>hyperlink("https://terraria.gamepedia.com/Illuminant_Bat","Illuminant Bat Banner")</f>
        <v>Illuminant Bat Banner</v>
      </c>
    </row>
    <row r="2914">
      <c r="A2914" s="2">
        <v>2938.0</v>
      </c>
      <c r="B2914" s="3" t="s">
        <v>37</v>
      </c>
      <c r="C2914" s="4" t="str">
        <f>hyperlink("https://terraria.gamepedia.com/Illuminant_Slime","Illuminant Slime Banner")</f>
        <v>Illuminant Slime Banner</v>
      </c>
    </row>
    <row r="2915">
      <c r="A2915" s="2">
        <v>2939.0</v>
      </c>
      <c r="B2915" s="3" t="s">
        <v>37</v>
      </c>
      <c r="C2915" s="4" t="str">
        <f>hyperlink("https://terraria.gamepedia.com/Jungle_Bat","Jungle Bat Banner")</f>
        <v>Jungle Bat Banner</v>
      </c>
    </row>
    <row r="2916">
      <c r="A2916" s="2">
        <v>2940.0</v>
      </c>
      <c r="B2916" s="3" t="s">
        <v>37</v>
      </c>
      <c r="C2916" s="4" t="str">
        <f>hyperlink("https://terraria.gamepedia.com/Jungle_Slime","Jungle Slime Banner")</f>
        <v>Jungle Slime Banner</v>
      </c>
    </row>
    <row r="2917">
      <c r="A2917" s="2">
        <v>2941.0</v>
      </c>
      <c r="B2917" s="3" t="s">
        <v>38</v>
      </c>
      <c r="C2917" s="4" t="str">
        <f>hyperlink("https://terraria.gamepedia.com/Krampus","Krampus Banner")</f>
        <v>Krampus Banner</v>
      </c>
    </row>
    <row r="2918">
      <c r="A2918" s="2">
        <v>2942.0</v>
      </c>
      <c r="B2918" s="3" t="s">
        <v>37</v>
      </c>
      <c r="C2918" s="4" t="str">
        <f>hyperlink("https://terraria.gamepedia.com/Lac_Beetle","Lac Beetle Banner")</f>
        <v>Lac Beetle Banner</v>
      </c>
    </row>
    <row r="2919">
      <c r="A2919" s="2">
        <v>2943.0</v>
      </c>
      <c r="B2919" s="3" t="s">
        <v>37</v>
      </c>
      <c r="C2919" s="4" t="str">
        <f>hyperlink("https://terraria.gamepedia.com/Lava_Bat","Lava Bat Banner")</f>
        <v>Lava Bat Banner</v>
      </c>
    </row>
    <row r="2920">
      <c r="A2920" s="2">
        <v>2944.0</v>
      </c>
      <c r="B2920" s="3" t="s">
        <v>37</v>
      </c>
      <c r="C2920" s="4" t="str">
        <f>hyperlink("https://terraria.gamepedia.com/Lava_Slime","Lava Slime Banner")</f>
        <v>Lava Slime Banner</v>
      </c>
    </row>
    <row r="2921">
      <c r="A2921" s="2">
        <v>2945.0</v>
      </c>
      <c r="B2921" s="3" t="s">
        <v>38</v>
      </c>
      <c r="C2921" s="4" t="str">
        <f>hyperlink("https://terraria.gamepedia.com/Brain_Scrambler","Martian Brainscrambler Banner")</f>
        <v>Martian Brainscrambler Banner</v>
      </c>
    </row>
    <row r="2922">
      <c r="A2922" s="2">
        <v>2946.0</v>
      </c>
      <c r="B2922" s="3" t="s">
        <v>38</v>
      </c>
      <c r="C2922" s="4" t="str">
        <f>hyperlink("https://terraria.gamepedia.com/Martian_Drone","Martian Drone Banner")</f>
        <v>Martian Drone Banner</v>
      </c>
    </row>
    <row r="2923">
      <c r="A2923" s="2">
        <v>2947.0</v>
      </c>
      <c r="B2923" s="3" t="s">
        <v>38</v>
      </c>
      <c r="C2923" s="4" t="str">
        <f>hyperlink("https://terraria.gamepedia.com/Martian_Engineer","Martian Engineer Banner")</f>
        <v>Martian Engineer Banner</v>
      </c>
    </row>
    <row r="2924">
      <c r="A2924" s="2">
        <v>2948.0</v>
      </c>
      <c r="B2924" s="3" t="s">
        <v>38</v>
      </c>
      <c r="C2924" s="4" t="str">
        <f>hyperlink("https://terraria.gamepedia.com/Gigazapper","Martian Gigazapper Banner")</f>
        <v>Martian Gigazapper Banner</v>
      </c>
    </row>
    <row r="2925">
      <c r="A2925" s="2">
        <v>2949.0</v>
      </c>
      <c r="B2925" s="3" t="s">
        <v>38</v>
      </c>
      <c r="C2925" s="4" t="str">
        <f>hyperlink("https://terraria.gamepedia.com/Gray_Grunt","Martian Gray Grunt Banner")</f>
        <v>Martian Gray Grunt Banner</v>
      </c>
    </row>
    <row r="2926">
      <c r="A2926" s="2">
        <v>2950.0</v>
      </c>
      <c r="B2926" s="3" t="s">
        <v>38</v>
      </c>
      <c r="C2926" s="4" t="str">
        <f>hyperlink("https://terraria.gamepedia.com/Martian_Officer","Martian Officer Banner")</f>
        <v>Martian Officer Banner</v>
      </c>
    </row>
    <row r="2927">
      <c r="A2927" s="2">
        <v>2951.0</v>
      </c>
      <c r="B2927" s="3" t="s">
        <v>38</v>
      </c>
      <c r="C2927" s="4" t="str">
        <f>hyperlink("https://terraria.gamepedia.com/Ray_Gunner","Martian Ray Gunner Banner")</f>
        <v>Martian Ray Gunner Banner</v>
      </c>
    </row>
    <row r="2928">
      <c r="A2928" s="2">
        <v>2952.0</v>
      </c>
      <c r="B2928" s="3" t="s">
        <v>38</v>
      </c>
      <c r="C2928" s="4" t="str">
        <f>hyperlink("https://terraria.gamepedia.com/Scutlix","Martian Scutlix Gunner Banner")</f>
        <v>Martian Scutlix Gunner Banner</v>
      </c>
    </row>
    <row r="2929">
      <c r="A2929" s="2">
        <v>2953.0</v>
      </c>
      <c r="B2929" s="3" t="s">
        <v>38</v>
      </c>
      <c r="C2929" s="4" t="str">
        <f>hyperlink("https://terraria.gamepedia.com/Tesla_Turret","Martian Tesla Turret Banner")</f>
        <v>Martian Tesla Turret Banner</v>
      </c>
    </row>
    <row r="2930">
      <c r="A2930" s="2">
        <v>2954.0</v>
      </c>
      <c r="B2930" s="3" t="s">
        <v>38</v>
      </c>
      <c r="C2930" s="4" t="str">
        <f>hyperlink("https://terraria.gamepedia.com/Mister_Stabby","Mister Stabby Banner")</f>
        <v>Mister Stabby Banner</v>
      </c>
    </row>
    <row r="2931">
      <c r="A2931" s="2">
        <v>2955.0</v>
      </c>
      <c r="B2931" s="3" t="s">
        <v>37</v>
      </c>
      <c r="C2931" s="4" t="str">
        <f>hyperlink("https://terraria.gamepedia.com/Baby_Slime","Mother Slime Banner")</f>
        <v>Mother Slime Banner</v>
      </c>
    </row>
    <row r="2932">
      <c r="A2932" s="2">
        <v>2956.0</v>
      </c>
      <c r="B2932" s="3" t="s">
        <v>37</v>
      </c>
      <c r="C2932" s="4" t="str">
        <f>hyperlink("https://terraria.gamepedia.com/Necromancer","Necromancer Banner")</f>
        <v>Necromancer Banner</v>
      </c>
    </row>
    <row r="2933">
      <c r="A2933" s="2">
        <v>2957.0</v>
      </c>
      <c r="B2933" s="3" t="s">
        <v>38</v>
      </c>
      <c r="C2933" s="4" t="str">
        <f>hyperlink("https://terraria.gamepedia.com/Nutcracker","Nutcracker Banner")</f>
        <v>Nutcracker Banner</v>
      </c>
    </row>
    <row r="2934">
      <c r="A2934" s="2">
        <v>2958.0</v>
      </c>
      <c r="B2934" s="3" t="s">
        <v>37</v>
      </c>
      <c r="C2934" s="4" t="str">
        <f>hyperlink("https://terraria.gamepedia.com/Paladin","Paladin Banner")</f>
        <v>Paladin Banner</v>
      </c>
    </row>
    <row r="2935">
      <c r="A2935" s="2">
        <v>2959.0</v>
      </c>
      <c r="B2935" s="3" t="s">
        <v>37</v>
      </c>
      <c r="C2935" s="4" t="str">
        <f>hyperlink("https://terraria.gamepedia.com/Penguin","Penguin Banner")</f>
        <v>Penguin Banner</v>
      </c>
    </row>
    <row r="2936">
      <c r="A2936" s="2">
        <v>2960.0</v>
      </c>
      <c r="B2936" s="3" t="s">
        <v>37</v>
      </c>
      <c r="C2936" s="4" t="str">
        <f>hyperlink("https://terraria.gamepedia.com/Pinky","Pinky Banner")</f>
        <v>Pinky Banner</v>
      </c>
    </row>
    <row r="2937">
      <c r="A2937" s="2">
        <v>2961.0</v>
      </c>
      <c r="B2937" s="3" t="s">
        <v>38</v>
      </c>
      <c r="C2937" s="4" t="str">
        <f>hyperlink("https://terraria.gamepedia.com/Poltergeist","Poltergeist Banner")</f>
        <v>Poltergeist Banner</v>
      </c>
    </row>
    <row r="2938">
      <c r="A2938" s="2">
        <v>2962.0</v>
      </c>
      <c r="B2938" s="3" t="s">
        <v>37</v>
      </c>
      <c r="C2938" s="4" t="str">
        <f>hyperlink("https://terraria.gamepedia.com/Possessed_Armor","Possessed Armor Banner")</f>
        <v>Possessed Armor Banner</v>
      </c>
    </row>
    <row r="2939">
      <c r="A2939" s="2">
        <v>2963.0</v>
      </c>
      <c r="B2939" s="3" t="s">
        <v>38</v>
      </c>
      <c r="C2939" s="4" t="str">
        <f>hyperlink("https://terraria.gamepedia.com/Mimics","Present Mimic Banner")</f>
        <v>Present Mimic Banner</v>
      </c>
    </row>
    <row r="2940">
      <c r="A2940" s="2">
        <v>2964.0</v>
      </c>
      <c r="B2940" s="3" t="s">
        <v>37</v>
      </c>
      <c r="C2940" s="4" t="str">
        <f>hyperlink("https://terraria.gamepedia.com/Purple_Slime","Purple Slime Banner")</f>
        <v>Purple Slime Banner</v>
      </c>
    </row>
    <row r="2941">
      <c r="A2941" s="2">
        <v>2965.0</v>
      </c>
      <c r="B2941" s="3" t="s">
        <v>37</v>
      </c>
      <c r="C2941" s="4" t="str">
        <f>hyperlink("https://terraria.gamepedia.com/Ragged_Caster","Ragged Caster Banner")</f>
        <v>Ragged Caster Banner</v>
      </c>
    </row>
    <row r="2942">
      <c r="A2942" s="2">
        <v>2966.0</v>
      </c>
      <c r="B2942" s="3" t="s">
        <v>37</v>
      </c>
      <c r="C2942" s="4" t="str">
        <f>hyperlink("https://terraria.gamepedia.com/Rainbow_Slime","Rainbow Slime Banner")</f>
        <v>Rainbow Slime Banner</v>
      </c>
    </row>
    <row r="2943">
      <c r="A2943" s="2">
        <v>2967.0</v>
      </c>
      <c r="B2943" s="3" t="s">
        <v>37</v>
      </c>
      <c r="C2943" s="4" t="str">
        <f>hyperlink("https://terraria.gamepedia.com/Raven","Raven Banner")</f>
        <v>Raven Banner</v>
      </c>
    </row>
    <row r="2944">
      <c r="A2944" s="2">
        <v>2968.0</v>
      </c>
      <c r="B2944" s="3" t="s">
        <v>37</v>
      </c>
      <c r="C2944" s="4" t="str">
        <f>hyperlink("https://terraria.gamepedia.com/Red_Slime","Red Slime Banner")</f>
        <v>Red Slime Banner</v>
      </c>
    </row>
    <row r="2945">
      <c r="A2945" s="2">
        <v>2969.0</v>
      </c>
      <c r="B2945" s="3" t="s">
        <v>37</v>
      </c>
      <c r="C2945" s="4" t="str">
        <f>hyperlink("https://terraria.gamepedia.com/Rune_Wizard","Rune Wizard Banner")</f>
        <v>Rune Wizard Banner</v>
      </c>
    </row>
    <row r="2946">
      <c r="A2946" s="2">
        <v>2970.0</v>
      </c>
      <c r="B2946" s="3" t="s">
        <v>37</v>
      </c>
      <c r="C2946" s="4" t="str">
        <f>hyperlink("https://terraria.gamepedia.com/Rusty_Armored_Bones","Rusty Armored Bones Banner")</f>
        <v>Rusty Armored Bones Banner</v>
      </c>
    </row>
    <row r="2947">
      <c r="A2947" s="2">
        <v>2971.0</v>
      </c>
      <c r="B2947" s="3" t="s">
        <v>38</v>
      </c>
      <c r="C2947" s="4" t="str">
        <f>hyperlink("https://terraria.gamepedia.com/Scarecrow","Scarecrow Banner")</f>
        <v>Scarecrow Banner</v>
      </c>
    </row>
    <row r="2948">
      <c r="A2948" s="2">
        <v>2972.0</v>
      </c>
      <c r="B2948" s="3" t="s">
        <v>38</v>
      </c>
      <c r="C2948" s="4" t="str">
        <f>hyperlink("https://terraria.gamepedia.com/Scutlix","Scutlix Banner")</f>
        <v>Scutlix Banner</v>
      </c>
    </row>
    <row r="2949">
      <c r="A2949" s="2">
        <v>2973.0</v>
      </c>
      <c r="B2949" s="3" t="s">
        <v>37</v>
      </c>
      <c r="C2949" s="4" t="str">
        <f>hyperlink("https://terraria.gamepedia.com/Skeleton_Archer","Skeleton Archer Banner")</f>
        <v>Skeleton Archer Banner</v>
      </c>
    </row>
    <row r="2950">
      <c r="A2950" s="2">
        <v>2974.0</v>
      </c>
      <c r="B2950" s="3" t="s">
        <v>37</v>
      </c>
      <c r="C2950" s="4" t="str">
        <f>hyperlink("https://terraria.gamepedia.com/Skeleton_Commando","Skeleton Commando Banner")</f>
        <v>Skeleton Commando Banner</v>
      </c>
    </row>
    <row r="2951">
      <c r="A2951" s="2">
        <v>2975.0</v>
      </c>
      <c r="B2951" s="3" t="s">
        <v>37</v>
      </c>
      <c r="C2951" s="4" t="str">
        <f>hyperlink("https://terraria.gamepedia.com/Skeleton_Sniper","Skeleton Sniper Banner")</f>
        <v>Skeleton Sniper Banner</v>
      </c>
    </row>
    <row r="2952">
      <c r="A2952" s="2">
        <v>2976.0</v>
      </c>
      <c r="B2952" s="3" t="s">
        <v>37</v>
      </c>
      <c r="C2952" s="4" t="str">
        <f>hyperlink("https://terraria.gamepedia.com/Slimer","Slimer Banner")</f>
        <v>Slimer Banner</v>
      </c>
    </row>
    <row r="2953">
      <c r="A2953" s="2">
        <v>2977.0</v>
      </c>
      <c r="B2953" s="3" t="s">
        <v>37</v>
      </c>
      <c r="C2953" s="4" t="str">
        <f>hyperlink("https://terraria.gamepedia.com/Snatcher","Snatcher Banner")</f>
        <v>Snatcher Banner</v>
      </c>
    </row>
    <row r="2954">
      <c r="A2954" s="2">
        <v>2978.0</v>
      </c>
      <c r="B2954" s="3" t="s">
        <v>38</v>
      </c>
      <c r="C2954" s="4" t="str">
        <f>hyperlink("https://terraria.gamepedia.com/Snow_Balla","Snow Balla Banner")</f>
        <v>Snow Balla Banner</v>
      </c>
    </row>
    <row r="2955">
      <c r="A2955" s="2">
        <v>2979.0</v>
      </c>
      <c r="B2955" s="3" t="s">
        <v>38</v>
      </c>
      <c r="C2955" s="4" t="str">
        <f>hyperlink("https://terraria.gamepedia.com/Snowman_Gangsta","Snowman Gangsta Banner")</f>
        <v>Snowman Gangsta Banner</v>
      </c>
    </row>
    <row r="2956">
      <c r="A2956" s="2">
        <v>2980.0</v>
      </c>
      <c r="B2956" s="3" t="s">
        <v>37</v>
      </c>
      <c r="C2956" s="4" t="str">
        <f>hyperlink("https://terraria.gamepedia.com/Spiked_Ice_Slime","Spiked Ice Slime Banner")</f>
        <v>Spiked Ice Slime Banner</v>
      </c>
    </row>
    <row r="2957">
      <c r="A2957" s="2">
        <v>2981.0</v>
      </c>
      <c r="B2957" s="3" t="s">
        <v>37</v>
      </c>
      <c r="C2957" s="4" t="str">
        <f>hyperlink("https://terraria.gamepedia.com/Spiked_Jungle_Slime","Spiked Jungle Slime Banner")</f>
        <v>Spiked Jungle Slime Banner</v>
      </c>
    </row>
    <row r="2958">
      <c r="A2958" s="2">
        <v>2982.0</v>
      </c>
      <c r="B2958" s="3" t="s">
        <v>38</v>
      </c>
      <c r="C2958" s="4" t="str">
        <f>hyperlink("https://terraria.gamepedia.com/Splinterling","Splinterling Banner")</f>
        <v>Splinterling Banner</v>
      </c>
    </row>
    <row r="2959">
      <c r="A2959" s="2">
        <v>2983.0</v>
      </c>
      <c r="B2959" s="3" t="s">
        <v>37</v>
      </c>
      <c r="C2959" s="4" t="str">
        <f>hyperlink("https://terraria.gamepedia.com/Squid","Squid Banner")</f>
        <v>Squid Banner</v>
      </c>
    </row>
    <row r="2960">
      <c r="A2960" s="2">
        <v>2984.0</v>
      </c>
      <c r="B2960" s="3" t="s">
        <v>37</v>
      </c>
      <c r="C2960" s="4" t="str">
        <f>hyperlink("https://terraria.gamepedia.com/Tactical_Skeleton","Tactical Skeleton Banner")</f>
        <v>Tactical Skeleton Banner</v>
      </c>
    </row>
    <row r="2961">
      <c r="A2961" s="2">
        <v>2985.0</v>
      </c>
      <c r="B2961" s="3" t="s">
        <v>37</v>
      </c>
      <c r="C2961" s="4" t="str">
        <f>hyperlink("https://terraria.gamepedia.com/The_Groom","The Groom Banner")</f>
        <v>The Groom Banner</v>
      </c>
    </row>
    <row r="2962">
      <c r="A2962" s="2">
        <v>2986.0</v>
      </c>
      <c r="B2962" s="3" t="s">
        <v>37</v>
      </c>
      <c r="C2962" s="4" t="str">
        <f>hyperlink("https://terraria.gamepedia.com/Tim","Tim Banner")</f>
        <v>Tim Banner</v>
      </c>
    </row>
    <row r="2963">
      <c r="A2963" s="2">
        <v>2987.0</v>
      </c>
      <c r="B2963" s="3" t="s">
        <v>37</v>
      </c>
      <c r="C2963" s="4" t="str">
        <f>hyperlink("https://terraria.gamepedia.com/Undead_Miner","Undead Miner Banner")</f>
        <v>Undead Miner Banner</v>
      </c>
    </row>
    <row r="2964">
      <c r="A2964" s="2">
        <v>2988.0</v>
      </c>
      <c r="B2964" s="3" t="s">
        <v>37</v>
      </c>
      <c r="C2964" s="4" t="str">
        <f>hyperlink("https://terraria.gamepedia.com/Undead_Viking","Undead Viking Banner")</f>
        <v>Undead Viking Banner</v>
      </c>
    </row>
    <row r="2965">
      <c r="A2965" s="2">
        <v>2992.0</v>
      </c>
      <c r="B2965" s="3" t="s">
        <v>37</v>
      </c>
      <c r="C2965" s="4" t="str">
        <f>hyperlink("https://terraria.gamepedia.com/Yellow_Slime","Yellow Slime Banner")</f>
        <v>Yellow Slime Banner</v>
      </c>
    </row>
    <row r="2966">
      <c r="A2966" s="2">
        <v>2993.0</v>
      </c>
      <c r="B2966" s="3" t="s">
        <v>38</v>
      </c>
      <c r="C2966" s="4" t="str">
        <f>hyperlink("https://terraria.gamepedia.com/Yeti","Yeti Banner")</f>
        <v>Yeti Banner</v>
      </c>
    </row>
    <row r="2967">
      <c r="A2967" s="2">
        <v>2994.0</v>
      </c>
      <c r="B2967" s="3" t="s">
        <v>38</v>
      </c>
      <c r="C2967" s="4" t="str">
        <f>hyperlink("https://terraria.gamepedia.com/Zombie_Elf","Zombie Elf Banner")</f>
        <v>Zombie Elf Banner</v>
      </c>
    </row>
    <row r="2968">
      <c r="A2968" s="2">
        <v>2995.0</v>
      </c>
      <c r="B2968" s="3" t="s">
        <v>36</v>
      </c>
      <c r="C2968" s="4" t="str">
        <f>hyperlink("https://terraria.gamepedia.com/Paintings","Sparky")</f>
        <v>Sparky</v>
      </c>
    </row>
    <row r="2969">
      <c r="A2969" s="2">
        <v>2996.0</v>
      </c>
      <c r="B2969" s="3" t="s">
        <v>15</v>
      </c>
      <c r="C2969" s="4" t="str">
        <f>hyperlink("https://terraria.gamepedia.com/Ropes","Vine Rope")</f>
        <v>Vine Rope</v>
      </c>
    </row>
    <row r="2970">
      <c r="A2970" s="2">
        <v>2997.0</v>
      </c>
      <c r="B2970" s="3" t="s">
        <v>14</v>
      </c>
      <c r="C2970" s="4" t="str">
        <f>hyperlink("https://terraria.gamepedia.com/Wormhole_Potion","Wormhole Potion")</f>
        <v>Wormhole Potion</v>
      </c>
    </row>
    <row r="2971">
      <c r="A2971" s="2">
        <v>2998.0</v>
      </c>
      <c r="B2971" s="3" t="s">
        <v>10</v>
      </c>
      <c r="C2971" s="4" t="str">
        <f>hyperlink("https://terraria.gamepedia.com/Summoner_Emblem","Summoner Emblem")</f>
        <v>Summoner Emblem</v>
      </c>
    </row>
    <row r="2972">
      <c r="A2972" s="2">
        <v>2999.0</v>
      </c>
      <c r="B2972" s="3" t="s">
        <v>16</v>
      </c>
      <c r="C2972" s="4" t="str">
        <f>hyperlink("https://terraria.gamepedia.com/Bewitching_Table","Bewitching Table")</f>
        <v>Bewitching Table</v>
      </c>
    </row>
    <row r="2973">
      <c r="A2973" s="2">
        <v>3000.0</v>
      </c>
      <c r="B2973" s="3" t="s">
        <v>16</v>
      </c>
      <c r="C2973" s="4" t="str">
        <f>hyperlink("https://terraria.gamepedia.com/Alchemy_Table","Alchemy Table")</f>
        <v>Alchemy Table</v>
      </c>
    </row>
    <row r="2974">
      <c r="A2974" s="2">
        <v>3001.0</v>
      </c>
      <c r="B2974" s="3" t="s">
        <v>14</v>
      </c>
      <c r="C2974" s="4" t="str">
        <f>hyperlink("https://terraria.gamepedia.com/Strange_Brew","Strange Brew")</f>
        <v>Strange Brew</v>
      </c>
    </row>
    <row r="2975">
      <c r="A2975" s="2">
        <v>3002.0</v>
      </c>
      <c r="B2975" s="3" t="s">
        <v>15</v>
      </c>
      <c r="C2975" s="4" t="str">
        <f>hyperlink("https://terraria.gamepedia.com/Spelunker_Glowstick","Spelunker Glowstick")</f>
        <v>Spelunker Glowstick</v>
      </c>
    </row>
    <row r="2976">
      <c r="A2976" s="2">
        <v>3003.0</v>
      </c>
      <c r="B2976" s="3" t="s">
        <v>18</v>
      </c>
      <c r="C2976" s="4" t="str">
        <f>hyperlink("https://terraria.gamepedia.com/Bone_Arrow","Bone Arrow")</f>
        <v>Bone Arrow</v>
      </c>
    </row>
    <row r="2977">
      <c r="A2977" s="2">
        <v>3004.0</v>
      </c>
      <c r="B2977" s="3" t="s">
        <v>7</v>
      </c>
      <c r="C2977" s="4" t="str">
        <f>hyperlink("https://terraria.gamepedia.com/Torches","Bone Torch")</f>
        <v>Bone Torch</v>
      </c>
    </row>
    <row r="2978">
      <c r="A2978" s="2">
        <v>3005.0</v>
      </c>
      <c r="B2978" s="3" t="s">
        <v>15</v>
      </c>
      <c r="C2978" s="4" t="str">
        <f>hyperlink("https://terraria.gamepedia.com/Rope_Coils","Vine Rope Coil")</f>
        <v>Vine Rope Coil</v>
      </c>
    </row>
    <row r="2979">
      <c r="A2979" s="2">
        <v>3006.0</v>
      </c>
      <c r="B2979" s="3" t="s">
        <v>5</v>
      </c>
      <c r="C2979" s="4" t="str">
        <f>hyperlink("https://terraria.gamepedia.com/Life_Drain","Life Drain")</f>
        <v>Life Drain</v>
      </c>
    </row>
    <row r="2980">
      <c r="A2980" s="2">
        <v>3007.0</v>
      </c>
      <c r="B2980" s="3" t="s">
        <v>5</v>
      </c>
      <c r="C2980" s="4" t="str">
        <f>hyperlink("https://terraria.gamepedia.com/Dart_Pistol","Dart Pistol")</f>
        <v>Dart Pistol</v>
      </c>
    </row>
    <row r="2981">
      <c r="A2981" s="2">
        <v>3008.0</v>
      </c>
      <c r="B2981" s="3" t="s">
        <v>5</v>
      </c>
      <c r="C2981" s="4" t="str">
        <f>hyperlink("https://terraria.gamepedia.com/Dart_Rifle","Dart Rifle")</f>
        <v>Dart Rifle</v>
      </c>
    </row>
    <row r="2982">
      <c r="A2982" s="2">
        <v>3009.0</v>
      </c>
      <c r="B2982" s="3" t="s">
        <v>18</v>
      </c>
      <c r="C2982" s="4" t="str">
        <f>hyperlink("https://terraria.gamepedia.com/Crystal_Dart","Crystal Dart")</f>
        <v>Crystal Dart</v>
      </c>
    </row>
    <row r="2983">
      <c r="A2983" s="2">
        <v>3010.0</v>
      </c>
      <c r="B2983" s="3" t="s">
        <v>18</v>
      </c>
      <c r="C2983" s="4" t="str">
        <f>hyperlink("https://terraria.gamepedia.com/Cursed_Dart","Cursed Dart")</f>
        <v>Cursed Dart</v>
      </c>
    </row>
    <row r="2984">
      <c r="A2984" s="2">
        <v>3011.0</v>
      </c>
      <c r="B2984" s="3" t="s">
        <v>18</v>
      </c>
      <c r="C2984" s="4" t="str">
        <f>hyperlink("https://terraria.gamepedia.com/Ichor_Dart","Ichor Dart")</f>
        <v>Ichor Dart</v>
      </c>
    </row>
    <row r="2985">
      <c r="A2985" s="2">
        <v>3012.0</v>
      </c>
      <c r="B2985" s="3" t="s">
        <v>5</v>
      </c>
      <c r="C2985" s="4" t="str">
        <f>hyperlink("https://terraria.gamepedia.com/Chain_Guillotines","Chain Guillotines")</f>
        <v>Chain Guillotines</v>
      </c>
    </row>
    <row r="2986">
      <c r="A2986" s="2">
        <v>3013.0</v>
      </c>
      <c r="B2986" s="3" t="s">
        <v>5</v>
      </c>
      <c r="C2986" s="4" t="str">
        <f>hyperlink("https://terraria.gamepedia.com/Fetid_Baghnakhs","Fetid Baghnakhs")</f>
        <v>Fetid Baghnakhs</v>
      </c>
    </row>
    <row r="2987">
      <c r="A2987" s="2">
        <v>3014.0</v>
      </c>
      <c r="B2987" s="3" t="s">
        <v>5</v>
      </c>
      <c r="C2987" s="4" t="str">
        <f>hyperlink("https://terraria.gamepedia.com/Clinger_Staff","Clinger Staff")</f>
        <v>Clinger Staff</v>
      </c>
    </row>
    <row r="2988">
      <c r="A2988" s="2">
        <v>3015.0</v>
      </c>
      <c r="B2988" s="3" t="s">
        <v>10</v>
      </c>
      <c r="C2988" s="4" t="str">
        <f>hyperlink("https://terraria.gamepedia.com/Putrid_Scent","Putrid Scent")</f>
        <v>Putrid Scent</v>
      </c>
    </row>
    <row r="2989">
      <c r="A2989" s="2">
        <v>3016.0</v>
      </c>
      <c r="B2989" s="3" t="s">
        <v>5</v>
      </c>
      <c r="C2989" s="4" t="str">
        <f>hyperlink("https://terraria.gamepedia.com/Flesh_Knuckles","Flesh Knuckles")</f>
        <v>Flesh Knuckles</v>
      </c>
    </row>
    <row r="2990">
      <c r="A2990" s="2">
        <v>3017.0</v>
      </c>
      <c r="B2990" s="3" t="s">
        <v>10</v>
      </c>
      <c r="C2990" s="4" t="str">
        <f>hyperlink("https://terraria.gamepedia.com/Flower_Boots","Flower Boots")</f>
        <v>Flower Boots</v>
      </c>
    </row>
    <row r="2991">
      <c r="A2991" s="2">
        <v>3018.0</v>
      </c>
      <c r="B2991" s="3" t="s">
        <v>5</v>
      </c>
      <c r="C2991" s="4" t="str">
        <f>hyperlink("https://terraria.gamepedia.com/Seedler","Seedler")</f>
        <v>Seedler</v>
      </c>
    </row>
    <row r="2992">
      <c r="A2992" s="2">
        <v>3019.0</v>
      </c>
      <c r="B2992" s="3" t="s">
        <v>5</v>
      </c>
      <c r="C2992" s="4" t="str">
        <f>hyperlink("https://terraria.gamepedia.com/Hellwing_Bow","Hellwing Bow")</f>
        <v>Hellwing Bow</v>
      </c>
    </row>
    <row r="2993">
      <c r="A2993" s="2">
        <v>3020.0</v>
      </c>
      <c r="B2993" s="3" t="s">
        <v>3</v>
      </c>
      <c r="C2993" s="4" t="str">
        <f>hyperlink("https://terraria.gamepedia.com/Hooks","Tendon Hook")</f>
        <v>Tendon Hook</v>
      </c>
    </row>
    <row r="2994">
      <c r="A2994" s="2">
        <v>3021.0</v>
      </c>
      <c r="B2994" s="3" t="s">
        <v>3</v>
      </c>
      <c r="C2994" s="4" t="str">
        <f>hyperlink("https://terraria.gamepedia.com/Hooks","Thorn Hook")</f>
        <v>Thorn Hook</v>
      </c>
    </row>
    <row r="2995">
      <c r="A2995" s="2">
        <v>3022.0</v>
      </c>
      <c r="B2995" s="3" t="s">
        <v>3</v>
      </c>
      <c r="C2995" s="4" t="str">
        <f>hyperlink("https://terraria.gamepedia.com/Hooks","Illuminant Hook")</f>
        <v>Illuminant Hook</v>
      </c>
    </row>
    <row r="2996">
      <c r="A2996" s="2">
        <v>3023.0</v>
      </c>
      <c r="B2996" s="3" t="s">
        <v>3</v>
      </c>
      <c r="C2996" s="4" t="str">
        <f>hyperlink("https://terraria.gamepedia.com/Hooks","Worm Hook")</f>
        <v>Worm Hook</v>
      </c>
    </row>
    <row r="2997">
      <c r="A2997" s="2">
        <v>3024.0</v>
      </c>
      <c r="B2997" s="3" t="s">
        <v>33</v>
      </c>
      <c r="C2997" s="4" t="str">
        <f>hyperlink("https://terraria.gamepedia.com/Skiphs'_Blood","Skiphs' Blood")</f>
        <v>Skiphs' Blood</v>
      </c>
    </row>
    <row r="2998">
      <c r="A2998" s="2">
        <v>3025.0</v>
      </c>
      <c r="B2998" s="3" t="s">
        <v>33</v>
      </c>
      <c r="C2998" s="4" t="str">
        <f>hyperlink("https://terraria.gamepedia.com/Purple_Ooze_Dye","Purple Ooze Dye")</f>
        <v>Purple Ooze Dye</v>
      </c>
    </row>
    <row r="2999">
      <c r="A2999" s="2">
        <v>3026.0</v>
      </c>
      <c r="B2999" s="3" t="s">
        <v>33</v>
      </c>
      <c r="C2999" s="4" t="str">
        <f>hyperlink("https://terraria.gamepedia.com/Reflective_Silver_Dye","Reflective Silver Dye")</f>
        <v>Reflective Silver Dye</v>
      </c>
    </row>
    <row r="3000">
      <c r="A3000" s="2">
        <v>3027.0</v>
      </c>
      <c r="B3000" s="3" t="s">
        <v>33</v>
      </c>
      <c r="C3000" s="4" t="str">
        <f>hyperlink("https://terraria.gamepedia.com/Reflective_Gold_Dye","Reflective Gold Dye")</f>
        <v>Reflective Gold Dye</v>
      </c>
    </row>
    <row r="3001">
      <c r="A3001" s="2">
        <v>3028.0</v>
      </c>
      <c r="B3001" s="3" t="s">
        <v>33</v>
      </c>
      <c r="C3001" s="4" t="str">
        <f>hyperlink("https://terraria.gamepedia.com/Blue_Acid_Dye","Blue Acid Dye")</f>
        <v>Blue Acid Dye</v>
      </c>
    </row>
    <row r="3002">
      <c r="A3002" s="2">
        <v>3029.0</v>
      </c>
      <c r="B3002" s="3" t="s">
        <v>5</v>
      </c>
      <c r="C3002" s="4" t="str">
        <f>hyperlink("https://terraria.gamepedia.com/Daedalus_Stormbow","Daedalus Stormbow")</f>
        <v>Daedalus Stormbow</v>
      </c>
    </row>
    <row r="3003">
      <c r="A3003" s="2">
        <v>3030.0</v>
      </c>
      <c r="B3003" s="3" t="s">
        <v>5</v>
      </c>
      <c r="C3003" s="4" t="str">
        <f>hyperlink("https://terraria.gamepedia.com/Flying_Knife","Flying Knife")</f>
        <v>Flying Knife</v>
      </c>
    </row>
    <row r="3004">
      <c r="A3004" s="2">
        <v>3031.0</v>
      </c>
      <c r="B3004" s="3" t="s">
        <v>3</v>
      </c>
      <c r="C3004" s="4" t="str">
        <f>hyperlink("https://terraria.gamepedia.com/Bottomless_Water_Bucket","Bottomless Water Bucket")</f>
        <v>Bottomless Water Bucket</v>
      </c>
    </row>
    <row r="3005">
      <c r="A3005" s="2">
        <v>3032.0</v>
      </c>
      <c r="B3005" s="3" t="s">
        <v>15</v>
      </c>
      <c r="C3005" s="4" t="str">
        <f>hyperlink("https://terraria.gamepedia.com/Super_Absorbant_Sponge","Super Absorbant Sponge")</f>
        <v>Super Absorbant Sponge</v>
      </c>
    </row>
    <row r="3006">
      <c r="A3006" s="2">
        <v>3033.0</v>
      </c>
      <c r="B3006" s="3" t="s">
        <v>10</v>
      </c>
      <c r="C3006" s="4" t="str">
        <f>hyperlink("https://terraria.gamepedia.com/Gold_Ring","Gold Ring")</f>
        <v>Gold Ring</v>
      </c>
    </row>
    <row r="3007">
      <c r="A3007" s="2">
        <v>3034.0</v>
      </c>
      <c r="B3007" s="3" t="s">
        <v>10</v>
      </c>
      <c r="C3007" s="4" t="str">
        <f>hyperlink("https://terraria.gamepedia.com/Coin_Ring","Coin Ring")</f>
        <v>Coin Ring</v>
      </c>
    </row>
    <row r="3008">
      <c r="A3008" s="2">
        <v>3035.0</v>
      </c>
      <c r="B3008" s="3" t="s">
        <v>10</v>
      </c>
      <c r="C3008" s="4" t="str">
        <f>hyperlink("https://terraria.gamepedia.com/Greedy_Ring","Greedy Ring")</f>
        <v>Greedy Ring</v>
      </c>
    </row>
    <row r="3009">
      <c r="A3009" s="2">
        <v>3036.0</v>
      </c>
      <c r="B3009" s="3" t="s">
        <v>10</v>
      </c>
      <c r="C3009" s="4" t="str">
        <f>hyperlink("https://terraria.gamepedia.com/Fish_Finder","Fish Finder")</f>
        <v>Fish Finder</v>
      </c>
    </row>
    <row r="3010">
      <c r="A3010" s="2">
        <v>3037.0</v>
      </c>
      <c r="B3010" s="3" t="s">
        <v>10</v>
      </c>
      <c r="C3010" s="4" t="str">
        <f>hyperlink("https://terraria.gamepedia.com/Weather_Radio","Weather Radio")</f>
        <v>Weather Radio</v>
      </c>
    </row>
    <row r="3011">
      <c r="A3011" s="2">
        <v>3038.0</v>
      </c>
      <c r="B3011" s="3" t="s">
        <v>33</v>
      </c>
      <c r="C3011" s="4" t="str">
        <f>hyperlink("https://terraria.gamepedia.com/Hades_Dye","Hades Dye")</f>
        <v>Hades Dye</v>
      </c>
    </row>
    <row r="3012">
      <c r="A3012" s="2">
        <v>3039.0</v>
      </c>
      <c r="B3012" s="3" t="s">
        <v>33</v>
      </c>
      <c r="C3012" s="4" t="str">
        <f>hyperlink("https://terraria.gamepedia.com/Twilight_Dye","Twilight Dye")</f>
        <v>Twilight Dye</v>
      </c>
    </row>
    <row r="3013">
      <c r="A3013" s="2">
        <v>3040.0</v>
      </c>
      <c r="B3013" s="3" t="s">
        <v>33</v>
      </c>
      <c r="C3013" s="4" t="str">
        <f>hyperlink("https://terraria.gamepedia.com/Acid_Dye","Acid Dye")</f>
        <v>Acid Dye</v>
      </c>
    </row>
    <row r="3014">
      <c r="A3014" s="2">
        <v>3041.0</v>
      </c>
      <c r="B3014" s="3" t="s">
        <v>33</v>
      </c>
      <c r="C3014" s="4" t="str">
        <f>hyperlink("https://terraria.gamepedia.com/Glowing_Mushroom_Dye","Glowing Mushroom Dye")</f>
        <v>Glowing Mushroom Dye</v>
      </c>
    </row>
    <row r="3015">
      <c r="A3015" s="2">
        <v>3042.0</v>
      </c>
      <c r="B3015" s="3" t="s">
        <v>33</v>
      </c>
      <c r="C3015" s="4" t="str">
        <f>hyperlink("https://terraria.gamepedia.com/Phase_Dye","Phase Dye")</f>
        <v>Phase Dye</v>
      </c>
    </row>
    <row r="3016">
      <c r="A3016" s="2">
        <v>3043.0</v>
      </c>
      <c r="B3016" s="3" t="s">
        <v>7</v>
      </c>
      <c r="C3016" s="4" t="str">
        <f>hyperlink("https://terraria.gamepedia.com/Magic_Lantern","Magic Lantern")</f>
        <v>Magic Lantern</v>
      </c>
    </row>
    <row r="3017">
      <c r="A3017" s="2">
        <v>3044.0</v>
      </c>
      <c r="B3017" s="3" t="s">
        <v>29</v>
      </c>
      <c r="C3017" s="4" t="str">
        <f>hyperlink("https://terraria.gamepedia.com/Music_Boxes","Music Box (Lunar Boss)")</f>
        <v>Music Box (Lunar Boss)</v>
      </c>
    </row>
    <row r="3018">
      <c r="A3018" s="2">
        <v>3045.0</v>
      </c>
      <c r="B3018" s="3" t="s">
        <v>7</v>
      </c>
      <c r="C3018" s="4" t="str">
        <f>hyperlink("https://terraria.gamepedia.com/Torches","Rainbow Torch")</f>
        <v>Rainbow Torch</v>
      </c>
    </row>
    <row r="3019">
      <c r="A3019" s="2">
        <v>3046.0</v>
      </c>
      <c r="B3019" s="3" t="s">
        <v>7</v>
      </c>
      <c r="C3019" s="4" t="str">
        <f>hyperlink("https://terraria.gamepedia.com/Campfires","Cursed Campfire")</f>
        <v>Cursed Campfire</v>
      </c>
    </row>
    <row r="3020">
      <c r="A3020" s="2">
        <v>3047.0</v>
      </c>
      <c r="B3020" s="3" t="s">
        <v>7</v>
      </c>
      <c r="C3020" s="4" t="str">
        <f>hyperlink("https://terraria.gamepedia.com/Campfires","Demon Campfire")</f>
        <v>Demon Campfire</v>
      </c>
    </row>
    <row r="3021">
      <c r="A3021" s="2">
        <v>3048.0</v>
      </c>
      <c r="B3021" s="3" t="s">
        <v>7</v>
      </c>
      <c r="C3021" s="4" t="str">
        <f>hyperlink("https://terraria.gamepedia.com/Campfires","Frozen Campfire")</f>
        <v>Frozen Campfire</v>
      </c>
    </row>
    <row r="3022">
      <c r="A3022" s="2">
        <v>3049.0</v>
      </c>
      <c r="B3022" s="3" t="s">
        <v>7</v>
      </c>
      <c r="C3022" s="4" t="str">
        <f>hyperlink("https://terraria.gamepedia.com/Campfires","Ichor Campfire")</f>
        <v>Ichor Campfire</v>
      </c>
    </row>
    <row r="3023">
      <c r="A3023" s="2">
        <v>3050.0</v>
      </c>
      <c r="B3023" s="3" t="s">
        <v>7</v>
      </c>
      <c r="C3023" s="4" t="str">
        <f>hyperlink("https://terraria.gamepedia.com/Campfires","Rainbow Campfire")</f>
        <v>Rainbow Campfire</v>
      </c>
    </row>
    <row r="3024">
      <c r="A3024" s="2">
        <v>3051.0</v>
      </c>
      <c r="B3024" s="3" t="s">
        <v>5</v>
      </c>
      <c r="C3024" s="4" t="str">
        <f>hyperlink("https://terraria.gamepedia.com/Crystal_Vile_Shard","Crystal Vile Shard")</f>
        <v>Crystal Vile Shard</v>
      </c>
    </row>
    <row r="3025">
      <c r="A3025" s="2">
        <v>3052.0</v>
      </c>
      <c r="B3025" s="3" t="s">
        <v>5</v>
      </c>
      <c r="C3025" s="4" t="str">
        <f>hyperlink("https://terraria.gamepedia.com/Shadowflame_Bow","Shadowflame Bow")</f>
        <v>Shadowflame Bow</v>
      </c>
    </row>
    <row r="3026">
      <c r="A3026" s="2">
        <v>3053.0</v>
      </c>
      <c r="B3026" s="3" t="s">
        <v>5</v>
      </c>
      <c r="C3026" s="4" t="str">
        <f>hyperlink("https://terraria.gamepedia.com/Shadowflame_Hex_Doll","Shadowflame Hex Doll")</f>
        <v>Shadowflame Hex Doll</v>
      </c>
    </row>
    <row r="3027">
      <c r="A3027" s="2">
        <v>3054.0</v>
      </c>
      <c r="B3027" s="3" t="s">
        <v>5</v>
      </c>
      <c r="C3027" s="4" t="str">
        <f>hyperlink("https://terraria.gamepedia.com/Shadowflame_Knife","Shadowflame Knife")</f>
        <v>Shadowflame Knife</v>
      </c>
    </row>
    <row r="3028">
      <c r="A3028" s="2">
        <v>3055.0</v>
      </c>
      <c r="B3028" s="3" t="s">
        <v>36</v>
      </c>
      <c r="C3028" s="4" t="str">
        <f>hyperlink("https://terraria.gamepedia.com/Paintings","Acorns")</f>
        <v>Acorns</v>
      </c>
    </row>
    <row r="3029">
      <c r="A3029" s="2">
        <v>3056.0</v>
      </c>
      <c r="B3029" s="3" t="s">
        <v>36</v>
      </c>
      <c r="C3029" s="4" t="str">
        <f>hyperlink("https://terraria.gamepedia.com/Paintings","Cold Snap")</f>
        <v>Cold Snap</v>
      </c>
    </row>
    <row r="3030">
      <c r="A3030" s="2">
        <v>3057.0</v>
      </c>
      <c r="B3030" s="3" t="s">
        <v>36</v>
      </c>
      <c r="C3030" s="4" t="str">
        <f>hyperlink("https://terraria.gamepedia.com/Paintings","Cursed Saint")</f>
        <v>Cursed Saint</v>
      </c>
    </row>
    <row r="3031">
      <c r="A3031" s="2">
        <v>3058.0</v>
      </c>
      <c r="B3031" s="3" t="s">
        <v>36</v>
      </c>
      <c r="C3031" s="4" t="str">
        <f>hyperlink("https://terraria.gamepedia.com/Paintings","Snowfellas")</f>
        <v>Snowfellas</v>
      </c>
    </row>
    <row r="3032">
      <c r="A3032" s="2">
        <v>3059.0</v>
      </c>
      <c r="B3032" s="3" t="s">
        <v>36</v>
      </c>
      <c r="C3032" s="4" t="str">
        <f>hyperlink("https://terraria.gamepedia.com/Paintings","The Season")</f>
        <v>The Season</v>
      </c>
    </row>
    <row r="3033">
      <c r="A3033" s="2">
        <v>3060.0</v>
      </c>
      <c r="B3033" s="3" t="s">
        <v>22</v>
      </c>
      <c r="C3033" s="4" t="str">
        <f>hyperlink("https://terraria.gamepedia.com/Bone_Rattle","Bone Rattle")</f>
        <v>Bone Rattle</v>
      </c>
    </row>
    <row r="3034">
      <c r="A3034" s="2">
        <v>3061.0</v>
      </c>
      <c r="B3034" s="3" t="s">
        <v>10</v>
      </c>
      <c r="C3034" s="4" t="str">
        <f>hyperlink("https://terraria.gamepedia.com/Architect_Gizmo_Pack","Architect Gizmo Pack")</f>
        <v>Architect Gizmo Pack</v>
      </c>
    </row>
    <row r="3035">
      <c r="A3035" s="2">
        <v>3062.0</v>
      </c>
      <c r="B3035" s="3" t="s">
        <v>22</v>
      </c>
      <c r="C3035" s="4" t="str">
        <f>hyperlink("https://terraria.gamepedia.com/Crimson_Heart_(item)","Crimson Heart")</f>
        <v>Crimson Heart</v>
      </c>
    </row>
    <row r="3036">
      <c r="A3036" s="2">
        <v>3063.0</v>
      </c>
      <c r="B3036" s="3" t="s">
        <v>5</v>
      </c>
      <c r="C3036" s="4" t="str">
        <f>hyperlink("https://terraria.gamepedia.com/Meowmere","Meowmere")</f>
        <v>Meowmere</v>
      </c>
    </row>
    <row r="3037">
      <c r="A3037" s="2">
        <v>3064.0</v>
      </c>
      <c r="B3037" s="3" t="s">
        <v>3</v>
      </c>
      <c r="C3037" s="4" t="str">
        <f>hyperlink("https://terraria.gamepedia.com/Enchanted_Sundial","Enchanted Sundial")</f>
        <v>Enchanted Sundial</v>
      </c>
    </row>
    <row r="3038">
      <c r="A3038" s="2">
        <v>3065.0</v>
      </c>
      <c r="B3038" s="3" t="s">
        <v>5</v>
      </c>
      <c r="C3038" s="4" t="str">
        <f>hyperlink("https://terraria.gamepedia.com/Star_Wrath","Star Wrath")</f>
        <v>Star Wrath</v>
      </c>
    </row>
    <row r="3039">
      <c r="A3039" s="2">
        <v>3066.0</v>
      </c>
      <c r="B3039" s="3" t="s">
        <v>4</v>
      </c>
      <c r="C3039" s="4" t="str">
        <f>hyperlink("https://terraria.gamepedia.com/Smooth_Marble_Block","Smooth Marble Block")</f>
        <v>Smooth Marble Block</v>
      </c>
    </row>
    <row r="3040">
      <c r="A3040" s="2">
        <v>3067.0</v>
      </c>
      <c r="B3040" s="3" t="s">
        <v>13</v>
      </c>
      <c r="C3040" s="4" t="str">
        <f>hyperlink("https://terraria.gamepedia.com/Hellstone_Brick_Wall","Hellstone Brick Wall")</f>
        <v>Hellstone Brick Wall</v>
      </c>
    </row>
    <row r="3041">
      <c r="A3041" s="2">
        <v>3068.0</v>
      </c>
      <c r="B3041" s="3" t="s">
        <v>10</v>
      </c>
      <c r="C3041" s="4" t="str">
        <f>hyperlink("https://terraria.gamepedia.com/Guide_to_Plant_Fiber_Cordage","Guide to Plant Fiber Cordage")</f>
        <v>Guide to Plant Fiber Cordage</v>
      </c>
    </row>
    <row r="3042">
      <c r="A3042" s="2">
        <v>3069.0</v>
      </c>
      <c r="B3042" s="3" t="s">
        <v>5</v>
      </c>
      <c r="C3042" s="4" t="str">
        <f>hyperlink("https://terraria.gamepedia.com/Wand_of_Sparking","Wand of Sparking")</f>
        <v>Wand of Sparking</v>
      </c>
    </row>
    <row r="3043">
      <c r="A3043" s="2">
        <v>3070.0</v>
      </c>
      <c r="B3043" s="3" t="s">
        <v>24</v>
      </c>
      <c r="C3043" s="4" t="str">
        <f>hyperlink("https://terraria.gamepedia.com/Cages","Gold Bird Cage")</f>
        <v>Gold Bird Cage</v>
      </c>
    </row>
    <row r="3044">
      <c r="A3044" s="2">
        <v>3071.0</v>
      </c>
      <c r="B3044" s="3" t="s">
        <v>24</v>
      </c>
      <c r="C3044" s="4" t="str">
        <f>hyperlink("https://terraria.gamepedia.com/Cages","Gold Bunny Cage")</f>
        <v>Gold Bunny Cage</v>
      </c>
    </row>
    <row r="3045">
      <c r="A3045" s="2">
        <v>3072.0</v>
      </c>
      <c r="B3045" s="3" t="s">
        <v>24</v>
      </c>
      <c r="C3045" s="4" t="str">
        <f>hyperlink("https://terraria.gamepedia.com/Butterfly_Jars","Gold Butterfly Jar")</f>
        <v>Gold Butterfly Jar</v>
      </c>
    </row>
    <row r="3046">
      <c r="A3046" s="2">
        <v>3073.0</v>
      </c>
      <c r="B3046" s="3" t="s">
        <v>24</v>
      </c>
      <c r="C3046" s="4" t="str">
        <f>hyperlink("https://terraria.gamepedia.com/Cages","Gold Frog Cage")</f>
        <v>Gold Frog Cage</v>
      </c>
    </row>
    <row r="3047">
      <c r="A3047" s="2">
        <v>3074.0</v>
      </c>
      <c r="B3047" s="3" t="s">
        <v>24</v>
      </c>
      <c r="C3047" s="4" t="str">
        <f>hyperlink("https://terraria.gamepedia.com/Cages","Gold Grasshopper Cage")</f>
        <v>Gold Grasshopper Cage</v>
      </c>
    </row>
    <row r="3048">
      <c r="A3048" s="2">
        <v>3075.0</v>
      </c>
      <c r="B3048" s="3" t="s">
        <v>24</v>
      </c>
      <c r="C3048" s="4" t="str">
        <f>hyperlink("https://terraria.gamepedia.com/Cages","Gold Mouse Cage")</f>
        <v>Gold Mouse Cage</v>
      </c>
    </row>
    <row r="3049">
      <c r="A3049" s="2">
        <v>3076.0</v>
      </c>
      <c r="B3049" s="3" t="s">
        <v>24</v>
      </c>
      <c r="C3049" s="4" t="str">
        <f>hyperlink("https://terraria.gamepedia.com/Cages","Gold Worm Cage")</f>
        <v>Gold Worm Cage</v>
      </c>
    </row>
    <row r="3050">
      <c r="A3050" s="2">
        <v>3077.0</v>
      </c>
      <c r="B3050" s="3" t="s">
        <v>15</v>
      </c>
      <c r="C3050" s="4" t="str">
        <f>hyperlink("https://terraria.gamepedia.com/Ropes","Silk Rope")</f>
        <v>Silk Rope</v>
      </c>
    </row>
    <row r="3051">
      <c r="A3051" s="2">
        <v>3078.0</v>
      </c>
      <c r="B3051" s="3" t="s">
        <v>15</v>
      </c>
      <c r="C3051" s="4" t="str">
        <f>hyperlink("https://terraria.gamepedia.com/Ropes","Web Rope")</f>
        <v>Web Rope</v>
      </c>
    </row>
    <row r="3052">
      <c r="A3052" s="2">
        <v>3079.0</v>
      </c>
      <c r="B3052" s="3" t="s">
        <v>15</v>
      </c>
      <c r="C3052" s="4" t="str">
        <f>hyperlink("https://terraria.gamepedia.com/Rope_Coils","Silk Rope Coil")</f>
        <v>Silk Rope Coil</v>
      </c>
    </row>
    <row r="3053">
      <c r="A3053" s="2">
        <v>3080.0</v>
      </c>
      <c r="B3053" s="3" t="s">
        <v>15</v>
      </c>
      <c r="C3053" s="4" t="str">
        <f>hyperlink("https://terraria.gamepedia.com/Rope_Coils","Web Rope Coil")</f>
        <v>Web Rope Coil</v>
      </c>
    </row>
    <row r="3054">
      <c r="A3054" s="2">
        <v>3081.0</v>
      </c>
      <c r="B3054" s="3" t="s">
        <v>4</v>
      </c>
      <c r="C3054" s="4" t="str">
        <f>hyperlink("https://terraria.gamepedia.com/Marble_Block","Marble Block")</f>
        <v>Marble Block</v>
      </c>
    </row>
    <row r="3055">
      <c r="A3055" s="2">
        <v>3082.0</v>
      </c>
      <c r="B3055" s="3" t="s">
        <v>13</v>
      </c>
      <c r="C3055" s="4" t="str">
        <f>hyperlink("https://terraria.gamepedia.com/Marble_Wall","Marble Wall")</f>
        <v>Marble Wall</v>
      </c>
    </row>
    <row r="3056">
      <c r="A3056" s="2">
        <v>3083.0</v>
      </c>
      <c r="B3056" s="3" t="s">
        <v>13</v>
      </c>
      <c r="C3056" s="4" t="str">
        <f>hyperlink("https://terraria.gamepedia.com/Smooth_Marble_Wall","Smooth Marble Wall")</f>
        <v>Smooth Marble Wall</v>
      </c>
    </row>
    <row r="3057">
      <c r="A3057" s="2">
        <v>3084.0</v>
      </c>
      <c r="B3057" s="3" t="s">
        <v>10</v>
      </c>
      <c r="C3057" s="4" t="str">
        <f>hyperlink("https://terraria.gamepedia.com/Radar","Radar")</f>
        <v>Radar</v>
      </c>
    </row>
    <row r="3058">
      <c r="A3058" s="2">
        <v>3085.0</v>
      </c>
      <c r="B3058" s="3" t="s">
        <v>15</v>
      </c>
      <c r="C3058" s="4" t="str">
        <f>hyperlink("https://terraria.gamepedia.com/Golden_Lock_Box","Golden Lock Box")</f>
        <v>Golden Lock Box</v>
      </c>
    </row>
    <row r="3059">
      <c r="A3059" s="2">
        <v>3086.0</v>
      </c>
      <c r="B3059" s="3" t="s">
        <v>4</v>
      </c>
      <c r="C3059" s="4" t="str">
        <f>hyperlink("https://terraria.gamepedia.com/Granite_Block","Granite Block")</f>
        <v>Granite Block</v>
      </c>
    </row>
    <row r="3060">
      <c r="A3060" s="2">
        <v>3087.0</v>
      </c>
      <c r="B3060" s="3" t="s">
        <v>4</v>
      </c>
      <c r="C3060" s="4" t="str">
        <f>hyperlink("https://terraria.gamepedia.com/Smooth_Granite_Block","Smooth Granite Block")</f>
        <v>Smooth Granite Block</v>
      </c>
    </row>
    <row r="3061">
      <c r="A3061" s="2">
        <v>3088.0</v>
      </c>
      <c r="B3061" s="3" t="s">
        <v>13</v>
      </c>
      <c r="C3061" s="4" t="str">
        <f>hyperlink("https://terraria.gamepedia.com/Granite_Wall","Granite Wall")</f>
        <v>Granite Wall</v>
      </c>
    </row>
    <row r="3062">
      <c r="A3062" s="2">
        <v>3089.0</v>
      </c>
      <c r="B3062" s="3" t="s">
        <v>13</v>
      </c>
      <c r="C3062" s="4" t="str">
        <f>hyperlink("https://terraria.gamepedia.com/Smooth_Granite_Wall","Smooth Granite Wall")</f>
        <v>Smooth Granite Wall</v>
      </c>
    </row>
    <row r="3063">
      <c r="A3063" s="2">
        <v>3090.0</v>
      </c>
      <c r="B3063" s="3" t="s">
        <v>10</v>
      </c>
      <c r="C3063" s="4" t="str">
        <f>hyperlink("https://terraria.gamepedia.com/Royal_Gel","Royal Gel")</f>
        <v>Royal Gel</v>
      </c>
    </row>
    <row r="3064">
      <c r="A3064" s="2">
        <v>3091.0</v>
      </c>
      <c r="B3064" s="3" t="s">
        <v>19</v>
      </c>
      <c r="C3064" s="4" t="str">
        <f>hyperlink("https://terraria.gamepedia.com/Key_of_Night","Key of Night")</f>
        <v>Key of Night</v>
      </c>
    </row>
    <row r="3065">
      <c r="A3065" s="2">
        <v>3092.0</v>
      </c>
      <c r="B3065" s="3" t="s">
        <v>19</v>
      </c>
      <c r="C3065" s="4" t="str">
        <f>hyperlink("https://terraria.gamepedia.com/Key_of_Light","Key of Light")</f>
        <v>Key of Light</v>
      </c>
    </row>
    <row r="3066">
      <c r="A3066" s="2">
        <v>3093.0</v>
      </c>
      <c r="B3066" s="3" t="s">
        <v>15</v>
      </c>
      <c r="C3066" s="4" t="str">
        <f>hyperlink("https://terraria.gamepedia.com/Herb_Bag","Herb Bag")</f>
        <v>Herb Bag</v>
      </c>
    </row>
    <row r="3067">
      <c r="A3067" s="2">
        <v>3094.0</v>
      </c>
      <c r="B3067" s="3" t="s">
        <v>5</v>
      </c>
      <c r="C3067" s="4" t="str">
        <f>hyperlink("https://terraria.gamepedia.com/Javelin","Javelin")</f>
        <v>Javelin</v>
      </c>
    </row>
    <row r="3068">
      <c r="A3068" s="2">
        <v>3095.0</v>
      </c>
      <c r="B3068" s="3" t="s">
        <v>10</v>
      </c>
      <c r="C3068" s="4" t="str">
        <f>hyperlink("https://terraria.gamepedia.com/Tally_Counter","Tally Counter")</f>
        <v>Tally Counter</v>
      </c>
    </row>
    <row r="3069">
      <c r="A3069" s="2">
        <v>3096.0</v>
      </c>
      <c r="B3069" s="3" t="s">
        <v>10</v>
      </c>
      <c r="C3069" s="4" t="str">
        <f>hyperlink("https://terraria.gamepedia.com/Sextant","Sextant")</f>
        <v>Sextant</v>
      </c>
    </row>
    <row r="3070">
      <c r="A3070" s="2">
        <v>3097.0</v>
      </c>
      <c r="B3070" s="3" t="s">
        <v>5</v>
      </c>
      <c r="C3070" s="4" t="str">
        <f>hyperlink("https://terraria.gamepedia.com/Shield_of_Cthulhu","Shield of Cthulhu")</f>
        <v>Shield of Cthulhu</v>
      </c>
    </row>
    <row r="3071">
      <c r="A3071" s="2">
        <v>3098.0</v>
      </c>
      <c r="B3071" s="3" t="s">
        <v>5</v>
      </c>
      <c r="C3071" s="4" t="str">
        <f>hyperlink("https://terraria.gamepedia.com/Butcher's_Chainsaw","Butcher's Chainsaw")</f>
        <v>Butcher's Chainsaw</v>
      </c>
    </row>
    <row r="3072">
      <c r="A3072" s="2">
        <v>3099.0</v>
      </c>
      <c r="B3072" s="3" t="s">
        <v>10</v>
      </c>
      <c r="C3072" s="4" t="str">
        <f>hyperlink("https://terraria.gamepedia.com/Stopwatch","Stopwatch")</f>
        <v>Stopwatch</v>
      </c>
    </row>
    <row r="3073">
      <c r="A3073" s="2">
        <v>3100.0</v>
      </c>
      <c r="B3073" s="3" t="s">
        <v>4</v>
      </c>
      <c r="C3073" s="4" t="str">
        <f>hyperlink("https://terraria.gamepedia.com/Meteorite_Brick","Meteorite Brick")</f>
        <v>Meteorite Brick</v>
      </c>
    </row>
    <row r="3074">
      <c r="A3074" s="2">
        <v>3101.0</v>
      </c>
      <c r="B3074" s="3" t="s">
        <v>13</v>
      </c>
      <c r="C3074" s="4" t="str">
        <f>hyperlink("https://terraria.gamepedia.com/Meteorite_Brick_Wall","Meteorite Brick Wall")</f>
        <v>Meteorite Brick Wall</v>
      </c>
    </row>
    <row r="3075">
      <c r="A3075" s="2">
        <v>3102.0</v>
      </c>
      <c r="B3075" s="3" t="s">
        <v>10</v>
      </c>
      <c r="C3075" s="4" t="str">
        <f>hyperlink("https://terraria.gamepedia.com/Metal_Detector","Metal Detector")</f>
        <v>Metal Detector</v>
      </c>
    </row>
    <row r="3076">
      <c r="A3076" s="2">
        <v>3103.0</v>
      </c>
      <c r="B3076" s="3" t="s">
        <v>10</v>
      </c>
      <c r="C3076" s="4" t="str">
        <f>hyperlink("https://terraria.gamepedia.com/Endless_Quiver","Endless Quiver")</f>
        <v>Endless Quiver</v>
      </c>
    </row>
    <row r="3077">
      <c r="A3077" s="2">
        <v>3104.0</v>
      </c>
      <c r="B3077" s="3" t="s">
        <v>10</v>
      </c>
      <c r="C3077" s="4" t="str">
        <f>hyperlink("https://terraria.gamepedia.com/Endless_Musket_Pouch","Endless Musket Pouch")</f>
        <v>Endless Musket Pouch</v>
      </c>
    </row>
    <row r="3078">
      <c r="A3078" s="2">
        <v>3105.0</v>
      </c>
      <c r="B3078" s="3" t="s">
        <v>5</v>
      </c>
      <c r="C3078" s="4" t="str">
        <f>hyperlink("https://terraria.gamepedia.com/Toxic_Flask","Toxic Flask")</f>
        <v>Toxic Flask</v>
      </c>
    </row>
    <row r="3079">
      <c r="A3079" s="2">
        <v>3106.0</v>
      </c>
      <c r="B3079" s="3" t="s">
        <v>5</v>
      </c>
      <c r="C3079" s="4" t="str">
        <f>hyperlink("https://terraria.gamepedia.com/Psycho_Knife","Psycho Knife")</f>
        <v>Psycho Knife</v>
      </c>
    </row>
    <row r="3080">
      <c r="A3080" s="2">
        <v>3107.0</v>
      </c>
      <c r="B3080" s="3" t="s">
        <v>5</v>
      </c>
      <c r="C3080" s="4" t="str">
        <f>hyperlink("https://terraria.gamepedia.com/Nail_Gun","Nail Gun")</f>
        <v>Nail Gun</v>
      </c>
    </row>
    <row r="3081">
      <c r="A3081" s="2">
        <v>3108.0</v>
      </c>
      <c r="B3081" s="3" t="s">
        <v>18</v>
      </c>
      <c r="C3081" s="4" t="str">
        <f>hyperlink("https://terraria.gamepedia.com/Nail","Nail")</f>
        <v>Nail</v>
      </c>
    </row>
    <row r="3082">
      <c r="A3082" s="2">
        <v>3109.0</v>
      </c>
      <c r="B3082" s="3" t="s">
        <v>17</v>
      </c>
      <c r="C3082" s="4" t="str">
        <f>hyperlink("https://terraria.gamepedia.com/Night_Vision_Helmet","Night Vision Helmet")</f>
        <v>Night Vision Helmet</v>
      </c>
    </row>
    <row r="3083">
      <c r="A3083" s="2">
        <v>3110.0</v>
      </c>
      <c r="B3083" s="3" t="s">
        <v>10</v>
      </c>
      <c r="C3083" s="4" t="str">
        <f>hyperlink("https://terraria.gamepedia.com/Celestial_Shell","Celestial Shell")</f>
        <v>Celestial Shell</v>
      </c>
    </row>
    <row r="3084">
      <c r="A3084" s="2">
        <v>3111.0</v>
      </c>
      <c r="B3084" s="3" t="s">
        <v>11</v>
      </c>
      <c r="C3084" s="4" t="str">
        <f>hyperlink("https://terraria.gamepedia.com/Pink_Gel","Pink Gel")</f>
        <v>Pink Gel</v>
      </c>
    </row>
    <row r="3085">
      <c r="A3085" s="2">
        <v>3112.0</v>
      </c>
      <c r="B3085" s="3" t="s">
        <v>15</v>
      </c>
      <c r="C3085" s="4" t="str">
        <f>hyperlink("https://terraria.gamepedia.com/Bouncy_Glowstick","Bouncy Glowstick")</f>
        <v>Bouncy Glowstick</v>
      </c>
    </row>
    <row r="3086">
      <c r="A3086" s="2">
        <v>3113.0</v>
      </c>
      <c r="B3086" s="3" t="s">
        <v>4</v>
      </c>
      <c r="C3086" s="4" t="str">
        <f>hyperlink("https://terraria.gamepedia.com/Pink_Slime_Block","Pink Slime Block")</f>
        <v>Pink Slime Block</v>
      </c>
    </row>
    <row r="3087">
      <c r="A3087" s="2">
        <v>3114.0</v>
      </c>
      <c r="B3087" s="3" t="s">
        <v>7</v>
      </c>
      <c r="C3087" s="4" t="str">
        <f>hyperlink("https://terraria.gamepedia.com/Torches","Pink Torch")</f>
        <v>Pink Torch</v>
      </c>
    </row>
    <row r="3088">
      <c r="A3088" s="2">
        <v>3115.0</v>
      </c>
      <c r="B3088" s="3" t="s">
        <v>18</v>
      </c>
      <c r="C3088" s="4" t="str">
        <f>hyperlink("https://terraria.gamepedia.com/Bouncy_Bomb","Bouncy Bomb")</f>
        <v>Bouncy Bomb</v>
      </c>
    </row>
    <row r="3089">
      <c r="A3089" s="2">
        <v>3116.0</v>
      </c>
      <c r="B3089" s="3" t="s">
        <v>18</v>
      </c>
      <c r="C3089" s="4" t="str">
        <f>hyperlink("https://terraria.gamepedia.com/Bouncy_Grenade","Bouncy Grenade")</f>
        <v>Bouncy Grenade</v>
      </c>
    </row>
    <row r="3090">
      <c r="A3090" s="2">
        <v>3117.0</v>
      </c>
      <c r="B3090" s="3" t="s">
        <v>7</v>
      </c>
      <c r="C3090" s="4" t="str">
        <f>hyperlink("https://terraria.gamepedia.com/Peace_Candle","Peace Candle")</f>
        <v>Peace Candle</v>
      </c>
    </row>
    <row r="3091">
      <c r="A3091" s="2">
        <v>3118.0</v>
      </c>
      <c r="B3091" s="3" t="s">
        <v>10</v>
      </c>
      <c r="C3091" s="4" t="str">
        <f>hyperlink("https://terraria.gamepedia.com/Lifeform_Analyzer","Lifeform Analyzer")</f>
        <v>Lifeform Analyzer</v>
      </c>
    </row>
    <row r="3092">
      <c r="A3092" s="2">
        <v>3119.0</v>
      </c>
      <c r="B3092" s="3" t="s">
        <v>10</v>
      </c>
      <c r="C3092" s="4" t="str">
        <f>hyperlink("https://terraria.gamepedia.com/DPS_Meter","DPS Meter")</f>
        <v>DPS Meter</v>
      </c>
    </row>
    <row r="3093">
      <c r="A3093" s="2">
        <v>3120.0</v>
      </c>
      <c r="B3093" s="3" t="s">
        <v>10</v>
      </c>
      <c r="C3093" s="4" t="str">
        <f>hyperlink("https://terraria.gamepedia.com/Fisherman's_Pocket_Guide","Fisherman's Pocket Guide")</f>
        <v>Fisherman's Pocket Guide</v>
      </c>
    </row>
    <row r="3094">
      <c r="A3094" s="2">
        <v>3121.0</v>
      </c>
      <c r="B3094" s="3" t="s">
        <v>10</v>
      </c>
      <c r="C3094" s="4" t="str">
        <f>hyperlink("https://terraria.gamepedia.com/Goblin_Tech","Goblin Tech")</f>
        <v>Goblin Tech</v>
      </c>
    </row>
    <row r="3095">
      <c r="A3095" s="2">
        <v>3122.0</v>
      </c>
      <c r="B3095" s="3" t="s">
        <v>10</v>
      </c>
      <c r="C3095" s="4" t="str">
        <f>hyperlink("https://terraria.gamepedia.com/R.E.K._3000","R.E.K. 3000")</f>
        <v>R.E.K. 3000</v>
      </c>
    </row>
    <row r="3096">
      <c r="A3096" s="2">
        <v>3123.0</v>
      </c>
      <c r="B3096" s="3" t="s">
        <v>10</v>
      </c>
      <c r="C3096" s="4" t="str">
        <f>hyperlink("https://terraria.gamepedia.com/PDA","PDA")</f>
        <v>PDA</v>
      </c>
    </row>
    <row r="3097">
      <c r="A3097" s="2">
        <v>3124.0</v>
      </c>
      <c r="B3097" s="3" t="s">
        <v>10</v>
      </c>
      <c r="C3097" s="4" t="str">
        <f>hyperlink("https://terraria.gamepedia.com/Cell_Phone","Cell Phone")</f>
        <v>Cell Phone</v>
      </c>
    </row>
    <row r="3098">
      <c r="A3098" s="2">
        <v>3125.0</v>
      </c>
      <c r="B3098" s="3" t="s">
        <v>20</v>
      </c>
      <c r="C3098" s="4" t="str">
        <f>hyperlink("https://terraria.gamepedia.com/Granite_Chest","Granite Chest")</f>
        <v>Granite Chest</v>
      </c>
    </row>
    <row r="3099">
      <c r="A3099" s="2">
        <v>3126.0</v>
      </c>
      <c r="B3099" s="3" t="s">
        <v>31</v>
      </c>
      <c r="C3099" s="4" t="str">
        <f>hyperlink("https://terraria.gamepedia.com/Grandfather_Clocks","Meteorite Clock")</f>
        <v>Meteorite Clock</v>
      </c>
    </row>
    <row r="3100">
      <c r="A3100" s="2">
        <v>3127.0</v>
      </c>
      <c r="B3100" s="3" t="s">
        <v>31</v>
      </c>
      <c r="C3100" s="4" t="str">
        <f>hyperlink("https://terraria.gamepedia.com/Grandfather_Clocks","Marble Clock")</f>
        <v>Marble Clock</v>
      </c>
    </row>
    <row r="3101">
      <c r="A3101" s="2">
        <v>3128.0</v>
      </c>
      <c r="B3101" s="3" t="s">
        <v>31</v>
      </c>
      <c r="C3101" s="4" t="str">
        <f>hyperlink("https://terraria.gamepedia.com/Grandfather_Clocks","Granite Clock")</f>
        <v>Granite Clock</v>
      </c>
    </row>
    <row r="3102">
      <c r="A3102" s="2">
        <v>3129.0</v>
      </c>
      <c r="B3102" s="3" t="s">
        <v>31</v>
      </c>
      <c r="C3102" s="4" t="str">
        <f>hyperlink("https://terraria.gamepedia.com/Doors","Meteorite Door")</f>
        <v>Meteorite Door</v>
      </c>
    </row>
    <row r="3103">
      <c r="A3103" s="2">
        <v>3130.0</v>
      </c>
      <c r="B3103" s="3" t="s">
        <v>31</v>
      </c>
      <c r="C3103" s="4" t="str">
        <f>hyperlink("https://terraria.gamepedia.com/Doors","Marble Door")</f>
        <v>Marble Door</v>
      </c>
    </row>
    <row r="3104">
      <c r="A3104" s="2">
        <v>3131.0</v>
      </c>
      <c r="B3104" s="3" t="s">
        <v>31</v>
      </c>
      <c r="C3104" s="4" t="str">
        <f>hyperlink("https://terraria.gamepedia.com/Doors","Granite Door")</f>
        <v>Granite Door</v>
      </c>
    </row>
    <row r="3105">
      <c r="A3105" s="2">
        <v>3132.0</v>
      </c>
      <c r="B3105" s="3" t="s">
        <v>31</v>
      </c>
      <c r="C3105" s="4" t="str">
        <f>hyperlink("https://terraria.gamepedia.com/Dressers","Meteorite Dresser")</f>
        <v>Meteorite Dresser</v>
      </c>
    </row>
    <row r="3106">
      <c r="A3106" s="2">
        <v>3133.0</v>
      </c>
      <c r="B3106" s="3" t="s">
        <v>31</v>
      </c>
      <c r="C3106" s="4" t="str">
        <f>hyperlink("https://terraria.gamepedia.com/Dressers","Marble Dresser")</f>
        <v>Marble Dresser</v>
      </c>
    </row>
    <row r="3107">
      <c r="A3107" s="2">
        <v>3134.0</v>
      </c>
      <c r="B3107" s="3" t="s">
        <v>31</v>
      </c>
      <c r="C3107" s="4" t="str">
        <f>hyperlink("https://terraria.gamepedia.com/Dressers","Granite Dresser")</f>
        <v>Granite Dresser</v>
      </c>
    </row>
    <row r="3108">
      <c r="A3108" s="2">
        <v>3135.0</v>
      </c>
      <c r="B3108" s="3" t="s">
        <v>7</v>
      </c>
      <c r="C3108" s="4" t="str">
        <f>hyperlink("https://terraria.gamepedia.com/Lamps","Meteorite Lamp")</f>
        <v>Meteorite Lamp</v>
      </c>
    </row>
    <row r="3109">
      <c r="A3109" s="2">
        <v>3136.0</v>
      </c>
      <c r="B3109" s="3" t="s">
        <v>7</v>
      </c>
      <c r="C3109" s="4" t="str">
        <f>hyperlink("https://terraria.gamepedia.com/Lamps","Marble Lamp")</f>
        <v>Marble Lamp</v>
      </c>
    </row>
    <row r="3110">
      <c r="A3110" s="2">
        <v>3137.0</v>
      </c>
      <c r="B3110" s="3" t="s">
        <v>7</v>
      </c>
      <c r="C3110" s="4" t="str">
        <f>hyperlink("https://terraria.gamepedia.com/Lamps","Granite Lamp")</f>
        <v>Granite Lamp</v>
      </c>
    </row>
    <row r="3111">
      <c r="A3111" s="2">
        <v>3138.0</v>
      </c>
      <c r="B3111" s="3" t="s">
        <v>7</v>
      </c>
      <c r="C3111" s="4" t="str">
        <f>hyperlink("https://terraria.gamepedia.com/Lanterns","Meteorite Lantern")</f>
        <v>Meteorite Lantern</v>
      </c>
    </row>
    <row r="3112">
      <c r="A3112" s="2">
        <v>3139.0</v>
      </c>
      <c r="B3112" s="3" t="s">
        <v>7</v>
      </c>
      <c r="C3112" s="4" t="str">
        <f>hyperlink("https://terraria.gamepedia.com/Lanterns","Marble Lantern")</f>
        <v>Marble Lantern</v>
      </c>
    </row>
    <row r="3113">
      <c r="A3113" s="2">
        <v>3140.0</v>
      </c>
      <c r="B3113" s="3" t="s">
        <v>7</v>
      </c>
      <c r="C3113" s="4" t="str">
        <f>hyperlink("https://terraria.gamepedia.com/Lanterns","Granite Lantern")</f>
        <v>Granite Lantern</v>
      </c>
    </row>
    <row r="3114">
      <c r="A3114" s="2">
        <v>3141.0</v>
      </c>
      <c r="B3114" s="3" t="s">
        <v>31</v>
      </c>
      <c r="C3114" s="4" t="str">
        <f>hyperlink("https://terraria.gamepedia.com/Pianos","Meteorite Piano")</f>
        <v>Meteorite Piano</v>
      </c>
    </row>
    <row r="3115">
      <c r="A3115" s="2">
        <v>3142.0</v>
      </c>
      <c r="B3115" s="3" t="s">
        <v>31</v>
      </c>
      <c r="C3115" s="4" t="str">
        <f>hyperlink("https://terraria.gamepedia.com/Pianos","Marble Piano")</f>
        <v>Marble Piano</v>
      </c>
    </row>
    <row r="3116">
      <c r="A3116" s="2">
        <v>3143.0</v>
      </c>
      <c r="B3116" s="3" t="s">
        <v>31</v>
      </c>
      <c r="C3116" s="4" t="str">
        <f>hyperlink("https://terraria.gamepedia.com/Pianos","Granite Piano")</f>
        <v>Granite Piano</v>
      </c>
    </row>
    <row r="3117">
      <c r="A3117" s="2">
        <v>3144.0</v>
      </c>
      <c r="B3117" s="3" t="s">
        <v>8</v>
      </c>
      <c r="C3117" s="4" t="str">
        <f>hyperlink("https://terraria.gamepedia.com/Platforms","Meteorite Platform")</f>
        <v>Meteorite Platform</v>
      </c>
    </row>
    <row r="3118">
      <c r="A3118" s="2">
        <v>3145.0</v>
      </c>
      <c r="B3118" s="3" t="s">
        <v>8</v>
      </c>
      <c r="C3118" s="4" t="str">
        <f>hyperlink("https://terraria.gamepedia.com/Platforms","Marble Platform")</f>
        <v>Marble Platform</v>
      </c>
    </row>
    <row r="3119">
      <c r="A3119" s="2">
        <v>3146.0</v>
      </c>
      <c r="B3119" s="3" t="s">
        <v>8</v>
      </c>
      <c r="C3119" s="4" t="str">
        <f>hyperlink("https://terraria.gamepedia.com/Platforms","Granite Platform")</f>
        <v>Granite Platform</v>
      </c>
    </row>
    <row r="3120">
      <c r="A3120" s="2">
        <v>3147.0</v>
      </c>
      <c r="B3120" s="3" t="s">
        <v>31</v>
      </c>
      <c r="C3120" s="4" t="str">
        <f>hyperlink("https://terraria.gamepedia.com/Sinks","Meteorite Sink")</f>
        <v>Meteorite Sink</v>
      </c>
    </row>
    <row r="3121">
      <c r="A3121" s="2">
        <v>3148.0</v>
      </c>
      <c r="B3121" s="3" t="s">
        <v>31</v>
      </c>
      <c r="C3121" s="4" t="str">
        <f>hyperlink("https://terraria.gamepedia.com/Sinks","Marble Sink")</f>
        <v>Marble Sink</v>
      </c>
    </row>
    <row r="3122">
      <c r="A3122" s="2">
        <v>3149.0</v>
      </c>
      <c r="B3122" s="3" t="s">
        <v>31</v>
      </c>
      <c r="C3122" s="4" t="str">
        <f>hyperlink("https://terraria.gamepedia.com/Sinks","Granite Sink")</f>
        <v>Granite Sink</v>
      </c>
    </row>
    <row r="3123">
      <c r="A3123" s="2">
        <v>3150.0</v>
      </c>
      <c r="B3123" s="3" t="s">
        <v>31</v>
      </c>
      <c r="C3123" s="4" t="str">
        <f>hyperlink("https://terraria.gamepedia.com/Sofas","Meteorite Sofa")</f>
        <v>Meteorite Sofa</v>
      </c>
    </row>
    <row r="3124">
      <c r="A3124" s="2">
        <v>3151.0</v>
      </c>
      <c r="B3124" s="3" t="s">
        <v>31</v>
      </c>
      <c r="C3124" s="4" t="str">
        <f>hyperlink("https://terraria.gamepedia.com/Sofas","Marble Sofa")</f>
        <v>Marble Sofa</v>
      </c>
    </row>
    <row r="3125">
      <c r="A3125" s="2">
        <v>3152.0</v>
      </c>
      <c r="B3125" s="3" t="s">
        <v>31</v>
      </c>
      <c r="C3125" s="4" t="str">
        <f>hyperlink("https://terraria.gamepedia.com/Sofas","Granite Sofa")</f>
        <v>Granite Sofa</v>
      </c>
    </row>
    <row r="3126">
      <c r="A3126" s="2">
        <v>3153.0</v>
      </c>
      <c r="B3126" s="3" t="s">
        <v>31</v>
      </c>
      <c r="C3126" s="4" t="str">
        <f>hyperlink("https://terraria.gamepedia.com/Tables","Meteorite Table")</f>
        <v>Meteorite Table</v>
      </c>
    </row>
    <row r="3127">
      <c r="A3127" s="2">
        <v>3154.0</v>
      </c>
      <c r="B3127" s="3" t="s">
        <v>31</v>
      </c>
      <c r="C3127" s="4" t="str">
        <f>hyperlink("https://terraria.gamepedia.com/Tables","Marble Table")</f>
        <v>Marble Table</v>
      </c>
    </row>
    <row r="3128">
      <c r="A3128" s="2">
        <v>3155.0</v>
      </c>
      <c r="B3128" s="3" t="s">
        <v>31</v>
      </c>
      <c r="C3128" s="4" t="str">
        <f>hyperlink("https://terraria.gamepedia.com/Tables","Granite Table")</f>
        <v>Granite Table</v>
      </c>
    </row>
    <row r="3129">
      <c r="A3129" s="2">
        <v>3156.0</v>
      </c>
      <c r="B3129" s="3" t="s">
        <v>31</v>
      </c>
      <c r="C3129" s="4" t="str">
        <f>hyperlink("https://terraria.gamepedia.com/Work_Benches","Meteorite Work Bench")</f>
        <v>Meteorite Work Bench</v>
      </c>
    </row>
    <row r="3130">
      <c r="A3130" s="2">
        <v>3157.0</v>
      </c>
      <c r="B3130" s="3" t="s">
        <v>31</v>
      </c>
      <c r="C3130" s="4" t="str">
        <f>hyperlink("https://terraria.gamepedia.com/Work_Benches","Marble Work Bench")</f>
        <v>Marble Work Bench</v>
      </c>
    </row>
    <row r="3131">
      <c r="A3131" s="2">
        <v>3158.0</v>
      </c>
      <c r="B3131" s="3" t="s">
        <v>31</v>
      </c>
      <c r="C3131" s="4" t="str">
        <f>hyperlink("https://terraria.gamepedia.com/Work_Benches","Granite Work Bench")</f>
        <v>Granite Work Bench</v>
      </c>
    </row>
    <row r="3132">
      <c r="A3132" s="2">
        <v>3159.0</v>
      </c>
      <c r="B3132" s="3" t="s">
        <v>31</v>
      </c>
      <c r="C3132" s="4" t="str">
        <f>hyperlink("https://terraria.gamepedia.com/Bathtubs","Meteorite Bathtub")</f>
        <v>Meteorite Bathtub</v>
      </c>
    </row>
    <row r="3133">
      <c r="A3133" s="2">
        <v>3160.0</v>
      </c>
      <c r="B3133" s="3" t="s">
        <v>31</v>
      </c>
      <c r="C3133" s="4" t="str">
        <f>hyperlink("https://terraria.gamepedia.com/Bathtubs","Marble Bathtub")</f>
        <v>Marble Bathtub</v>
      </c>
    </row>
    <row r="3134">
      <c r="A3134" s="2">
        <v>3161.0</v>
      </c>
      <c r="B3134" s="3" t="s">
        <v>31</v>
      </c>
      <c r="C3134" s="4" t="str">
        <f>hyperlink("https://terraria.gamepedia.com/Bathtubs","Granite Bathtub")</f>
        <v>Granite Bathtub</v>
      </c>
    </row>
    <row r="3135">
      <c r="A3135" s="2">
        <v>3162.0</v>
      </c>
      <c r="B3135" s="3" t="s">
        <v>31</v>
      </c>
      <c r="C3135" s="4" t="str">
        <f>hyperlink("https://terraria.gamepedia.com/Beds","Meteorite Bed")</f>
        <v>Meteorite Bed</v>
      </c>
    </row>
    <row r="3136">
      <c r="A3136" s="2">
        <v>3163.0</v>
      </c>
      <c r="B3136" s="3" t="s">
        <v>31</v>
      </c>
      <c r="C3136" s="4" t="str">
        <f>hyperlink("https://terraria.gamepedia.com/Beds","Marble Bed")</f>
        <v>Marble Bed</v>
      </c>
    </row>
    <row r="3137">
      <c r="A3137" s="2">
        <v>3164.0</v>
      </c>
      <c r="B3137" s="3" t="s">
        <v>31</v>
      </c>
      <c r="C3137" s="4" t="str">
        <f>hyperlink("https://terraria.gamepedia.com/Beds","Granite Bed")</f>
        <v>Granite Bed</v>
      </c>
    </row>
    <row r="3138">
      <c r="A3138" s="2">
        <v>3165.0</v>
      </c>
      <c r="B3138" s="3" t="s">
        <v>31</v>
      </c>
      <c r="C3138" s="4" t="str">
        <f>hyperlink("https://terraria.gamepedia.com/Bookcases","Meteorite Bookcase")</f>
        <v>Meteorite Bookcase</v>
      </c>
    </row>
    <row r="3139">
      <c r="A3139" s="2">
        <v>3166.0</v>
      </c>
      <c r="B3139" s="3" t="s">
        <v>31</v>
      </c>
      <c r="C3139" s="4" t="str">
        <f>hyperlink("https://terraria.gamepedia.com/Bookcases","Marble Bookcase")</f>
        <v>Marble Bookcase</v>
      </c>
    </row>
    <row r="3140">
      <c r="A3140" s="2">
        <v>3167.0</v>
      </c>
      <c r="B3140" s="3" t="s">
        <v>31</v>
      </c>
      <c r="C3140" s="4" t="str">
        <f>hyperlink("https://terraria.gamepedia.com/Bookcases","Granite Bookcase")</f>
        <v>Granite Bookcase</v>
      </c>
    </row>
    <row r="3141">
      <c r="A3141" s="2">
        <v>3168.0</v>
      </c>
      <c r="B3141" s="3" t="s">
        <v>7</v>
      </c>
      <c r="C3141" s="4" t="str">
        <f>hyperlink("https://terraria.gamepedia.com/Candelabras","Meteorite Candelabra")</f>
        <v>Meteorite Candelabra</v>
      </c>
    </row>
    <row r="3142">
      <c r="A3142" s="2">
        <v>3169.0</v>
      </c>
      <c r="B3142" s="3" t="s">
        <v>7</v>
      </c>
      <c r="C3142" s="4" t="str">
        <f>hyperlink("https://terraria.gamepedia.com/Candelabras","Marble Candelabra")</f>
        <v>Marble Candelabra</v>
      </c>
    </row>
    <row r="3143">
      <c r="A3143" s="2">
        <v>3170.0</v>
      </c>
      <c r="B3143" s="3" t="s">
        <v>7</v>
      </c>
      <c r="C3143" s="4" t="str">
        <f>hyperlink("https://terraria.gamepedia.com/Candelabras","Granite Candelabra")</f>
        <v>Granite Candelabra</v>
      </c>
    </row>
    <row r="3144">
      <c r="A3144" s="2">
        <v>3171.0</v>
      </c>
      <c r="B3144" s="3" t="s">
        <v>7</v>
      </c>
      <c r="C3144" s="4" t="str">
        <f>hyperlink("https://terraria.gamepedia.com/Candles","Meteorite Candle")</f>
        <v>Meteorite Candle</v>
      </c>
    </row>
    <row r="3145">
      <c r="A3145" s="2">
        <v>3172.0</v>
      </c>
      <c r="B3145" s="3" t="s">
        <v>7</v>
      </c>
      <c r="C3145" s="4" t="str">
        <f>hyperlink("https://terraria.gamepedia.com/Candles","Marble Candle")</f>
        <v>Marble Candle</v>
      </c>
    </row>
    <row r="3146">
      <c r="A3146" s="2">
        <v>3173.0</v>
      </c>
      <c r="B3146" s="3" t="s">
        <v>7</v>
      </c>
      <c r="C3146" s="4" t="str">
        <f>hyperlink("https://terraria.gamepedia.com/Candles","Granite Candle")</f>
        <v>Granite Candle</v>
      </c>
    </row>
    <row r="3147">
      <c r="A3147" s="2">
        <v>3174.0</v>
      </c>
      <c r="B3147" s="3" t="s">
        <v>31</v>
      </c>
      <c r="C3147" s="4" t="str">
        <f>hyperlink("https://terraria.gamepedia.com/Chairs","Meteorite Chair")</f>
        <v>Meteorite Chair</v>
      </c>
    </row>
    <row r="3148">
      <c r="A3148" s="2">
        <v>3175.0</v>
      </c>
      <c r="B3148" s="3" t="s">
        <v>31</v>
      </c>
      <c r="C3148" s="4" t="str">
        <f>hyperlink("https://terraria.gamepedia.com/Chairs","Marble Chair")</f>
        <v>Marble Chair</v>
      </c>
    </row>
    <row r="3149">
      <c r="A3149" s="2">
        <v>3176.0</v>
      </c>
      <c r="B3149" s="3" t="s">
        <v>31</v>
      </c>
      <c r="C3149" s="4" t="str">
        <f>hyperlink("https://terraria.gamepedia.com/Chairs","Granite Chair")</f>
        <v>Granite Chair</v>
      </c>
    </row>
    <row r="3150">
      <c r="A3150" s="2">
        <v>3177.0</v>
      </c>
      <c r="B3150" s="3" t="s">
        <v>7</v>
      </c>
      <c r="C3150" s="4" t="str">
        <f>hyperlink("https://terraria.gamepedia.com/Chandeliers","Meteorite Chandelier")</f>
        <v>Meteorite Chandelier</v>
      </c>
    </row>
    <row r="3151">
      <c r="A3151" s="2">
        <v>3178.0</v>
      </c>
      <c r="B3151" s="3" t="s">
        <v>7</v>
      </c>
      <c r="C3151" s="4" t="str">
        <f>hyperlink("https://terraria.gamepedia.com/Chandeliers","Marble Chandelier")</f>
        <v>Marble Chandelier</v>
      </c>
    </row>
    <row r="3152">
      <c r="A3152" s="2">
        <v>3179.0</v>
      </c>
      <c r="B3152" s="3" t="s">
        <v>7</v>
      </c>
      <c r="C3152" s="4" t="str">
        <f>hyperlink("https://terraria.gamepedia.com/Chandeliers","Granite Chandelier")</f>
        <v>Granite Chandelier</v>
      </c>
    </row>
    <row r="3153">
      <c r="A3153" s="2">
        <v>3180.0</v>
      </c>
      <c r="B3153" s="3" t="s">
        <v>20</v>
      </c>
      <c r="C3153" s="4" t="str">
        <f>hyperlink("https://terraria.gamepedia.com/Chests","Meteorite Chest")</f>
        <v>Meteorite Chest</v>
      </c>
    </row>
    <row r="3154">
      <c r="A3154" s="2">
        <v>3181.0</v>
      </c>
      <c r="B3154" s="3" t="s">
        <v>20</v>
      </c>
      <c r="C3154" s="4" t="str">
        <f>hyperlink("https://terraria.gamepedia.com/Marble_Chest","Marble Chest")</f>
        <v>Marble Chest</v>
      </c>
    </row>
    <row r="3155">
      <c r="A3155" s="2">
        <v>3182.0</v>
      </c>
      <c r="B3155" s="3" t="s">
        <v>15</v>
      </c>
      <c r="C3155" s="4" t="str">
        <f>hyperlink("https://terraria.gamepedia.com/Magic_Droppers","Magic Water Dropper")</f>
        <v>Magic Water Dropper</v>
      </c>
    </row>
    <row r="3156">
      <c r="A3156" s="2">
        <v>3183.0</v>
      </c>
      <c r="B3156" s="3" t="s">
        <v>3</v>
      </c>
      <c r="C3156" s="4" t="str">
        <f>hyperlink("https://terraria.gamepedia.com/Golden_Bug_Net","Golden Bug Net")</f>
        <v>Golden Bug Net</v>
      </c>
    </row>
    <row r="3157">
      <c r="A3157" s="2">
        <v>3184.0</v>
      </c>
      <c r="B3157" s="3" t="s">
        <v>15</v>
      </c>
      <c r="C3157" s="4" t="str">
        <f>hyperlink("https://terraria.gamepedia.com/Magic_Droppers","Magic Lava Dropper")</f>
        <v>Magic Lava Dropper</v>
      </c>
    </row>
    <row r="3158">
      <c r="A3158" s="2">
        <v>3185.0</v>
      </c>
      <c r="B3158" s="3" t="s">
        <v>15</v>
      </c>
      <c r="C3158" s="4" t="str">
        <f>hyperlink("https://terraria.gamepedia.com/Magic_Droppers","Magic Honey Dropper")</f>
        <v>Magic Honey Dropper</v>
      </c>
    </row>
    <row r="3159">
      <c r="A3159" s="2">
        <v>3186.0</v>
      </c>
      <c r="B3159" s="3" t="s">
        <v>15</v>
      </c>
      <c r="C3159" s="4" t="str">
        <f>hyperlink("https://terraria.gamepedia.com/Empty_Dropper","Empty Dropper")</f>
        <v>Empty Dropper</v>
      </c>
    </row>
    <row r="3160">
      <c r="A3160" s="2">
        <v>3187.0</v>
      </c>
      <c r="B3160" s="3" t="s">
        <v>17</v>
      </c>
      <c r="C3160" s="4" t="str">
        <f>hyperlink("https://terraria.gamepedia.com/Gladiator_armor","Gladiator Helmet")</f>
        <v>Gladiator Helmet</v>
      </c>
    </row>
    <row r="3161">
      <c r="A3161" s="2">
        <v>3188.0</v>
      </c>
      <c r="B3161" s="3" t="s">
        <v>17</v>
      </c>
      <c r="C3161" s="4" t="str">
        <f>hyperlink("https://terraria.gamepedia.com/Gladiator_armor","Gladiator Breastplate")</f>
        <v>Gladiator Breastplate</v>
      </c>
    </row>
    <row r="3162">
      <c r="A3162" s="2">
        <v>3189.0</v>
      </c>
      <c r="B3162" s="3" t="s">
        <v>17</v>
      </c>
      <c r="C3162" s="4" t="str">
        <f>hyperlink("https://terraria.gamepedia.com/Gladiator_armor","Gladiator Leggings")</f>
        <v>Gladiator Leggings</v>
      </c>
    </row>
    <row r="3163">
      <c r="A3163" s="2">
        <v>3190.0</v>
      </c>
      <c r="B3163" s="3" t="s">
        <v>33</v>
      </c>
      <c r="C3163" s="4" t="str">
        <f>hyperlink("https://terraria.gamepedia.com/Reflective_Dye","Reflective Dye")</f>
        <v>Reflective Dye</v>
      </c>
    </row>
    <row r="3164">
      <c r="A3164" s="2">
        <v>3191.0</v>
      </c>
      <c r="B3164" s="3" t="s">
        <v>24</v>
      </c>
      <c r="C3164" s="4" t="str">
        <f>hyperlink("https://terraria.gamepedia.com/Enchanted_Nightcrawler","Enchanted Nightcrawler")</f>
        <v>Enchanted Nightcrawler</v>
      </c>
    </row>
    <row r="3165">
      <c r="A3165" s="2">
        <v>3192.0</v>
      </c>
      <c r="B3165" s="3" t="s">
        <v>24</v>
      </c>
      <c r="C3165" s="4" t="str">
        <f>hyperlink("https://terraria.gamepedia.com/Grubby","Grubby")</f>
        <v>Grubby</v>
      </c>
    </row>
    <row r="3166">
      <c r="A3166" s="2">
        <v>3193.0</v>
      </c>
      <c r="B3166" s="3" t="s">
        <v>24</v>
      </c>
      <c r="C3166" s="4" t="str">
        <f>hyperlink("https://terraria.gamepedia.com/Sluggy","Sluggy")</f>
        <v>Sluggy</v>
      </c>
    </row>
    <row r="3167">
      <c r="A3167" s="2">
        <v>3194.0</v>
      </c>
      <c r="B3167" s="3" t="s">
        <v>24</v>
      </c>
      <c r="C3167" s="4" t="str">
        <f>hyperlink("https://terraria.gamepedia.com/Buggy","Buggy")</f>
        <v>Buggy</v>
      </c>
    </row>
    <row r="3168">
      <c r="A3168" s="2">
        <v>3195.0</v>
      </c>
      <c r="B3168" s="3" t="s">
        <v>14</v>
      </c>
      <c r="C3168" s="4" t="str">
        <f>hyperlink("https://terraria.gamepedia.com/Grub_Soup","Grub Soup")</f>
        <v>Grub Soup</v>
      </c>
    </row>
    <row r="3169">
      <c r="A3169" s="2">
        <v>3196.0</v>
      </c>
      <c r="B3169" s="3" t="s">
        <v>18</v>
      </c>
      <c r="C3169" s="4" t="str">
        <f>hyperlink("https://terraria.gamepedia.com/Bomb_Fish","Bomb Fish")</f>
        <v>Bomb Fish</v>
      </c>
    </row>
    <row r="3170">
      <c r="A3170" s="2">
        <v>3197.0</v>
      </c>
      <c r="B3170" s="3" t="s">
        <v>18</v>
      </c>
      <c r="C3170" s="4" t="str">
        <f>hyperlink("https://terraria.gamepedia.com/Frost_Daggerfish","Frost Daggerfish")</f>
        <v>Frost Daggerfish</v>
      </c>
    </row>
    <row r="3171">
      <c r="A3171" s="2">
        <v>3198.0</v>
      </c>
      <c r="B3171" s="3" t="s">
        <v>12</v>
      </c>
      <c r="C3171" s="4" t="str">
        <f>hyperlink("https://terraria.gamepedia.com/Sharpening_Station","Sharpening Station")</f>
        <v>Sharpening Station</v>
      </c>
    </row>
    <row r="3172">
      <c r="A3172" s="2">
        <v>3199.0</v>
      </c>
      <c r="B3172" s="3" t="s">
        <v>3</v>
      </c>
      <c r="C3172" s="4" t="str">
        <f>hyperlink("https://terraria.gamepedia.com/Magic_Mirrors","Ice Mirror")</f>
        <v>Ice Mirror</v>
      </c>
    </row>
    <row r="3173">
      <c r="A3173" s="2">
        <v>3200.0</v>
      </c>
      <c r="B3173" s="3" t="s">
        <v>10</v>
      </c>
      <c r="C3173" s="4" t="str">
        <f>hyperlink("https://terraria.gamepedia.com/Sailfish_Boots","Sailfish Boots")</f>
        <v>Sailfish Boots</v>
      </c>
    </row>
    <row r="3174">
      <c r="A3174" s="2">
        <v>3201.0</v>
      </c>
      <c r="B3174" s="3" t="s">
        <v>10</v>
      </c>
      <c r="C3174" s="4" t="str">
        <f>hyperlink("https://terraria.gamepedia.com/Tsunami_in_a_Bottle","Tsunami in a Bottle")</f>
        <v>Tsunami in a Bottle</v>
      </c>
    </row>
    <row r="3175">
      <c r="A3175" s="2">
        <v>3202.0</v>
      </c>
      <c r="B3175" s="3" t="s">
        <v>12</v>
      </c>
      <c r="C3175" s="4" t="str">
        <f>hyperlink("https://terraria.gamepedia.com/Target_Dummy","Target Dummy")</f>
        <v>Target Dummy</v>
      </c>
    </row>
    <row r="3176">
      <c r="A3176" s="2">
        <v>3203.0</v>
      </c>
      <c r="B3176" s="3" t="s">
        <v>20</v>
      </c>
      <c r="C3176" s="4" t="str">
        <f>hyperlink("https://terraria.gamepedia.com/Corrupt_Crate","Corrupt Crate")</f>
        <v>Corrupt Crate</v>
      </c>
    </row>
    <row r="3177">
      <c r="A3177" s="2">
        <v>3204.0</v>
      </c>
      <c r="B3177" s="3" t="s">
        <v>20</v>
      </c>
      <c r="C3177" s="4" t="str">
        <f>hyperlink("https://terraria.gamepedia.com/Crimson_Crate","Crimson Crate")</f>
        <v>Crimson Crate</v>
      </c>
    </row>
    <row r="3178">
      <c r="A3178" s="2">
        <v>3205.0</v>
      </c>
      <c r="B3178" s="3" t="s">
        <v>20</v>
      </c>
      <c r="C3178" s="4" t="str">
        <f>hyperlink("https://terraria.gamepedia.com/Dungeon_Crate","Dungeon Crate")</f>
        <v>Dungeon Crate</v>
      </c>
    </row>
    <row r="3179">
      <c r="A3179" s="2">
        <v>3206.0</v>
      </c>
      <c r="B3179" s="3" t="s">
        <v>20</v>
      </c>
      <c r="C3179" s="4" t="str">
        <f>hyperlink("https://terraria.gamepedia.com/Sky_Crate","Sky Crate")</f>
        <v>Sky Crate</v>
      </c>
    </row>
    <row r="3180">
      <c r="A3180" s="2">
        <v>3207.0</v>
      </c>
      <c r="B3180" s="3" t="s">
        <v>20</v>
      </c>
      <c r="C3180" s="4" t="str">
        <f>hyperlink("https://terraria.gamepedia.com/Hallowed_Crate","Hallowed Crate")</f>
        <v>Hallowed Crate</v>
      </c>
    </row>
    <row r="3181">
      <c r="A3181" s="2">
        <v>3208.0</v>
      </c>
      <c r="B3181" s="3" t="s">
        <v>20</v>
      </c>
      <c r="C3181" s="4" t="str">
        <f>hyperlink("https://terraria.gamepedia.com/Jungle_Crate","Jungle Crate")</f>
        <v>Jungle Crate</v>
      </c>
    </row>
    <row r="3182">
      <c r="A3182" s="2">
        <v>3209.0</v>
      </c>
      <c r="B3182" s="3" t="s">
        <v>5</v>
      </c>
      <c r="C3182" s="4" t="str">
        <f>hyperlink("https://terraria.gamepedia.com/Crystal_Serpent","Crystal Serpent")</f>
        <v>Crystal Serpent</v>
      </c>
    </row>
    <row r="3183">
      <c r="A3183" s="2">
        <v>3210.0</v>
      </c>
      <c r="B3183" s="3" t="s">
        <v>39</v>
      </c>
      <c r="C3183" s="4" t="str">
        <f>hyperlink("https://terraria.gamepedia.com/Toxikarp","Toxikarp")</f>
        <v>Toxikarp</v>
      </c>
    </row>
    <row r="3184">
      <c r="A3184" s="2">
        <v>3211.0</v>
      </c>
      <c r="B3184" s="3" t="s">
        <v>5</v>
      </c>
      <c r="C3184" s="4" t="str">
        <f>hyperlink("https://terraria.gamepedia.com/Bladetongue","Bladetongue")</f>
        <v>Bladetongue</v>
      </c>
    </row>
    <row r="3185">
      <c r="A3185" s="2">
        <v>3212.0</v>
      </c>
      <c r="B3185" s="3" t="s">
        <v>10</v>
      </c>
      <c r="C3185" s="4" t="str">
        <f>hyperlink("https://terraria.gamepedia.com/Shark_Tooth_Necklace","Shark Tooth Necklace")</f>
        <v>Shark Tooth Necklace</v>
      </c>
    </row>
    <row r="3186">
      <c r="A3186" s="2">
        <v>3213.0</v>
      </c>
      <c r="B3186" s="3" t="s">
        <v>10</v>
      </c>
      <c r="C3186" s="4" t="str">
        <f>hyperlink("https://terraria.gamepedia.com/Money_Trough","Money Trough")</f>
        <v>Money Trough</v>
      </c>
    </row>
    <row r="3187">
      <c r="A3187" s="2">
        <v>3214.0</v>
      </c>
      <c r="B3187" s="3" t="s">
        <v>4</v>
      </c>
      <c r="C3187" s="4" t="str">
        <f>hyperlink("https://terraria.gamepedia.com/Bubble","Bubble")</f>
        <v>Bubble</v>
      </c>
    </row>
    <row r="3188">
      <c r="A3188" s="2">
        <v>3215.0</v>
      </c>
      <c r="B3188" s="3" t="s">
        <v>6</v>
      </c>
      <c r="C3188" s="4" t="str">
        <f>hyperlink("https://terraria.gamepedia.com/Planter_Boxes","Daybloom Planter Box")</f>
        <v>Daybloom Planter Box</v>
      </c>
    </row>
    <row r="3189">
      <c r="A3189" s="2">
        <v>3216.0</v>
      </c>
      <c r="B3189" s="3" t="s">
        <v>6</v>
      </c>
      <c r="C3189" s="4" t="str">
        <f>hyperlink("https://terraria.gamepedia.com/Planter_Boxes","Moonglow Planter Box")</f>
        <v>Moonglow Planter Box</v>
      </c>
    </row>
    <row r="3190">
      <c r="A3190" s="2">
        <v>3217.0</v>
      </c>
      <c r="B3190" s="3" t="s">
        <v>6</v>
      </c>
      <c r="C3190" s="4" t="str">
        <f t="shared" ref="C3190:C3191" si="1">hyperlink("https://terraria.gamepedia.com/Planter_Boxes","Deathweed Planter Box")</f>
        <v>Deathweed Planter Box</v>
      </c>
    </row>
    <row r="3191">
      <c r="A3191" s="2">
        <v>3218.0</v>
      </c>
      <c r="B3191" s="3" t="s">
        <v>6</v>
      </c>
      <c r="C3191" s="4" t="str">
        <f t="shared" si="1"/>
        <v>Deathweed Planter Box</v>
      </c>
    </row>
    <row r="3192">
      <c r="A3192" s="2">
        <v>3219.0</v>
      </c>
      <c r="B3192" s="3" t="s">
        <v>6</v>
      </c>
      <c r="C3192" s="4" t="str">
        <f>hyperlink("https://terraria.gamepedia.com/Planter_Boxes","Blinkroot Planter Box")</f>
        <v>Blinkroot Planter Box</v>
      </c>
    </row>
    <row r="3193">
      <c r="A3193" s="2">
        <v>3220.0</v>
      </c>
      <c r="B3193" s="3" t="s">
        <v>6</v>
      </c>
      <c r="C3193" s="4" t="str">
        <f>hyperlink("https://terraria.gamepedia.com/Planter_Boxes","Waterleaf Planter Box")</f>
        <v>Waterleaf Planter Box</v>
      </c>
    </row>
    <row r="3194">
      <c r="A3194" s="2">
        <v>3221.0</v>
      </c>
      <c r="B3194" s="3" t="s">
        <v>6</v>
      </c>
      <c r="C3194" s="4" t="str">
        <f>hyperlink("https://terraria.gamepedia.com/Planter_Boxes","Shiverthorn Planter Box")</f>
        <v>Shiverthorn Planter Box</v>
      </c>
    </row>
    <row r="3195">
      <c r="A3195" s="2">
        <v>3222.0</v>
      </c>
      <c r="B3195" s="3" t="s">
        <v>6</v>
      </c>
      <c r="C3195" s="4" t="str">
        <f>hyperlink("https://terraria.gamepedia.com/Planter_Boxes","Fireblossom Planter Box")</f>
        <v>Fireblossom Planter Box</v>
      </c>
    </row>
    <row r="3196">
      <c r="A3196" s="2">
        <v>3223.0</v>
      </c>
      <c r="B3196" s="3" t="s">
        <v>10</v>
      </c>
      <c r="C3196" s="4" t="str">
        <f>hyperlink("https://terraria.gamepedia.com/Brain_of_Confusion","Brain of Confusion")</f>
        <v>Brain of Confusion</v>
      </c>
    </row>
    <row r="3197">
      <c r="A3197" s="2">
        <v>3224.0</v>
      </c>
      <c r="B3197" s="3" t="s">
        <v>10</v>
      </c>
      <c r="C3197" s="4" t="str">
        <f>hyperlink("https://terraria.gamepedia.com/Worm_Scarf","Worm Scarf")</f>
        <v>Worm Scarf</v>
      </c>
    </row>
    <row r="3198">
      <c r="A3198" s="2">
        <v>3225.0</v>
      </c>
      <c r="B3198" s="3" t="s">
        <v>10</v>
      </c>
      <c r="C3198" s="4" t="str">
        <f>hyperlink("https://terraria.gamepedia.com/Balloon_Pufferfish","Balloon Pufferfish")</f>
        <v>Balloon Pufferfish</v>
      </c>
    </row>
    <row r="3199">
      <c r="A3199" s="2">
        <v>3226.0</v>
      </c>
      <c r="B3199" s="3" t="s">
        <v>32</v>
      </c>
      <c r="C3199" s="4" t="str">
        <f>hyperlink("https://terraria.gamepedia.com/Lazure's_set","Lazure's Valkyrie Circlet")</f>
        <v>Lazure's Valkyrie Circlet</v>
      </c>
    </row>
    <row r="3200">
      <c r="A3200" s="2">
        <v>3227.0</v>
      </c>
      <c r="B3200" s="3" t="s">
        <v>32</v>
      </c>
      <c r="C3200" s="4" t="str">
        <f>hyperlink("https://terraria.gamepedia.com/Lazure's_set","Lazure's Valkyrie Cloak")</f>
        <v>Lazure's Valkyrie Cloak</v>
      </c>
    </row>
    <row r="3201">
      <c r="A3201" s="2">
        <v>3228.0</v>
      </c>
      <c r="B3201" s="3" t="s">
        <v>27</v>
      </c>
      <c r="C3201" s="4" t="str">
        <f>hyperlink("https://terraria.gamepedia.com/Wings","Lazure's Barrier Platform")</f>
        <v>Lazure's Barrier Platform</v>
      </c>
    </row>
    <row r="3202">
      <c r="A3202" s="2">
        <v>3229.0</v>
      </c>
      <c r="B3202" s="3" t="s">
        <v>12</v>
      </c>
      <c r="C3202" s="4" t="str">
        <f>hyperlink("https://terraria.gamepedia.com/Tombstones","Golden Cross Grave Marker")</f>
        <v>Golden Cross Grave Marker</v>
      </c>
    </row>
    <row r="3203">
      <c r="A3203" s="2">
        <v>3230.0</v>
      </c>
      <c r="B3203" s="3" t="s">
        <v>12</v>
      </c>
      <c r="C3203" s="4" t="str">
        <f>hyperlink("https://terraria.gamepedia.com/Tombstones","Golden Tombstone")</f>
        <v>Golden Tombstone</v>
      </c>
    </row>
    <row r="3204">
      <c r="A3204" s="2">
        <v>3231.0</v>
      </c>
      <c r="B3204" s="3" t="s">
        <v>12</v>
      </c>
      <c r="C3204" s="4" t="str">
        <f>hyperlink("https://terraria.gamepedia.com/Tombstones","Golden Grave Marker")</f>
        <v>Golden Grave Marker</v>
      </c>
    </row>
    <row r="3205">
      <c r="A3205" s="2">
        <v>3232.0</v>
      </c>
      <c r="B3205" s="3" t="s">
        <v>12</v>
      </c>
      <c r="C3205" s="4" t="str">
        <f>hyperlink("https://terraria.gamepedia.com/Tombstones","Golden Gravestone")</f>
        <v>Golden Gravestone</v>
      </c>
    </row>
    <row r="3206">
      <c r="A3206" s="2">
        <v>3233.0</v>
      </c>
      <c r="B3206" s="3" t="s">
        <v>12</v>
      </c>
      <c r="C3206" s="4" t="str">
        <f>hyperlink("https://terraria.gamepedia.com/Tombstones","Golden Headstone")</f>
        <v>Golden Headstone</v>
      </c>
    </row>
    <row r="3207">
      <c r="A3207" s="2">
        <v>3234.0</v>
      </c>
      <c r="B3207" s="3" t="s">
        <v>4</v>
      </c>
      <c r="C3207" s="4" t="str">
        <f>hyperlink("https://terraria.gamepedia.com/Crystal_Block","Crystal Block")</f>
        <v>Crystal Block</v>
      </c>
    </row>
    <row r="3208">
      <c r="A3208" s="2">
        <v>3235.0</v>
      </c>
      <c r="B3208" s="3" t="s">
        <v>29</v>
      </c>
      <c r="C3208" s="4" t="str">
        <f>hyperlink("https://terraria.gamepedia.com/Music_Boxes","Music Box (Martian Madness)")</f>
        <v>Music Box (Martian Madness)</v>
      </c>
    </row>
    <row r="3209">
      <c r="A3209" s="2">
        <v>3236.0</v>
      </c>
      <c r="B3209" s="3" t="s">
        <v>29</v>
      </c>
      <c r="C3209" s="4" t="str">
        <f>hyperlink("https://terraria.gamepedia.com/Music_Boxes","Music Box (Pirate Invasion)")</f>
        <v>Music Box (Pirate Invasion)</v>
      </c>
    </row>
    <row r="3210">
      <c r="A3210" s="2">
        <v>3237.0</v>
      </c>
      <c r="B3210" s="3" t="s">
        <v>29</v>
      </c>
      <c r="C3210" s="4" t="str">
        <f>hyperlink("https://terraria.gamepedia.com/Music_Boxes","Music Box (Hell)")</f>
        <v>Music Box (Hell)</v>
      </c>
    </row>
    <row r="3211">
      <c r="A3211" s="2">
        <v>3238.0</v>
      </c>
      <c r="B3211" s="3" t="s">
        <v>13</v>
      </c>
      <c r="C3211" s="4" t="str">
        <f>hyperlink("https://terraria.gamepedia.com/Crystal_Block_Wall","Crystal Block Wall")</f>
        <v>Crystal Block Wall</v>
      </c>
    </row>
    <row r="3212">
      <c r="A3212" s="2">
        <v>3239.0</v>
      </c>
      <c r="B3212" s="3" t="s">
        <v>12</v>
      </c>
      <c r="C3212" s="4" t="str">
        <f>hyperlink("https://terraria.gamepedia.com/Trap_Door","Trap Door")</f>
        <v>Trap Door</v>
      </c>
    </row>
    <row r="3213">
      <c r="A3213" s="2">
        <v>3240.0</v>
      </c>
      <c r="B3213" s="3" t="s">
        <v>12</v>
      </c>
      <c r="C3213" s="4" t="str">
        <f>hyperlink("https://terraria.gamepedia.com/Tall_Gate","Tall Gate")</f>
        <v>Tall Gate</v>
      </c>
    </row>
    <row r="3214">
      <c r="A3214" s="2">
        <v>3241.0</v>
      </c>
      <c r="B3214" s="3" t="s">
        <v>10</v>
      </c>
      <c r="C3214" s="4" t="str">
        <f>hyperlink("https://terraria.gamepedia.com/Sharkron_Balloon","Sharkron Balloon")</f>
        <v>Sharkron Balloon</v>
      </c>
    </row>
    <row r="3215">
      <c r="A3215" s="2">
        <v>3242.0</v>
      </c>
      <c r="B3215" s="3" t="s">
        <v>23</v>
      </c>
      <c r="C3215" s="4" t="str">
        <f>hyperlink("https://terraria.gamepedia.com/Tax_Collector's_set","Tax Collector's Hat")</f>
        <v>Tax Collector's Hat</v>
      </c>
    </row>
    <row r="3216">
      <c r="A3216" s="2">
        <v>3243.0</v>
      </c>
      <c r="B3216" s="3" t="s">
        <v>23</v>
      </c>
      <c r="C3216" s="4" t="str">
        <f>hyperlink("https://terraria.gamepedia.com/Tax_Collector's_set","Tax Collector's Suit")</f>
        <v>Tax Collector's Suit</v>
      </c>
    </row>
    <row r="3217">
      <c r="A3217" s="2">
        <v>3244.0</v>
      </c>
      <c r="B3217" s="3" t="s">
        <v>23</v>
      </c>
      <c r="C3217" s="4" t="str">
        <f>hyperlink("https://terraria.gamepedia.com/Tax_Collector's_set","Tax Collector's Pants")</f>
        <v>Tax Collector's Pants</v>
      </c>
    </row>
    <row r="3218">
      <c r="A3218" s="2">
        <v>3245.0</v>
      </c>
      <c r="B3218" s="3" t="s">
        <v>5</v>
      </c>
      <c r="C3218" s="4" t="str">
        <f>hyperlink("https://terraria.gamepedia.com/Bone_Glove","Bone Glove")</f>
        <v>Bone Glove</v>
      </c>
    </row>
    <row r="3219">
      <c r="A3219" s="2">
        <v>3246.0</v>
      </c>
      <c r="B3219" s="3" t="s">
        <v>23</v>
      </c>
      <c r="C3219" s="4" t="str">
        <f>hyperlink("https://terraria.gamepedia.com/Clothier's_set","Clothier's Jacket")</f>
        <v>Clothier's Jacket</v>
      </c>
    </row>
    <row r="3220">
      <c r="A3220" s="2">
        <v>3247.0</v>
      </c>
      <c r="B3220" s="3" t="s">
        <v>23</v>
      </c>
      <c r="C3220" s="4" t="str">
        <f>hyperlink("https://terraria.gamepedia.com/Clothier's_set","Clothier's Pants")</f>
        <v>Clothier's Pants</v>
      </c>
    </row>
    <row r="3221">
      <c r="A3221" s="2">
        <v>3248.0</v>
      </c>
      <c r="B3221" s="3" t="s">
        <v>23</v>
      </c>
      <c r="C3221" s="4" t="str">
        <f>hyperlink("https://terraria.gamepedia.com/Dye_Trader's_set","Dye Trader's Turban")</f>
        <v>Dye Trader's Turban</v>
      </c>
    </row>
    <row r="3222">
      <c r="A3222" s="2">
        <v>3249.0</v>
      </c>
      <c r="B3222" s="3" t="s">
        <v>5</v>
      </c>
      <c r="C3222" s="4" t="str">
        <f>hyperlink("https://terraria.gamepedia.com/Deadly_Sphere_Staff","Deadly Sphere Staff")</f>
        <v>Deadly Sphere Staff</v>
      </c>
    </row>
    <row r="3223">
      <c r="A3223" s="2">
        <v>3250.0</v>
      </c>
      <c r="B3223" s="3" t="s">
        <v>10</v>
      </c>
      <c r="C3223" s="4" t="str">
        <f>hyperlink("https://terraria.gamepedia.com/Green_Horseshoe_Balloon","Green Horseshoe Balloon")</f>
        <v>Green Horseshoe Balloon</v>
      </c>
    </row>
    <row r="3224">
      <c r="A3224" s="2">
        <v>3251.0</v>
      </c>
      <c r="B3224" s="3" t="s">
        <v>10</v>
      </c>
      <c r="C3224" s="4" t="str">
        <f>hyperlink("https://terraria.gamepedia.com/Amber_Horseshoe_Balloon","Amber Horseshoe Balloon")</f>
        <v>Amber Horseshoe Balloon</v>
      </c>
    </row>
    <row r="3225">
      <c r="A3225" s="2">
        <v>3252.0</v>
      </c>
      <c r="B3225" s="3" t="s">
        <v>10</v>
      </c>
      <c r="C3225" s="4" t="str">
        <f>hyperlink("https://terraria.gamepedia.com/Pink_Horseshoe_Balloon","Pink Horseshoe Balloon")</f>
        <v>Pink Horseshoe Balloon</v>
      </c>
    </row>
    <row r="3226">
      <c r="A3226" s="2">
        <v>3253.0</v>
      </c>
      <c r="B3226" s="3" t="s">
        <v>7</v>
      </c>
      <c r="C3226" s="4" t="str">
        <f>hyperlink("https://terraria.gamepedia.com/Lava_Lamp","Lava Lamp")</f>
        <v>Lava Lamp</v>
      </c>
    </row>
    <row r="3227">
      <c r="A3227" s="2">
        <v>3254.0</v>
      </c>
      <c r="B3227" s="3" t="s">
        <v>24</v>
      </c>
      <c r="C3227" s="4" t="str">
        <f>hyperlink("https://terraria.gamepedia.com/Cages","Enchanted Nightcrawler Cage")</f>
        <v>Enchanted Nightcrawler Cage</v>
      </c>
    </row>
    <row r="3228">
      <c r="A3228" s="2">
        <v>3255.0</v>
      </c>
      <c r="B3228" s="3" t="s">
        <v>24</v>
      </c>
      <c r="C3228" s="4" t="str">
        <f>hyperlink("https://terraria.gamepedia.com/Cages","Buggy Cage")</f>
        <v>Buggy Cage</v>
      </c>
    </row>
    <row r="3229">
      <c r="A3229" s="2">
        <v>3256.0</v>
      </c>
      <c r="B3229" s="3" t="s">
        <v>24</v>
      </c>
      <c r="C3229" s="4" t="str">
        <f>hyperlink("https://terraria.gamepedia.com/Cages","Grubby Cage")</f>
        <v>Grubby Cage</v>
      </c>
    </row>
    <row r="3230">
      <c r="A3230" s="2">
        <v>3257.0</v>
      </c>
      <c r="B3230" s="3" t="s">
        <v>24</v>
      </c>
      <c r="C3230" s="4" t="str">
        <f>hyperlink("https://terraria.gamepedia.com/Cages","Sluggy Cage")</f>
        <v>Sluggy Cage</v>
      </c>
    </row>
    <row r="3231">
      <c r="A3231" s="2">
        <v>3258.0</v>
      </c>
      <c r="B3231" s="3" t="s">
        <v>5</v>
      </c>
      <c r="C3231" s="4" t="str">
        <f>hyperlink("https://terraria.gamepedia.com/Slap_Hand","Slap Hand")</f>
        <v>Slap Hand</v>
      </c>
    </row>
    <row r="3232">
      <c r="A3232" s="2">
        <v>3259.0</v>
      </c>
      <c r="B3232" s="3" t="s">
        <v>33</v>
      </c>
      <c r="C3232" s="4" t="str">
        <f>hyperlink("https://terraria.gamepedia.com/Hair_Dyes","Twilight Hair Dye")</f>
        <v>Twilight Hair Dye</v>
      </c>
    </row>
    <row r="3233">
      <c r="A3233" s="2">
        <v>3260.0</v>
      </c>
      <c r="B3233" s="3" t="s">
        <v>22</v>
      </c>
      <c r="C3233" s="4" t="str">
        <f>hyperlink("https://terraria.gamepedia.com/Blessed_Apple","Blessed Apple")</f>
        <v>Blessed Apple</v>
      </c>
    </row>
    <row r="3234">
      <c r="A3234" s="2">
        <v>3261.0</v>
      </c>
      <c r="B3234" s="3" t="s">
        <v>9</v>
      </c>
      <c r="C3234" s="4" t="str">
        <f>hyperlink("https://terraria.gamepedia.com/Spectre_Bar","Spectre Bar")</f>
        <v>Spectre Bar</v>
      </c>
    </row>
    <row r="3235">
      <c r="A3235" s="2">
        <v>3262.0</v>
      </c>
      <c r="B3235" s="3" t="s">
        <v>5</v>
      </c>
      <c r="C3235" s="4" t="str">
        <f>hyperlink("https://terraria.gamepedia.com/Code_1","Code 1")</f>
        <v>Code 1</v>
      </c>
    </row>
    <row r="3236">
      <c r="A3236" s="2">
        <v>3263.0</v>
      </c>
      <c r="B3236" s="3" t="s">
        <v>23</v>
      </c>
      <c r="C3236" s="4" t="str">
        <f>hyperlink("https://terraria.gamepedia.com/Buccaneer_set","Buccaneer Bandana")</f>
        <v>Buccaneer Bandana</v>
      </c>
    </row>
    <row r="3237">
      <c r="A3237" s="2">
        <v>3264.0</v>
      </c>
      <c r="B3237" s="3" t="s">
        <v>23</v>
      </c>
      <c r="C3237" s="4" t="str">
        <f>hyperlink("https://terraria.gamepedia.com/Buccaneer_set","Buccaneer Tunic")</f>
        <v>Buccaneer Tunic</v>
      </c>
    </row>
    <row r="3238">
      <c r="A3238" s="2">
        <v>3265.0</v>
      </c>
      <c r="B3238" s="3" t="s">
        <v>23</v>
      </c>
      <c r="C3238" s="4" t="str">
        <f>hyperlink("https://terraria.gamepedia.com/Buccaneer_set","Buccaneer Pantaloons")</f>
        <v>Buccaneer Pantaloons</v>
      </c>
    </row>
    <row r="3239">
      <c r="A3239" s="2">
        <v>3266.0</v>
      </c>
      <c r="B3239" s="3" t="s">
        <v>17</v>
      </c>
      <c r="C3239" s="4" t="str">
        <f>hyperlink("https://terraria.gamepedia.com/Obsidian_armor","Obsidian Outlaw Hat")</f>
        <v>Obsidian Outlaw Hat</v>
      </c>
    </row>
    <row r="3240">
      <c r="A3240" s="2">
        <v>3267.0</v>
      </c>
      <c r="B3240" s="3" t="s">
        <v>17</v>
      </c>
      <c r="C3240" s="4" t="str">
        <f>hyperlink("https://terraria.gamepedia.com/Obsidian_armor","Obsidian Longcoat")</f>
        <v>Obsidian Longcoat</v>
      </c>
    </row>
    <row r="3241">
      <c r="A3241" s="2">
        <v>3268.0</v>
      </c>
      <c r="B3241" s="3" t="s">
        <v>17</v>
      </c>
      <c r="C3241" s="4" t="str">
        <f>hyperlink("https://terraria.gamepedia.com/Obsidian_armor","Obsidian Pants")</f>
        <v>Obsidian Pants</v>
      </c>
    </row>
    <row r="3242">
      <c r="A3242" s="2">
        <v>3269.0</v>
      </c>
      <c r="B3242" s="3" t="s">
        <v>5</v>
      </c>
      <c r="C3242" s="4" t="str">
        <f>hyperlink("https://terraria.gamepedia.com/Medusa_Head","Medusa Head")</f>
        <v>Medusa Head</v>
      </c>
    </row>
    <row r="3243">
      <c r="A3243" s="2">
        <v>3270.0</v>
      </c>
      <c r="B3243" s="3" t="s">
        <v>12</v>
      </c>
      <c r="C3243" s="4" t="str">
        <f>hyperlink("https://terraria.gamepedia.com/Item_Frame","Item Frame")</f>
        <v>Item Frame</v>
      </c>
    </row>
    <row r="3244">
      <c r="A3244" s="2">
        <v>3271.0</v>
      </c>
      <c r="B3244" s="3" t="s">
        <v>4</v>
      </c>
      <c r="C3244" s="4" t="str">
        <f>hyperlink("https://terraria.gamepedia.com/Sandstone_Blocks","Sandstone Block")</f>
        <v>Sandstone Block</v>
      </c>
    </row>
    <row r="3245">
      <c r="A3245" s="2">
        <v>3272.0</v>
      </c>
      <c r="B3245" s="3" t="s">
        <v>4</v>
      </c>
      <c r="C3245" s="4" t="str">
        <f>hyperlink("https://terraria.gamepedia.com/Hardened_Sand_Blocks","Hardened Sand Block")</f>
        <v>Hardened Sand Block</v>
      </c>
    </row>
    <row r="3246">
      <c r="A3246" s="2">
        <v>3273.0</v>
      </c>
      <c r="B3246" s="3" t="s">
        <v>13</v>
      </c>
      <c r="C3246" s="4" t="str">
        <f>hyperlink("https://terraria.gamepedia.com/Sandstone_Walls","Sandstone Wall")</f>
        <v>Sandstone Wall</v>
      </c>
    </row>
    <row r="3247">
      <c r="A3247" s="2">
        <v>3274.0</v>
      </c>
      <c r="B3247" s="3" t="s">
        <v>4</v>
      </c>
      <c r="C3247" s="4" t="str">
        <f>hyperlink("https://terraria.gamepedia.com/Hardened_Sand_Blocks","Hardened Ebonsand Block")</f>
        <v>Hardened Ebonsand Block</v>
      </c>
    </row>
    <row r="3248">
      <c r="A3248" s="2">
        <v>3275.0</v>
      </c>
      <c r="B3248" s="3" t="s">
        <v>4</v>
      </c>
      <c r="C3248" s="4" t="str">
        <f>hyperlink("https://terraria.gamepedia.com/Hardened_Sand_Blocks","Hardened Crimsand Block")</f>
        <v>Hardened Crimsand Block</v>
      </c>
    </row>
    <row r="3249">
      <c r="A3249" s="2">
        <v>3276.0</v>
      </c>
      <c r="B3249" s="3" t="s">
        <v>4</v>
      </c>
      <c r="C3249" s="4" t="str">
        <f>hyperlink("https://terraria.gamepedia.com/Sandstone_Blocks","Ebonsandstone Block")</f>
        <v>Ebonsandstone Block</v>
      </c>
    </row>
    <row r="3250">
      <c r="A3250" s="2">
        <v>3277.0</v>
      </c>
      <c r="B3250" s="3" t="s">
        <v>4</v>
      </c>
      <c r="C3250" s="4" t="str">
        <f>hyperlink("https://terraria.gamepedia.com/Sandstone_Blocks","Crimsandstone Block")</f>
        <v>Crimsandstone Block</v>
      </c>
    </row>
    <row r="3251">
      <c r="A3251" s="2">
        <v>3278.0</v>
      </c>
      <c r="B3251" s="3" t="s">
        <v>5</v>
      </c>
      <c r="C3251" s="4" t="str">
        <f>hyperlink("https://terraria.gamepedia.com/Wooden_Yoyo","Wooden Yoyo")</f>
        <v>Wooden Yoyo</v>
      </c>
    </row>
    <row r="3252">
      <c r="A3252" s="2">
        <v>3279.0</v>
      </c>
      <c r="B3252" s="3" t="s">
        <v>5</v>
      </c>
      <c r="C3252" s="4" t="str">
        <f>hyperlink("https://terraria.gamepedia.com/Malaise","Malaise")</f>
        <v>Malaise</v>
      </c>
    </row>
    <row r="3253">
      <c r="A3253" s="2">
        <v>3280.0</v>
      </c>
      <c r="B3253" s="3" t="s">
        <v>5</v>
      </c>
      <c r="C3253" s="4" t="str">
        <f>hyperlink("https://terraria.gamepedia.com/Artery","Artery")</f>
        <v>Artery</v>
      </c>
    </row>
    <row r="3254">
      <c r="A3254" s="2">
        <v>3281.0</v>
      </c>
      <c r="B3254" s="3" t="s">
        <v>5</v>
      </c>
      <c r="C3254" s="4" t="str">
        <f>hyperlink("https://terraria.gamepedia.com/Amazon","Amazon")</f>
        <v>Amazon</v>
      </c>
    </row>
    <row r="3255">
      <c r="A3255" s="2">
        <v>3282.0</v>
      </c>
      <c r="B3255" s="3" t="s">
        <v>5</v>
      </c>
      <c r="C3255" s="4" t="str">
        <f>hyperlink("https://terraria.gamepedia.com/Cascade","Cascade")</f>
        <v>Cascade</v>
      </c>
    </row>
    <row r="3256">
      <c r="A3256" s="2">
        <v>3283.0</v>
      </c>
      <c r="B3256" s="3" t="s">
        <v>5</v>
      </c>
      <c r="C3256" s="4" t="str">
        <f>hyperlink("https://terraria.gamepedia.com/Chik","Chik")</f>
        <v>Chik</v>
      </c>
    </row>
    <row r="3257">
      <c r="A3257" s="2">
        <v>3284.0</v>
      </c>
      <c r="B3257" s="3" t="s">
        <v>5</v>
      </c>
      <c r="C3257" s="4" t="str">
        <f>hyperlink("https://terraria.gamepedia.com/Code_2","Code 2")</f>
        <v>Code 2</v>
      </c>
    </row>
    <row r="3258">
      <c r="A3258" s="2">
        <v>3285.0</v>
      </c>
      <c r="B3258" s="3" t="s">
        <v>5</v>
      </c>
      <c r="C3258" s="4" t="str">
        <f>hyperlink("https://terraria.gamepedia.com/Rally","Rally")</f>
        <v>Rally</v>
      </c>
    </row>
    <row r="3259">
      <c r="A3259" s="2">
        <v>3286.0</v>
      </c>
      <c r="B3259" s="3" t="s">
        <v>5</v>
      </c>
      <c r="C3259" s="4" t="str">
        <f>hyperlink("https://terraria.gamepedia.com/Yelets","Yelets")</f>
        <v>Yelets</v>
      </c>
    </row>
    <row r="3260">
      <c r="A3260" s="2">
        <v>3287.0</v>
      </c>
      <c r="B3260" s="3" t="s">
        <v>5</v>
      </c>
      <c r="C3260" s="4" t="str">
        <f>hyperlink("https://terraria.gamepedia.com/Red's_Throw","Red's Throw")</f>
        <v>Red's Throw</v>
      </c>
    </row>
    <row r="3261">
      <c r="A3261" s="2">
        <v>3288.0</v>
      </c>
      <c r="B3261" s="3" t="s">
        <v>5</v>
      </c>
      <c r="C3261" s="4" t="str">
        <f>hyperlink("https://terraria.gamepedia.com/Valkyrie_Yoyo","Valkyrie Yoyo")</f>
        <v>Valkyrie Yoyo</v>
      </c>
    </row>
    <row r="3262">
      <c r="A3262" s="2">
        <v>3289.0</v>
      </c>
      <c r="B3262" s="3" t="s">
        <v>5</v>
      </c>
      <c r="C3262" s="4" t="str">
        <f>hyperlink("https://terraria.gamepedia.com/Amarok","Amarok")</f>
        <v>Amarok</v>
      </c>
    </row>
    <row r="3263">
      <c r="A3263" s="2">
        <v>3290.0</v>
      </c>
      <c r="B3263" s="3" t="s">
        <v>5</v>
      </c>
      <c r="C3263" s="4" t="str">
        <f>hyperlink("https://terraria.gamepedia.com/Hel-Fire","Hel-Fire")</f>
        <v>Hel-Fire</v>
      </c>
    </row>
    <row r="3264">
      <c r="A3264" s="2">
        <v>3291.0</v>
      </c>
      <c r="B3264" s="3" t="s">
        <v>5</v>
      </c>
      <c r="C3264" s="4" t="str">
        <f>hyperlink("https://terraria.gamepedia.com/Kraken","Kraken")</f>
        <v>Kraken</v>
      </c>
    </row>
    <row r="3265">
      <c r="A3265" s="2">
        <v>3292.0</v>
      </c>
      <c r="B3265" s="3" t="s">
        <v>5</v>
      </c>
      <c r="C3265" s="4" t="str">
        <f>hyperlink("https://terraria.gamepedia.com/The_Eye_of_Cthulhu","The Eye of Cthulhu")</f>
        <v>The Eye of Cthulhu</v>
      </c>
    </row>
    <row r="3266">
      <c r="A3266" s="2">
        <v>3293.0</v>
      </c>
      <c r="B3266" s="3" t="s">
        <v>10</v>
      </c>
      <c r="C3266" s="4" t="str">
        <f>hyperlink("https://terraria.gamepedia.com/Strings","Red String")</f>
        <v>Red String</v>
      </c>
    </row>
    <row r="3267">
      <c r="A3267" s="2">
        <v>3294.0</v>
      </c>
      <c r="B3267" s="3" t="s">
        <v>10</v>
      </c>
      <c r="C3267" s="4" t="str">
        <f>hyperlink("https://terraria.gamepedia.com/Strings","Orange String")</f>
        <v>Orange String</v>
      </c>
    </row>
    <row r="3268">
      <c r="A3268" s="2">
        <v>3295.0</v>
      </c>
      <c r="B3268" s="3" t="s">
        <v>10</v>
      </c>
      <c r="C3268" s="4" t="str">
        <f>hyperlink("https://terraria.gamepedia.com/Strings","Yellow String")</f>
        <v>Yellow String</v>
      </c>
    </row>
    <row r="3269">
      <c r="A3269" s="2">
        <v>3296.0</v>
      </c>
      <c r="B3269" s="3" t="s">
        <v>10</v>
      </c>
      <c r="C3269" s="4" t="str">
        <f>hyperlink("https://terraria.gamepedia.com/Strings","Lime String")</f>
        <v>Lime String</v>
      </c>
    </row>
    <row r="3270">
      <c r="A3270" s="2">
        <v>3297.0</v>
      </c>
      <c r="B3270" s="3" t="s">
        <v>10</v>
      </c>
      <c r="C3270" s="4" t="str">
        <f>hyperlink("https://terraria.gamepedia.com/Strings","Green String")</f>
        <v>Green String</v>
      </c>
    </row>
    <row r="3271">
      <c r="A3271" s="2">
        <v>3298.0</v>
      </c>
      <c r="B3271" s="3" t="s">
        <v>10</v>
      </c>
      <c r="C3271" s="4" t="str">
        <f>hyperlink("https://terraria.gamepedia.com/Strings","Teal String")</f>
        <v>Teal String</v>
      </c>
    </row>
    <row r="3272">
      <c r="A3272" s="2">
        <v>3299.0</v>
      </c>
      <c r="B3272" s="3" t="s">
        <v>10</v>
      </c>
      <c r="C3272" s="4" t="str">
        <f>hyperlink("https://terraria.gamepedia.com/Strings","Cyan String")</f>
        <v>Cyan String</v>
      </c>
    </row>
    <row r="3273">
      <c r="A3273" s="2">
        <v>3300.0</v>
      </c>
      <c r="B3273" s="3" t="s">
        <v>10</v>
      </c>
      <c r="C3273" s="4" t="str">
        <f>hyperlink("https://terraria.gamepedia.com/Strings","Sky Blue String")</f>
        <v>Sky Blue String</v>
      </c>
    </row>
    <row r="3274">
      <c r="A3274" s="2">
        <v>3301.0</v>
      </c>
      <c r="B3274" s="3" t="s">
        <v>10</v>
      </c>
      <c r="C3274" s="4" t="str">
        <f>hyperlink("https://terraria.gamepedia.com/Strings","Blue String")</f>
        <v>Blue String</v>
      </c>
    </row>
    <row r="3275">
      <c r="A3275" s="2">
        <v>3302.0</v>
      </c>
      <c r="B3275" s="3" t="s">
        <v>10</v>
      </c>
      <c r="C3275" s="4" t="str">
        <f>hyperlink("https://terraria.gamepedia.com/Strings","Purple String")</f>
        <v>Purple String</v>
      </c>
    </row>
    <row r="3276">
      <c r="A3276" s="2">
        <v>3303.0</v>
      </c>
      <c r="B3276" s="3" t="s">
        <v>10</v>
      </c>
      <c r="C3276" s="4" t="str">
        <f>hyperlink("https://terraria.gamepedia.com/Strings","Violet String")</f>
        <v>Violet String</v>
      </c>
    </row>
    <row r="3277">
      <c r="A3277" s="2">
        <v>3304.0</v>
      </c>
      <c r="B3277" s="3" t="s">
        <v>10</v>
      </c>
      <c r="C3277" s="4" t="str">
        <f>hyperlink("https://terraria.gamepedia.com/Strings","Pink String")</f>
        <v>Pink String</v>
      </c>
    </row>
    <row r="3278">
      <c r="A3278" s="2">
        <v>3305.0</v>
      </c>
      <c r="B3278" s="3" t="s">
        <v>10</v>
      </c>
      <c r="C3278" s="4" t="str">
        <f>hyperlink("https://terraria.gamepedia.com/Strings","Brown String")</f>
        <v>Brown String</v>
      </c>
    </row>
    <row r="3279">
      <c r="A3279" s="2">
        <v>3306.0</v>
      </c>
      <c r="B3279" s="3" t="s">
        <v>10</v>
      </c>
      <c r="C3279" s="4" t="str">
        <f>hyperlink("https://terraria.gamepedia.com/Strings","White String")</f>
        <v>White String</v>
      </c>
    </row>
    <row r="3280">
      <c r="A3280" s="2">
        <v>3307.0</v>
      </c>
      <c r="B3280" s="3" t="s">
        <v>10</v>
      </c>
      <c r="C3280" s="4" t="str">
        <f>hyperlink("https://terraria.gamepedia.com/Strings","Rainbow String")</f>
        <v>Rainbow String</v>
      </c>
    </row>
    <row r="3281">
      <c r="A3281" s="2">
        <v>3308.0</v>
      </c>
      <c r="B3281" s="3" t="s">
        <v>10</v>
      </c>
      <c r="C3281" s="4" t="str">
        <f>hyperlink("https://terraria.gamepedia.com/Strings","Black String")</f>
        <v>Black String</v>
      </c>
    </row>
    <row r="3282">
      <c r="A3282" s="2">
        <v>3309.0</v>
      </c>
      <c r="B3282" s="3" t="s">
        <v>10</v>
      </c>
      <c r="C3282" s="4" t="str">
        <f>hyperlink("https://terraria.gamepedia.com/Counterweights","Black Counterweight")</f>
        <v>Black Counterweight</v>
      </c>
    </row>
    <row r="3283">
      <c r="A3283" s="2">
        <v>3310.0</v>
      </c>
      <c r="B3283" s="3" t="s">
        <v>10</v>
      </c>
      <c r="C3283" s="4" t="str">
        <f>hyperlink("https://terraria.gamepedia.com/Counterweights","Blue Counterweight")</f>
        <v>Blue Counterweight</v>
      </c>
    </row>
    <row r="3284">
      <c r="A3284" s="2">
        <v>3311.0</v>
      </c>
      <c r="B3284" s="3" t="s">
        <v>10</v>
      </c>
      <c r="C3284" s="4" t="str">
        <f>hyperlink("https://terraria.gamepedia.com/Counterweights","Green Counterweight")</f>
        <v>Green Counterweight</v>
      </c>
    </row>
    <row r="3285">
      <c r="A3285" s="2">
        <v>3312.0</v>
      </c>
      <c r="B3285" s="3" t="s">
        <v>10</v>
      </c>
      <c r="C3285" s="4" t="str">
        <f>hyperlink("https://terraria.gamepedia.com/Counterweights","Purple Counterweight")</f>
        <v>Purple Counterweight</v>
      </c>
    </row>
    <row r="3286">
      <c r="A3286" s="2">
        <v>3313.0</v>
      </c>
      <c r="B3286" s="3" t="s">
        <v>10</v>
      </c>
      <c r="C3286" s="4" t="str">
        <f>hyperlink("https://terraria.gamepedia.com/Counterweights","Red Counterweight")</f>
        <v>Red Counterweight</v>
      </c>
    </row>
    <row r="3287">
      <c r="A3287" s="2">
        <v>3314.0</v>
      </c>
      <c r="B3287" s="3" t="s">
        <v>10</v>
      </c>
      <c r="C3287" s="4" t="str">
        <f>hyperlink("https://terraria.gamepedia.com/Counterweights","Yellow Counterweight")</f>
        <v>Yellow Counterweight</v>
      </c>
    </row>
    <row r="3288">
      <c r="A3288" s="2">
        <v>3315.0</v>
      </c>
      <c r="B3288" s="3" t="s">
        <v>5</v>
      </c>
      <c r="C3288" s="4" t="str">
        <f>hyperlink("https://terraria.gamepedia.com/Format:C","Format:C")</f>
        <v>Format:C</v>
      </c>
    </row>
    <row r="3289">
      <c r="A3289" s="2">
        <v>3316.0</v>
      </c>
      <c r="B3289" s="3" t="s">
        <v>5</v>
      </c>
      <c r="C3289" s="4" t="str">
        <f>hyperlink("https://terraria.gamepedia.com/Gradient","Gradient")</f>
        <v>Gradient</v>
      </c>
    </row>
    <row r="3290">
      <c r="A3290" s="2">
        <v>3317.0</v>
      </c>
      <c r="B3290" s="3" t="s">
        <v>5</v>
      </c>
      <c r="C3290" s="4" t="str">
        <f>hyperlink("https://terraria.gamepedia.com/Valor","Valor")</f>
        <v>Valor</v>
      </c>
    </row>
    <row r="3291">
      <c r="A3291" s="2">
        <v>3318.0</v>
      </c>
      <c r="B3291" s="3" t="s">
        <v>34</v>
      </c>
      <c r="C3291" s="4" t="str">
        <f>hyperlink("https://terraria.gamepedia.com/Treasure_Bag","Treasure Bag (King Slime)")</f>
        <v>Treasure Bag (King Slime)</v>
      </c>
    </row>
    <row r="3292">
      <c r="A3292" s="2">
        <v>3319.0</v>
      </c>
      <c r="B3292" s="3" t="s">
        <v>34</v>
      </c>
      <c r="C3292" s="4" t="str">
        <f>hyperlink("https://terraria.gamepedia.com/Treasure_Bag","Treasure Bag (Eye of Cthulhu)")</f>
        <v>Treasure Bag (Eye of Cthulhu)</v>
      </c>
    </row>
    <row r="3293">
      <c r="A3293" s="2">
        <v>3320.0</v>
      </c>
      <c r="B3293" s="3" t="s">
        <v>34</v>
      </c>
      <c r="C3293" s="4" t="str">
        <f>hyperlink("https://terraria.gamepedia.com/Treasure_Bag","Treasure Bag (Eater of Worlds)")</f>
        <v>Treasure Bag (Eater of Worlds)</v>
      </c>
    </row>
    <row r="3294">
      <c r="A3294" s="2">
        <v>3321.0</v>
      </c>
      <c r="B3294" s="3" t="s">
        <v>34</v>
      </c>
      <c r="C3294" s="4" t="str">
        <f>hyperlink("https://terraria.gamepedia.com/Treasure_Bag","Treasure Bag (Brain of Cthulhu)")</f>
        <v>Treasure Bag (Brain of Cthulhu)</v>
      </c>
    </row>
    <row r="3295">
      <c r="A3295" s="2">
        <v>3322.0</v>
      </c>
      <c r="B3295" s="3" t="s">
        <v>34</v>
      </c>
      <c r="C3295" s="4" t="str">
        <f>hyperlink("https://terraria.gamepedia.com/Treasure_Bag","Treasure Bag (Queen Bee)")</f>
        <v>Treasure Bag (Queen Bee)</v>
      </c>
    </row>
    <row r="3296">
      <c r="A3296" s="2">
        <v>3323.0</v>
      </c>
      <c r="B3296" s="3" t="s">
        <v>34</v>
      </c>
      <c r="C3296" s="4" t="str">
        <f>hyperlink("https://terraria.gamepedia.com/Treasure_Bag","Treasure Bag (Skeletron)")</f>
        <v>Treasure Bag (Skeletron)</v>
      </c>
    </row>
    <row r="3297">
      <c r="A3297" s="2">
        <v>3324.0</v>
      </c>
      <c r="B3297" s="3" t="s">
        <v>34</v>
      </c>
      <c r="C3297" s="4" t="str">
        <f>hyperlink("https://terraria.gamepedia.com/Treasure_Bag","Treasure Bag (Wall of Flesh)")</f>
        <v>Treasure Bag (Wall of Flesh)</v>
      </c>
    </row>
    <row r="3298">
      <c r="A3298" s="2">
        <v>3325.0</v>
      </c>
      <c r="B3298" s="3" t="s">
        <v>34</v>
      </c>
      <c r="C3298" s="4" t="str">
        <f>hyperlink("https://terraria.gamepedia.com/Treasure_Bag","Treasure Bag (The Destroyer)")</f>
        <v>Treasure Bag (The Destroyer)</v>
      </c>
    </row>
    <row r="3299">
      <c r="A3299" s="2">
        <v>3326.0</v>
      </c>
      <c r="B3299" s="3" t="s">
        <v>34</v>
      </c>
      <c r="C3299" s="4" t="str">
        <f>hyperlink("https://terraria.gamepedia.com/Treasure_Bag","Treasure Bag (The Twins)")</f>
        <v>Treasure Bag (The Twins)</v>
      </c>
    </row>
    <row r="3300">
      <c r="A3300" s="2">
        <v>3327.0</v>
      </c>
      <c r="B3300" s="3" t="s">
        <v>34</v>
      </c>
      <c r="C3300" s="4" t="str">
        <f>hyperlink("https://terraria.gamepedia.com/Treasure_Bag","Treasure Bag (Skeletron Prime)")</f>
        <v>Treasure Bag (Skeletron Prime)</v>
      </c>
    </row>
    <row r="3301">
      <c r="A3301" s="2">
        <v>3328.0</v>
      </c>
      <c r="B3301" s="3" t="s">
        <v>34</v>
      </c>
      <c r="C3301" s="4" t="str">
        <f>hyperlink("https://terraria.gamepedia.com/Treasure_Bag","Treasure Bag (Plantera)")</f>
        <v>Treasure Bag (Plantera)</v>
      </c>
    </row>
    <row r="3302">
      <c r="A3302" s="2">
        <v>3329.0</v>
      </c>
      <c r="B3302" s="3" t="s">
        <v>34</v>
      </c>
      <c r="C3302" s="4" t="str">
        <f>hyperlink("https://terraria.gamepedia.com/Treasure_Bag","Treasure Bag (Golem)")</f>
        <v>Treasure Bag (Golem)</v>
      </c>
    </row>
    <row r="3303">
      <c r="A3303" s="2">
        <v>3330.0</v>
      </c>
      <c r="B3303" s="3" t="s">
        <v>34</v>
      </c>
      <c r="C3303" s="4" t="str">
        <f>hyperlink("https://terraria.gamepedia.com/Treasure_Bag","Treasure Bag (Duke Fishron)")</f>
        <v>Treasure Bag (Duke Fishron)</v>
      </c>
    </row>
    <row r="3304">
      <c r="A3304" s="2">
        <v>3332.0</v>
      </c>
      <c r="B3304" s="3" t="s">
        <v>34</v>
      </c>
      <c r="C3304" s="4" t="str">
        <f>hyperlink("https://terraria.gamepedia.com/Treasure_Bag","Treasure Bag (Moon Lord)")</f>
        <v>Treasure Bag (Moon Lord)</v>
      </c>
    </row>
    <row r="3305">
      <c r="A3305" s="2">
        <v>3333.0</v>
      </c>
      <c r="B3305" s="3" t="s">
        <v>10</v>
      </c>
      <c r="C3305" s="4" t="str">
        <f>hyperlink("https://terraria.gamepedia.com/Hive_Pack","Hive Pack")</f>
        <v>Hive Pack</v>
      </c>
    </row>
    <row r="3306">
      <c r="A3306" s="2">
        <v>3334.0</v>
      </c>
      <c r="B3306" s="3" t="s">
        <v>10</v>
      </c>
      <c r="C3306" s="4" t="str">
        <f>hyperlink("https://terraria.gamepedia.com/Yoyo_Glove","Yoyo Glove")</f>
        <v>Yoyo Glove</v>
      </c>
    </row>
    <row r="3307">
      <c r="A3307" s="2">
        <v>3335.0</v>
      </c>
      <c r="B3307" s="3" t="s">
        <v>15</v>
      </c>
      <c r="C3307" s="4" t="str">
        <f>hyperlink("https://terraria.gamepedia.com/Demon_Heart","Demon Heart")</f>
        <v>Demon Heart</v>
      </c>
    </row>
    <row r="3308">
      <c r="A3308" s="2">
        <v>3336.0</v>
      </c>
      <c r="B3308" s="3" t="s">
        <v>5</v>
      </c>
      <c r="C3308" s="4" t="str">
        <f>hyperlink("https://terraria.gamepedia.com/Spore_Sac","Spore Sac")</f>
        <v>Spore Sac</v>
      </c>
    </row>
    <row r="3309">
      <c r="A3309" s="2">
        <v>3337.0</v>
      </c>
      <c r="B3309" s="3" t="s">
        <v>10</v>
      </c>
      <c r="C3309" s="4" t="str">
        <f>hyperlink("https://terraria.gamepedia.com/Shiny_Stone","Shiny Stone")</f>
        <v>Shiny Stone</v>
      </c>
    </row>
    <row r="3310">
      <c r="A3310" s="2">
        <v>3338.0</v>
      </c>
      <c r="B3310" s="3" t="s">
        <v>4</v>
      </c>
      <c r="C3310" s="4" t="str">
        <f>hyperlink("https://terraria.gamepedia.com/Hardened_Sand_Blocks","Hardened Pearlsand Block")</f>
        <v>Hardened Pearlsand Block</v>
      </c>
    </row>
    <row r="3311">
      <c r="A3311" s="2">
        <v>3339.0</v>
      </c>
      <c r="B3311" s="3" t="s">
        <v>4</v>
      </c>
      <c r="C3311" s="4" t="str">
        <f>hyperlink("https://terraria.gamepedia.com/Sandstone_Blocks","Pearlsandstone Block")</f>
        <v>Pearlsandstone Block</v>
      </c>
    </row>
    <row r="3312">
      <c r="A3312" s="2">
        <v>3340.0</v>
      </c>
      <c r="B3312" s="3" t="s">
        <v>13</v>
      </c>
      <c r="C3312" s="4" t="str">
        <f>hyperlink("https://terraria.gamepedia.com/Hardened_Sand_Walls","Hardened Sand Wall")</f>
        <v>Hardened Sand Wall</v>
      </c>
    </row>
    <row r="3313">
      <c r="A3313" s="2">
        <v>3341.0</v>
      </c>
      <c r="B3313" s="3" t="s">
        <v>13</v>
      </c>
      <c r="C3313" s="4" t="str">
        <f>hyperlink("https://terraria.gamepedia.com/Hardened_Sand_Walls","Hardened Ebonsand Wall")</f>
        <v>Hardened Ebonsand Wall</v>
      </c>
    </row>
    <row r="3314">
      <c r="A3314" s="2">
        <v>3342.0</v>
      </c>
      <c r="B3314" s="3" t="s">
        <v>13</v>
      </c>
      <c r="C3314" s="4" t="str">
        <f>hyperlink("https://terraria.gamepedia.com/Hardened_Sand_Walls","Hardened Crimsand Wall")</f>
        <v>Hardened Crimsand Wall</v>
      </c>
    </row>
    <row r="3315">
      <c r="A3315" s="2">
        <v>3343.0</v>
      </c>
      <c r="B3315" s="3" t="s">
        <v>13</v>
      </c>
      <c r="C3315" s="4" t="str">
        <f>hyperlink("https://terraria.gamepedia.com/Hardened_Sand_Walls","Hardened Pearlsand Wall")</f>
        <v>Hardened Pearlsand Wall</v>
      </c>
    </row>
    <row r="3316">
      <c r="A3316" s="2">
        <v>3344.0</v>
      </c>
      <c r="B3316" s="3" t="s">
        <v>13</v>
      </c>
      <c r="C3316" s="4" t="str">
        <f>hyperlink("https://terraria.gamepedia.com/Sandstone_Walls","Ebonsandstone Wall")</f>
        <v>Ebonsandstone Wall</v>
      </c>
    </row>
    <row r="3317">
      <c r="A3317" s="2">
        <v>3345.0</v>
      </c>
      <c r="B3317" s="3" t="s">
        <v>13</v>
      </c>
      <c r="C3317" s="4" t="str">
        <f>hyperlink("https://terraria.gamepedia.com/Sandstone_Walls","Crimsandstone Wall")</f>
        <v>Crimsandstone Wall</v>
      </c>
    </row>
    <row r="3318">
      <c r="A3318" s="2">
        <v>3346.0</v>
      </c>
      <c r="B3318" s="3" t="s">
        <v>13</v>
      </c>
      <c r="C3318" s="4" t="str">
        <f>hyperlink("https://terraria.gamepedia.com/Sandstone_Walls","Pearlsandstone Wall")</f>
        <v>Pearlsandstone Wall</v>
      </c>
    </row>
    <row r="3319">
      <c r="A3319" s="2">
        <v>3347.0</v>
      </c>
      <c r="B3319" s="3" t="s">
        <v>4</v>
      </c>
      <c r="C3319" s="4" t="str">
        <f>hyperlink("https://terraria.gamepedia.com/Desert_Fossil","Desert Fossil")</f>
        <v>Desert Fossil</v>
      </c>
    </row>
    <row r="3320">
      <c r="A3320" s="2">
        <v>3348.0</v>
      </c>
      <c r="B3320" s="3" t="s">
        <v>13</v>
      </c>
      <c r="C3320" s="4" t="str">
        <f>hyperlink("https://terraria.gamepedia.com/Desert_Fossil_Wall","Desert Fossil Wall")</f>
        <v>Desert Fossil Wall</v>
      </c>
    </row>
    <row r="3321">
      <c r="A3321" s="2">
        <v>3349.0</v>
      </c>
      <c r="B3321" s="3" t="s">
        <v>5</v>
      </c>
      <c r="C3321" s="4" t="str">
        <f>hyperlink("https://terraria.gamepedia.com/Exotic_Scimitar","Exotic Scimitar")</f>
        <v>Exotic Scimitar</v>
      </c>
    </row>
    <row r="3322">
      <c r="A3322" s="2">
        <v>3350.0</v>
      </c>
      <c r="B3322" s="3" t="s">
        <v>5</v>
      </c>
      <c r="C3322" s="4" t="str">
        <f>hyperlink("https://terraria.gamepedia.com/Paintball_Gun","Paintball Gun")</f>
        <v>Paintball Gun</v>
      </c>
    </row>
    <row r="3323">
      <c r="A3323" s="2">
        <v>3351.0</v>
      </c>
      <c r="B3323" s="3" t="s">
        <v>5</v>
      </c>
      <c r="C3323" s="4" t="str">
        <f>hyperlink("https://terraria.gamepedia.com/Classy_Cane","Classy Cane")</f>
        <v>Classy Cane</v>
      </c>
    </row>
    <row r="3324">
      <c r="A3324" s="2">
        <v>3352.0</v>
      </c>
      <c r="B3324" s="3" t="s">
        <v>5</v>
      </c>
      <c r="C3324" s="4" t="str">
        <f>hyperlink("https://terraria.gamepedia.com/Stylish_Scissors","Stylish Scissors")</f>
        <v>Stylish Scissors</v>
      </c>
    </row>
    <row r="3325">
      <c r="A3325" s="2">
        <v>3353.0</v>
      </c>
      <c r="B3325" s="3" t="s">
        <v>28</v>
      </c>
      <c r="C3325" s="4" t="str">
        <f>hyperlink("https://terraria.gamepedia.com/Minecarts","Mechanical Cart")</f>
        <v>Mechanical Cart</v>
      </c>
    </row>
    <row r="3326">
      <c r="A3326" s="2">
        <v>3354.0</v>
      </c>
      <c r="B3326" s="3" t="s">
        <v>28</v>
      </c>
      <c r="C3326" s="4" t="str">
        <f>hyperlink("https://terraria.gamepedia.com/Mechanical_Wheel_Piece","Mechanical Wheel Piece")</f>
        <v>Mechanical Wheel Piece</v>
      </c>
    </row>
    <row r="3327">
      <c r="A3327" s="2">
        <v>3355.0</v>
      </c>
      <c r="B3327" s="3" t="s">
        <v>28</v>
      </c>
      <c r="C3327" s="4" t="str">
        <f>hyperlink("https://terraria.gamepedia.com/Mechanical_Wagon_Piece","Mechanical Wagon Piece")</f>
        <v>Mechanical Wagon Piece</v>
      </c>
    </row>
    <row r="3328">
      <c r="A3328" s="2">
        <v>3356.0</v>
      </c>
      <c r="B3328" s="3" t="s">
        <v>28</v>
      </c>
      <c r="C3328" s="4" t="str">
        <f>hyperlink("https://terraria.gamepedia.com/Mechanical_Battery_Piece","Mechanical Battery Piece")</f>
        <v>Mechanical Battery Piece</v>
      </c>
    </row>
    <row r="3329">
      <c r="A3329" s="2">
        <v>3357.0</v>
      </c>
      <c r="B3329" s="3" t="s">
        <v>35</v>
      </c>
      <c r="C3329" s="4" t="str">
        <f>hyperlink("https://terraria.gamepedia.com/Trophies","Lunatic Cultist Trophy")</f>
        <v>Lunatic Cultist Trophy</v>
      </c>
    </row>
    <row r="3330">
      <c r="A3330" s="2">
        <v>3358.0</v>
      </c>
      <c r="B3330" s="3" t="s">
        <v>35</v>
      </c>
      <c r="C3330" s="4" t="str">
        <f>hyperlink("https://terraria.gamepedia.com/Trophies","Martian Saucer Trophy")</f>
        <v>Martian Saucer Trophy</v>
      </c>
    </row>
    <row r="3331">
      <c r="A3331" s="2">
        <v>3359.0</v>
      </c>
      <c r="B3331" s="3" t="s">
        <v>35</v>
      </c>
      <c r="C3331" s="4" t="str">
        <f>hyperlink("https://terraria.gamepedia.com/Trophies","Flying Dutchman Trophy")</f>
        <v>Flying Dutchman Trophy</v>
      </c>
    </row>
    <row r="3332">
      <c r="A3332" s="2">
        <v>3360.0</v>
      </c>
      <c r="B3332" s="3" t="s">
        <v>3</v>
      </c>
      <c r="C3332" s="4" t="str">
        <f>hyperlink("https://terraria.gamepedia.com/Block-placing_wands","Living Mahogany Wand")</f>
        <v>Living Mahogany Wand</v>
      </c>
    </row>
    <row r="3333">
      <c r="A3333" s="2">
        <v>3361.0</v>
      </c>
      <c r="B3333" s="3" t="s">
        <v>3</v>
      </c>
      <c r="C3333" s="4" t="str">
        <f>hyperlink("https://terraria.gamepedia.com/Block-placing_wands","Rich Mahogany Leaf Wand")</f>
        <v>Rich Mahogany Leaf Wand</v>
      </c>
    </row>
    <row r="3334">
      <c r="A3334" s="2">
        <v>3362.0</v>
      </c>
      <c r="B3334" s="3" t="s">
        <v>23</v>
      </c>
      <c r="C3334" s="4" t="str">
        <f>hyperlink("https://terraria.gamepedia.com/Fallen_Tuxedo_set","Fallen Tuxedo Shirt")</f>
        <v>Fallen Tuxedo Shirt</v>
      </c>
    </row>
    <row r="3335">
      <c r="A3335" s="2">
        <v>3363.0</v>
      </c>
      <c r="B3335" s="3" t="s">
        <v>23</v>
      </c>
      <c r="C3335" s="4" t="str">
        <f>hyperlink("https://terraria.gamepedia.com/Fallen_Tuxedo_set","Fallen Tuxedo Pants")</f>
        <v>Fallen Tuxedo Pants</v>
      </c>
    </row>
    <row r="3336">
      <c r="A3336" s="2">
        <v>3364.0</v>
      </c>
      <c r="B3336" s="3" t="s">
        <v>7</v>
      </c>
      <c r="C3336" s="4" t="str">
        <f>hyperlink("https://terraria.gamepedia.com/Fireplace","Fireplace")</f>
        <v>Fireplace</v>
      </c>
    </row>
    <row r="3337">
      <c r="A3337" s="2">
        <v>3365.0</v>
      </c>
      <c r="B3337" s="3" t="s">
        <v>12</v>
      </c>
      <c r="C3337" s="4" t="str">
        <f>hyperlink("https://terraria.gamepedia.com/Chimney","Chimney")</f>
        <v>Chimney</v>
      </c>
    </row>
    <row r="3338">
      <c r="A3338" s="2">
        <v>3366.0</v>
      </c>
      <c r="B3338" s="3" t="s">
        <v>10</v>
      </c>
      <c r="C3338" s="4" t="str">
        <f>hyperlink("https://terraria.gamepedia.com/Yoyo_Bag","Yoyo Bag")</f>
        <v>Yoyo Bag</v>
      </c>
    </row>
    <row r="3339">
      <c r="A3339" s="2">
        <v>3367.0</v>
      </c>
      <c r="B3339" s="3" t="s">
        <v>22</v>
      </c>
      <c r="C3339" s="4" t="str">
        <f>hyperlink("https://terraria.gamepedia.com/Shrimpy_Truffle","Shrimpy Truffle")</f>
        <v>Shrimpy Truffle</v>
      </c>
    </row>
    <row r="3340">
      <c r="A3340" s="2">
        <v>3368.0</v>
      </c>
      <c r="B3340" s="3" t="s">
        <v>5</v>
      </c>
      <c r="C3340" s="4" t="str">
        <f>hyperlink("https://terraria.gamepedia.com/Arkhalis","Arkhalis")</f>
        <v>Arkhalis</v>
      </c>
    </row>
    <row r="3341">
      <c r="A3341" s="2">
        <v>3369.0</v>
      </c>
      <c r="B3341" s="3" t="s">
        <v>3</v>
      </c>
      <c r="C3341" s="4" t="str">
        <f>hyperlink("https://terraria.gamepedia.com/Confetti_Cannon","Confetti Cannon")</f>
        <v>Confetti Cannon</v>
      </c>
    </row>
    <row r="3342">
      <c r="A3342" s="2">
        <v>3370.0</v>
      </c>
      <c r="B3342" s="3" t="s">
        <v>29</v>
      </c>
      <c r="C3342" s="4" t="str">
        <f>hyperlink("https://terraria.gamepedia.com/Music_Boxes","Music Box (The Towers)")</f>
        <v>Music Box (The Towers)</v>
      </c>
    </row>
    <row r="3343">
      <c r="A3343" s="2">
        <v>3371.0</v>
      </c>
      <c r="B3343" s="3" t="s">
        <v>29</v>
      </c>
      <c r="C3343" s="4" t="str">
        <f>hyperlink("https://terraria.gamepedia.com/Music_Boxes","Music Box (Goblin Invasion)")</f>
        <v>Music Box (Goblin Invasion)</v>
      </c>
    </row>
    <row r="3344">
      <c r="A3344" s="2">
        <v>3372.0</v>
      </c>
      <c r="B3344" s="3" t="s">
        <v>34</v>
      </c>
      <c r="C3344" s="4" t="str">
        <f>hyperlink("https://terraria.gamepedia.com/Masks","Lunatic Cultist Mask")</f>
        <v>Lunatic Cultist Mask</v>
      </c>
    </row>
    <row r="3345">
      <c r="A3345" s="2">
        <v>3373.0</v>
      </c>
      <c r="B3345" s="3" t="s">
        <v>34</v>
      </c>
      <c r="C3345" s="4" t="str">
        <f>hyperlink("https://terraria.gamepedia.com/Masks","Moon Lord Mask")</f>
        <v>Moon Lord Mask</v>
      </c>
    </row>
    <row r="3346">
      <c r="A3346" s="2">
        <v>3374.0</v>
      </c>
      <c r="B3346" s="3" t="s">
        <v>17</v>
      </c>
      <c r="C3346" s="4" t="str">
        <f>hyperlink("https://terraria.gamepedia.com/Fossil_armor","Fossil Helmet")</f>
        <v>Fossil Helmet</v>
      </c>
    </row>
    <row r="3347">
      <c r="A3347" s="2">
        <v>3375.0</v>
      </c>
      <c r="B3347" s="3" t="s">
        <v>17</v>
      </c>
      <c r="C3347" s="4" t="str">
        <f>hyperlink("https://terraria.gamepedia.com/Fossil_armor","Fossil Plate")</f>
        <v>Fossil Plate</v>
      </c>
    </row>
    <row r="3348">
      <c r="A3348" s="2">
        <v>3376.0</v>
      </c>
      <c r="B3348" s="3" t="s">
        <v>17</v>
      </c>
      <c r="C3348" s="4" t="str">
        <f>hyperlink("https://terraria.gamepedia.com/Fossil_armor","Fossil Greaves")</f>
        <v>Fossil Greaves</v>
      </c>
    </row>
    <row r="3349">
      <c r="A3349" s="2">
        <v>3377.0</v>
      </c>
      <c r="B3349" s="3" t="s">
        <v>5</v>
      </c>
      <c r="C3349" s="4" t="str">
        <f>hyperlink("https://terraria.gamepedia.com/Amber_Staff","Amber Staff")</f>
        <v>Amber Staff</v>
      </c>
    </row>
    <row r="3350">
      <c r="A3350" s="2">
        <v>3378.0</v>
      </c>
      <c r="B3350" s="3" t="s">
        <v>18</v>
      </c>
      <c r="C3350" s="4" t="str">
        <f>hyperlink("https://terraria.gamepedia.com/Bone_Javelin","Bone Javelin")</f>
        <v>Bone Javelin</v>
      </c>
    </row>
    <row r="3351">
      <c r="A3351" s="2">
        <v>3379.0</v>
      </c>
      <c r="B3351" s="3" t="s">
        <v>18</v>
      </c>
      <c r="C3351" s="4" t="str">
        <f>hyperlink("https://terraria.gamepedia.com/Bone_Throwing_Knife","Bone Throwing Knife")</f>
        <v>Bone Throwing Knife</v>
      </c>
    </row>
    <row r="3352">
      <c r="A3352" s="2">
        <v>3380.0</v>
      </c>
      <c r="B3352" s="3" t="s">
        <v>11</v>
      </c>
      <c r="C3352" s="4" t="str">
        <f>hyperlink("https://terraria.gamepedia.com/Sturdy_Fossil","Sturdy Fossil")</f>
        <v>Sturdy Fossil</v>
      </c>
    </row>
    <row r="3353">
      <c r="A3353" s="2">
        <v>3381.0</v>
      </c>
      <c r="B3353" s="3" t="s">
        <v>17</v>
      </c>
      <c r="C3353" s="4" t="str">
        <f>hyperlink("https://terraria.gamepedia.com/Stardust_armor","Stardust Helmet")</f>
        <v>Stardust Helmet</v>
      </c>
    </row>
    <row r="3354">
      <c r="A3354" s="2">
        <v>3382.0</v>
      </c>
      <c r="B3354" s="3" t="s">
        <v>17</v>
      </c>
      <c r="C3354" s="4" t="str">
        <f>hyperlink("https://terraria.gamepedia.com/Stardust_armor","Stardust Plate")</f>
        <v>Stardust Plate</v>
      </c>
    </row>
    <row r="3355">
      <c r="A3355" s="2">
        <v>3383.0</v>
      </c>
      <c r="B3355" s="3" t="s">
        <v>17</v>
      </c>
      <c r="C3355" s="4" t="str">
        <f>hyperlink("https://terraria.gamepedia.com/Stardust_armor","Stardust Leggings")</f>
        <v>Stardust Leggings</v>
      </c>
    </row>
    <row r="3356">
      <c r="A3356" s="2">
        <v>3384.0</v>
      </c>
      <c r="B3356" s="3" t="s">
        <v>5</v>
      </c>
      <c r="C3356" s="4" t="str">
        <f>hyperlink("https://terraria.gamepedia.com/Portal_Gun","Portal Gun")</f>
        <v>Portal Gun</v>
      </c>
    </row>
    <row r="3357">
      <c r="A3357" s="2">
        <v>3385.0</v>
      </c>
      <c r="B3357" s="3" t="s">
        <v>6</v>
      </c>
      <c r="C3357" s="4" t="str">
        <f>hyperlink("https://terraria.gamepedia.com/Strange_Plant","Strange Plant (Purple)")</f>
        <v>Strange Plant (Purple)</v>
      </c>
    </row>
    <row r="3358">
      <c r="A3358" s="2">
        <v>3386.0</v>
      </c>
      <c r="B3358" s="3" t="s">
        <v>6</v>
      </c>
      <c r="C3358" s="4" t="str">
        <f>hyperlink("https://terraria.gamepedia.com/Strange_Plant","Strange Plant (Orange)")</f>
        <v>Strange Plant (Orange)</v>
      </c>
    </row>
    <row r="3359">
      <c r="A3359" s="2">
        <v>3387.0</v>
      </c>
      <c r="B3359" s="3" t="s">
        <v>6</v>
      </c>
      <c r="C3359" s="4" t="str">
        <f>hyperlink("https://terraria.gamepedia.com/Strange_Plant","Strange Plant (Green)")</f>
        <v>Strange Plant (Green)</v>
      </c>
    </row>
    <row r="3360">
      <c r="A3360" s="2">
        <v>3388.0</v>
      </c>
      <c r="B3360" s="3" t="s">
        <v>6</v>
      </c>
      <c r="C3360" s="4" t="str">
        <f>hyperlink("https://terraria.gamepedia.com/Strange_Plant","Strange Plant (Red)")</f>
        <v>Strange Plant (Red)</v>
      </c>
    </row>
    <row r="3361">
      <c r="A3361" s="2">
        <v>3389.0</v>
      </c>
      <c r="B3361" s="3" t="s">
        <v>5</v>
      </c>
      <c r="C3361" s="4" t="str">
        <f>hyperlink("https://terraria.gamepedia.com/Terrarian","Terrarian")</f>
        <v>Terrarian</v>
      </c>
    </row>
    <row r="3362">
      <c r="A3362" s="2">
        <v>3390.0</v>
      </c>
      <c r="B3362" s="3" t="s">
        <v>38</v>
      </c>
      <c r="C3362" s="4" t="str">
        <f>hyperlink("https://terraria.gamepedia.com/Goblin_Summoner","Goblin Summoner Banner")</f>
        <v>Goblin Summoner Banner</v>
      </c>
    </row>
    <row r="3363">
      <c r="A3363" s="2">
        <v>3391.0</v>
      </c>
      <c r="B3363" s="3" t="s">
        <v>37</v>
      </c>
      <c r="C3363" s="4" t="str">
        <f>hyperlink("https://terraria.gamepedia.com/Salamander","Salamander Banner")</f>
        <v>Salamander Banner</v>
      </c>
    </row>
    <row r="3364">
      <c r="A3364" s="2">
        <v>3392.0</v>
      </c>
      <c r="B3364" s="3" t="s">
        <v>37</v>
      </c>
      <c r="C3364" s="4" t="str">
        <f>hyperlink("https://terraria.gamepedia.com/Giant_Shelly","Giant Shelly Banner")</f>
        <v>Giant Shelly Banner</v>
      </c>
    </row>
    <row r="3365">
      <c r="A3365" s="2">
        <v>3393.0</v>
      </c>
      <c r="B3365" s="3" t="s">
        <v>37</v>
      </c>
      <c r="C3365" s="4" t="str">
        <f>hyperlink("https://terraria.gamepedia.com/Crawdad","Crawdad Banner")</f>
        <v>Crawdad Banner</v>
      </c>
    </row>
    <row r="3366">
      <c r="A3366" s="2">
        <v>3394.0</v>
      </c>
      <c r="B3366" s="3" t="s">
        <v>38</v>
      </c>
      <c r="C3366" s="4" t="str">
        <f>hyperlink("https://terraria.gamepedia.com/Fritz","Fritz Banner")</f>
        <v>Fritz Banner</v>
      </c>
    </row>
    <row r="3367">
      <c r="A3367" s="2">
        <v>3395.0</v>
      </c>
      <c r="B3367" s="3" t="s">
        <v>38</v>
      </c>
      <c r="C3367" s="4" t="str">
        <f>hyperlink("https://terraria.gamepedia.com/Creature_from_the_Deep","Creature From The Deep Banner")</f>
        <v>Creature From The Deep Banner</v>
      </c>
    </row>
    <row r="3368">
      <c r="A3368" s="2">
        <v>3396.0</v>
      </c>
      <c r="B3368" s="3" t="s">
        <v>38</v>
      </c>
      <c r="C3368" s="4" t="str">
        <f>hyperlink("https://terraria.gamepedia.com/Dr._Man_Fly","Dr. Man Fly Banner")</f>
        <v>Dr. Man Fly Banner</v>
      </c>
    </row>
    <row r="3369">
      <c r="A3369" s="2">
        <v>3397.0</v>
      </c>
      <c r="B3369" s="3" t="s">
        <v>38</v>
      </c>
      <c r="C3369" s="4" t="str">
        <f>hyperlink("https://terraria.gamepedia.com/Mothron","Mothron Banner")</f>
        <v>Mothron Banner</v>
      </c>
    </row>
    <row r="3370">
      <c r="A3370" s="2">
        <v>3399.0</v>
      </c>
      <c r="B3370" s="3" t="s">
        <v>38</v>
      </c>
      <c r="C3370" s="4" t="str">
        <f>hyperlink("https://terraria.gamepedia.com/The_Possessed","The Possessed Banner")</f>
        <v>The Possessed Banner</v>
      </c>
    </row>
    <row r="3371">
      <c r="A3371" s="2">
        <v>3400.0</v>
      </c>
      <c r="B3371" s="3" t="s">
        <v>38</v>
      </c>
      <c r="C3371" s="4" t="str">
        <f>hyperlink("https://terraria.gamepedia.com/Butcher","Butcher Banner")</f>
        <v>Butcher Banner</v>
      </c>
    </row>
    <row r="3372">
      <c r="A3372" s="2">
        <v>3401.0</v>
      </c>
      <c r="B3372" s="3" t="s">
        <v>38</v>
      </c>
      <c r="C3372" s="4" t="str">
        <f>hyperlink("https://terraria.gamepedia.com/Psycho","Psycho Banner")</f>
        <v>Psycho Banner</v>
      </c>
    </row>
    <row r="3373">
      <c r="A3373" s="2">
        <v>3402.0</v>
      </c>
      <c r="B3373" s="3" t="s">
        <v>38</v>
      </c>
      <c r="C3373" s="4" t="str">
        <f>hyperlink("https://terraria.gamepedia.com/Deadly_Sphere","Deadly Sphere Banner")</f>
        <v>Deadly Sphere Banner</v>
      </c>
    </row>
    <row r="3374">
      <c r="A3374" s="2">
        <v>3403.0</v>
      </c>
      <c r="B3374" s="3" t="s">
        <v>38</v>
      </c>
      <c r="C3374" s="4" t="str">
        <f>hyperlink("https://terraria.gamepedia.com/Nailhead","Nailhead Banner")</f>
        <v>Nailhead Banner</v>
      </c>
    </row>
    <row r="3375">
      <c r="A3375" s="2">
        <v>3405.0</v>
      </c>
      <c r="B3375" s="3" t="s">
        <v>37</v>
      </c>
      <c r="C3375" s="4" t="str">
        <f>hyperlink("https://terraria.gamepedia.com/Medusa","Medusa Banner")</f>
        <v>Medusa Banner</v>
      </c>
    </row>
    <row r="3376">
      <c r="A3376" s="2">
        <v>3406.0</v>
      </c>
      <c r="B3376" s="3" t="s">
        <v>37</v>
      </c>
      <c r="C3376" s="4" t="str">
        <f>hyperlink("https://terraria.gamepedia.com/Hoplite","Hoplite Banner")</f>
        <v>Hoplite Banner</v>
      </c>
    </row>
    <row r="3377">
      <c r="A3377" s="2">
        <v>3407.0</v>
      </c>
      <c r="B3377" s="3" t="s">
        <v>37</v>
      </c>
      <c r="C3377" s="4" t="str">
        <f>hyperlink("https://terraria.gamepedia.com/Granite_Elemental","Granite Elemental Banner")</f>
        <v>Granite Elemental Banner</v>
      </c>
    </row>
    <row r="3378">
      <c r="A3378" s="2">
        <v>3408.0</v>
      </c>
      <c r="B3378" s="3" t="s">
        <v>37</v>
      </c>
      <c r="C3378" s="4" t="str">
        <f>hyperlink("https://terraria.gamepedia.com/Granite_Golem","Granite Golem Banner")</f>
        <v>Granite Golem Banner</v>
      </c>
    </row>
    <row r="3379">
      <c r="A3379" s="2">
        <v>3409.0</v>
      </c>
      <c r="B3379" s="3" t="s">
        <v>37</v>
      </c>
      <c r="C3379" s="4" t="str">
        <f>hyperlink("https://terraria.gamepedia.com/Blood_Zombie","Blood Zombie Banner")</f>
        <v>Blood Zombie Banner</v>
      </c>
    </row>
    <row r="3380">
      <c r="A3380" s="2">
        <v>3410.0</v>
      </c>
      <c r="B3380" s="3" t="s">
        <v>37</v>
      </c>
      <c r="C3380" s="4" t="str">
        <f>hyperlink("https://terraria.gamepedia.com/Drippler","Drippler Banner")</f>
        <v>Drippler Banner</v>
      </c>
    </row>
    <row r="3381">
      <c r="A3381" s="2">
        <v>3411.0</v>
      </c>
      <c r="B3381" s="3" t="s">
        <v>37</v>
      </c>
      <c r="C3381" s="4" t="str">
        <f>hyperlink("https://terraria.gamepedia.com/Tomb_Crawler","Tomb Crawler Banner")</f>
        <v>Tomb Crawler Banner</v>
      </c>
    </row>
    <row r="3382">
      <c r="A3382" s="2">
        <v>3412.0</v>
      </c>
      <c r="B3382" s="3" t="s">
        <v>37</v>
      </c>
      <c r="C3382" s="4" t="str">
        <f>hyperlink("https://terraria.gamepedia.com/Dune_Splicer","Dune Splicer Banner")</f>
        <v>Dune Splicer Banner</v>
      </c>
    </row>
    <row r="3383">
      <c r="A3383" s="2">
        <v>3413.0</v>
      </c>
      <c r="B3383" s="3" t="s">
        <v>37</v>
      </c>
      <c r="C3383" s="4" t="str">
        <f>hyperlink("https://terraria.gamepedia.com/Antlion_Swarmer","Antlion Swarmer Banner")</f>
        <v>Antlion Swarmer Banner</v>
      </c>
    </row>
    <row r="3384">
      <c r="A3384" s="2">
        <v>3414.0</v>
      </c>
      <c r="B3384" s="3" t="s">
        <v>37</v>
      </c>
      <c r="C3384" s="4" t="str">
        <f>hyperlink("https://terraria.gamepedia.com/Antlion_Charger","Antlion Charger Banner")</f>
        <v>Antlion Charger Banner</v>
      </c>
    </row>
    <row r="3385">
      <c r="A3385" s="2">
        <v>3415.0</v>
      </c>
      <c r="B3385" s="3" t="s">
        <v>37</v>
      </c>
      <c r="C3385" s="4" t="str">
        <f>hyperlink("https://terraria.gamepedia.com/Ghouls","Ghoul Banner")</f>
        <v>Ghoul Banner</v>
      </c>
    </row>
    <row r="3386">
      <c r="A3386" s="2">
        <v>3416.0</v>
      </c>
      <c r="B3386" s="3" t="s">
        <v>37</v>
      </c>
      <c r="C3386" s="4" t="str">
        <f>hyperlink("https://terraria.gamepedia.com/Lamia","Lamia Banner")</f>
        <v>Lamia Banner</v>
      </c>
    </row>
    <row r="3387">
      <c r="A3387" s="2">
        <v>3417.0</v>
      </c>
      <c r="B3387" s="3" t="s">
        <v>37</v>
      </c>
      <c r="C3387" s="4" t="str">
        <f>hyperlink("https://terraria.gamepedia.com/Desert_Spirit","Desert Spirit Banner")</f>
        <v>Desert Spirit Banner</v>
      </c>
    </row>
    <row r="3388">
      <c r="A3388" s="2">
        <v>3418.0</v>
      </c>
      <c r="B3388" s="3" t="s">
        <v>37</v>
      </c>
      <c r="C3388" s="4" t="str">
        <f>hyperlink("https://terraria.gamepedia.com/Basilisk","Basilisk Banner")</f>
        <v>Basilisk Banner</v>
      </c>
    </row>
    <row r="3389">
      <c r="A3389" s="2">
        <v>3419.0</v>
      </c>
      <c r="B3389" s="3" t="s">
        <v>37</v>
      </c>
      <c r="C3389" s="4" t="str">
        <f>hyperlink("https://terraria.gamepedia.com/Sand_Poacher","Sand Poacher Banner")</f>
        <v>Sand Poacher Banner</v>
      </c>
    </row>
    <row r="3390">
      <c r="A3390" s="2">
        <v>3420.0</v>
      </c>
      <c r="B3390" s="3" t="s">
        <v>37</v>
      </c>
      <c r="C3390" s="4" t="str">
        <f>hyperlink("https://terraria.gamepedia.com/Stargazer","Stargazer Banner")</f>
        <v>Stargazer Banner</v>
      </c>
    </row>
    <row r="3391">
      <c r="A3391" s="2">
        <v>3421.0</v>
      </c>
      <c r="B3391" s="3" t="s">
        <v>38</v>
      </c>
      <c r="C3391" s="4" t="str">
        <f>hyperlink("https://terraria.gamepedia.com/Milkyway_Weaver","Milkyway Weaver Banner")</f>
        <v>Milkyway Weaver Banner</v>
      </c>
    </row>
    <row r="3392">
      <c r="A3392" s="2">
        <v>3422.0</v>
      </c>
      <c r="B3392" s="3" t="s">
        <v>38</v>
      </c>
      <c r="C3392" s="4" t="str">
        <f>hyperlink("https://terraria.gamepedia.com/Flow_Invader","Flow Invader Banner")</f>
        <v>Flow Invader Banner</v>
      </c>
    </row>
    <row r="3393">
      <c r="A3393" s="2">
        <v>3423.0</v>
      </c>
      <c r="B3393" s="3" t="s">
        <v>38</v>
      </c>
      <c r="C3393" s="4" t="str">
        <f>hyperlink("https://terraria.gamepedia.com/Twinkle_Popper","Twinkle Popper Banner")</f>
        <v>Twinkle Popper Banner</v>
      </c>
    </row>
    <row r="3394">
      <c r="A3394" s="2">
        <v>3425.0</v>
      </c>
      <c r="B3394" s="3" t="s">
        <v>38</v>
      </c>
      <c r="C3394" s="4" t="str">
        <f>hyperlink("https://terraria.gamepedia.com/Star_Cell","Star Cell Banner")</f>
        <v>Star Cell Banner</v>
      </c>
    </row>
    <row r="3395">
      <c r="A3395" s="2">
        <v>3426.0</v>
      </c>
      <c r="B3395" s="3" t="s">
        <v>38</v>
      </c>
      <c r="C3395" s="4" t="str">
        <f>hyperlink("https://terraria.gamepedia.com/Corite","Corite Banner")</f>
        <v>Corite Banner</v>
      </c>
    </row>
    <row r="3396">
      <c r="A3396" s="2">
        <v>3427.0</v>
      </c>
      <c r="B3396" s="3" t="s">
        <v>38</v>
      </c>
      <c r="C3396" s="4" t="str">
        <f>hyperlink("https://terraria.gamepedia.com/Sroller","Sroller Banner")</f>
        <v>Sroller Banner</v>
      </c>
    </row>
    <row r="3397">
      <c r="A3397" s="2">
        <v>3428.0</v>
      </c>
      <c r="B3397" s="3" t="s">
        <v>38</v>
      </c>
      <c r="C3397" s="4" t="str">
        <f>hyperlink("https://terraria.gamepedia.com/Crawltipede","Crawltipede Banner")</f>
        <v>Crawltipede Banner</v>
      </c>
    </row>
    <row r="3398">
      <c r="A3398" s="2">
        <v>3429.0</v>
      </c>
      <c r="B3398" s="3" t="s">
        <v>38</v>
      </c>
      <c r="C3398" s="4" t="str">
        <f>hyperlink("https://terraria.gamepedia.com/Drakomire_Rider","Drakomire Rider Banner")</f>
        <v>Drakomire Rider Banner</v>
      </c>
    </row>
    <row r="3399">
      <c r="A3399" s="2">
        <v>3430.0</v>
      </c>
      <c r="B3399" s="3" t="s">
        <v>38</v>
      </c>
      <c r="C3399" s="4" t="str">
        <f>hyperlink("https://terraria.gamepedia.com/Drakomire","Drakomire Banner")</f>
        <v>Drakomire Banner</v>
      </c>
    </row>
    <row r="3400">
      <c r="A3400" s="2">
        <v>3431.0</v>
      </c>
      <c r="B3400" s="3" t="s">
        <v>38</v>
      </c>
      <c r="C3400" s="4" t="str">
        <f>hyperlink("https://terraria.gamepedia.com/Selenian","Selenian Banner")</f>
        <v>Selenian Banner</v>
      </c>
    </row>
    <row r="3401">
      <c r="A3401" s="2">
        <v>3432.0</v>
      </c>
      <c r="B3401" s="3" t="s">
        <v>38</v>
      </c>
      <c r="C3401" s="4" t="str">
        <f>hyperlink("https://terraria.gamepedia.com/Predictor","Predictor Banner")</f>
        <v>Predictor Banner</v>
      </c>
    </row>
    <row r="3402">
      <c r="A3402" s="2">
        <v>3433.0</v>
      </c>
      <c r="B3402" s="3" t="s">
        <v>38</v>
      </c>
      <c r="C3402" s="4" t="str">
        <f>hyperlink("https://terraria.gamepedia.com/Brain_Suckler","Brain Suckler Banner")</f>
        <v>Brain Suckler Banner</v>
      </c>
    </row>
    <row r="3403">
      <c r="A3403" s="2">
        <v>3434.0</v>
      </c>
      <c r="B3403" s="3" t="s">
        <v>38</v>
      </c>
      <c r="C3403" s="4" t="str">
        <f>hyperlink("https://terraria.gamepedia.com/Nebula_Floater","Nebula Floater Banner")</f>
        <v>Nebula Floater Banner</v>
      </c>
    </row>
    <row r="3404">
      <c r="A3404" s="2">
        <v>3435.0</v>
      </c>
      <c r="B3404" s="3" t="s">
        <v>38</v>
      </c>
      <c r="C3404" s="4" t="str">
        <f>hyperlink("https://terraria.gamepedia.com/Evolution_Beast","Evolution Beast Banner")</f>
        <v>Evolution Beast Banner</v>
      </c>
    </row>
    <row r="3405">
      <c r="A3405" s="2">
        <v>3436.0</v>
      </c>
      <c r="B3405" s="3" t="s">
        <v>38</v>
      </c>
      <c r="C3405" s="4" t="str">
        <f>hyperlink("https://terraria.gamepedia.com/Alien_Larva","Alien Larva Banner")</f>
        <v>Alien Larva Banner</v>
      </c>
    </row>
    <row r="3406">
      <c r="A3406" s="2">
        <v>3437.0</v>
      </c>
      <c r="B3406" s="3" t="s">
        <v>38</v>
      </c>
      <c r="C3406" s="4" t="str">
        <f>hyperlink("https://terraria.gamepedia.com/Alien_Queen","Alien Queen Banner")</f>
        <v>Alien Queen Banner</v>
      </c>
    </row>
    <row r="3407">
      <c r="A3407" s="2">
        <v>3438.0</v>
      </c>
      <c r="B3407" s="3" t="s">
        <v>38</v>
      </c>
      <c r="C3407" s="4" t="str">
        <f>hyperlink("https://terraria.gamepedia.com/Alien_Hornet","Alien Hornet Banner")</f>
        <v>Alien Hornet Banner</v>
      </c>
    </row>
    <row r="3408">
      <c r="A3408" s="2">
        <v>3439.0</v>
      </c>
      <c r="B3408" s="3" t="s">
        <v>38</v>
      </c>
      <c r="C3408" s="4" t="str">
        <f>hyperlink("https://terraria.gamepedia.com/Vortexian","Vortexian Banner")</f>
        <v>Vortexian Banner</v>
      </c>
    </row>
    <row r="3409">
      <c r="A3409" s="2">
        <v>3440.0</v>
      </c>
      <c r="B3409" s="3" t="s">
        <v>38</v>
      </c>
      <c r="C3409" s="4" t="str">
        <f>hyperlink("https://terraria.gamepedia.com/Storm_Diver","Storm Diver Banner")</f>
        <v>Storm Diver Banner</v>
      </c>
    </row>
    <row r="3410">
      <c r="A3410" s="2">
        <v>3441.0</v>
      </c>
      <c r="B3410" s="3" t="s">
        <v>38</v>
      </c>
      <c r="C3410" s="4" t="str">
        <f>hyperlink("https://terraria.gamepedia.com/Pirate_Captain","Pirate Captain Banner")</f>
        <v>Pirate Captain Banner</v>
      </c>
    </row>
    <row r="3411">
      <c r="A3411" s="2">
        <v>3442.0</v>
      </c>
      <c r="B3411" s="3" t="s">
        <v>38</v>
      </c>
      <c r="C3411" s="4" t="str">
        <f>hyperlink("https://terraria.gamepedia.com/Pirate_Deadeye","Pirate Deadeye Banner")</f>
        <v>Pirate Deadeye Banner</v>
      </c>
    </row>
    <row r="3412">
      <c r="A3412" s="2">
        <v>3443.0</v>
      </c>
      <c r="B3412" s="3" t="s">
        <v>38</v>
      </c>
      <c r="C3412" s="4" t="str">
        <f>hyperlink("https://terraria.gamepedia.com/Pirate_Corsair","Pirate Corsair Banner")</f>
        <v>Pirate Corsair Banner</v>
      </c>
    </row>
    <row r="3413">
      <c r="A3413" s="2">
        <v>3444.0</v>
      </c>
      <c r="B3413" s="3" t="s">
        <v>38</v>
      </c>
      <c r="C3413" s="4" t="str">
        <f>hyperlink("https://terraria.gamepedia.com/Pirate_Crossbower","Pirate Crossbower Banner")</f>
        <v>Pirate Crossbower Banner</v>
      </c>
    </row>
    <row r="3414">
      <c r="A3414" s="2">
        <v>3445.0</v>
      </c>
      <c r="B3414" s="3" t="s">
        <v>38</v>
      </c>
      <c r="C3414" s="4" t="str">
        <f>hyperlink("https://terraria.gamepedia.com/Martian_Walker","Martian Walker Banner")</f>
        <v>Martian Walker Banner</v>
      </c>
    </row>
    <row r="3415">
      <c r="A3415" s="2">
        <v>3446.0</v>
      </c>
      <c r="B3415" s="3" t="s">
        <v>37</v>
      </c>
      <c r="C3415" s="4" t="str">
        <f>hyperlink("https://terraria.gamepedia.com/Red_Devil","Red Devil Banner")</f>
        <v>Red Devil Banner</v>
      </c>
    </row>
    <row r="3416">
      <c r="A3416" s="2">
        <v>3447.0</v>
      </c>
      <c r="B3416" s="3" t="s">
        <v>37</v>
      </c>
      <c r="C3416" s="4" t="str">
        <f>hyperlink("https://terraria.gamepedia.com/Jellyfish","Pink Jellyfish Banner")</f>
        <v>Pink Jellyfish Banner</v>
      </c>
    </row>
    <row r="3417">
      <c r="A3417" s="2">
        <v>3448.0</v>
      </c>
      <c r="B3417" s="3" t="s">
        <v>37</v>
      </c>
      <c r="C3417" s="4" t="str">
        <f>hyperlink("https://terraria.gamepedia.com/Jellyfish","Green Jellyfish Banner")</f>
        <v>Green Jellyfish Banner</v>
      </c>
    </row>
    <row r="3418">
      <c r="A3418" s="2">
        <v>3449.0</v>
      </c>
      <c r="B3418" s="3" t="s">
        <v>37</v>
      </c>
      <c r="C3418" s="4" t="str">
        <f>hyperlink("https://terraria.gamepedia.com/Mummies","Dark Mummy Banner")</f>
        <v>Dark Mummy Banner</v>
      </c>
    </row>
    <row r="3419">
      <c r="A3419" s="2">
        <v>3450.0</v>
      </c>
      <c r="B3419" s="3" t="s">
        <v>37</v>
      </c>
      <c r="C3419" s="4" t="str">
        <f>hyperlink("https://terraria.gamepedia.com/Mummies","Light Mummy Banner")</f>
        <v>Light Mummy Banner</v>
      </c>
    </row>
    <row r="3420">
      <c r="A3420" s="2">
        <v>3451.0</v>
      </c>
      <c r="B3420" s="3" t="s">
        <v>37</v>
      </c>
      <c r="C3420" s="4" t="str">
        <f>hyperlink("https://terraria.gamepedia.com/Angry_Bones","Angry Bones Banner")</f>
        <v>Angry Bones Banner</v>
      </c>
    </row>
    <row r="3421">
      <c r="A3421" s="2">
        <v>3452.0</v>
      </c>
      <c r="B3421" s="3" t="s">
        <v>37</v>
      </c>
      <c r="C3421" s="4" t="str">
        <f>hyperlink("https://terraria.gamepedia.com/Ice_Tortoise","Ice Tortoise Banner")</f>
        <v>Ice Tortoise Banner</v>
      </c>
    </row>
    <row r="3422">
      <c r="A3422" s="2">
        <v>3456.0</v>
      </c>
      <c r="B3422" s="3" t="s">
        <v>11</v>
      </c>
      <c r="C3422" s="4" t="str">
        <f>hyperlink("https://terraria.gamepedia.com/Vortex_Fragment","Vortex Fragment")</f>
        <v>Vortex Fragment</v>
      </c>
    </row>
    <row r="3423">
      <c r="A3423" s="2">
        <v>3457.0</v>
      </c>
      <c r="B3423" s="3" t="s">
        <v>11</v>
      </c>
      <c r="C3423" s="4" t="str">
        <f>hyperlink("https://terraria.gamepedia.com/Nebula_Fragment","Nebula Fragment")</f>
        <v>Nebula Fragment</v>
      </c>
    </row>
    <row r="3424">
      <c r="A3424" s="2">
        <v>3458.0</v>
      </c>
      <c r="B3424" s="3" t="s">
        <v>11</v>
      </c>
      <c r="C3424" s="4" t="str">
        <f>hyperlink("https://terraria.gamepedia.com/Solar_Fragment","Solar Fragment")</f>
        <v>Solar Fragment</v>
      </c>
    </row>
    <row r="3425">
      <c r="A3425" s="2">
        <v>3459.0</v>
      </c>
      <c r="B3425" s="3" t="s">
        <v>11</v>
      </c>
      <c r="C3425" s="4" t="str">
        <f>hyperlink("https://terraria.gamepedia.com/Stardust_Fragment","Stardust Fragment")</f>
        <v>Stardust Fragment</v>
      </c>
    </row>
    <row r="3426">
      <c r="A3426" s="2">
        <v>3460.0</v>
      </c>
      <c r="B3426" s="3" t="s">
        <v>9</v>
      </c>
      <c r="C3426" s="4" t="str">
        <f>hyperlink("https://terraria.gamepedia.com/Luminite","Luminite")</f>
        <v>Luminite</v>
      </c>
    </row>
    <row r="3427">
      <c r="A3427" s="2">
        <v>3461.0</v>
      </c>
      <c r="B3427" s="3" t="s">
        <v>4</v>
      </c>
      <c r="C3427" s="4" t="str">
        <f>hyperlink("https://terraria.gamepedia.com/Luminite_Brick","Luminite Brick")</f>
        <v>Luminite Brick</v>
      </c>
    </row>
    <row r="3428">
      <c r="A3428" s="2">
        <v>3464.0</v>
      </c>
      <c r="B3428" s="3" t="s">
        <v>3</v>
      </c>
      <c r="C3428" s="4" t="str">
        <f>hyperlink("https://terraria.gamepedia.com/Luminite_Drills","Stardust Drill")</f>
        <v>Stardust Drill</v>
      </c>
    </row>
    <row r="3429">
      <c r="A3429" s="2">
        <v>3466.0</v>
      </c>
      <c r="B3429" s="3" t="s">
        <v>3</v>
      </c>
      <c r="C3429" s="4" t="str">
        <f>hyperlink("https://terraria.gamepedia.com/Luminite_Pickaxes","Stardust Pickaxe")</f>
        <v>Stardust Pickaxe</v>
      </c>
    </row>
    <row r="3430">
      <c r="A3430" s="2">
        <v>3467.0</v>
      </c>
      <c r="B3430" s="3" t="s">
        <v>9</v>
      </c>
      <c r="C3430" s="4" t="str">
        <f>hyperlink("https://terraria.gamepedia.com/Luminite_Bar","Luminite Bar")</f>
        <v>Luminite Bar</v>
      </c>
    </row>
    <row r="3431">
      <c r="A3431" s="2">
        <v>3468.0</v>
      </c>
      <c r="B3431" s="3" t="s">
        <v>27</v>
      </c>
      <c r="C3431" s="4" t="str">
        <f>hyperlink("https://terraria.gamepedia.com/Wings","Solar Wings")</f>
        <v>Solar Wings</v>
      </c>
    </row>
    <row r="3432">
      <c r="A3432" s="2">
        <v>3469.0</v>
      </c>
      <c r="B3432" s="3" t="s">
        <v>27</v>
      </c>
      <c r="C3432" s="4" t="str">
        <f>hyperlink("https://terraria.gamepedia.com/Wings","Vortex Booster")</f>
        <v>Vortex Booster</v>
      </c>
    </row>
    <row r="3433">
      <c r="A3433" s="2">
        <v>3470.0</v>
      </c>
      <c r="B3433" s="3" t="s">
        <v>27</v>
      </c>
      <c r="C3433" s="4" t="str">
        <f>hyperlink("https://terraria.gamepedia.com/Wings","Nebula Mantle")</f>
        <v>Nebula Mantle</v>
      </c>
    </row>
    <row r="3434">
      <c r="A3434" s="2">
        <v>3471.0</v>
      </c>
      <c r="B3434" s="3" t="s">
        <v>27</v>
      </c>
      <c r="C3434" s="4" t="str">
        <f>hyperlink("https://terraria.gamepedia.com/Wings","Stardust Wings")</f>
        <v>Stardust Wings</v>
      </c>
    </row>
    <row r="3435">
      <c r="A3435" s="2">
        <v>3472.0</v>
      </c>
      <c r="B3435" s="3" t="s">
        <v>13</v>
      </c>
      <c r="C3435" s="4" t="str">
        <f>hyperlink("https://terraria.gamepedia.com/Luminite_Brick_Wall","Luminite Brick Wall")</f>
        <v>Luminite Brick Wall</v>
      </c>
    </row>
    <row r="3436">
      <c r="A3436" s="2">
        <v>3473.0</v>
      </c>
      <c r="B3436" s="3" t="s">
        <v>5</v>
      </c>
      <c r="C3436" s="4" t="str">
        <f>hyperlink("https://terraria.gamepedia.com/Solar_Eruption","Solar Eruption")</f>
        <v>Solar Eruption</v>
      </c>
    </row>
    <row r="3437">
      <c r="A3437" s="2">
        <v>3474.0</v>
      </c>
      <c r="B3437" s="3" t="s">
        <v>5</v>
      </c>
      <c r="C3437" s="4" t="str">
        <f>hyperlink("https://terraria.gamepedia.com/Stardust_Cell_Staff","Stardust Cell Staff")</f>
        <v>Stardust Cell Staff</v>
      </c>
    </row>
    <row r="3438">
      <c r="A3438" s="2">
        <v>3475.0</v>
      </c>
      <c r="B3438" s="3" t="s">
        <v>5</v>
      </c>
      <c r="C3438" s="4" t="str">
        <f>hyperlink("https://terraria.gamepedia.com/Vortex_Beater","Vortex Beater")</f>
        <v>Vortex Beater</v>
      </c>
    </row>
    <row r="3439">
      <c r="A3439" s="2">
        <v>3476.0</v>
      </c>
      <c r="B3439" s="3" t="s">
        <v>5</v>
      </c>
      <c r="C3439" s="4" t="str">
        <f>hyperlink("https://terraria.gamepedia.com/Nebula_Arcanum","Nebula Arcanum")</f>
        <v>Nebula Arcanum</v>
      </c>
    </row>
    <row r="3440">
      <c r="A3440" s="2">
        <v>3477.0</v>
      </c>
      <c r="B3440" s="3" t="s">
        <v>18</v>
      </c>
      <c r="C3440" s="4" t="str">
        <f>hyperlink("https://terraria.gamepedia.com/Thrown_Water","Blood Water")</f>
        <v>Blood Water</v>
      </c>
    </row>
    <row r="3441">
      <c r="A3441" s="2">
        <v>3478.0</v>
      </c>
      <c r="B3441" s="3" t="s">
        <v>23</v>
      </c>
      <c r="C3441" s="4" t="str">
        <f>hyperlink("https://terraria.gamepedia.com/Wedding_set","Wedding Veil")</f>
        <v>Wedding Veil</v>
      </c>
    </row>
    <row r="3442">
      <c r="A3442" s="2">
        <v>3479.0</v>
      </c>
      <c r="B3442" s="3" t="s">
        <v>23</v>
      </c>
      <c r="C3442" s="4" t="str">
        <f>hyperlink("https://terraria.gamepedia.com/Wedding_set","Wedding Dress")</f>
        <v>Wedding Dress</v>
      </c>
    </row>
    <row r="3443">
      <c r="A3443" s="2">
        <v>3480.0</v>
      </c>
      <c r="B3443" s="3" t="s">
        <v>5</v>
      </c>
      <c r="C3443" s="4" t="str">
        <f>hyperlink("https://terraria.gamepedia.com/Platinum_Bow","Platinum Bow")</f>
        <v>Platinum Bow</v>
      </c>
    </row>
    <row r="3444">
      <c r="A3444" s="2">
        <v>3481.0</v>
      </c>
      <c r="B3444" s="3" t="s">
        <v>3</v>
      </c>
      <c r="C3444" s="4" t="str">
        <f>hyperlink("https://terraria.gamepedia.com/Platinum_Hammer","Platinum Hammer")</f>
        <v>Platinum Hammer</v>
      </c>
    </row>
    <row r="3445">
      <c r="A3445" s="2">
        <v>3482.0</v>
      </c>
      <c r="B3445" s="3" t="s">
        <v>3</v>
      </c>
      <c r="C3445" s="4" t="str">
        <f>hyperlink("https://terraria.gamepedia.com/Platinum_Axe","Platinum Axe")</f>
        <v>Platinum Axe</v>
      </c>
    </row>
    <row r="3446">
      <c r="A3446" s="2">
        <v>3483.0</v>
      </c>
      <c r="B3446" s="3" t="s">
        <v>5</v>
      </c>
      <c r="C3446" s="4" t="str">
        <f>hyperlink("https://terraria.gamepedia.com/Platinum_Shortsword","Platinum Shortsword")</f>
        <v>Platinum Shortsword</v>
      </c>
    </row>
    <row r="3447">
      <c r="A3447" s="2">
        <v>3484.0</v>
      </c>
      <c r="B3447" s="3" t="s">
        <v>5</v>
      </c>
      <c r="C3447" s="4" t="str">
        <f>hyperlink("https://terraria.gamepedia.com/Platinum_Broadsword","Platinum Broadsword")</f>
        <v>Platinum Broadsword</v>
      </c>
    </row>
    <row r="3448">
      <c r="A3448" s="2">
        <v>3485.0</v>
      </c>
      <c r="B3448" s="3" t="s">
        <v>3</v>
      </c>
      <c r="C3448" s="4" t="str">
        <f>hyperlink("https://terraria.gamepedia.com/Platinum_Pickaxe","Platinum Pickaxe")</f>
        <v>Platinum Pickaxe</v>
      </c>
    </row>
    <row r="3449">
      <c r="A3449" s="2">
        <v>3486.0</v>
      </c>
      <c r="B3449" s="3" t="s">
        <v>5</v>
      </c>
      <c r="C3449" s="4" t="str">
        <f>hyperlink("https://terraria.gamepedia.com/Tungsten_Bow","Tungsten Bow")</f>
        <v>Tungsten Bow</v>
      </c>
    </row>
    <row r="3450">
      <c r="A3450" s="2">
        <v>3487.0</v>
      </c>
      <c r="B3450" s="3" t="s">
        <v>3</v>
      </c>
      <c r="C3450" s="4" t="str">
        <f>hyperlink("https://terraria.gamepedia.com/Tungsten_Hammer","Tungsten Hammer")</f>
        <v>Tungsten Hammer</v>
      </c>
    </row>
    <row r="3451">
      <c r="A3451" s="2">
        <v>3488.0</v>
      </c>
      <c r="B3451" s="3" t="s">
        <v>3</v>
      </c>
      <c r="C3451" s="4" t="str">
        <f>hyperlink("https://terraria.gamepedia.com/Tungsten_Axe","Tungsten Axe")</f>
        <v>Tungsten Axe</v>
      </c>
    </row>
    <row r="3452">
      <c r="A3452" s="2">
        <v>3489.0</v>
      </c>
      <c r="B3452" s="3" t="s">
        <v>5</v>
      </c>
      <c r="C3452" s="4" t="str">
        <f>hyperlink("https://terraria.gamepedia.com/Tungsten_Shortsword","Tungsten Shortsword")</f>
        <v>Tungsten Shortsword</v>
      </c>
    </row>
    <row r="3453">
      <c r="A3453" s="2">
        <v>3490.0</v>
      </c>
      <c r="B3453" s="3" t="s">
        <v>5</v>
      </c>
      <c r="C3453" s="4" t="str">
        <f>hyperlink("https://terraria.gamepedia.com/Tungsten_Broadsword","Tungsten Broadsword")</f>
        <v>Tungsten Broadsword</v>
      </c>
    </row>
    <row r="3454">
      <c r="A3454" s="2">
        <v>3491.0</v>
      </c>
      <c r="B3454" s="3" t="s">
        <v>3</v>
      </c>
      <c r="C3454" s="4" t="str">
        <f>hyperlink("https://terraria.gamepedia.com/Tungsten_Pickaxe","Tungsten Pickaxe")</f>
        <v>Tungsten Pickaxe</v>
      </c>
    </row>
    <row r="3455">
      <c r="A3455" s="2">
        <v>3492.0</v>
      </c>
      <c r="B3455" s="3" t="s">
        <v>5</v>
      </c>
      <c r="C3455" s="4" t="str">
        <f>hyperlink("https://terraria.gamepedia.com/Lead_Bow","Lead Bow")</f>
        <v>Lead Bow</v>
      </c>
    </row>
    <row r="3456">
      <c r="A3456" s="2">
        <v>3493.0</v>
      </c>
      <c r="B3456" s="3" t="s">
        <v>3</v>
      </c>
      <c r="C3456" s="4" t="str">
        <f>hyperlink("https://terraria.gamepedia.com/Lead_Hammer","Lead Hammer")</f>
        <v>Lead Hammer</v>
      </c>
    </row>
    <row r="3457">
      <c r="A3457" s="2">
        <v>3494.0</v>
      </c>
      <c r="B3457" s="3" t="s">
        <v>3</v>
      </c>
      <c r="C3457" s="4" t="str">
        <f>hyperlink("https://terraria.gamepedia.com/Lead_Axe","Lead Axe")</f>
        <v>Lead Axe</v>
      </c>
    </row>
    <row r="3458">
      <c r="A3458" s="2">
        <v>3495.0</v>
      </c>
      <c r="B3458" s="3" t="s">
        <v>5</v>
      </c>
      <c r="C3458" s="4" t="str">
        <f>hyperlink("https://terraria.gamepedia.com/Lead_Shortsword","Lead Shortsword")</f>
        <v>Lead Shortsword</v>
      </c>
    </row>
    <row r="3459">
      <c r="A3459" s="2">
        <v>3496.0</v>
      </c>
      <c r="B3459" s="3" t="s">
        <v>5</v>
      </c>
      <c r="C3459" s="4" t="str">
        <f>hyperlink("https://terraria.gamepedia.com/Lead_Broadsword","Lead Broadsword")</f>
        <v>Lead Broadsword</v>
      </c>
    </row>
    <row r="3460">
      <c r="A3460" s="2">
        <v>3497.0</v>
      </c>
      <c r="B3460" s="3" t="s">
        <v>3</v>
      </c>
      <c r="C3460" s="4" t="str">
        <f>hyperlink("https://terraria.gamepedia.com/Lead_Pickaxe","Lead Pickaxe")</f>
        <v>Lead Pickaxe</v>
      </c>
    </row>
    <row r="3461">
      <c r="A3461" s="2">
        <v>3498.0</v>
      </c>
      <c r="B3461" s="3" t="s">
        <v>5</v>
      </c>
      <c r="C3461" s="4" t="str">
        <f>hyperlink("https://terraria.gamepedia.com/Tin_Bow","Tin Bow")</f>
        <v>Tin Bow</v>
      </c>
    </row>
    <row r="3462">
      <c r="A3462" s="2">
        <v>3499.0</v>
      </c>
      <c r="B3462" s="3" t="s">
        <v>3</v>
      </c>
      <c r="C3462" s="4" t="str">
        <f>hyperlink("https://terraria.gamepedia.com/Tin_Hammer","Tin Hammer")</f>
        <v>Tin Hammer</v>
      </c>
    </row>
    <row r="3463">
      <c r="A3463" s="2">
        <v>3500.0</v>
      </c>
      <c r="B3463" s="3" t="s">
        <v>3</v>
      </c>
      <c r="C3463" s="4" t="str">
        <f>hyperlink("https://terraria.gamepedia.com/Tin_Axe","Tin Axe")</f>
        <v>Tin Axe</v>
      </c>
    </row>
    <row r="3464">
      <c r="A3464" s="2">
        <v>3501.0</v>
      </c>
      <c r="B3464" s="3" t="s">
        <v>5</v>
      </c>
      <c r="C3464" s="4" t="str">
        <f>hyperlink("https://terraria.gamepedia.com/Tin_Shortsword","Tin Shortsword")</f>
        <v>Tin Shortsword</v>
      </c>
    </row>
    <row r="3465">
      <c r="A3465" s="2">
        <v>3502.0</v>
      </c>
      <c r="B3465" s="3" t="s">
        <v>5</v>
      </c>
      <c r="C3465" s="4" t="str">
        <f>hyperlink("https://terraria.gamepedia.com/Tin_Broadsword","Tin Broadsword")</f>
        <v>Tin Broadsword</v>
      </c>
    </row>
    <row r="3466">
      <c r="A3466" s="2">
        <v>3503.0</v>
      </c>
      <c r="B3466" s="3" t="s">
        <v>3</v>
      </c>
      <c r="C3466" s="4" t="str">
        <f>hyperlink("https://terraria.gamepedia.com/Tin_Pickaxe","Tin Pickaxe")</f>
        <v>Tin Pickaxe</v>
      </c>
    </row>
    <row r="3467">
      <c r="A3467" s="2">
        <v>3504.0</v>
      </c>
      <c r="B3467" s="3" t="s">
        <v>5</v>
      </c>
      <c r="C3467" s="4" t="str">
        <f>hyperlink("https://terraria.gamepedia.com/Copper_Bow","Copper Bow")</f>
        <v>Copper Bow</v>
      </c>
    </row>
    <row r="3468">
      <c r="A3468" s="2">
        <v>3505.0</v>
      </c>
      <c r="B3468" s="3" t="s">
        <v>3</v>
      </c>
      <c r="C3468" s="4" t="str">
        <f>hyperlink("https://terraria.gamepedia.com/Copper_Hammer","Copper Hammer")</f>
        <v>Copper Hammer</v>
      </c>
    </row>
    <row r="3469">
      <c r="A3469" s="2">
        <v>3506.0</v>
      </c>
      <c r="B3469" s="3" t="s">
        <v>3</v>
      </c>
      <c r="C3469" s="4" t="str">
        <f>hyperlink("https://terraria.gamepedia.com/Copper_Axe","Copper Axe")</f>
        <v>Copper Axe</v>
      </c>
    </row>
    <row r="3470">
      <c r="A3470" s="2">
        <v>3507.0</v>
      </c>
      <c r="B3470" s="3" t="s">
        <v>5</v>
      </c>
      <c r="C3470" s="4" t="str">
        <f>hyperlink("https://terraria.gamepedia.com/Copper_Shortsword","Copper Shortsword")</f>
        <v>Copper Shortsword</v>
      </c>
    </row>
    <row r="3471">
      <c r="A3471" s="2">
        <v>3508.0</v>
      </c>
      <c r="B3471" s="3" t="s">
        <v>5</v>
      </c>
      <c r="C3471" s="4" t="str">
        <f>hyperlink("https://terraria.gamepedia.com/Copper_Broadsword","Copper Broadsword")</f>
        <v>Copper Broadsword</v>
      </c>
    </row>
    <row r="3472">
      <c r="A3472" s="2">
        <v>3509.0</v>
      </c>
      <c r="B3472" s="3" t="s">
        <v>3</v>
      </c>
      <c r="C3472" s="4" t="str">
        <f>hyperlink("https://terraria.gamepedia.com/Copper_Pickaxe","Copper Pickaxe")</f>
        <v>Copper Pickaxe</v>
      </c>
    </row>
    <row r="3473">
      <c r="A3473" s="2">
        <v>3510.0</v>
      </c>
      <c r="B3473" s="3" t="s">
        <v>5</v>
      </c>
      <c r="C3473" s="4" t="str">
        <f>hyperlink("https://terraria.gamepedia.com/Silver_Bow","Silver Bow")</f>
        <v>Silver Bow</v>
      </c>
    </row>
    <row r="3474">
      <c r="A3474" s="2">
        <v>3511.0</v>
      </c>
      <c r="B3474" s="3" t="s">
        <v>3</v>
      </c>
      <c r="C3474" s="4" t="str">
        <f>hyperlink("https://terraria.gamepedia.com/Silver_Hammer","Silver Hammer")</f>
        <v>Silver Hammer</v>
      </c>
    </row>
    <row r="3475">
      <c r="A3475" s="2">
        <v>3512.0</v>
      </c>
      <c r="B3475" s="3" t="s">
        <v>3</v>
      </c>
      <c r="C3475" s="4" t="str">
        <f>hyperlink("https://terraria.gamepedia.com/Silver_Axe","Silver Axe")</f>
        <v>Silver Axe</v>
      </c>
    </row>
    <row r="3476">
      <c r="A3476" s="2">
        <v>3513.0</v>
      </c>
      <c r="B3476" s="3" t="s">
        <v>5</v>
      </c>
      <c r="C3476" s="4" t="str">
        <f>hyperlink("https://terraria.gamepedia.com/Silver_Shortsword","Silver Shortsword")</f>
        <v>Silver Shortsword</v>
      </c>
    </row>
    <row r="3477">
      <c r="A3477" s="2">
        <v>3514.0</v>
      </c>
      <c r="B3477" s="3" t="s">
        <v>5</v>
      </c>
      <c r="C3477" s="4" t="str">
        <f>hyperlink("https://terraria.gamepedia.com/Silver_Broadsword","Silver Broadsword")</f>
        <v>Silver Broadsword</v>
      </c>
    </row>
    <row r="3478">
      <c r="A3478" s="2">
        <v>3515.0</v>
      </c>
      <c r="B3478" s="3" t="s">
        <v>3</v>
      </c>
      <c r="C3478" s="4" t="str">
        <f>hyperlink("https://terraria.gamepedia.com/Silver_Pickaxe","Silver Pickaxe")</f>
        <v>Silver Pickaxe</v>
      </c>
    </row>
    <row r="3479">
      <c r="A3479" s="2">
        <v>3516.0</v>
      </c>
      <c r="B3479" s="3" t="s">
        <v>5</v>
      </c>
      <c r="C3479" s="4" t="str">
        <f>hyperlink("https://terraria.gamepedia.com/Gold_Bow","Gold Bow")</f>
        <v>Gold Bow</v>
      </c>
    </row>
    <row r="3480">
      <c r="A3480" s="2">
        <v>3517.0</v>
      </c>
      <c r="B3480" s="3" t="s">
        <v>3</v>
      </c>
      <c r="C3480" s="4" t="str">
        <f>hyperlink("https://terraria.gamepedia.com/Gold_Hammer","Gold Hammer")</f>
        <v>Gold Hammer</v>
      </c>
    </row>
    <row r="3481">
      <c r="A3481" s="2">
        <v>3518.0</v>
      </c>
      <c r="B3481" s="3" t="s">
        <v>3</v>
      </c>
      <c r="C3481" s="4" t="str">
        <f>hyperlink("https://terraria.gamepedia.com/Gold_Axe","Gold Axe")</f>
        <v>Gold Axe</v>
      </c>
    </row>
    <row r="3482">
      <c r="A3482" s="2">
        <v>3519.0</v>
      </c>
      <c r="B3482" s="3" t="s">
        <v>5</v>
      </c>
      <c r="C3482" s="4" t="str">
        <f>hyperlink("https://terraria.gamepedia.com/Gold_Shortsword","Gold Shortsword")</f>
        <v>Gold Shortsword</v>
      </c>
    </row>
    <row r="3483">
      <c r="A3483" s="2">
        <v>3520.0</v>
      </c>
      <c r="B3483" s="3" t="s">
        <v>5</v>
      </c>
      <c r="C3483" s="4" t="str">
        <f>hyperlink("https://terraria.gamepedia.com/Gold_Broadsword","Gold Broadsword")</f>
        <v>Gold Broadsword</v>
      </c>
    </row>
    <row r="3484">
      <c r="A3484" s="2">
        <v>3521.0</v>
      </c>
      <c r="B3484" s="3" t="s">
        <v>3</v>
      </c>
      <c r="C3484" s="4" t="str">
        <f>hyperlink("https://terraria.gamepedia.com/Gold_Pickaxe","Gold Pickaxe")</f>
        <v>Gold Pickaxe</v>
      </c>
    </row>
    <row r="3485">
      <c r="A3485" s="2">
        <v>3522.0</v>
      </c>
      <c r="B3485" s="3" t="s">
        <v>3</v>
      </c>
      <c r="C3485" s="4" t="str">
        <f>hyperlink("https://terraria.gamepedia.com/Luminite_Hamaxes","Solar Flare Hamaxe")</f>
        <v>Solar Flare Hamaxe</v>
      </c>
    </row>
    <row r="3486">
      <c r="A3486" s="2">
        <v>3523.0</v>
      </c>
      <c r="B3486" s="3" t="s">
        <v>3</v>
      </c>
      <c r="C3486" s="4" t="str">
        <f>hyperlink("https://terraria.gamepedia.com/Luminite_Hamaxes","Vortex Hamaxe")</f>
        <v>Vortex Hamaxe</v>
      </c>
    </row>
    <row r="3487">
      <c r="A3487" s="2">
        <v>3524.0</v>
      </c>
      <c r="B3487" s="3" t="s">
        <v>3</v>
      </c>
      <c r="C3487" s="4" t="str">
        <f>hyperlink("https://terraria.gamepedia.com/Luminite_Hamaxes","Nebula Hamaxe")</f>
        <v>Nebula Hamaxe</v>
      </c>
    </row>
    <row r="3488">
      <c r="A3488" s="2">
        <v>3525.0</v>
      </c>
      <c r="B3488" s="3" t="s">
        <v>3</v>
      </c>
      <c r="C3488" s="4" t="str">
        <f>hyperlink("https://terraria.gamepedia.com/Luminite_Hamaxes","Stardust Hamaxe")</f>
        <v>Stardust Hamaxe</v>
      </c>
    </row>
    <row r="3489">
      <c r="A3489" s="2">
        <v>3526.0</v>
      </c>
      <c r="B3489" s="3" t="s">
        <v>33</v>
      </c>
      <c r="C3489" s="4" t="str">
        <f>hyperlink("https://terraria.gamepedia.com/Solar_Dye","Solar Dye")</f>
        <v>Solar Dye</v>
      </c>
    </row>
    <row r="3490">
      <c r="A3490" s="2">
        <v>3527.0</v>
      </c>
      <c r="B3490" s="3" t="s">
        <v>33</v>
      </c>
      <c r="C3490" s="4" t="str">
        <f>hyperlink("https://terraria.gamepedia.com/Nebula_Dye","Nebula Dye")</f>
        <v>Nebula Dye</v>
      </c>
    </row>
    <row r="3491">
      <c r="A3491" s="2">
        <v>3528.0</v>
      </c>
      <c r="B3491" s="3" t="s">
        <v>33</v>
      </c>
      <c r="C3491" s="4" t="str">
        <f>hyperlink("https://terraria.gamepedia.com/Vortex_Dye","Vortex Dye")</f>
        <v>Vortex Dye</v>
      </c>
    </row>
    <row r="3492">
      <c r="A3492" s="2">
        <v>3529.0</v>
      </c>
      <c r="B3492" s="3" t="s">
        <v>33</v>
      </c>
      <c r="C3492" s="4" t="str">
        <f>hyperlink("https://terraria.gamepedia.com/Stardust_Dye","Stardust Dye")</f>
        <v>Stardust Dye</v>
      </c>
    </row>
    <row r="3493">
      <c r="A3493" s="2">
        <v>3530.0</v>
      </c>
      <c r="B3493" s="3" t="s">
        <v>33</v>
      </c>
      <c r="C3493" s="4" t="str">
        <f>hyperlink("https://terraria.gamepedia.com/Void_Dye","Void Dye")</f>
        <v>Void Dye</v>
      </c>
    </row>
    <row r="3494">
      <c r="A3494" s="2">
        <v>3531.0</v>
      </c>
      <c r="B3494" s="3" t="s">
        <v>5</v>
      </c>
      <c r="C3494" s="4" t="str">
        <f>hyperlink("https://terraria.gamepedia.com/Stardust_Dragon_Staff","Stardust Dragon Staff")</f>
        <v>Stardust Dragon Staff</v>
      </c>
    </row>
    <row r="3495">
      <c r="A3495" s="2">
        <v>3532.0</v>
      </c>
      <c r="B3495" s="3" t="s">
        <v>26</v>
      </c>
      <c r="C3495" s="4" t="str">
        <f>hyperlink("https://terraria.gamepedia.com/Bacon","Bacon")</f>
        <v>Bacon</v>
      </c>
    </row>
    <row r="3496">
      <c r="A3496" s="2">
        <v>3533.0</v>
      </c>
      <c r="B3496" s="3" t="s">
        <v>33</v>
      </c>
      <c r="C3496" s="4" t="str">
        <f>hyperlink("https://terraria.gamepedia.com/Shifting_Sands_Dye","Shifting Sands Dye")</f>
        <v>Shifting Sands Dye</v>
      </c>
    </row>
    <row r="3497">
      <c r="A3497" s="2">
        <v>3534.0</v>
      </c>
      <c r="B3497" s="3" t="s">
        <v>33</v>
      </c>
      <c r="C3497" s="4" t="str">
        <f>hyperlink("https://terraria.gamepedia.com/Mirage_Dye","Mirage Dye")</f>
        <v>Mirage Dye</v>
      </c>
    </row>
    <row r="3498">
      <c r="A3498" s="2">
        <v>3535.0</v>
      </c>
      <c r="B3498" s="3" t="s">
        <v>33</v>
      </c>
      <c r="C3498" s="4" t="str">
        <f>hyperlink("https://terraria.gamepedia.com/Shifting_Pearlsands_Dye","Shifting Pearlsands Dye")</f>
        <v>Shifting Pearlsands Dye</v>
      </c>
    </row>
    <row r="3499">
      <c r="A3499" s="2">
        <v>3536.0</v>
      </c>
      <c r="B3499" s="3" t="s">
        <v>12</v>
      </c>
      <c r="C3499" s="4" t="str">
        <f>hyperlink("https://terraria.gamepedia.com/Monoliths","Vortex Monolith")</f>
        <v>Vortex Monolith</v>
      </c>
    </row>
    <row r="3500">
      <c r="A3500" s="2">
        <v>3537.0</v>
      </c>
      <c r="B3500" s="3" t="s">
        <v>12</v>
      </c>
      <c r="C3500" s="4" t="str">
        <f>hyperlink("https://terraria.gamepedia.com/Monoliths","Nebula Monolith")</f>
        <v>Nebula Monolith</v>
      </c>
    </row>
    <row r="3501">
      <c r="A3501" s="2">
        <v>3538.0</v>
      </c>
      <c r="B3501" s="3" t="s">
        <v>12</v>
      </c>
      <c r="C3501" s="4" t="str">
        <f>hyperlink("https://terraria.gamepedia.com/Monoliths","Stardust Monolith")</f>
        <v>Stardust Monolith</v>
      </c>
    </row>
    <row r="3502">
      <c r="A3502" s="2">
        <v>3539.0</v>
      </c>
      <c r="B3502" s="3" t="s">
        <v>12</v>
      </c>
      <c r="C3502" s="4" t="str">
        <f>hyperlink("https://terraria.gamepedia.com/Monoliths","Solar Monolith")</f>
        <v>Solar Monolith</v>
      </c>
    </row>
    <row r="3503">
      <c r="A3503" s="2">
        <v>3540.0</v>
      </c>
      <c r="B3503" s="3" t="s">
        <v>5</v>
      </c>
      <c r="C3503" s="4" t="str">
        <f>hyperlink("https://terraria.gamepedia.com/Phantasm","Phantasm")</f>
        <v>Phantasm</v>
      </c>
    </row>
    <row r="3504">
      <c r="A3504" s="2">
        <v>3541.0</v>
      </c>
      <c r="B3504" s="3" t="s">
        <v>5</v>
      </c>
      <c r="C3504" s="4" t="str">
        <f>hyperlink("https://terraria.gamepedia.com/Last_Prism","Last Prism")</f>
        <v>Last Prism</v>
      </c>
    </row>
    <row r="3505">
      <c r="A3505" s="2">
        <v>3542.0</v>
      </c>
      <c r="B3505" s="3" t="s">
        <v>5</v>
      </c>
      <c r="C3505" s="4" t="str">
        <f>hyperlink("https://terraria.gamepedia.com/Nebula_Blaze","Nebula Blaze")</f>
        <v>Nebula Blaze</v>
      </c>
    </row>
    <row r="3506">
      <c r="A3506" s="2">
        <v>3543.0</v>
      </c>
      <c r="B3506" s="3" t="s">
        <v>5</v>
      </c>
      <c r="C3506" s="4" t="str">
        <f>hyperlink("https://terraria.gamepedia.com/Daybreak","Daybreak")</f>
        <v>Daybreak</v>
      </c>
    </row>
    <row r="3507">
      <c r="A3507" s="2">
        <v>3544.0</v>
      </c>
      <c r="B3507" s="3" t="s">
        <v>14</v>
      </c>
      <c r="C3507" s="4" t="str">
        <f>hyperlink("https://terraria.gamepedia.com/Super_Healing_Potion","Super Healing Potion")</f>
        <v>Super Healing Potion</v>
      </c>
    </row>
    <row r="3508">
      <c r="A3508" s="2">
        <v>3545.0</v>
      </c>
      <c r="B3508" s="3" t="s">
        <v>28</v>
      </c>
      <c r="C3508" s="4" t="str">
        <f>hyperlink("https://terraria.gamepedia.com/Detonator","Detonator")</f>
        <v>Detonator</v>
      </c>
    </row>
    <row r="3509">
      <c r="A3509" s="2">
        <v>3546.0</v>
      </c>
      <c r="B3509" s="3" t="s">
        <v>5</v>
      </c>
      <c r="C3509" s="4" t="str">
        <f>hyperlink("https://terraria.gamepedia.com/Celebration","Celebration")</f>
        <v>Celebration</v>
      </c>
    </row>
    <row r="3510">
      <c r="A3510" s="2">
        <v>3547.0</v>
      </c>
      <c r="B3510" s="3" t="s">
        <v>18</v>
      </c>
      <c r="C3510" s="4" t="str">
        <f>hyperlink("https://terraria.gamepedia.com/Bouncy_Dynamite","Bouncy Dynamite")</f>
        <v>Bouncy Dynamite</v>
      </c>
    </row>
    <row r="3511">
      <c r="A3511" s="2">
        <v>3548.0</v>
      </c>
      <c r="B3511" s="3" t="s">
        <v>18</v>
      </c>
      <c r="C3511" s="4" t="str">
        <f>hyperlink("https://terraria.gamepedia.com/Happy_Grenade","Happy Grenade")</f>
        <v>Happy Grenade</v>
      </c>
    </row>
    <row r="3512">
      <c r="A3512" s="2">
        <v>3549.0</v>
      </c>
      <c r="B3512" s="3" t="s">
        <v>16</v>
      </c>
      <c r="C3512" s="4" t="str">
        <f>hyperlink("https://terraria.gamepedia.com/Ancient_Manipulator","Ancient Manipulator")</f>
        <v>Ancient Manipulator</v>
      </c>
    </row>
    <row r="3513">
      <c r="A3513" s="2">
        <v>3550.0</v>
      </c>
      <c r="B3513" s="3" t="s">
        <v>33</v>
      </c>
      <c r="C3513" s="4" t="str">
        <f>hyperlink("https://terraria.gamepedia.com/Dyes","Flame and Silver Dye")</f>
        <v>Flame and Silver Dye</v>
      </c>
    </row>
    <row r="3514">
      <c r="A3514" s="2">
        <v>3551.0</v>
      </c>
      <c r="B3514" s="3" t="s">
        <v>33</v>
      </c>
      <c r="C3514" s="4" t="str">
        <f>hyperlink("https://terraria.gamepedia.com/Dyes","Green Flame and Silver Dye")</f>
        <v>Green Flame and Silver Dye</v>
      </c>
    </row>
    <row r="3515">
      <c r="A3515" s="2">
        <v>3552.0</v>
      </c>
      <c r="B3515" s="3" t="s">
        <v>33</v>
      </c>
      <c r="C3515" s="4" t="str">
        <f>hyperlink("https://terraria.gamepedia.com/Dyes","Blue Flame and Silver Dye")</f>
        <v>Blue Flame and Silver Dye</v>
      </c>
    </row>
    <row r="3516">
      <c r="A3516" s="2">
        <v>3553.0</v>
      </c>
      <c r="B3516" s="3" t="s">
        <v>33</v>
      </c>
      <c r="C3516" s="4" t="str">
        <f>hyperlink("https://terraria.gamepedia.com/Reflective_Copper_Dye","Reflective Copper Dye")</f>
        <v>Reflective Copper Dye</v>
      </c>
    </row>
    <row r="3517">
      <c r="A3517" s="2">
        <v>3554.0</v>
      </c>
      <c r="B3517" s="3" t="s">
        <v>33</v>
      </c>
      <c r="C3517" s="4" t="str">
        <f>hyperlink("https://terraria.gamepedia.com/Reflective_Obsidian_Dye","Reflective Obsidian Dye")</f>
        <v>Reflective Obsidian Dye</v>
      </c>
    </row>
    <row r="3518">
      <c r="A3518" s="2">
        <v>3555.0</v>
      </c>
      <c r="B3518" s="3" t="s">
        <v>33</v>
      </c>
      <c r="C3518" s="4" t="str">
        <f>hyperlink("https://terraria.gamepedia.com/Reflective_Metal_Dye","Reflective Metal Dye")</f>
        <v>Reflective Metal Dye</v>
      </c>
    </row>
    <row r="3519">
      <c r="A3519" s="2">
        <v>3556.0</v>
      </c>
      <c r="B3519" s="3" t="s">
        <v>33</v>
      </c>
      <c r="C3519" s="4" t="str">
        <f>hyperlink("https://terraria.gamepedia.com/Midnight_Rainbow_Dye","Midnight Rainbow Dye")</f>
        <v>Midnight Rainbow Dye</v>
      </c>
    </row>
    <row r="3520">
      <c r="A3520" s="2">
        <v>3557.0</v>
      </c>
      <c r="B3520" s="3" t="s">
        <v>33</v>
      </c>
      <c r="C3520" s="4" t="str">
        <f>hyperlink("https://terraria.gamepedia.com/Dyes","Black and White Dye")</f>
        <v>Black and White Dye</v>
      </c>
    </row>
    <row r="3521">
      <c r="A3521" s="2">
        <v>3558.0</v>
      </c>
      <c r="B3521" s="3" t="s">
        <v>33</v>
      </c>
      <c r="C3521" s="4" t="str">
        <f>hyperlink("https://terraria.gamepedia.com/Dyes","Bright Silver Dye")</f>
        <v>Bright Silver Dye</v>
      </c>
    </row>
    <row r="3522">
      <c r="A3522" s="2">
        <v>3559.0</v>
      </c>
      <c r="B3522" s="3" t="s">
        <v>33</v>
      </c>
      <c r="C3522" s="4" t="str">
        <f>hyperlink("https://terraria.gamepedia.com/Dyes","Silver and Black Dye")</f>
        <v>Silver and Black Dye</v>
      </c>
    </row>
    <row r="3523">
      <c r="A3523" s="2">
        <v>3560.0</v>
      </c>
      <c r="B3523" s="3" t="s">
        <v>33</v>
      </c>
      <c r="C3523" s="4" t="str">
        <f>hyperlink("https://terraria.gamepedia.com/Red_Acid_Dye","Red Acid Dye")</f>
        <v>Red Acid Dye</v>
      </c>
    </row>
    <row r="3524">
      <c r="A3524" s="2">
        <v>3561.0</v>
      </c>
      <c r="B3524" s="3" t="s">
        <v>33</v>
      </c>
      <c r="C3524" s="4" t="str">
        <f>hyperlink("https://terraria.gamepedia.com/Gel_Dye","Gel Dye")</f>
        <v>Gel Dye</v>
      </c>
    </row>
    <row r="3525">
      <c r="A3525" s="2">
        <v>3562.0</v>
      </c>
      <c r="B3525" s="3" t="s">
        <v>33</v>
      </c>
      <c r="C3525" s="4" t="str">
        <f>hyperlink("https://terraria.gamepedia.com/Pink_Gel_Dye","Pink Gel Dye")</f>
        <v>Pink Gel Dye</v>
      </c>
    </row>
    <row r="3526">
      <c r="A3526" s="2">
        <v>3563.0</v>
      </c>
      <c r="B3526" s="3" t="s">
        <v>24</v>
      </c>
      <c r="C3526" s="4" t="str">
        <f>hyperlink("https://terraria.gamepedia.com/Red_Squirrel","Red Squirrel")</f>
        <v>Red Squirrel</v>
      </c>
    </row>
    <row r="3527">
      <c r="A3527" s="2">
        <v>3564.0</v>
      </c>
      <c r="B3527" s="3" t="s">
        <v>24</v>
      </c>
      <c r="C3527" s="4" t="str">
        <f>hyperlink("https://terraria.gamepedia.com/Gold_Squirrel","Gold Squirrel")</f>
        <v>Gold Squirrel</v>
      </c>
    </row>
    <row r="3528">
      <c r="A3528" s="2">
        <v>3565.0</v>
      </c>
      <c r="B3528" s="3" t="s">
        <v>24</v>
      </c>
      <c r="C3528" s="4" t="str">
        <f>hyperlink("https://terraria.gamepedia.com/Cages","Red Squirrel Cage")</f>
        <v>Red Squirrel Cage</v>
      </c>
    </row>
    <row r="3529">
      <c r="A3529" s="2">
        <v>3566.0</v>
      </c>
      <c r="B3529" s="3" t="s">
        <v>24</v>
      </c>
      <c r="C3529" s="4" t="str">
        <f>hyperlink("https://terraria.gamepedia.com/Cages","Gold Squirrel Cage")</f>
        <v>Gold Squirrel Cage</v>
      </c>
    </row>
    <row r="3530">
      <c r="A3530" s="2">
        <v>3567.0</v>
      </c>
      <c r="B3530" s="3" t="s">
        <v>18</v>
      </c>
      <c r="C3530" s="4" t="str">
        <f>hyperlink("https://terraria.gamepedia.com/Luminite_Bullet","Luminite Bullet")</f>
        <v>Luminite Bullet</v>
      </c>
    </row>
    <row r="3531">
      <c r="A3531" s="2">
        <v>3568.0</v>
      </c>
      <c r="B3531" s="3" t="s">
        <v>18</v>
      </c>
      <c r="C3531" s="4" t="str">
        <f>hyperlink("https://terraria.gamepedia.com/Luminite_Arrow","Luminite Arrow")</f>
        <v>Luminite Arrow</v>
      </c>
    </row>
    <row r="3532">
      <c r="A3532" s="2">
        <v>3569.0</v>
      </c>
      <c r="B3532" s="3" t="s">
        <v>5</v>
      </c>
      <c r="C3532" s="4" t="str">
        <f>hyperlink("https://terraria.gamepedia.com/Lunar_Portal_Staff","Lunar Portal Staff")</f>
        <v>Lunar Portal Staff</v>
      </c>
    </row>
    <row r="3533">
      <c r="A3533" s="2">
        <v>3570.0</v>
      </c>
      <c r="B3533" s="3" t="s">
        <v>5</v>
      </c>
      <c r="C3533" s="4" t="str">
        <f>hyperlink("https://terraria.gamepedia.com/Lunar_Flare","Lunar Flare")</f>
        <v>Lunar Flare</v>
      </c>
    </row>
    <row r="3534">
      <c r="A3534" s="2">
        <v>3571.0</v>
      </c>
      <c r="B3534" s="3" t="s">
        <v>5</v>
      </c>
      <c r="C3534" s="4" t="str">
        <f>hyperlink("https://terraria.gamepedia.com/Rainbow_Crystal_Staff","Rainbow Crystal Staff")</f>
        <v>Rainbow Crystal Staff</v>
      </c>
    </row>
    <row r="3535">
      <c r="A3535" s="2">
        <v>3572.0</v>
      </c>
      <c r="B3535" s="3" t="s">
        <v>3</v>
      </c>
      <c r="C3535" s="4" t="str">
        <f>hyperlink("https://terraria.gamepedia.com/Lunar_Hook","Lunar Hook")</f>
        <v>Lunar Hook</v>
      </c>
    </row>
    <row r="3536">
      <c r="A3536" s="2">
        <v>3573.0</v>
      </c>
      <c r="B3536" s="3" t="s">
        <v>4</v>
      </c>
      <c r="C3536" s="4" t="str">
        <f>hyperlink("https://terraria.gamepedia.com/Solar_Fragment_Block","Solar Fragment Block")</f>
        <v>Solar Fragment Block</v>
      </c>
    </row>
    <row r="3537">
      <c r="A3537" s="2">
        <v>3574.0</v>
      </c>
      <c r="B3537" s="3" t="s">
        <v>4</v>
      </c>
      <c r="C3537" s="4" t="str">
        <f>hyperlink("https://terraria.gamepedia.com/Vortex_Fragment_Block","Vortex Fragment Block")</f>
        <v>Vortex Fragment Block</v>
      </c>
    </row>
    <row r="3538">
      <c r="A3538" s="2">
        <v>3575.0</v>
      </c>
      <c r="B3538" s="3" t="s">
        <v>4</v>
      </c>
      <c r="C3538" s="4" t="str">
        <f>hyperlink("https://terraria.gamepedia.com/Nebula_Fragment_Block","Nebula Fragment Block")</f>
        <v>Nebula Fragment Block</v>
      </c>
    </row>
    <row r="3539">
      <c r="A3539" s="2">
        <v>3576.0</v>
      </c>
      <c r="B3539" s="3" t="s">
        <v>4</v>
      </c>
      <c r="C3539" s="4" t="str">
        <f>hyperlink("https://terraria.gamepedia.com/Stardust_Fragment_Block","Stardust Fragment Block")</f>
        <v>Stardust Fragment Block</v>
      </c>
    </row>
    <row r="3540">
      <c r="A3540" s="2">
        <v>3577.0</v>
      </c>
      <c r="B3540" s="3" t="s">
        <v>22</v>
      </c>
      <c r="C3540" s="4" t="str">
        <f>hyperlink("https://terraria.gamepedia.com/Suspicious_Looking_Tentacle","Suspicious Looking Tentacle")</f>
        <v>Suspicious Looking Tentacle</v>
      </c>
    </row>
    <row r="3541">
      <c r="A3541" s="2">
        <v>3578.0</v>
      </c>
      <c r="B3541" s="3" t="s">
        <v>32</v>
      </c>
      <c r="C3541" s="4" t="str">
        <f>hyperlink("https://terraria.gamepedia.com/Yoraiz0r's_set","Yoraiz0r's Uniform")</f>
        <v>Yoraiz0r's Uniform</v>
      </c>
    </row>
    <row r="3542">
      <c r="A3542" s="2">
        <v>3579.0</v>
      </c>
      <c r="B3542" s="3" t="s">
        <v>32</v>
      </c>
      <c r="C3542" s="4" t="str">
        <f>hyperlink("https://terraria.gamepedia.com/Yoraiz0r's_set","Yoraiz0r's Skirt")</f>
        <v>Yoraiz0r's Skirt</v>
      </c>
    </row>
    <row r="3543">
      <c r="A3543" s="2">
        <v>3580.0</v>
      </c>
      <c r="B3543" s="3" t="s">
        <v>27</v>
      </c>
      <c r="C3543" s="4" t="str">
        <f>hyperlink("https://terraria.gamepedia.com/Yoraiz0r's_Spell","Yoraiz0r's Spell")</f>
        <v>Yoraiz0r's Spell</v>
      </c>
    </row>
    <row r="3544">
      <c r="A3544" s="2">
        <v>3581.0</v>
      </c>
      <c r="B3544" s="3" t="s">
        <v>32</v>
      </c>
      <c r="C3544" s="4" t="str">
        <f>hyperlink("https://terraria.gamepedia.com/Yoraiz0r's_set","Yoraiz0r's Scowl")</f>
        <v>Yoraiz0r's Scowl</v>
      </c>
    </row>
    <row r="3545">
      <c r="A3545" s="2">
        <v>3582.0</v>
      </c>
      <c r="B3545" s="3" t="s">
        <v>27</v>
      </c>
      <c r="C3545" s="4" t="str">
        <f>hyperlink("https://terraria.gamepedia.com/Wings","Jim's Wings")</f>
        <v>Jim's Wings</v>
      </c>
    </row>
    <row r="3546">
      <c r="A3546" s="2">
        <v>3583.0</v>
      </c>
      <c r="B3546" s="3" t="s">
        <v>32</v>
      </c>
      <c r="C3546" s="4" t="str">
        <f>hyperlink("https://terraria.gamepedia.com/Yoraiz0r's_set","Yoraiz0r's Recolored Goggles")</f>
        <v>Yoraiz0r's Recolored Goggles</v>
      </c>
    </row>
    <row r="3547">
      <c r="A3547" s="2">
        <v>3584.0</v>
      </c>
      <c r="B3547" s="3" t="s">
        <v>13</v>
      </c>
      <c r="C3547" s="4" t="str">
        <f>hyperlink("https://terraria.gamepedia.com/Living_Leaf_Wall","Living Leaf Wall")</f>
        <v>Living Leaf Wall</v>
      </c>
    </row>
    <row r="3548">
      <c r="A3548" s="2">
        <v>3585.0</v>
      </c>
      <c r="B3548" s="3" t="s">
        <v>32</v>
      </c>
      <c r="C3548" s="4" t="str">
        <f>hyperlink("https://terraria.gamepedia.com/Skiphs'_set","Skiphs' Mask")</f>
        <v>Skiphs' Mask</v>
      </c>
    </row>
    <row r="3549">
      <c r="A3549" s="2">
        <v>3586.0</v>
      </c>
      <c r="B3549" s="3" t="s">
        <v>32</v>
      </c>
      <c r="C3549" s="4" t="str">
        <f>hyperlink("https://terraria.gamepedia.com/Skiphs'_set","Skiphs' Skin")</f>
        <v>Skiphs' Skin</v>
      </c>
    </row>
    <row r="3550">
      <c r="A3550" s="2">
        <v>3587.0</v>
      </c>
      <c r="B3550" s="3" t="s">
        <v>32</v>
      </c>
      <c r="C3550" s="4" t="str">
        <f>hyperlink("https://terraria.gamepedia.com/Skiphs'_set","Skiphs' Bear Butt")</f>
        <v>Skiphs' Bear Butt</v>
      </c>
    </row>
    <row r="3551">
      <c r="A3551" s="2">
        <v>3588.0</v>
      </c>
      <c r="B3551" s="3" t="s">
        <v>27</v>
      </c>
      <c r="C3551" s="4" t="str">
        <f>hyperlink("https://terraria.gamepedia.com/Wings","Skiphs' Paws")</f>
        <v>Skiphs' Paws</v>
      </c>
    </row>
    <row r="3552">
      <c r="A3552" s="2">
        <v>3589.0</v>
      </c>
      <c r="B3552" s="3" t="s">
        <v>32</v>
      </c>
      <c r="C3552" s="4" t="str">
        <f>hyperlink("https://terraria.gamepedia.com/Loki's_set","Loki's Helmet")</f>
        <v>Loki's Helmet</v>
      </c>
    </row>
    <row r="3553">
      <c r="A3553" s="2">
        <v>3590.0</v>
      </c>
      <c r="B3553" s="3" t="s">
        <v>32</v>
      </c>
      <c r="C3553" s="4" t="str">
        <f>hyperlink("https://terraria.gamepedia.com/Loki's_set","Loki's Breastplate")</f>
        <v>Loki's Breastplate</v>
      </c>
    </row>
    <row r="3554">
      <c r="A3554" s="2">
        <v>3591.0</v>
      </c>
      <c r="B3554" s="3" t="s">
        <v>32</v>
      </c>
      <c r="C3554" s="4" t="str">
        <f>hyperlink("https://terraria.gamepedia.com/Loki's_set","Loki's Greaves")</f>
        <v>Loki's Greaves</v>
      </c>
    </row>
    <row r="3555">
      <c r="A3555" s="2">
        <v>3592.0</v>
      </c>
      <c r="B3555" s="3" t="s">
        <v>27</v>
      </c>
      <c r="C3555" s="4" t="str">
        <f>hyperlink("https://terraria.gamepedia.com/Wings","Loki's Wings")</f>
        <v>Loki's Wings</v>
      </c>
    </row>
    <row r="3556">
      <c r="A3556" s="2">
        <v>3593.0</v>
      </c>
      <c r="B3556" s="3" t="s">
        <v>37</v>
      </c>
      <c r="C3556" s="4" t="str">
        <f>hyperlink("https://terraria.gamepedia.com/Sand_Slime","Sand Slime Banner")</f>
        <v>Sand Slime Banner</v>
      </c>
    </row>
    <row r="3557">
      <c r="A3557" s="2">
        <v>3594.0</v>
      </c>
      <c r="B3557" s="3" t="s">
        <v>37</v>
      </c>
      <c r="C3557" s="4" t="str">
        <f>hyperlink("https://terraria.gamepedia.com/Sea_Snail","Sea Snail Banner")</f>
        <v>Sea Snail Banner</v>
      </c>
    </row>
    <row r="3558">
      <c r="A3558" s="2">
        <v>3595.0</v>
      </c>
      <c r="B3558" s="3" t="s">
        <v>35</v>
      </c>
      <c r="C3558" s="4" t="str">
        <f>hyperlink("https://terraria.gamepedia.com/Trophies","Moon Lord Trophy")</f>
        <v>Moon Lord Trophy</v>
      </c>
    </row>
    <row r="3559">
      <c r="A3559" s="2">
        <v>3596.0</v>
      </c>
      <c r="B3559" s="3" t="s">
        <v>36</v>
      </c>
      <c r="C3559" s="4" t="str">
        <f>hyperlink("https://terraria.gamepedia.com/Paintings","Not a Kid, nor a Squid")</f>
        <v>Not a Kid, nor a Squid</v>
      </c>
    </row>
    <row r="3560">
      <c r="A3560" s="2">
        <v>3597.0</v>
      </c>
      <c r="B3560" s="3" t="s">
        <v>33</v>
      </c>
      <c r="C3560" s="4" t="str">
        <f>hyperlink("https://terraria.gamepedia.com/Burning_Hades_Dye","Burning Hades Dye")</f>
        <v>Burning Hades Dye</v>
      </c>
    </row>
    <row r="3561">
      <c r="A3561" s="2">
        <v>3598.0</v>
      </c>
      <c r="B3561" s="3" t="s">
        <v>33</v>
      </c>
      <c r="C3561" s="4" t="str">
        <f>hyperlink("https://terraria.gamepedia.com/Grim_Dye","Grim Dye")</f>
        <v>Grim Dye</v>
      </c>
    </row>
    <row r="3562">
      <c r="A3562" s="2">
        <v>3599.0</v>
      </c>
      <c r="B3562" s="3" t="s">
        <v>33</v>
      </c>
      <c r="C3562" s="4" t="str">
        <f>hyperlink("https://terraria.gamepedia.com/Loki's_Dye","Loki's Dye")</f>
        <v>Loki's Dye</v>
      </c>
    </row>
    <row r="3563">
      <c r="A3563" s="2">
        <v>3600.0</v>
      </c>
      <c r="B3563" s="3" t="s">
        <v>33</v>
      </c>
      <c r="C3563" s="4" t="str">
        <f>hyperlink("https://terraria.gamepedia.com/Shadowflame_Hades_Dye","Shadowflame Hades Dye")</f>
        <v>Shadowflame Hades Dye</v>
      </c>
    </row>
    <row r="3564">
      <c r="A3564" s="2">
        <v>3601.0</v>
      </c>
      <c r="B3564" s="3" t="s">
        <v>19</v>
      </c>
      <c r="C3564" s="4" t="str">
        <f>hyperlink("https://terraria.gamepedia.com/Celestial_Sigil","Celestial Sigil")</f>
        <v>Celestial Sigil</v>
      </c>
    </row>
    <row r="3565">
      <c r="A3565" s="2">
        <v>3602.0</v>
      </c>
      <c r="B3565" s="3" t="s">
        <v>28</v>
      </c>
      <c r="C3565" s="4" t="str">
        <f>hyperlink("https://terraria.gamepedia.com/Logic_Gate_Lamps","Logic Gate Lamp (Off)")</f>
        <v>Logic Gate Lamp (Off)</v>
      </c>
    </row>
    <row r="3566">
      <c r="A3566" s="2">
        <v>3603.0</v>
      </c>
      <c r="B3566" s="3" t="s">
        <v>28</v>
      </c>
      <c r="C3566" s="4" t="str">
        <f>hyperlink("https://terraria.gamepedia.com/Logic_Gates","Logic Gate (AND)")</f>
        <v>Logic Gate (AND)</v>
      </c>
    </row>
    <row r="3567">
      <c r="A3567" s="2">
        <v>3604.0</v>
      </c>
      <c r="B3567" s="3" t="s">
        <v>28</v>
      </c>
      <c r="C3567" s="4" t="str">
        <f>hyperlink("https://terraria.gamepedia.com/Logic_Gates","Logic Gate (OR)")</f>
        <v>Logic Gate (OR)</v>
      </c>
    </row>
    <row r="3568">
      <c r="A3568" s="2">
        <v>3605.0</v>
      </c>
      <c r="B3568" s="3" t="s">
        <v>28</v>
      </c>
      <c r="C3568" s="4" t="str">
        <f>hyperlink("https://terraria.gamepedia.com/Logic_Gates","Logic Gate (NAND)")</f>
        <v>Logic Gate (NAND)</v>
      </c>
    </row>
    <row r="3569">
      <c r="A3569" s="2">
        <v>3606.0</v>
      </c>
      <c r="B3569" s="3" t="s">
        <v>28</v>
      </c>
      <c r="C3569" s="4" t="str">
        <f>hyperlink("https://terraria.gamepedia.com/Logic_Gates","Logic Gate (NOR)")</f>
        <v>Logic Gate (NOR)</v>
      </c>
    </row>
    <row r="3570">
      <c r="A3570" s="2">
        <v>3607.0</v>
      </c>
      <c r="B3570" s="3" t="s">
        <v>28</v>
      </c>
      <c r="C3570" s="4" t="str">
        <f>hyperlink("https://terraria.gamepedia.com/Logic_Gates","Logic Gate (XOR)")</f>
        <v>Logic Gate (XOR)</v>
      </c>
    </row>
    <row r="3571">
      <c r="A3571" s="2">
        <v>3608.0</v>
      </c>
      <c r="B3571" s="3" t="s">
        <v>28</v>
      </c>
      <c r="C3571" s="4" t="str">
        <f>hyperlink("https://terraria.gamepedia.com/Logic_Gates","Logic Gate (XNOR)")</f>
        <v>Logic Gate (XNOR)</v>
      </c>
    </row>
    <row r="3572">
      <c r="A3572" s="2">
        <v>3609.0</v>
      </c>
      <c r="B3572" s="3" t="s">
        <v>28</v>
      </c>
      <c r="C3572" s="4" t="str">
        <f>hyperlink("https://terraria.gamepedia.com/Conveyor_Belt","Conveyor Belt (Clockwise)")</f>
        <v>Conveyor Belt (Clockwise)</v>
      </c>
    </row>
    <row r="3573">
      <c r="A3573" s="2">
        <v>3610.0</v>
      </c>
      <c r="B3573" s="3" t="s">
        <v>28</v>
      </c>
      <c r="C3573" s="4" t="str">
        <f>hyperlink("https://terraria.gamepedia.com/Conveyor_Belt","Conveyor Belt (Counter Clockwise)")</f>
        <v>Conveyor Belt (Counter Clockwise)</v>
      </c>
    </row>
    <row r="3574">
      <c r="A3574" s="2">
        <v>3611.0</v>
      </c>
      <c r="B3574" s="3" t="s">
        <v>10</v>
      </c>
      <c r="C3574" s="4" t="str">
        <f>hyperlink("https://terraria.gamepedia.com/The_Grand_Design","The Grand Design")</f>
        <v>The Grand Design</v>
      </c>
    </row>
    <row r="3575">
      <c r="A3575" s="2">
        <v>3612.0</v>
      </c>
      <c r="B3575" s="3" t="s">
        <v>10</v>
      </c>
      <c r="C3575" s="4" t="str">
        <f>hyperlink("https://terraria.gamepedia.com/Wrenches","Yellow Wrench")</f>
        <v>Yellow Wrench</v>
      </c>
    </row>
    <row r="3576">
      <c r="A3576" s="2">
        <v>3613.0</v>
      </c>
      <c r="B3576" s="3" t="s">
        <v>28</v>
      </c>
      <c r="C3576" s="4" t="str">
        <f>hyperlink("https://terraria.gamepedia.com/Sensors","Logic Sensor (Day)")</f>
        <v>Logic Sensor (Day)</v>
      </c>
    </row>
    <row r="3577">
      <c r="A3577" s="2">
        <v>3614.0</v>
      </c>
      <c r="B3577" s="3" t="s">
        <v>28</v>
      </c>
      <c r="C3577" s="4" t="str">
        <f>hyperlink("https://terraria.gamepedia.com/Sensors","Logic Sensor (Night)")</f>
        <v>Logic Sensor (Night)</v>
      </c>
    </row>
    <row r="3578">
      <c r="A3578" s="2">
        <v>3615.0</v>
      </c>
      <c r="B3578" s="3" t="s">
        <v>28</v>
      </c>
      <c r="C3578" s="4" t="str">
        <f>hyperlink("https://terraria.gamepedia.com/Sensors","Logic Sensor (Player Above)")</f>
        <v>Logic Sensor (Player Above)</v>
      </c>
    </row>
    <row r="3579">
      <c r="A3579" s="2">
        <v>3616.0</v>
      </c>
      <c r="B3579" s="3" t="s">
        <v>28</v>
      </c>
      <c r="C3579" s="4" t="str">
        <f>hyperlink("https://terraria.gamepedia.com/Junction_Box","Junction Box")</f>
        <v>Junction Box</v>
      </c>
    </row>
    <row r="3580">
      <c r="A3580" s="2">
        <v>3617.0</v>
      </c>
      <c r="B3580" s="3" t="s">
        <v>28</v>
      </c>
      <c r="C3580" s="4" t="str">
        <f>hyperlink("https://terraria.gamepedia.com/Announcement_Box","Announcement Box")</f>
        <v>Announcement Box</v>
      </c>
    </row>
    <row r="3581">
      <c r="A3581" s="2">
        <v>3618.0</v>
      </c>
      <c r="B3581" s="3" t="s">
        <v>28</v>
      </c>
      <c r="C3581" s="4" t="str">
        <f>hyperlink("https://terraria.gamepedia.com/Logic_Gate_Lamps","Logic Gate Lamp (On)")</f>
        <v>Logic Gate Lamp (On)</v>
      </c>
    </row>
    <row r="3582">
      <c r="A3582" s="2">
        <v>3619.0</v>
      </c>
      <c r="B3582" s="3" t="s">
        <v>10</v>
      </c>
      <c r="C3582" s="4" t="str">
        <f>hyperlink("https://terraria.gamepedia.com/Mechanical_Lens","Mechanical Lens")</f>
        <v>Mechanical Lens</v>
      </c>
    </row>
    <row r="3583">
      <c r="A3583" s="2">
        <v>3620.0</v>
      </c>
      <c r="B3583" s="3" t="s">
        <v>10</v>
      </c>
      <c r="C3583" s="4" t="str">
        <f>hyperlink("https://terraria.gamepedia.com/Actuation_Rod","Actuation Rod")</f>
        <v>Actuation Rod</v>
      </c>
    </row>
    <row r="3584">
      <c r="A3584" s="2">
        <v>3621.0</v>
      </c>
      <c r="B3584" s="3" t="s">
        <v>4</v>
      </c>
      <c r="C3584" s="4" t="str">
        <f>hyperlink("https://terraria.gamepedia.com/Team_Blocks","Red Team Block")</f>
        <v>Red Team Block</v>
      </c>
    </row>
    <row r="3585">
      <c r="A3585" s="2">
        <v>3622.0</v>
      </c>
      <c r="B3585" s="3" t="s">
        <v>8</v>
      </c>
      <c r="C3585" s="4" t="str">
        <f>hyperlink("https://terraria.gamepedia.com/Platforms","Red Team Platform")</f>
        <v>Red Team Platform</v>
      </c>
    </row>
    <row r="3586">
      <c r="A3586" s="2">
        <v>3623.0</v>
      </c>
      <c r="B3586" s="3" t="s">
        <v>3</v>
      </c>
      <c r="C3586" s="4" t="str">
        <f>hyperlink("https://terraria.gamepedia.com/Static_Hook","Static Hook")</f>
        <v>Static Hook</v>
      </c>
    </row>
    <row r="3587">
      <c r="A3587" s="2">
        <v>3624.0</v>
      </c>
      <c r="B3587" s="3" t="s">
        <v>10</v>
      </c>
      <c r="C3587" s="4" t="str">
        <f>hyperlink("https://terraria.gamepedia.com/Presserator","Presserator")</f>
        <v>Presserator</v>
      </c>
    </row>
    <row r="3588">
      <c r="A3588" s="2">
        <v>3625.0</v>
      </c>
      <c r="B3588" s="3" t="s">
        <v>10</v>
      </c>
      <c r="C3588" s="4" t="str">
        <f>hyperlink("https://terraria.gamepedia.com/Multicolor_Wrench","Multicolor Wrench")</f>
        <v>Multicolor Wrench</v>
      </c>
    </row>
    <row r="3589">
      <c r="A3589" s="2">
        <v>3626.0</v>
      </c>
      <c r="B3589" s="3" t="s">
        <v>28</v>
      </c>
      <c r="C3589" s="4" t="str">
        <f>hyperlink("https://terraria.gamepedia.com/Pressure_Plates","Pink Weighted Pressure Plate")</f>
        <v>Pink Weighted Pressure Plate</v>
      </c>
    </row>
    <row r="3590">
      <c r="A3590" s="2">
        <v>3627.0</v>
      </c>
      <c r="B3590" s="3" t="s">
        <v>23</v>
      </c>
      <c r="C3590" s="4" t="str">
        <f>hyperlink("https://terraria.gamepedia.com/Engineering_Helmet","Engineering Helmet")</f>
        <v>Engineering Helmet</v>
      </c>
    </row>
    <row r="3591">
      <c r="A3591" s="2">
        <v>3628.0</v>
      </c>
      <c r="B3591" s="3" t="s">
        <v>22</v>
      </c>
      <c r="C3591" s="4" t="str">
        <f>hyperlink("https://terraria.gamepedia.com/Companion_Cube","Companion Cube")</f>
        <v>Companion Cube</v>
      </c>
    </row>
    <row r="3592">
      <c r="A3592" s="2">
        <v>3629.0</v>
      </c>
      <c r="B3592" s="3" t="s">
        <v>28</v>
      </c>
      <c r="C3592" s="4" t="str">
        <f>hyperlink("https://terraria.gamepedia.com/Wire_Bulb","Wire Bulb")</f>
        <v>Wire Bulb</v>
      </c>
    </row>
    <row r="3593">
      <c r="A3593" s="2">
        <v>3630.0</v>
      </c>
      <c r="B3593" s="3" t="s">
        <v>28</v>
      </c>
      <c r="C3593" s="4" t="str">
        <f>hyperlink("https://terraria.gamepedia.com/Pressure_Plates","Orange Weighted Pressure Plate")</f>
        <v>Orange Weighted Pressure Plate</v>
      </c>
    </row>
    <row r="3594">
      <c r="A3594" s="2">
        <v>3631.0</v>
      </c>
      <c r="B3594" s="3" t="s">
        <v>28</v>
      </c>
      <c r="C3594" s="4" t="str">
        <f>hyperlink("https://terraria.gamepedia.com/Pressure_Plates","Purple Weighted Pressure Plate")</f>
        <v>Purple Weighted Pressure Plate</v>
      </c>
    </row>
    <row r="3595">
      <c r="A3595" s="2">
        <v>3632.0</v>
      </c>
      <c r="B3595" s="3" t="s">
        <v>28</v>
      </c>
      <c r="C3595" s="4" t="str">
        <f>hyperlink("https://terraria.gamepedia.com/Pressure_Plates","Cyan Weighted Pressure Plate")</f>
        <v>Cyan Weighted Pressure Plate</v>
      </c>
    </row>
    <row r="3596">
      <c r="A3596" s="2">
        <v>3633.0</v>
      </c>
      <c r="B3596" s="3" t="s">
        <v>4</v>
      </c>
      <c r="C3596" s="4" t="str">
        <f>hyperlink("https://terraria.gamepedia.com/Team_Blocks","Green Team Block")</f>
        <v>Green Team Block</v>
      </c>
    </row>
    <row r="3597">
      <c r="A3597" s="2">
        <v>3634.0</v>
      </c>
      <c r="B3597" s="3" t="s">
        <v>4</v>
      </c>
      <c r="C3597" s="4" t="str">
        <f>hyperlink("https://terraria.gamepedia.com/Team_Blocks","Blue Team Block")</f>
        <v>Blue Team Block</v>
      </c>
    </row>
    <row r="3598">
      <c r="A3598" s="2">
        <v>3635.0</v>
      </c>
      <c r="B3598" s="3" t="s">
        <v>4</v>
      </c>
      <c r="C3598" s="4" t="str">
        <f>hyperlink("https://terraria.gamepedia.com/Team_Blocks","Yellow Team Block")</f>
        <v>Yellow Team Block</v>
      </c>
    </row>
    <row r="3599">
      <c r="A3599" s="2">
        <v>3636.0</v>
      </c>
      <c r="B3599" s="3" t="s">
        <v>4</v>
      </c>
      <c r="C3599" s="4" t="str">
        <f>hyperlink("https://terraria.gamepedia.com/Team_Blocks","Pink Team Block")</f>
        <v>Pink Team Block</v>
      </c>
    </row>
    <row r="3600">
      <c r="A3600" s="2">
        <v>3637.0</v>
      </c>
      <c r="B3600" s="3" t="s">
        <v>4</v>
      </c>
      <c r="C3600" s="4" t="str">
        <f>hyperlink("https://terraria.gamepedia.com/Team_Blocks","White Team Block")</f>
        <v>White Team Block</v>
      </c>
    </row>
    <row r="3601">
      <c r="A3601" s="2">
        <v>3638.0</v>
      </c>
      <c r="B3601" s="3" t="s">
        <v>8</v>
      </c>
      <c r="C3601" s="4" t="str">
        <f>hyperlink("https://terraria.gamepedia.com/Platforms","Green Team Platform")</f>
        <v>Green Team Platform</v>
      </c>
    </row>
    <row r="3602">
      <c r="A3602" s="2">
        <v>3639.0</v>
      </c>
      <c r="B3602" s="3" t="s">
        <v>8</v>
      </c>
      <c r="C3602" s="4" t="str">
        <f>hyperlink("https://terraria.gamepedia.com/Platforms","Blue Team Platform")</f>
        <v>Blue Team Platform</v>
      </c>
    </row>
    <row r="3603">
      <c r="A3603" s="2">
        <v>3640.0</v>
      </c>
      <c r="B3603" s="3" t="s">
        <v>8</v>
      </c>
      <c r="C3603" s="4" t="str">
        <f>hyperlink("https://terraria.gamepedia.com/Platforms","Yellow Team Platform")</f>
        <v>Yellow Team Platform</v>
      </c>
    </row>
    <row r="3604">
      <c r="A3604" s="2">
        <v>3641.0</v>
      </c>
      <c r="B3604" s="3" t="s">
        <v>8</v>
      </c>
      <c r="C3604" s="4" t="str">
        <f>hyperlink("https://terraria.gamepedia.com/Platforms","Pink Team Platform")</f>
        <v>Pink Team Platform</v>
      </c>
    </row>
    <row r="3605">
      <c r="A3605" s="2">
        <v>3642.0</v>
      </c>
      <c r="B3605" s="3" t="s">
        <v>8</v>
      </c>
      <c r="C3605" s="4" t="str">
        <f>hyperlink("https://terraria.gamepedia.com/Platforms","White Team Platform")</f>
        <v>White Team Platform</v>
      </c>
    </row>
    <row r="3606">
      <c r="A3606" s="2">
        <v>3643.0</v>
      </c>
      <c r="B3606" s="3" t="s">
        <v>9</v>
      </c>
      <c r="C3606" s="4" t="str">
        <f>hyperlink("https://terraria.gamepedia.com/Large_Gems","Large Amber")</f>
        <v>Large Amber</v>
      </c>
    </row>
    <row r="3607">
      <c r="A3607" s="2">
        <v>3644.0</v>
      </c>
      <c r="B3607" s="3" t="s">
        <v>28</v>
      </c>
      <c r="C3607" s="4" t="str">
        <f>hyperlink("https://terraria.gamepedia.com/Gem_Locks","Ruby Gem Lock")</f>
        <v>Ruby Gem Lock</v>
      </c>
    </row>
    <row r="3608">
      <c r="A3608" s="2">
        <v>3645.0</v>
      </c>
      <c r="B3608" s="3" t="s">
        <v>28</v>
      </c>
      <c r="C3608" s="4" t="str">
        <f>hyperlink("https://terraria.gamepedia.com/Gem_Locks","Sapphire Gem Lock")</f>
        <v>Sapphire Gem Lock</v>
      </c>
    </row>
    <row r="3609">
      <c r="A3609" s="2">
        <v>3646.0</v>
      </c>
      <c r="B3609" s="3" t="s">
        <v>28</v>
      </c>
      <c r="C3609" s="4" t="str">
        <f>hyperlink("https://terraria.gamepedia.com/Gem_Locks","Emerald Gem Lock")</f>
        <v>Emerald Gem Lock</v>
      </c>
    </row>
    <row r="3610">
      <c r="A3610" s="2">
        <v>3647.0</v>
      </c>
      <c r="B3610" s="3" t="s">
        <v>28</v>
      </c>
      <c r="C3610" s="4" t="str">
        <f>hyperlink("https://terraria.gamepedia.com/Gem_Locks","Topaz Gem Lock")</f>
        <v>Topaz Gem Lock</v>
      </c>
    </row>
    <row r="3611">
      <c r="A3611" s="2">
        <v>3648.0</v>
      </c>
      <c r="B3611" s="3" t="s">
        <v>28</v>
      </c>
      <c r="C3611" s="4" t="str">
        <f>hyperlink("https://terraria.gamepedia.com/Gem_Locks","Amethyst Gem Lock")</f>
        <v>Amethyst Gem Lock</v>
      </c>
    </row>
    <row r="3612">
      <c r="A3612" s="2">
        <v>3649.0</v>
      </c>
      <c r="B3612" s="3" t="s">
        <v>28</v>
      </c>
      <c r="C3612" s="4" t="str">
        <f>hyperlink("https://terraria.gamepedia.com/Gem_Locks","Diamond Gem Lock")</f>
        <v>Diamond Gem Lock</v>
      </c>
    </row>
    <row r="3613">
      <c r="A3613" s="2">
        <v>3650.0</v>
      </c>
      <c r="B3613" s="3" t="s">
        <v>28</v>
      </c>
      <c r="C3613" s="4" t="str">
        <f>hyperlink("https://terraria.gamepedia.com/Gem_Locks","Amber Gem Lock")</f>
        <v>Amber Gem Lock</v>
      </c>
    </row>
    <row r="3614">
      <c r="A3614" s="2">
        <v>3651.0</v>
      </c>
      <c r="B3614" s="3" t="s">
        <v>21</v>
      </c>
      <c r="C3614" s="4" t="str">
        <f>hyperlink("https://terraria.gamepedia.com/Statues","Squirrel Statue")</f>
        <v>Squirrel Statue</v>
      </c>
    </row>
    <row r="3615">
      <c r="A3615" s="2">
        <v>3652.0</v>
      </c>
      <c r="B3615" s="3" t="s">
        <v>21</v>
      </c>
      <c r="C3615" s="4" t="str">
        <f>hyperlink("https://terraria.gamepedia.com/Statues","Butterfly Statue")</f>
        <v>Butterfly Statue</v>
      </c>
    </row>
    <row r="3616">
      <c r="A3616" s="2">
        <v>3653.0</v>
      </c>
      <c r="B3616" s="3" t="s">
        <v>21</v>
      </c>
      <c r="C3616" s="4" t="str">
        <f>hyperlink("https://terraria.gamepedia.com/Statues","Worm Statue")</f>
        <v>Worm Statue</v>
      </c>
    </row>
    <row r="3617">
      <c r="A3617" s="2">
        <v>3654.0</v>
      </c>
      <c r="B3617" s="3" t="s">
        <v>21</v>
      </c>
      <c r="C3617" s="4" t="str">
        <f>hyperlink("https://terraria.gamepedia.com/Statues","Firefly Statue")</f>
        <v>Firefly Statue</v>
      </c>
    </row>
    <row r="3618">
      <c r="A3618" s="2">
        <v>3655.0</v>
      </c>
      <c r="B3618" s="3" t="s">
        <v>21</v>
      </c>
      <c r="C3618" s="4" t="str">
        <f>hyperlink("https://terraria.gamepedia.com/Statues","Scorpion Statue")</f>
        <v>Scorpion Statue</v>
      </c>
    </row>
    <row r="3619">
      <c r="A3619" s="2">
        <v>3656.0</v>
      </c>
      <c r="B3619" s="3" t="s">
        <v>21</v>
      </c>
      <c r="C3619" s="4" t="str">
        <f>hyperlink("https://terraria.gamepedia.com/Statues","Snail Statue")</f>
        <v>Snail Statue</v>
      </c>
    </row>
    <row r="3620">
      <c r="A3620" s="2">
        <v>3657.0</v>
      </c>
      <c r="B3620" s="3" t="s">
        <v>21</v>
      </c>
      <c r="C3620" s="4" t="str">
        <f>hyperlink("https://terraria.gamepedia.com/Statues","Grasshopper Statue")</f>
        <v>Grasshopper Statue</v>
      </c>
    </row>
    <row r="3621">
      <c r="A3621" s="2">
        <v>3658.0</v>
      </c>
      <c r="B3621" s="3" t="s">
        <v>21</v>
      </c>
      <c r="C3621" s="4" t="str">
        <f>hyperlink("https://terraria.gamepedia.com/Statues","Mouse Statue")</f>
        <v>Mouse Statue</v>
      </c>
    </row>
    <row r="3622">
      <c r="A3622" s="2">
        <v>3659.0</v>
      </c>
      <c r="B3622" s="3" t="s">
        <v>21</v>
      </c>
      <c r="C3622" s="4" t="str">
        <f>hyperlink("https://terraria.gamepedia.com/Statues","Duck Statue")</f>
        <v>Duck Statue</v>
      </c>
    </row>
    <row r="3623">
      <c r="A3623" s="2">
        <v>3660.0</v>
      </c>
      <c r="B3623" s="3" t="s">
        <v>21</v>
      </c>
      <c r="C3623" s="4" t="str">
        <f>hyperlink("https://terraria.gamepedia.com/Statues","Penguin Statue")</f>
        <v>Penguin Statue</v>
      </c>
    </row>
    <row r="3624">
      <c r="A3624" s="2">
        <v>3661.0</v>
      </c>
      <c r="B3624" s="3" t="s">
        <v>21</v>
      </c>
      <c r="C3624" s="4" t="str">
        <f>hyperlink("https://terraria.gamepedia.com/Statues","Frog Statue")</f>
        <v>Frog Statue</v>
      </c>
    </row>
    <row r="3625">
      <c r="A3625" s="2">
        <v>3662.0</v>
      </c>
      <c r="B3625" s="3" t="s">
        <v>21</v>
      </c>
      <c r="C3625" s="4" t="str">
        <f>hyperlink("https://terraria.gamepedia.com/Statues","Buggy Statue")</f>
        <v>Buggy Statue</v>
      </c>
    </row>
    <row r="3626">
      <c r="A3626" s="2">
        <v>3663.0</v>
      </c>
      <c r="B3626" s="3" t="s">
        <v>28</v>
      </c>
      <c r="C3626" s="4" t="str">
        <f>hyperlink("https://terraria.gamepedia.com/Logic_Gate_Lamps","Logic Gate Lamp (Faulty)")</f>
        <v>Logic Gate Lamp (Faulty)</v>
      </c>
    </row>
    <row r="3627">
      <c r="A3627" s="2">
        <v>3664.0</v>
      </c>
      <c r="B3627" s="3" t="s">
        <v>12</v>
      </c>
      <c r="C3627" s="4" t="str">
        <f>hyperlink("https://terraria.gamepedia.com/Portal_Gun_Station","Portal Gun Station")</f>
        <v>Portal Gun Station</v>
      </c>
    </row>
    <row r="3628">
      <c r="A3628" s="2">
        <v>3665.0</v>
      </c>
      <c r="B3628" s="3" t="s">
        <v>28</v>
      </c>
      <c r="C3628" s="4" t="str">
        <f>hyperlink("https://terraria.gamepedia.com/Trapped_Chests","Trapped Chest")</f>
        <v>Trapped Chest</v>
      </c>
    </row>
    <row r="3629">
      <c r="A3629" s="2">
        <v>3666.0</v>
      </c>
      <c r="B3629" s="3" t="s">
        <v>28</v>
      </c>
      <c r="C3629" s="4" t="str">
        <f>hyperlink("https://terraria.gamepedia.com/Trapped_Chests","Trapped Gold Chest")</f>
        <v>Trapped Gold Chest</v>
      </c>
    </row>
    <row r="3630">
      <c r="A3630" s="2">
        <v>3667.0</v>
      </c>
      <c r="B3630" s="3" t="s">
        <v>28</v>
      </c>
      <c r="C3630" s="4" t="str">
        <f>hyperlink("https://terraria.gamepedia.com/Trapped_Chests","Trapped Shadow Chest")</f>
        <v>Trapped Shadow Chest</v>
      </c>
    </row>
    <row r="3631">
      <c r="A3631" s="2">
        <v>3668.0</v>
      </c>
      <c r="B3631" s="3" t="s">
        <v>28</v>
      </c>
      <c r="C3631" s="4" t="str">
        <f>hyperlink("https://terraria.gamepedia.com/Trapped_Chests","Trapped Ebonwood Chest")</f>
        <v>Trapped Ebonwood Chest</v>
      </c>
    </row>
    <row r="3632">
      <c r="A3632" s="2">
        <v>3669.0</v>
      </c>
      <c r="B3632" s="3" t="s">
        <v>28</v>
      </c>
      <c r="C3632" s="4" t="str">
        <f>hyperlink("https://terraria.gamepedia.com/Trapped_Chests","Trapped Rich Mahogany Chest")</f>
        <v>Trapped Rich Mahogany Chest</v>
      </c>
    </row>
    <row r="3633">
      <c r="A3633" s="2">
        <v>3670.0</v>
      </c>
      <c r="B3633" s="3" t="s">
        <v>28</v>
      </c>
      <c r="C3633" s="4" t="str">
        <f>hyperlink("https://terraria.gamepedia.com/Trapped_Chests","Trapped Pearlwood Chest")</f>
        <v>Trapped Pearlwood Chest</v>
      </c>
    </row>
    <row r="3634">
      <c r="A3634" s="2">
        <v>3671.0</v>
      </c>
      <c r="B3634" s="3" t="s">
        <v>28</v>
      </c>
      <c r="C3634" s="4" t="str">
        <f>hyperlink("https://terraria.gamepedia.com/Trapped_Chests","Trapped Ivy Chest")</f>
        <v>Trapped Ivy Chest</v>
      </c>
    </row>
    <row r="3635">
      <c r="A3635" s="2">
        <v>3672.0</v>
      </c>
      <c r="B3635" s="3" t="s">
        <v>28</v>
      </c>
      <c r="C3635" s="4" t="str">
        <f>hyperlink("https://terraria.gamepedia.com/Trapped_Chests","Trapped Frozen Chest")</f>
        <v>Trapped Frozen Chest</v>
      </c>
    </row>
    <row r="3636">
      <c r="A3636" s="2">
        <v>3673.0</v>
      </c>
      <c r="B3636" s="3" t="s">
        <v>28</v>
      </c>
      <c r="C3636" s="4" t="str">
        <f>hyperlink("https://terraria.gamepedia.com/Trapped_Chests","Trapped Living Wood Chest")</f>
        <v>Trapped Living Wood Chest</v>
      </c>
    </row>
    <row r="3637">
      <c r="A3637" s="2">
        <v>3674.0</v>
      </c>
      <c r="B3637" s="3" t="s">
        <v>28</v>
      </c>
      <c r="C3637" s="4" t="str">
        <f>hyperlink("https://terraria.gamepedia.com/Trapped_Chests","Trapped Skyware Chest")</f>
        <v>Trapped Skyware Chest</v>
      </c>
    </row>
    <row r="3638">
      <c r="A3638" s="2">
        <v>3675.0</v>
      </c>
      <c r="B3638" s="3" t="s">
        <v>28</v>
      </c>
      <c r="C3638" s="4" t="str">
        <f>hyperlink("https://terraria.gamepedia.com/Trapped_Chests","Trapped Shadewood Chest")</f>
        <v>Trapped Shadewood Chest</v>
      </c>
    </row>
    <row r="3639">
      <c r="A3639" s="2">
        <v>3676.0</v>
      </c>
      <c r="B3639" s="3" t="s">
        <v>28</v>
      </c>
      <c r="C3639" s="4" t="str">
        <f>hyperlink("https://terraria.gamepedia.com/Trapped_Chests","Trapped Web Covered Chest")</f>
        <v>Trapped Web Covered Chest</v>
      </c>
    </row>
    <row r="3640">
      <c r="A3640" s="2">
        <v>3677.0</v>
      </c>
      <c r="B3640" s="3" t="s">
        <v>28</v>
      </c>
      <c r="C3640" s="4" t="str">
        <f>hyperlink("https://terraria.gamepedia.com/Trapped_Chests","Trapped Lihzahrd Chest")</f>
        <v>Trapped Lihzahrd Chest</v>
      </c>
    </row>
    <row r="3641">
      <c r="A3641" s="2">
        <v>3678.0</v>
      </c>
      <c r="B3641" s="3" t="s">
        <v>28</v>
      </c>
      <c r="C3641" s="4" t="str">
        <f>hyperlink("https://terraria.gamepedia.com/Trapped_Chests","Trapped Water Chest")</f>
        <v>Trapped Water Chest</v>
      </c>
    </row>
    <row r="3642">
      <c r="A3642" s="2">
        <v>3679.0</v>
      </c>
      <c r="B3642" s="3" t="s">
        <v>28</v>
      </c>
      <c r="C3642" s="4" t="str">
        <f>hyperlink("https://terraria.gamepedia.com/Trapped_Chests","Trapped Jungle Chest")</f>
        <v>Trapped Jungle Chest</v>
      </c>
    </row>
    <row r="3643">
      <c r="A3643" s="2">
        <v>3680.0</v>
      </c>
      <c r="B3643" s="3" t="s">
        <v>28</v>
      </c>
      <c r="C3643" s="4" t="str">
        <f>hyperlink("https://terraria.gamepedia.com/Trapped_Chests","Trapped Corruption Chest")</f>
        <v>Trapped Corruption Chest</v>
      </c>
    </row>
    <row r="3644">
      <c r="A3644" s="2">
        <v>3681.0</v>
      </c>
      <c r="B3644" s="3" t="s">
        <v>28</v>
      </c>
      <c r="C3644" s="4" t="str">
        <f>hyperlink("https://terraria.gamepedia.com/Trapped_Chests","Trapped Crimson Chest")</f>
        <v>Trapped Crimson Chest</v>
      </c>
    </row>
    <row r="3645">
      <c r="A3645" s="2">
        <v>3682.0</v>
      </c>
      <c r="B3645" s="3" t="s">
        <v>28</v>
      </c>
      <c r="C3645" s="4" t="str">
        <f>hyperlink("https://terraria.gamepedia.com/Trapped_Chests","Trapped Hallowed Chest")</f>
        <v>Trapped Hallowed Chest</v>
      </c>
    </row>
    <row r="3646">
      <c r="A3646" s="2">
        <v>3683.0</v>
      </c>
      <c r="B3646" s="3" t="s">
        <v>28</v>
      </c>
      <c r="C3646" s="4" t="str">
        <f>hyperlink("https://terraria.gamepedia.com/Trapped_Chests","Trapped Ice Chest")</f>
        <v>Trapped Ice Chest</v>
      </c>
    </row>
    <row r="3647">
      <c r="A3647" s="2">
        <v>3684.0</v>
      </c>
      <c r="B3647" s="3" t="s">
        <v>28</v>
      </c>
      <c r="C3647" s="4" t="str">
        <f>hyperlink("https://terraria.gamepedia.com/Trapped_Chests","Trapped Dynasty Chest")</f>
        <v>Trapped Dynasty Chest</v>
      </c>
    </row>
    <row r="3648">
      <c r="A3648" s="2">
        <v>3685.0</v>
      </c>
      <c r="B3648" s="3" t="s">
        <v>28</v>
      </c>
      <c r="C3648" s="4" t="str">
        <f>hyperlink("https://terraria.gamepedia.com/Trapped_Chests","Trapped Honey Chest")</f>
        <v>Trapped Honey Chest</v>
      </c>
    </row>
    <row r="3649">
      <c r="A3649" s="2">
        <v>3686.0</v>
      </c>
      <c r="B3649" s="3" t="s">
        <v>28</v>
      </c>
      <c r="C3649" s="4" t="str">
        <f>hyperlink("https://terraria.gamepedia.com/Trapped_Chests","Trapped Steampunk Chest")</f>
        <v>Trapped Steampunk Chest</v>
      </c>
    </row>
    <row r="3650">
      <c r="A3650" s="2">
        <v>3687.0</v>
      </c>
      <c r="B3650" s="3" t="s">
        <v>28</v>
      </c>
      <c r="C3650" s="4" t="str">
        <f>hyperlink("https://terraria.gamepedia.com/Trapped_Chests","Trapped Palm Wood Chest")</f>
        <v>Trapped Palm Wood Chest</v>
      </c>
    </row>
    <row r="3651">
      <c r="A3651" s="2">
        <v>3688.0</v>
      </c>
      <c r="B3651" s="3" t="s">
        <v>28</v>
      </c>
      <c r="C3651" s="4" t="str">
        <f>hyperlink("https://terraria.gamepedia.com/Trapped_Chests","Trapped Mushroom Chest")</f>
        <v>Trapped Mushroom Chest</v>
      </c>
    </row>
    <row r="3652">
      <c r="A3652" s="2">
        <v>3689.0</v>
      </c>
      <c r="B3652" s="3" t="s">
        <v>28</v>
      </c>
      <c r="C3652" s="4" t="str">
        <f>hyperlink("https://terraria.gamepedia.com/Trapped_Chests","Trapped Boreal Wood Chest")</f>
        <v>Trapped Boreal Wood Chest</v>
      </c>
    </row>
    <row r="3653">
      <c r="A3653" s="2">
        <v>3690.0</v>
      </c>
      <c r="B3653" s="3" t="s">
        <v>28</v>
      </c>
      <c r="C3653" s="4" t="str">
        <f>hyperlink("https://terraria.gamepedia.com/Trapped_Chests","Trapped Slime Chest")</f>
        <v>Trapped Slime Chest</v>
      </c>
    </row>
    <row r="3654">
      <c r="A3654" s="2">
        <v>3691.0</v>
      </c>
      <c r="B3654" s="3" t="s">
        <v>28</v>
      </c>
      <c r="C3654" s="4" t="str">
        <f>hyperlink("https://terraria.gamepedia.com/Trapped_Chests","Trapped Green Dungeon Chest")</f>
        <v>Trapped Green Dungeon Chest</v>
      </c>
    </row>
    <row r="3655">
      <c r="A3655" s="2">
        <v>3692.0</v>
      </c>
      <c r="B3655" s="3" t="s">
        <v>28</v>
      </c>
      <c r="C3655" s="4" t="str">
        <f>hyperlink("https://terraria.gamepedia.com/Trapped_Chests","Trapped Pink Dungeon Chest")</f>
        <v>Trapped Pink Dungeon Chest</v>
      </c>
    </row>
    <row r="3656">
      <c r="A3656" s="2">
        <v>3693.0</v>
      </c>
      <c r="B3656" s="3" t="s">
        <v>28</v>
      </c>
      <c r="C3656" s="4" t="str">
        <f>hyperlink("https://terraria.gamepedia.com/Trapped_Chests","Trapped Blue Dungeon Chest")</f>
        <v>Trapped Blue Dungeon Chest</v>
      </c>
    </row>
    <row r="3657">
      <c r="A3657" s="2">
        <v>3694.0</v>
      </c>
      <c r="B3657" s="3" t="s">
        <v>28</v>
      </c>
      <c r="C3657" s="4" t="str">
        <f>hyperlink("https://terraria.gamepedia.com/Trapped_Chests","Trapped Bone Chest")</f>
        <v>Trapped Bone Chest</v>
      </c>
    </row>
    <row r="3658">
      <c r="A3658" s="2">
        <v>3695.0</v>
      </c>
      <c r="B3658" s="3" t="s">
        <v>28</v>
      </c>
      <c r="C3658" s="4" t="str">
        <f>hyperlink("https://terraria.gamepedia.com/Trapped_Chests","Trapped Cactus Chest")</f>
        <v>Trapped Cactus Chest</v>
      </c>
    </row>
    <row r="3659">
      <c r="A3659" s="2">
        <v>3696.0</v>
      </c>
      <c r="B3659" s="3" t="s">
        <v>28</v>
      </c>
      <c r="C3659" s="4" t="str">
        <f>hyperlink("https://terraria.gamepedia.com/Trapped_Chests","Trapped Flesh Chest")</f>
        <v>Trapped Flesh Chest</v>
      </c>
    </row>
    <row r="3660">
      <c r="A3660" s="2">
        <v>3697.0</v>
      </c>
      <c r="B3660" s="3" t="s">
        <v>28</v>
      </c>
      <c r="C3660" s="4" t="str">
        <f>hyperlink("https://terraria.gamepedia.com/Trapped_Chests","Trapped Obsidian Chest")</f>
        <v>Trapped Obsidian Chest</v>
      </c>
    </row>
    <row r="3661">
      <c r="A3661" s="2">
        <v>3698.0</v>
      </c>
      <c r="B3661" s="3" t="s">
        <v>28</v>
      </c>
      <c r="C3661" s="4" t="str">
        <f>hyperlink("https://terraria.gamepedia.com/Trapped_Chests","Trapped Pumpkin Chest")</f>
        <v>Trapped Pumpkin Chest</v>
      </c>
    </row>
    <row r="3662">
      <c r="A3662" s="2">
        <v>3699.0</v>
      </c>
      <c r="B3662" s="3" t="s">
        <v>28</v>
      </c>
      <c r="C3662" s="4" t="str">
        <f>hyperlink("https://terraria.gamepedia.com/Trapped_Chests","Trapped Spooky Chest")</f>
        <v>Trapped Spooky Chest</v>
      </c>
    </row>
    <row r="3663">
      <c r="A3663" s="2">
        <v>3700.0</v>
      </c>
      <c r="B3663" s="3" t="s">
        <v>28</v>
      </c>
      <c r="C3663" s="4" t="str">
        <f>hyperlink("https://terraria.gamepedia.com/Trapped_Chests","Trapped Glass Chest")</f>
        <v>Trapped Glass Chest</v>
      </c>
    </row>
    <row r="3664">
      <c r="A3664" s="2">
        <v>3701.0</v>
      </c>
      <c r="B3664" s="3" t="s">
        <v>28</v>
      </c>
      <c r="C3664" s="4" t="str">
        <f>hyperlink("https://terraria.gamepedia.com/Trapped_Chests","Trapped Martian Chest")</f>
        <v>Trapped Martian Chest</v>
      </c>
    </row>
    <row r="3665">
      <c r="A3665" s="2">
        <v>3702.0</v>
      </c>
      <c r="B3665" s="3" t="s">
        <v>28</v>
      </c>
      <c r="C3665" s="4" t="str">
        <f>hyperlink("https://terraria.gamepedia.com/Trapped_Chests","Trapped Meteorite Chest")</f>
        <v>Trapped Meteorite Chest</v>
      </c>
    </row>
    <row r="3666">
      <c r="A3666" s="2">
        <v>3703.0</v>
      </c>
      <c r="B3666" s="3" t="s">
        <v>28</v>
      </c>
      <c r="C3666" s="4" t="str">
        <f>hyperlink("https://terraria.gamepedia.com/Trapped_Chests","Trapped Granite Chest")</f>
        <v>Trapped Granite Chest</v>
      </c>
    </row>
    <row r="3667">
      <c r="A3667" s="2">
        <v>3704.0</v>
      </c>
      <c r="B3667" s="3" t="s">
        <v>28</v>
      </c>
      <c r="C3667" s="4" t="str">
        <f>hyperlink("https://terraria.gamepedia.com/Trapped_Chests","Trapped Marble Chest")</f>
        <v>Trapped Marble Chest</v>
      </c>
    </row>
    <row r="3668">
      <c r="A3668" s="2">
        <v>3707.0</v>
      </c>
      <c r="B3668" s="3" t="s">
        <v>28</v>
      </c>
      <c r="C3668" s="4" t="str">
        <f>hyperlink("https://terraria.gamepedia.com/Pressure_Plates","Teal Pressure Pad")</f>
        <v>Teal Pressure Pad</v>
      </c>
    </row>
    <row r="3669">
      <c r="A3669" s="2">
        <v>3708.0</v>
      </c>
      <c r="B3669" s="3" t="s">
        <v>21</v>
      </c>
      <c r="C3669" s="4" t="str">
        <f>hyperlink("https://terraria.gamepedia.com/Statues","Wall Creeper Statue")</f>
        <v>Wall Creeper Statue</v>
      </c>
    </row>
    <row r="3670">
      <c r="A3670" s="2">
        <v>3709.0</v>
      </c>
      <c r="B3670" s="3" t="s">
        <v>21</v>
      </c>
      <c r="C3670" s="4" t="str">
        <f>hyperlink("https://terraria.gamepedia.com/Statues","Unicorn Statue")</f>
        <v>Unicorn Statue</v>
      </c>
    </row>
    <row r="3671">
      <c r="A3671" s="2">
        <v>3710.0</v>
      </c>
      <c r="B3671" s="3" t="s">
        <v>21</v>
      </c>
      <c r="C3671" s="4" t="str">
        <f>hyperlink("https://terraria.gamepedia.com/Statues","Drippler Statue")</f>
        <v>Drippler Statue</v>
      </c>
    </row>
    <row r="3672">
      <c r="A3672" s="2">
        <v>3711.0</v>
      </c>
      <c r="B3672" s="3" t="s">
        <v>21</v>
      </c>
      <c r="C3672" s="4" t="str">
        <f>hyperlink("https://terraria.gamepedia.com/Statues","Wraith Statue")</f>
        <v>Wraith Statue</v>
      </c>
    </row>
    <row r="3673">
      <c r="A3673" s="2">
        <v>3712.0</v>
      </c>
      <c r="B3673" s="3" t="s">
        <v>21</v>
      </c>
      <c r="C3673" s="4" t="str">
        <f>hyperlink("https://terraria.gamepedia.com/Statues","Bone Skeleton Statue")</f>
        <v>Bone Skeleton Statue</v>
      </c>
    </row>
    <row r="3674">
      <c r="A3674" s="2">
        <v>3713.0</v>
      </c>
      <c r="B3674" s="3" t="s">
        <v>21</v>
      </c>
      <c r="C3674" s="4" t="str">
        <f>hyperlink("https://terraria.gamepedia.com/Statues","Undead Viking Statue")</f>
        <v>Undead Viking Statue</v>
      </c>
    </row>
    <row r="3675">
      <c r="A3675" s="2">
        <v>3714.0</v>
      </c>
      <c r="B3675" s="3" t="s">
        <v>21</v>
      </c>
      <c r="C3675" s="4" t="str">
        <f>hyperlink("https://terraria.gamepedia.com/Statues","Medusa Statue")</f>
        <v>Medusa Statue</v>
      </c>
    </row>
    <row r="3676">
      <c r="A3676" s="2">
        <v>3715.0</v>
      </c>
      <c r="B3676" s="3" t="s">
        <v>21</v>
      </c>
      <c r="C3676" s="4" t="str">
        <f>hyperlink("https://terraria.gamepedia.com/Statues","Harpy Statue")</f>
        <v>Harpy Statue</v>
      </c>
    </row>
    <row r="3677">
      <c r="A3677" s="2">
        <v>3716.0</v>
      </c>
      <c r="B3677" s="3" t="s">
        <v>21</v>
      </c>
      <c r="C3677" s="4" t="str">
        <f>hyperlink("https://terraria.gamepedia.com/Statues","Pigron Statue")</f>
        <v>Pigron Statue</v>
      </c>
    </row>
    <row r="3678">
      <c r="A3678" s="2">
        <v>3717.0</v>
      </c>
      <c r="B3678" s="3" t="s">
        <v>21</v>
      </c>
      <c r="C3678" s="4" t="str">
        <f>hyperlink("https://terraria.gamepedia.com/Statues","Hoplite Statue")</f>
        <v>Hoplite Statue</v>
      </c>
    </row>
    <row r="3679">
      <c r="A3679" s="2">
        <v>3718.0</v>
      </c>
      <c r="B3679" s="3" t="s">
        <v>21</v>
      </c>
      <c r="C3679" s="4" t="str">
        <f>hyperlink("https://terraria.gamepedia.com/Statues","Granite Golem Statue")</f>
        <v>Granite Golem Statue</v>
      </c>
    </row>
    <row r="3680">
      <c r="A3680" s="2">
        <v>3719.0</v>
      </c>
      <c r="B3680" s="3" t="s">
        <v>21</v>
      </c>
      <c r="C3680" s="4" t="str">
        <f>hyperlink("https://terraria.gamepedia.com/Statues","Armed Zombie Statue")</f>
        <v>Armed Zombie Statue</v>
      </c>
    </row>
    <row r="3681">
      <c r="A3681" s="2">
        <v>3720.0</v>
      </c>
      <c r="B3681" s="3" t="s">
        <v>21</v>
      </c>
      <c r="C3681" s="4" t="str">
        <f>hyperlink("https://terraria.gamepedia.com/Statues","Blood Zombie Statue")</f>
        <v>Blood Zombie Statue</v>
      </c>
    </row>
    <row r="3682">
      <c r="A3682" s="2">
        <v>3721.0</v>
      </c>
      <c r="B3682" s="3" t="s">
        <v>10</v>
      </c>
      <c r="C3682" s="4" t="str">
        <f>hyperlink("https://terraria.gamepedia.com/Angler_Tackle_Bag","Angler Tackle Bag")</f>
        <v>Angler Tackle Bag</v>
      </c>
    </row>
    <row r="3683">
      <c r="A3683" s="2">
        <v>3722.0</v>
      </c>
      <c r="B3683" s="3" t="s">
        <v>28</v>
      </c>
      <c r="C3683" s="4" t="str">
        <f>hyperlink("https://terraria.gamepedia.com/Geyser","Geyser")</f>
        <v>Geyser</v>
      </c>
    </row>
    <row r="3684">
      <c r="A3684" s="2">
        <v>3723.0</v>
      </c>
      <c r="B3684" s="3" t="s">
        <v>7</v>
      </c>
      <c r="C3684" s="4" t="str">
        <f>hyperlink("https://terraria.gamepedia.com/Campfires","Ultrabright Campfire")</f>
        <v>Ultrabright Campfire</v>
      </c>
    </row>
    <row r="3685">
      <c r="A3685" s="2">
        <v>3724.0</v>
      </c>
      <c r="B3685" s="3" t="s">
        <v>7</v>
      </c>
      <c r="C3685" s="4" t="str">
        <f>hyperlink("https://terraria.gamepedia.com/Campfires","Bone Campfire")</f>
        <v>Bone Campfire</v>
      </c>
    </row>
    <row r="3686">
      <c r="A3686" s="2">
        <v>3726.0</v>
      </c>
      <c r="B3686" s="3" t="s">
        <v>28</v>
      </c>
      <c r="C3686" s="4" t="str">
        <f>hyperlink("https://terraria.gamepedia.com/Sensors","Liquid Sensor (Water)")</f>
        <v>Liquid Sensor (Water)</v>
      </c>
    </row>
    <row r="3687">
      <c r="A3687" s="2">
        <v>3727.0</v>
      </c>
      <c r="B3687" s="3" t="s">
        <v>28</v>
      </c>
      <c r="C3687" s="4" t="str">
        <f>hyperlink("https://terraria.gamepedia.com/Sensors","Liquid Sensor (Lava)")</f>
        <v>Liquid Sensor (Lava)</v>
      </c>
    </row>
    <row r="3688">
      <c r="A3688" s="2">
        <v>3728.0</v>
      </c>
      <c r="B3688" s="3" t="s">
        <v>28</v>
      </c>
      <c r="C3688" s="4" t="str">
        <f>hyperlink("https://terraria.gamepedia.com/Sensors","Liquid Sensor (Honey)")</f>
        <v>Liquid Sensor (Honey)</v>
      </c>
    </row>
    <row r="3689">
      <c r="A3689" s="2">
        <v>3729.0</v>
      </c>
      <c r="B3689" s="3" t="s">
        <v>28</v>
      </c>
      <c r="C3689" s="4" t="str">
        <f>hyperlink("https://terraria.gamepedia.com/Sensors","Liquid Sensor (Any)")</f>
        <v>Liquid Sensor (Any)</v>
      </c>
    </row>
    <row r="3690">
      <c r="A3690" s="2">
        <v>3730.0</v>
      </c>
      <c r="B3690" s="3" t="s">
        <v>15</v>
      </c>
      <c r="C3690" s="4" t="str">
        <f>hyperlink("https://terraria.gamepedia.com/Bundled_Party_Balloons","Bundled Party Balloons")</f>
        <v>Bundled Party Balloons</v>
      </c>
    </row>
    <row r="3691">
      <c r="A3691" s="2">
        <v>3731.0</v>
      </c>
      <c r="B3691" s="3" t="s">
        <v>15</v>
      </c>
      <c r="C3691" s="4" t="str">
        <f>hyperlink("https://terraria.gamepedia.com/Balloon_Animal","Balloon Animal")</f>
        <v>Balloon Animal</v>
      </c>
    </row>
    <row r="3692">
      <c r="A3692" s="2">
        <v>3732.0</v>
      </c>
      <c r="B3692" s="3" t="s">
        <v>23</v>
      </c>
      <c r="C3692" s="4" t="str">
        <f>hyperlink("https://terraria.gamepedia.com/Party_Hat","Party Hat")</f>
        <v>Party Hat</v>
      </c>
    </row>
    <row r="3693">
      <c r="A3693" s="2">
        <v>3733.0</v>
      </c>
      <c r="B3693" s="3" t="s">
        <v>23</v>
      </c>
      <c r="C3693" s="4" t="str">
        <f>hyperlink("https://terraria.gamepedia.com/Silly_Sunflower_set","Silly Sunflower Petals")</f>
        <v>Silly Sunflower Petals</v>
      </c>
    </row>
    <row r="3694">
      <c r="A3694" s="2">
        <v>3734.0</v>
      </c>
      <c r="B3694" s="3" t="s">
        <v>23</v>
      </c>
      <c r="C3694" s="4" t="str">
        <f>hyperlink("https://terraria.gamepedia.com/Silly_Sunflower_set","Silly Sunflower Tops")</f>
        <v>Silly Sunflower Tops</v>
      </c>
    </row>
    <row r="3695">
      <c r="A3695" s="2">
        <v>3735.0</v>
      </c>
      <c r="B3695" s="3" t="s">
        <v>23</v>
      </c>
      <c r="C3695" s="4" t="str">
        <f>hyperlink("https://terraria.gamepedia.com/Silly_Sunflower_set","Silly Sunflower Bottoms")</f>
        <v>Silly Sunflower Bottoms</v>
      </c>
    </row>
    <row r="3696">
      <c r="A3696" s="2">
        <v>3736.0</v>
      </c>
      <c r="B3696" s="3" t="s">
        <v>15</v>
      </c>
      <c r="C3696" s="4" t="str">
        <f>hyperlink("https://terraria.gamepedia.com/Silly_Balloons","Silly Pink Balloon")</f>
        <v>Silly Pink Balloon</v>
      </c>
    </row>
    <row r="3697">
      <c r="A3697" s="2">
        <v>3737.0</v>
      </c>
      <c r="B3697" s="3" t="s">
        <v>15</v>
      </c>
      <c r="C3697" s="4" t="str">
        <f>hyperlink("https://terraria.gamepedia.com/Silly_Balloons","Silly Purple Balloon")</f>
        <v>Silly Purple Balloon</v>
      </c>
    </row>
    <row r="3698">
      <c r="A3698" s="2">
        <v>3738.0</v>
      </c>
      <c r="B3698" s="3" t="s">
        <v>15</v>
      </c>
      <c r="C3698" s="4" t="str">
        <f>hyperlink("https://terraria.gamepedia.com/Silly_Balloons","Silly Green Balloon")</f>
        <v>Silly Green Balloon</v>
      </c>
    </row>
    <row r="3699">
      <c r="A3699" s="2">
        <v>3739.0</v>
      </c>
      <c r="B3699" s="3" t="s">
        <v>15</v>
      </c>
      <c r="C3699" s="4" t="str">
        <f>hyperlink("https://terraria.gamepedia.com/Streamers","Blue Streamer")</f>
        <v>Blue Streamer</v>
      </c>
    </row>
    <row r="3700">
      <c r="A3700" s="2">
        <v>3740.0</v>
      </c>
      <c r="B3700" s="3" t="s">
        <v>15</v>
      </c>
      <c r="C3700" s="4" t="str">
        <f>hyperlink("https://terraria.gamepedia.com/Streamers","Green Streamer")</f>
        <v>Green Streamer</v>
      </c>
    </row>
    <row r="3701">
      <c r="A3701" s="2">
        <v>3741.0</v>
      </c>
      <c r="B3701" s="3" t="s">
        <v>15</v>
      </c>
      <c r="C3701" s="4" t="str">
        <f>hyperlink("https://terraria.gamepedia.com/Streamers","Pink Streamer")</f>
        <v>Pink Streamer</v>
      </c>
    </row>
    <row r="3702">
      <c r="A3702" s="2">
        <v>3742.0</v>
      </c>
      <c r="B3702" s="3" t="s">
        <v>12</v>
      </c>
      <c r="C3702" s="4" t="str">
        <f>hyperlink("https://terraria.gamepedia.com/Silly_Balloon_Machine","Silly Balloon Machine")</f>
        <v>Silly Balloon Machine</v>
      </c>
    </row>
    <row r="3703">
      <c r="A3703" s="2">
        <v>3743.0</v>
      </c>
      <c r="B3703" s="3" t="s">
        <v>15</v>
      </c>
      <c r="C3703" s="4" t="str">
        <f>hyperlink("https://terraria.gamepedia.com/Silly_Tied_Balloons","Silly Tied Balloon (Pink)")</f>
        <v>Silly Tied Balloon (Pink)</v>
      </c>
    </row>
    <row r="3704">
      <c r="A3704" s="2">
        <v>3744.0</v>
      </c>
      <c r="B3704" s="3" t="s">
        <v>15</v>
      </c>
      <c r="C3704" s="4" t="str">
        <f>hyperlink("https://terraria.gamepedia.com/Silly_Tied_Balloons","Silly Tied Balloon (Purple)")</f>
        <v>Silly Tied Balloon (Purple)</v>
      </c>
    </row>
    <row r="3705">
      <c r="A3705" s="2">
        <v>3745.0</v>
      </c>
      <c r="B3705" s="3" t="s">
        <v>15</v>
      </c>
      <c r="C3705" s="4" t="str">
        <f>hyperlink("https://terraria.gamepedia.com/Silly_Tied_Balloons","Silly Tied Balloon (Green)")</f>
        <v>Silly Tied Balloon (Green)</v>
      </c>
    </row>
    <row r="3706">
      <c r="A3706" s="2">
        <v>3746.0</v>
      </c>
      <c r="B3706" s="3" t="s">
        <v>15</v>
      </c>
      <c r="C3706" s="4" t="str">
        <f>hyperlink("https://terraria.gamepedia.com/Pigronata","Pigronata")</f>
        <v>Pigronata</v>
      </c>
    </row>
    <row r="3707">
      <c r="A3707" s="2">
        <v>3747.0</v>
      </c>
      <c r="B3707" s="3" t="s">
        <v>12</v>
      </c>
      <c r="C3707" s="4" t="str">
        <f>hyperlink("https://terraria.gamepedia.com/Party_Center","Party Center")</f>
        <v>Party Center</v>
      </c>
    </row>
    <row r="3708">
      <c r="A3708" s="2">
        <v>3748.0</v>
      </c>
      <c r="B3708" s="3" t="s">
        <v>15</v>
      </c>
      <c r="C3708" s="4" t="str">
        <f>hyperlink("https://terraria.gamepedia.com/Silly_Tied_Bundle_of_Balloons","Silly Tied Bundle of Balloons")</f>
        <v>Silly Tied Bundle of Balloons</v>
      </c>
    </row>
    <row r="3709">
      <c r="A3709" s="2">
        <v>3749.0</v>
      </c>
      <c r="B3709" s="3" t="s">
        <v>15</v>
      </c>
      <c r="C3709" s="4" t="str">
        <f>hyperlink("https://terraria.gamepedia.com/Party_Present","Party Present")</f>
        <v>Party Present</v>
      </c>
    </row>
    <row r="3710">
      <c r="A3710" s="2">
        <v>3750.0</v>
      </c>
      <c r="B3710" s="3" t="s">
        <v>26</v>
      </c>
      <c r="C3710" s="4" t="str">
        <f>hyperlink("https://terraria.gamepedia.com/Slice_of_Cake","Slice of Cake")</f>
        <v>Slice of Cake</v>
      </c>
    </row>
    <row r="3711">
      <c r="A3711" s="2">
        <v>3751.0</v>
      </c>
      <c r="B3711" s="3" t="s">
        <v>13</v>
      </c>
      <c r="C3711" s="4" t="str">
        <f>hyperlink("https://terraria.gamepedia.com/Cog_Wall","Cog Wall")</f>
        <v>Cog Wall</v>
      </c>
    </row>
    <row r="3712">
      <c r="A3712" s="2">
        <v>3752.0</v>
      </c>
      <c r="B3712" s="3" t="s">
        <v>13</v>
      </c>
      <c r="C3712" s="4" t="str">
        <f>hyperlink("https://terraria.gamepedia.com/Sandfall_Wall","Sandfall Wall")</f>
        <v>Sandfall Wall</v>
      </c>
    </row>
    <row r="3713">
      <c r="A3713" s="2">
        <v>3753.0</v>
      </c>
      <c r="B3713" s="3" t="s">
        <v>13</v>
      </c>
      <c r="C3713" s="4" t="str">
        <f>hyperlink("https://terraria.gamepedia.com/Snowfall_Wall","Snowfall Wall")</f>
        <v>Snowfall Wall</v>
      </c>
    </row>
    <row r="3714">
      <c r="A3714" s="2">
        <v>3754.0</v>
      </c>
      <c r="B3714" s="3" t="s">
        <v>4</v>
      </c>
      <c r="C3714" s="4" t="str">
        <f>hyperlink("https://terraria.gamepedia.com/Sandfall_Block","Sandfall Block")</f>
        <v>Sandfall Block</v>
      </c>
    </row>
    <row r="3715">
      <c r="A3715" s="2">
        <v>3755.0</v>
      </c>
      <c r="B3715" s="3" t="s">
        <v>4</v>
      </c>
      <c r="C3715" s="4" t="str">
        <f>hyperlink("https://terraria.gamepedia.com/Snowfall_Block","Snowfall Block")</f>
        <v>Snowfall Block</v>
      </c>
    </row>
    <row r="3716">
      <c r="A3716" s="2">
        <v>3756.0</v>
      </c>
      <c r="B3716" s="3" t="s">
        <v>4</v>
      </c>
      <c r="C3716" s="4" t="str">
        <f>hyperlink("https://terraria.gamepedia.com/Snow_Cloud","Snow Cloud")</f>
        <v>Snow Cloud</v>
      </c>
    </row>
    <row r="3717">
      <c r="A3717" s="2">
        <v>3757.0</v>
      </c>
      <c r="B3717" s="3" t="s">
        <v>23</v>
      </c>
      <c r="C3717" s="4" t="str">
        <f>hyperlink("https://terraria.gamepedia.com/Pedguin's_set","Pedguin's Hood")</f>
        <v>Pedguin's Hood</v>
      </c>
    </row>
    <row r="3718">
      <c r="A3718" s="2">
        <v>3758.0</v>
      </c>
      <c r="B3718" s="3" t="s">
        <v>23</v>
      </c>
      <c r="C3718" s="4" t="str">
        <f>hyperlink("https://terraria.gamepedia.com/Pedguin's_set","Pedguin's Jacket")</f>
        <v>Pedguin's Jacket</v>
      </c>
    </row>
    <row r="3719">
      <c r="A3719" s="2">
        <v>3759.0</v>
      </c>
      <c r="B3719" s="3" t="s">
        <v>23</v>
      </c>
      <c r="C3719" s="4" t="str">
        <f>hyperlink("https://terraria.gamepedia.com/Pedguin's_set","Pedguin's Trousers")</f>
        <v>Pedguin's Trousers</v>
      </c>
    </row>
    <row r="3720">
      <c r="A3720" s="2">
        <v>3760.0</v>
      </c>
      <c r="B3720" s="3" t="s">
        <v>13</v>
      </c>
      <c r="C3720" s="4" t="str">
        <f>hyperlink("https://terraria.gamepedia.com/Silly_Balloon_Walls","Silly Pink Balloon Wall")</f>
        <v>Silly Pink Balloon Wall</v>
      </c>
    </row>
    <row r="3721">
      <c r="A3721" s="2">
        <v>3761.0</v>
      </c>
      <c r="B3721" s="3" t="s">
        <v>13</v>
      </c>
      <c r="C3721" s="4" t="str">
        <f>hyperlink("https://terraria.gamepedia.com/Silly_Balloon_Walls","Silly Purple Balloon Wall")</f>
        <v>Silly Purple Balloon Wall</v>
      </c>
    </row>
    <row r="3722">
      <c r="A3722" s="2">
        <v>3762.0</v>
      </c>
      <c r="B3722" s="3" t="s">
        <v>13</v>
      </c>
      <c r="C3722" s="4" t="str">
        <f>hyperlink("https://terraria.gamepedia.com/Silly_Balloon_Walls","Silly Green Balloon Wall")</f>
        <v>Silly Green Balloon Wall</v>
      </c>
    </row>
    <row r="3723">
      <c r="A3723" s="2">
        <v>3763.0</v>
      </c>
      <c r="B3723" s="3" t="s">
        <v>23</v>
      </c>
      <c r="C3723" s="4" t="str">
        <f>hyperlink("https://terraria.gamepedia.com/0x33's_Aviators","0x33's Aviators")</f>
        <v>0x33's Aviators</v>
      </c>
    </row>
    <row r="3724">
      <c r="A3724" s="2">
        <v>3764.0</v>
      </c>
      <c r="B3724" s="3" t="s">
        <v>5</v>
      </c>
      <c r="C3724" s="4" t="str">
        <f>hyperlink("https://terraria.gamepedia.com/Phasesabers","Blue Phasesaber")</f>
        <v>Blue Phasesaber</v>
      </c>
    </row>
    <row r="3725">
      <c r="A3725" s="2">
        <v>3765.0</v>
      </c>
      <c r="B3725" s="3" t="s">
        <v>5</v>
      </c>
      <c r="C3725" s="4" t="str">
        <f>hyperlink("https://terraria.gamepedia.com/Phasesabers","Red Phasesaber")</f>
        <v>Red Phasesaber</v>
      </c>
    </row>
    <row r="3726">
      <c r="A3726" s="2">
        <v>3766.0</v>
      </c>
      <c r="B3726" s="3" t="s">
        <v>5</v>
      </c>
      <c r="C3726" s="4" t="str">
        <f>hyperlink("https://terraria.gamepedia.com/Phasesabers","Green Phasesaber")</f>
        <v>Green Phasesaber</v>
      </c>
    </row>
    <row r="3727">
      <c r="A3727" s="2">
        <v>3767.0</v>
      </c>
      <c r="B3727" s="3" t="s">
        <v>5</v>
      </c>
      <c r="C3727" s="4" t="str">
        <f>hyperlink("https://terraria.gamepedia.com/Phasesabers","Purple Phasesaber")</f>
        <v>Purple Phasesaber</v>
      </c>
    </row>
    <row r="3728">
      <c r="A3728" s="2">
        <v>3768.0</v>
      </c>
      <c r="B3728" s="3" t="s">
        <v>5</v>
      </c>
      <c r="C3728" s="4" t="str">
        <f>hyperlink("https://terraria.gamepedia.com/Phasesabers","White Phasesaber")</f>
        <v>White Phasesaber</v>
      </c>
    </row>
    <row r="3729">
      <c r="A3729" s="2">
        <v>3769.0</v>
      </c>
      <c r="B3729" s="3" t="s">
        <v>5</v>
      </c>
      <c r="C3729" s="4" t="str">
        <f>hyperlink("https://terraria.gamepedia.com/Phasesabers","Yellow Phasesaber")</f>
        <v>Yellow Phasesaber</v>
      </c>
    </row>
    <row r="3730">
      <c r="A3730" s="2">
        <v>3770.0</v>
      </c>
      <c r="B3730" s="3" t="s">
        <v>23</v>
      </c>
      <c r="C3730" s="4" t="str">
        <f>hyperlink("https://terraria.gamepedia.com/Djinn's_Curse","Djinn's Curse")</f>
        <v>Djinn's Curse</v>
      </c>
    </row>
    <row r="3731">
      <c r="A3731" s="2">
        <v>3771.0</v>
      </c>
      <c r="B3731" s="3" t="s">
        <v>22</v>
      </c>
      <c r="C3731" s="4" t="str">
        <f>hyperlink("https://terraria.gamepedia.com/Ancient_Horn","Ancient Horn")</f>
        <v>Ancient Horn</v>
      </c>
    </row>
    <row r="3732">
      <c r="A3732" s="2">
        <v>3772.0</v>
      </c>
      <c r="B3732" s="3" t="s">
        <v>5</v>
      </c>
      <c r="C3732" s="4" t="str">
        <f>hyperlink("https://terraria.gamepedia.com/Mandible_Blade","Mandible Blade")</f>
        <v>Mandible Blade</v>
      </c>
    </row>
    <row r="3733">
      <c r="A3733" s="2">
        <v>3773.0</v>
      </c>
      <c r="B3733" s="3" t="s">
        <v>23</v>
      </c>
      <c r="C3733" s="4" t="str">
        <f>hyperlink("https://terraria.gamepedia.com/Ancient_set","Ancient Headdress")</f>
        <v>Ancient Headdress</v>
      </c>
    </row>
    <row r="3734">
      <c r="A3734" s="2">
        <v>3774.0</v>
      </c>
      <c r="B3734" s="3" t="s">
        <v>23</v>
      </c>
      <c r="C3734" s="4" t="str">
        <f>hyperlink("https://terraria.gamepedia.com/Ancient_set","Ancient Garments")</f>
        <v>Ancient Garments</v>
      </c>
    </row>
    <row r="3735">
      <c r="A3735" s="2">
        <v>3775.0</v>
      </c>
      <c r="B3735" s="3" t="s">
        <v>23</v>
      </c>
      <c r="C3735" s="4" t="str">
        <f>hyperlink("https://terraria.gamepedia.com/Ancient_set","Ancient Slacks")</f>
        <v>Ancient Slacks</v>
      </c>
    </row>
    <row r="3736">
      <c r="A3736" s="2">
        <v>3776.0</v>
      </c>
      <c r="B3736" s="3" t="s">
        <v>17</v>
      </c>
      <c r="C3736" s="4" t="str">
        <f>hyperlink("https://terraria.gamepedia.com/Forbidden_armor","Forbidden Mask")</f>
        <v>Forbidden Mask</v>
      </c>
    </row>
    <row r="3737">
      <c r="A3737" s="2">
        <v>3777.0</v>
      </c>
      <c r="B3737" s="3" t="s">
        <v>17</v>
      </c>
      <c r="C3737" s="4" t="str">
        <f>hyperlink("https://terraria.gamepedia.com/Forbidden_armor","Forbidden Robes")</f>
        <v>Forbidden Robes</v>
      </c>
    </row>
    <row r="3738">
      <c r="A3738" s="2">
        <v>3778.0</v>
      </c>
      <c r="B3738" s="3" t="s">
        <v>17</v>
      </c>
      <c r="C3738" s="4" t="str">
        <f>hyperlink("https://terraria.gamepedia.com/Forbidden_armor","Forbidden Treads")</f>
        <v>Forbidden Treads</v>
      </c>
    </row>
    <row r="3739">
      <c r="A3739" s="2">
        <v>3779.0</v>
      </c>
      <c r="B3739" s="3" t="s">
        <v>5</v>
      </c>
      <c r="C3739" s="4" t="str">
        <f>hyperlink("https://terraria.gamepedia.com/Spirit_Flame","Spirit Flame")</f>
        <v>Spirit Flame</v>
      </c>
    </row>
    <row r="3740">
      <c r="A3740" s="2">
        <v>3780.0</v>
      </c>
      <c r="B3740" s="3" t="s">
        <v>37</v>
      </c>
      <c r="C3740" s="4" t="str">
        <f>hyperlink("https://terraria.gamepedia.com/Sand_Elemental","Sand Elemental Banner")</f>
        <v>Sand Elemental Banner</v>
      </c>
    </row>
    <row r="3741">
      <c r="A3741" s="2">
        <v>3781.0</v>
      </c>
      <c r="B3741" s="3" t="s">
        <v>10</v>
      </c>
      <c r="C3741" s="4" t="str">
        <f>hyperlink("https://terraria.gamepedia.com/Pocket_Mirror","Pocket Mirror")</f>
        <v>Pocket Mirror</v>
      </c>
    </row>
    <row r="3742">
      <c r="A3742" s="2">
        <v>3782.0</v>
      </c>
      <c r="B3742" s="3" t="s">
        <v>15</v>
      </c>
      <c r="C3742" s="4" t="str">
        <f>hyperlink("https://terraria.gamepedia.com/Magic_Droppers","Magic Sand Dropper")</f>
        <v>Magic Sand Dropper</v>
      </c>
    </row>
    <row r="3743">
      <c r="A3743" s="2">
        <v>3783.0</v>
      </c>
      <c r="B3743" s="3" t="s">
        <v>11</v>
      </c>
      <c r="C3743" s="4" t="str">
        <f>hyperlink("https://terraria.gamepedia.com/Forbidden_Fragment","Forbidden Fragment")</f>
        <v>Forbidden Fragment</v>
      </c>
    </row>
    <row r="3744">
      <c r="A3744" s="2">
        <v>3784.0</v>
      </c>
      <c r="B3744" s="3" t="s">
        <v>23</v>
      </c>
      <c r="C3744" s="4" t="str">
        <f>hyperlink("https://terraria.gamepedia.com/Lamia_set","Lamia Tail")</f>
        <v>Lamia Tail</v>
      </c>
    </row>
    <row r="3745">
      <c r="A3745" s="2">
        <v>3785.0</v>
      </c>
      <c r="B3745" s="3" t="s">
        <v>23</v>
      </c>
      <c r="C3745" s="4" t="str">
        <f>hyperlink("https://terraria.gamepedia.com/Lamia_set","Lamia Wraps")</f>
        <v>Lamia Wraps</v>
      </c>
    </row>
    <row r="3746">
      <c r="A3746" s="2">
        <v>3786.0</v>
      </c>
      <c r="B3746" s="3" t="s">
        <v>23</v>
      </c>
      <c r="C3746" s="4" t="str">
        <f>hyperlink("https://terraria.gamepedia.com/Lamia_set","Lamia Mask")</f>
        <v>Lamia Mask</v>
      </c>
    </row>
    <row r="3747">
      <c r="A3747" s="2">
        <v>3787.0</v>
      </c>
      <c r="B3747" s="3" t="s">
        <v>5</v>
      </c>
      <c r="C3747" s="4" t="str">
        <f>hyperlink("https://terraria.gamepedia.com/Sky_Fracture","Sky Fracture")</f>
        <v>Sky Fracture</v>
      </c>
    </row>
    <row r="3748">
      <c r="A3748" s="2">
        <v>3788.0</v>
      </c>
      <c r="B3748" s="3" t="s">
        <v>5</v>
      </c>
      <c r="C3748" s="4" t="str">
        <f>hyperlink("https://terraria.gamepedia.com/Onyx_Blaster","Onyx Blaster")</f>
        <v>Onyx Blaster</v>
      </c>
    </row>
    <row r="3749">
      <c r="A3749" s="2">
        <v>3789.0</v>
      </c>
      <c r="B3749" s="3" t="s">
        <v>37</v>
      </c>
      <c r="C3749" s="4" t="str">
        <f>hyperlink("https://terraria.gamepedia.com/Sand_Sharks","Sand Shark Banner")</f>
        <v>Sand Shark Banner</v>
      </c>
    </row>
    <row r="3750">
      <c r="A3750" s="2">
        <v>3790.0</v>
      </c>
      <c r="B3750" s="3" t="s">
        <v>37</v>
      </c>
      <c r="C3750" s="4" t="str">
        <f>hyperlink("https://terraria.gamepedia.com/Sand_Sharks","Bone Biter Banner")</f>
        <v>Bone Biter Banner</v>
      </c>
    </row>
    <row r="3751">
      <c r="A3751" s="2">
        <v>3791.0</v>
      </c>
      <c r="B3751" s="3" t="s">
        <v>37</v>
      </c>
      <c r="C3751" s="4" t="str">
        <f>hyperlink("https://terraria.gamepedia.com/Sand_Sharks","Flesh Reaver Banner")</f>
        <v>Flesh Reaver Banner</v>
      </c>
    </row>
    <row r="3752">
      <c r="A3752" s="2">
        <v>3792.0</v>
      </c>
      <c r="B3752" s="3" t="s">
        <v>37</v>
      </c>
      <c r="C3752" s="4" t="str">
        <f>hyperlink("https://terraria.gamepedia.com/Sand_Sharks","Crystal Thresher Banner")</f>
        <v>Crystal Thresher Banner</v>
      </c>
    </row>
    <row r="3753">
      <c r="A3753" s="2">
        <v>3793.0</v>
      </c>
      <c r="B3753" s="3" t="s">
        <v>37</v>
      </c>
      <c r="C3753" s="4" t="str">
        <f>hyperlink("https://terraria.gamepedia.com/Angry_Tumbler","Angry Tumbler Banner")</f>
        <v>Angry Tumbler Banner</v>
      </c>
    </row>
    <row r="3754">
      <c r="A3754" s="2">
        <v>3794.0</v>
      </c>
      <c r="B3754" s="3" t="s">
        <v>11</v>
      </c>
      <c r="C3754" s="4" t="str">
        <f>hyperlink("https://terraria.gamepedia.com/Ancient_Cloth","Ancient Cloth")</f>
        <v>Ancient Cloth</v>
      </c>
    </row>
    <row r="3755">
      <c r="A3755" s="2">
        <v>3795.0</v>
      </c>
      <c r="B3755" s="3" t="s">
        <v>11</v>
      </c>
      <c r="C3755" s="4" t="str">
        <f>hyperlink("https://terraria.gamepedia.com/Desert_Spirit_Lamp","Desert Spirit Lamp")</f>
        <v>Desert Spirit Lamp</v>
      </c>
    </row>
    <row r="3756">
      <c r="A3756" s="2">
        <v>3796.0</v>
      </c>
      <c r="B3756" s="3" t="s">
        <v>29</v>
      </c>
      <c r="C3756" s="4" t="str">
        <f>hyperlink("https://terraria.gamepedia.com/Music_Boxes","Music Box (Sandstorm)")</f>
        <v>Music Box (Sandstorm)</v>
      </c>
    </row>
    <row r="3757">
      <c r="A3757" s="2">
        <v>3797.0</v>
      </c>
      <c r="B3757" s="3" t="s">
        <v>17</v>
      </c>
      <c r="C3757" s="4" t="str">
        <f>hyperlink("https://terraria.gamepedia.com/Apprentice_armor","Apprentice's Hat")</f>
        <v>Apprentice's Hat</v>
      </c>
    </row>
    <row r="3758">
      <c r="A3758" s="2">
        <v>3798.0</v>
      </c>
      <c r="B3758" s="3" t="s">
        <v>17</v>
      </c>
      <c r="C3758" s="4" t="str">
        <f>hyperlink("https://terraria.gamepedia.com/Apprentice_armor","Apprentice's Robe")</f>
        <v>Apprentice's Robe</v>
      </c>
    </row>
    <row r="3759">
      <c r="A3759" s="2">
        <v>3799.0</v>
      </c>
      <c r="B3759" s="3" t="s">
        <v>17</v>
      </c>
      <c r="C3759" s="4" t="str">
        <f>hyperlink("https://terraria.gamepedia.com/Apprentice_armor","Apprentice's Trousers")</f>
        <v>Apprentice's Trousers</v>
      </c>
    </row>
    <row r="3760">
      <c r="A3760" s="2">
        <v>3800.0</v>
      </c>
      <c r="B3760" s="3" t="s">
        <v>17</v>
      </c>
      <c r="C3760" s="4" t="str">
        <f>hyperlink("https://terraria.gamepedia.com/Squire_armor","Squire's Great Helm")</f>
        <v>Squire's Great Helm</v>
      </c>
    </row>
    <row r="3761">
      <c r="A3761" s="2">
        <v>3801.0</v>
      </c>
      <c r="B3761" s="3" t="s">
        <v>17</v>
      </c>
      <c r="C3761" s="4" t="str">
        <f>hyperlink("https://terraria.gamepedia.com/Squire_armor","Squire's Plating")</f>
        <v>Squire's Plating</v>
      </c>
    </row>
    <row r="3762">
      <c r="A3762" s="2">
        <v>3802.0</v>
      </c>
      <c r="B3762" s="3" t="s">
        <v>17</v>
      </c>
      <c r="C3762" s="4" t="str">
        <f>hyperlink("https://terraria.gamepedia.com/Squire_armor","Squire's Greaves")</f>
        <v>Squire's Greaves</v>
      </c>
    </row>
    <row r="3763">
      <c r="A3763" s="2">
        <v>3803.0</v>
      </c>
      <c r="B3763" s="3" t="s">
        <v>17</v>
      </c>
      <c r="C3763" s="4" t="str">
        <f>hyperlink("https://terraria.gamepedia.com/Huntress_armor","Huntress's Wig")</f>
        <v>Huntress's Wig</v>
      </c>
    </row>
    <row r="3764">
      <c r="A3764" s="2">
        <v>3804.0</v>
      </c>
      <c r="B3764" s="3" t="s">
        <v>17</v>
      </c>
      <c r="C3764" s="4" t="str">
        <f>hyperlink("https://terraria.gamepedia.com/Huntress_armor","Huntress's Jerkin")</f>
        <v>Huntress's Jerkin</v>
      </c>
    </row>
    <row r="3765">
      <c r="A3765" s="2">
        <v>3805.0</v>
      </c>
      <c r="B3765" s="3" t="s">
        <v>17</v>
      </c>
      <c r="C3765" s="4" t="str">
        <f>hyperlink("https://terraria.gamepedia.com/Huntress_armor","Huntress's Pants")</f>
        <v>Huntress's Pants</v>
      </c>
    </row>
    <row r="3766">
      <c r="A3766" s="2">
        <v>3806.0</v>
      </c>
      <c r="B3766" s="3" t="s">
        <v>17</v>
      </c>
      <c r="C3766" s="4" t="str">
        <f>hyperlink("https://terraria.gamepedia.com/Monk_armor","Monk's Bushy Brow Bald Cap")</f>
        <v>Monk's Bushy Brow Bald Cap</v>
      </c>
    </row>
    <row r="3767">
      <c r="A3767" s="2">
        <v>3807.0</v>
      </c>
      <c r="B3767" s="3" t="s">
        <v>17</v>
      </c>
      <c r="C3767" s="4" t="str">
        <f>hyperlink("https://terraria.gamepedia.com/Monk_armor","Monk's Shirt")</f>
        <v>Monk's Shirt</v>
      </c>
    </row>
    <row r="3768">
      <c r="A3768" s="2">
        <v>3808.0</v>
      </c>
      <c r="B3768" s="3" t="s">
        <v>17</v>
      </c>
      <c r="C3768" s="4" t="str">
        <f>hyperlink("https://terraria.gamepedia.com/Monk_armor","Monk's Pants")</f>
        <v>Monk's Pants</v>
      </c>
    </row>
    <row r="3769">
      <c r="A3769" s="2">
        <v>3809.0</v>
      </c>
      <c r="B3769" s="3" t="s">
        <v>10</v>
      </c>
      <c r="C3769" s="4" t="str">
        <f>hyperlink("https://terraria.gamepedia.com/Apprentice's_Scarf","Apprentice's Scarf")</f>
        <v>Apprentice's Scarf</v>
      </c>
    </row>
    <row r="3770">
      <c r="A3770" s="2">
        <v>3810.0</v>
      </c>
      <c r="B3770" s="3" t="s">
        <v>10</v>
      </c>
      <c r="C3770" s="4" t="str">
        <f>hyperlink("https://terraria.gamepedia.com/Squire's_Shield","Squire's Shield")</f>
        <v>Squire's Shield</v>
      </c>
    </row>
    <row r="3771">
      <c r="A3771" s="2">
        <v>3811.0</v>
      </c>
      <c r="B3771" s="3" t="s">
        <v>10</v>
      </c>
      <c r="C3771" s="4" t="str">
        <f>hyperlink("https://terraria.gamepedia.com/Huntress's_Buckler","Huntress's Buckler")</f>
        <v>Huntress's Buckler</v>
      </c>
    </row>
    <row r="3772">
      <c r="A3772" s="2">
        <v>3812.0</v>
      </c>
      <c r="B3772" s="3" t="s">
        <v>10</v>
      </c>
      <c r="C3772" s="4" t="str">
        <f>hyperlink("https://terraria.gamepedia.com/Monk's_Belt","Monk's Belt")</f>
        <v>Monk's Belt</v>
      </c>
    </row>
    <row r="3773">
      <c r="A3773" s="2">
        <v>3813.0</v>
      </c>
      <c r="B3773" s="3" t="s">
        <v>15</v>
      </c>
      <c r="C3773" s="4" t="str">
        <f>hyperlink("https://terraria.gamepedia.com/Defender's_Forge","Defender's Forge")</f>
        <v>Defender's Forge</v>
      </c>
    </row>
    <row r="3774">
      <c r="A3774" s="2">
        <v>3814.0</v>
      </c>
      <c r="B3774" s="3" t="s">
        <v>12</v>
      </c>
      <c r="C3774" s="4" t="str">
        <f>hyperlink("https://terraria.gamepedia.com/War_Table","War Table")</f>
        <v>War Table</v>
      </c>
    </row>
    <row r="3775">
      <c r="A3775" s="2">
        <v>3815.0</v>
      </c>
      <c r="B3775" s="3" t="s">
        <v>38</v>
      </c>
      <c r="C3775" s="4" t="str">
        <f>hyperlink("https://terraria.gamepedia.com/War_Table_Banner","War Table Banner")</f>
        <v>War Table Banner</v>
      </c>
    </row>
    <row r="3776">
      <c r="A3776" s="2">
        <v>3816.0</v>
      </c>
      <c r="B3776" s="3" t="s">
        <v>15</v>
      </c>
      <c r="C3776" s="4" t="str">
        <f>hyperlink("https://terraria.gamepedia.com/Eternia_Crystal_Stand","Eternia Crystal Stand")</f>
        <v>Eternia Crystal Stand</v>
      </c>
    </row>
    <row r="3777">
      <c r="A3777" s="2">
        <v>3817.0</v>
      </c>
      <c r="B3777" s="3" t="s">
        <v>15</v>
      </c>
      <c r="C3777" s="4" t="str">
        <f>hyperlink("https://terraria.gamepedia.com/Defender_Medal","Defender Medal")</f>
        <v>Defender Medal</v>
      </c>
    </row>
    <row r="3778">
      <c r="A3778" s="2">
        <v>3818.0</v>
      </c>
      <c r="B3778" s="3" t="s">
        <v>5</v>
      </c>
      <c r="C3778" s="4" t="str">
        <f>hyperlink("https://terraria.gamepedia.com/Flameburst_sentry_summons","Flameburst Rod")</f>
        <v>Flameburst Rod</v>
      </c>
    </row>
    <row r="3779">
      <c r="A3779" s="2">
        <v>3819.0</v>
      </c>
      <c r="B3779" s="3" t="s">
        <v>5</v>
      </c>
      <c r="C3779" s="4" t="str">
        <f>hyperlink("https://terraria.gamepedia.com/Flameburst_sentry_summons","Flameburst Cane")</f>
        <v>Flameburst Cane</v>
      </c>
    </row>
    <row r="3780">
      <c r="A3780" s="2">
        <v>3820.0</v>
      </c>
      <c r="B3780" s="3" t="s">
        <v>5</v>
      </c>
      <c r="C3780" s="4" t="str">
        <f>hyperlink("https://terraria.gamepedia.com/Flameburst_sentry_summons","Flameburst Staff")</f>
        <v>Flameburst Staff</v>
      </c>
    </row>
    <row r="3781">
      <c r="A3781" s="2">
        <v>3821.0</v>
      </c>
      <c r="B3781" s="3" t="s">
        <v>5</v>
      </c>
      <c r="C3781" s="4" t="str">
        <f>hyperlink("https://terraria.gamepedia.com/Ale_Tosser","Ale Tosser")</f>
        <v>Ale Tosser</v>
      </c>
    </row>
    <row r="3782">
      <c r="A3782" s="2">
        <v>3823.0</v>
      </c>
      <c r="B3782" s="3" t="s">
        <v>5</v>
      </c>
      <c r="C3782" s="4" t="str">
        <f>hyperlink("https://terraria.gamepedia.com/Brand_of_the_Inferno","Brand of the Inferno")</f>
        <v>Brand of the Inferno</v>
      </c>
    </row>
    <row r="3783">
      <c r="A3783" s="2">
        <v>3824.0</v>
      </c>
      <c r="B3783" s="3" t="s">
        <v>5</v>
      </c>
      <c r="C3783" s="4" t="str">
        <f>hyperlink("https://terraria.gamepedia.com/Ballista_sentry_summons","Ballista Rod")</f>
        <v>Ballista Rod</v>
      </c>
    </row>
    <row r="3784">
      <c r="A3784" s="2">
        <v>3825.0</v>
      </c>
      <c r="B3784" s="3" t="s">
        <v>5</v>
      </c>
      <c r="C3784" s="4" t="str">
        <f>hyperlink("https://terraria.gamepedia.com/Ballista_sentry_summons","Ballista Cane")</f>
        <v>Ballista Cane</v>
      </c>
    </row>
    <row r="3785">
      <c r="A3785" s="2">
        <v>3826.0</v>
      </c>
      <c r="B3785" s="3" t="s">
        <v>5</v>
      </c>
      <c r="C3785" s="4" t="str">
        <f>hyperlink("https://terraria.gamepedia.com/Ballista_sentry_summons","Ballista Staff")</f>
        <v>Ballista Staff</v>
      </c>
    </row>
    <row r="3786">
      <c r="A3786" s="2">
        <v>3827.0</v>
      </c>
      <c r="B3786" s="3" t="s">
        <v>5</v>
      </c>
      <c r="C3786" s="4" t="str">
        <f>hyperlink("https://terraria.gamepedia.com/Flying_Dragon","Flying Dragon")</f>
        <v>Flying Dragon</v>
      </c>
    </row>
    <row r="3787">
      <c r="A3787" s="2">
        <v>3828.0</v>
      </c>
      <c r="B3787" s="3" t="s">
        <v>15</v>
      </c>
      <c r="C3787" s="4" t="str">
        <f>hyperlink("https://terraria.gamepedia.com/Eternia_Crystal","Eternia Crystal")</f>
        <v>Eternia Crystal</v>
      </c>
    </row>
    <row r="3788">
      <c r="A3788" s="2">
        <v>3829.0</v>
      </c>
      <c r="B3788" s="3" t="s">
        <v>5</v>
      </c>
      <c r="C3788" s="4" t="str">
        <f>hyperlink("https://terraria.gamepedia.com/Lightning_Aura_sentry_summons","Lightning Aura Rod")</f>
        <v>Lightning Aura Rod</v>
      </c>
    </row>
    <row r="3789">
      <c r="A3789" s="2">
        <v>3830.0</v>
      </c>
      <c r="B3789" s="3" t="s">
        <v>5</v>
      </c>
      <c r="C3789" s="4" t="str">
        <f>hyperlink("https://terraria.gamepedia.com/Lightning_Aura_sentry_summons","Lightning Aura Cane")</f>
        <v>Lightning Aura Cane</v>
      </c>
    </row>
    <row r="3790">
      <c r="A3790" s="2">
        <v>3831.0</v>
      </c>
      <c r="B3790" s="3" t="s">
        <v>5</v>
      </c>
      <c r="C3790" s="4" t="str">
        <f>hyperlink("https://terraria.gamepedia.com/Lightning_Aura_sentry_summons","Lightning Aura Staff")</f>
        <v>Lightning Aura Staff</v>
      </c>
    </row>
    <row r="3791">
      <c r="A3791" s="2">
        <v>3832.0</v>
      </c>
      <c r="B3791" s="3" t="s">
        <v>5</v>
      </c>
      <c r="C3791" s="4" t="str">
        <f>hyperlink("https://terraria.gamepedia.com/Explosive_Trap_sentry_summons","Explosive Trap Rod")</f>
        <v>Explosive Trap Rod</v>
      </c>
    </row>
    <row r="3792">
      <c r="A3792" s="2">
        <v>3833.0</v>
      </c>
      <c r="B3792" s="3" t="s">
        <v>5</v>
      </c>
      <c r="C3792" s="4" t="str">
        <f>hyperlink("https://terraria.gamepedia.com/Explosive_Trap_sentry_summons","Explosive Trap Cane")</f>
        <v>Explosive Trap Cane</v>
      </c>
    </row>
    <row r="3793">
      <c r="A3793" s="2">
        <v>3834.0</v>
      </c>
      <c r="B3793" s="3" t="s">
        <v>5</v>
      </c>
      <c r="C3793" s="4" t="str">
        <f>hyperlink("https://terraria.gamepedia.com/Explosive_Trap_sentry_summons","Explosive Trap Staff")</f>
        <v>Explosive Trap Staff</v>
      </c>
    </row>
    <row r="3794">
      <c r="A3794" s="2">
        <v>3835.0</v>
      </c>
      <c r="B3794" s="3" t="s">
        <v>5</v>
      </c>
      <c r="C3794" s="4" t="str">
        <f>hyperlink("https://terraria.gamepedia.com/Sleepy_Octopod","Sleepy Octopod")</f>
        <v>Sleepy Octopod</v>
      </c>
    </row>
    <row r="3795">
      <c r="A3795" s="2">
        <v>3836.0</v>
      </c>
      <c r="B3795" s="3" t="s">
        <v>5</v>
      </c>
      <c r="C3795" s="4" t="str">
        <f>hyperlink("https://terraria.gamepedia.com/Ghastly_Glaive","Ghastly Glaive")</f>
        <v>Ghastly Glaive</v>
      </c>
    </row>
    <row r="3796">
      <c r="A3796" s="2">
        <v>3837.0</v>
      </c>
      <c r="B3796" s="3" t="s">
        <v>38</v>
      </c>
      <c r="C3796" s="4" t="str">
        <f>hyperlink("https://terraria.gamepedia.com/Etherian_Goblin_Bomber","Etherian Goblin Bomber Banner")</f>
        <v>Etherian Goblin Bomber Banner</v>
      </c>
    </row>
    <row r="3797">
      <c r="A3797" s="2">
        <v>3838.0</v>
      </c>
      <c r="B3797" s="3" t="s">
        <v>38</v>
      </c>
      <c r="C3797" s="4" t="str">
        <f>hyperlink("https://terraria.gamepedia.com/Etherian_Goblin","Etherian Goblin Banner")</f>
        <v>Etherian Goblin Banner</v>
      </c>
    </row>
    <row r="3798">
      <c r="A3798" s="2">
        <v>3839.0</v>
      </c>
      <c r="B3798" s="3" t="s">
        <v>38</v>
      </c>
      <c r="C3798" s="4" t="str">
        <f>hyperlink("https://terraria.gamepedia.com/Old_One's_Skeleton","Old One's Skeleton Banner")</f>
        <v>Old One's Skeleton Banner</v>
      </c>
    </row>
    <row r="3799">
      <c r="A3799" s="2">
        <v>3840.0</v>
      </c>
      <c r="B3799" s="3" t="s">
        <v>38</v>
      </c>
      <c r="C3799" s="4" t="str">
        <f>hyperlink("https://terraria.gamepedia.com/Drakin","Drakin Banner")</f>
        <v>Drakin Banner</v>
      </c>
    </row>
    <row r="3800">
      <c r="A3800" s="2">
        <v>3841.0</v>
      </c>
      <c r="B3800" s="3" t="s">
        <v>38</v>
      </c>
      <c r="C3800" s="4" t="str">
        <f>hyperlink("https://terraria.gamepedia.com/Kobold_Glider","Kobold Glider Banner")</f>
        <v>Kobold Glider Banner</v>
      </c>
    </row>
    <row r="3801">
      <c r="A3801" s="2">
        <v>3842.0</v>
      </c>
      <c r="B3801" s="3" t="s">
        <v>38</v>
      </c>
      <c r="C3801" s="4" t="str">
        <f>hyperlink("https://terraria.gamepedia.com/Kobold","Kobold Banner")</f>
        <v>Kobold Banner</v>
      </c>
    </row>
    <row r="3802">
      <c r="A3802" s="2">
        <v>3843.0</v>
      </c>
      <c r="B3802" s="3" t="s">
        <v>38</v>
      </c>
      <c r="C3802" s="4" t="str">
        <f>hyperlink("https://terraria.gamepedia.com/Wither_Beast","Wither Beast Banner")</f>
        <v>Wither Beast Banner</v>
      </c>
    </row>
    <row r="3803">
      <c r="A3803" s="2">
        <v>3844.0</v>
      </c>
      <c r="B3803" s="3" t="s">
        <v>38</v>
      </c>
      <c r="C3803" s="4" t="str">
        <f>hyperlink("https://terraria.gamepedia.com/Etherian_Wyvern","Etherian Wyvern Banner")</f>
        <v>Etherian Wyvern Banner</v>
      </c>
    </row>
    <row r="3804">
      <c r="A3804" s="2">
        <v>3845.0</v>
      </c>
      <c r="B3804" s="3" t="s">
        <v>38</v>
      </c>
      <c r="C3804" s="4" t="str">
        <f>hyperlink("https://terraria.gamepedia.com/Etherian_Javelin_Thrower","Etherian Javelin Thrower Banner")</f>
        <v>Etherian Javelin Thrower Banner</v>
      </c>
    </row>
    <row r="3805">
      <c r="A3805" s="2">
        <v>3846.0</v>
      </c>
      <c r="B3805" s="3" t="s">
        <v>38</v>
      </c>
      <c r="C3805" s="4" t="str">
        <f>hyperlink("https://terraria.gamepedia.com/Etherian_Lightning_Bug","Etherian Lightning Bug Banner")</f>
        <v>Etherian Lightning Bug Banner</v>
      </c>
    </row>
    <row r="3806">
      <c r="A3806" s="2">
        <v>3852.0</v>
      </c>
      <c r="B3806" s="3" t="s">
        <v>5</v>
      </c>
      <c r="C3806" s="4" t="str">
        <f>hyperlink("https://terraria.gamepedia.com/Tome_of_Infinite_Wisdom","Tome of Infinite Wisdom")</f>
        <v>Tome of Infinite Wisdom</v>
      </c>
    </row>
    <row r="3807">
      <c r="A3807" s="2">
        <v>3854.0</v>
      </c>
      <c r="B3807" s="3" t="s">
        <v>5</v>
      </c>
      <c r="C3807" s="4" t="str">
        <f>hyperlink("https://terraria.gamepedia.com/Phantom_Phoenix","Phantom Phoenix")</f>
        <v>Phantom Phoenix</v>
      </c>
    </row>
    <row r="3808">
      <c r="A3808" s="2">
        <v>3855.0</v>
      </c>
      <c r="B3808" s="3" t="s">
        <v>22</v>
      </c>
      <c r="C3808" s="4" t="str">
        <f>hyperlink("https://terraria.gamepedia.com/Gato_Egg","Gato Egg")</f>
        <v>Gato Egg</v>
      </c>
    </row>
    <row r="3809">
      <c r="A3809" s="2">
        <v>3856.0</v>
      </c>
      <c r="B3809" s="3" t="s">
        <v>22</v>
      </c>
      <c r="C3809" s="4" t="str">
        <f>hyperlink("https://terraria.gamepedia.com/Creeper_Egg","Creeper Egg")</f>
        <v>Creeper Egg</v>
      </c>
    </row>
    <row r="3810">
      <c r="A3810" s="2">
        <v>3857.0</v>
      </c>
      <c r="B3810" s="3" t="s">
        <v>22</v>
      </c>
      <c r="C3810" s="4" t="str">
        <f>hyperlink("https://terraria.gamepedia.com/Dragon_Egg","Dragon Egg")</f>
        <v>Dragon Egg</v>
      </c>
    </row>
    <row r="3811">
      <c r="A3811" s="2">
        <v>3858.0</v>
      </c>
      <c r="B3811" s="3" t="s">
        <v>5</v>
      </c>
      <c r="C3811" s="4" t="str">
        <f>hyperlink("https://terraria.gamepedia.com/Sky_Dragon's_Fury","Sky Dragon's Fury")</f>
        <v>Sky Dragon's Fury</v>
      </c>
    </row>
    <row r="3812">
      <c r="A3812" s="2">
        <v>3859.0</v>
      </c>
      <c r="B3812" s="3" t="s">
        <v>5</v>
      </c>
      <c r="C3812" s="4" t="str">
        <f>hyperlink("https://terraria.gamepedia.com/Aerial_Bane","Aerial Bane")</f>
        <v>Aerial Bane</v>
      </c>
    </row>
    <row r="3813">
      <c r="A3813" s="2">
        <v>3860.0</v>
      </c>
      <c r="B3813" s="3" t="s">
        <v>34</v>
      </c>
      <c r="C3813" s="4" t="str">
        <f>hyperlink("https://terraria.gamepedia.com/Treasure_Bag","Treasure Bag (Betsy)")</f>
        <v>Treasure Bag (Betsy)</v>
      </c>
    </row>
    <row r="3814">
      <c r="A3814" s="2">
        <v>3863.0</v>
      </c>
      <c r="B3814" s="3" t="s">
        <v>34</v>
      </c>
      <c r="C3814" s="4" t="str">
        <f>hyperlink("https://terraria.gamepedia.com/Masks","Betsy Mask")</f>
        <v>Betsy Mask</v>
      </c>
    </row>
    <row r="3815">
      <c r="A3815" s="2">
        <v>3864.0</v>
      </c>
      <c r="B3815" s="3" t="s">
        <v>23</v>
      </c>
      <c r="C3815" s="4" t="str">
        <f>hyperlink("https://terraria.gamepedia.com/Masks","Dark Mage Mask")</f>
        <v>Dark Mage Mask</v>
      </c>
    </row>
    <row r="3816">
      <c r="A3816" s="2">
        <v>3865.0</v>
      </c>
      <c r="B3816" s="3" t="s">
        <v>34</v>
      </c>
      <c r="C3816" s="4" t="str">
        <f>hyperlink("https://terraria.gamepedia.com/Masks","Ogre Mask")</f>
        <v>Ogre Mask</v>
      </c>
    </row>
    <row r="3817">
      <c r="A3817" s="2">
        <v>3866.0</v>
      </c>
      <c r="B3817" s="3" t="s">
        <v>35</v>
      </c>
      <c r="C3817" s="4" t="str">
        <f>hyperlink("https://terraria.gamepedia.com/Trophies","Betsy Trophy")</f>
        <v>Betsy Trophy</v>
      </c>
    </row>
    <row r="3818">
      <c r="A3818" s="2">
        <v>3867.0</v>
      </c>
      <c r="B3818" s="3" t="s">
        <v>35</v>
      </c>
      <c r="C3818" s="4" t="str">
        <f>hyperlink("https://terraria.gamepedia.com/Trophies","Dark Mage Trophy")</f>
        <v>Dark Mage Trophy</v>
      </c>
    </row>
    <row r="3819">
      <c r="A3819" s="2">
        <v>3868.0</v>
      </c>
      <c r="B3819" s="3" t="s">
        <v>35</v>
      </c>
      <c r="C3819" s="4" t="str">
        <f>hyperlink("https://terraria.gamepedia.com/Trophies","Ogre Trophy")</f>
        <v>Ogre Trophy</v>
      </c>
    </row>
    <row r="3820">
      <c r="A3820" s="2">
        <v>3869.0</v>
      </c>
      <c r="B3820" s="3" t="s">
        <v>29</v>
      </c>
      <c r="C3820" s="4" t="str">
        <f>hyperlink("https://terraria.gamepedia.com/Music_Boxes","Music Box (Old One's Army)")</f>
        <v>Music Box (Old One's Army)</v>
      </c>
    </row>
    <row r="3821">
      <c r="A3821" s="2">
        <v>3870.0</v>
      </c>
      <c r="B3821" s="3" t="s">
        <v>5</v>
      </c>
      <c r="C3821" s="4" t="str">
        <f>hyperlink("https://terraria.gamepedia.com/Betsy's_Wrath","Betsy's Wrath")</f>
        <v>Betsy's Wrath</v>
      </c>
    </row>
    <row r="3822">
      <c r="A3822" s="2">
        <v>3871.0</v>
      </c>
      <c r="B3822" s="3" t="s">
        <v>17</v>
      </c>
      <c r="C3822" s="4" t="str">
        <f>hyperlink("https://terraria.gamepedia.com/Valhalla_Knight_armor","Valhalla Knight's Helm")</f>
        <v>Valhalla Knight's Helm</v>
      </c>
    </row>
    <row r="3823">
      <c r="A3823" s="2">
        <v>3872.0</v>
      </c>
      <c r="B3823" s="3" t="s">
        <v>17</v>
      </c>
      <c r="C3823" s="4" t="str">
        <f>hyperlink("https://terraria.gamepedia.com/Valhalla_Knight_armor","Valhalla Knight's Breastplate")</f>
        <v>Valhalla Knight's Breastplate</v>
      </c>
    </row>
    <row r="3824">
      <c r="A3824" s="2">
        <v>3873.0</v>
      </c>
      <c r="B3824" s="3" t="s">
        <v>17</v>
      </c>
      <c r="C3824" s="4" t="str">
        <f>hyperlink("https://terraria.gamepedia.com/Valhalla_Knight_armor","Valhalla Knight's Greaves")</f>
        <v>Valhalla Knight's Greaves</v>
      </c>
    </row>
    <row r="3825">
      <c r="A3825" s="2">
        <v>3874.0</v>
      </c>
      <c r="B3825" s="3" t="s">
        <v>17</v>
      </c>
      <c r="C3825" s="4" t="str">
        <f>hyperlink("https://terraria.gamepedia.com/Dark_Artist_armor","Dark Artist's Hat")</f>
        <v>Dark Artist's Hat</v>
      </c>
    </row>
    <row r="3826">
      <c r="A3826" s="2">
        <v>3875.0</v>
      </c>
      <c r="B3826" s="3" t="s">
        <v>17</v>
      </c>
      <c r="C3826" s="4" t="str">
        <f>hyperlink("https://terraria.gamepedia.com/Dark_Artist_armor","Dark Artist's Robes")</f>
        <v>Dark Artist's Robes</v>
      </c>
    </row>
    <row r="3827">
      <c r="A3827" s="2">
        <v>3876.0</v>
      </c>
      <c r="B3827" s="3" t="s">
        <v>17</v>
      </c>
      <c r="C3827" s="4" t="str">
        <f>hyperlink("https://terraria.gamepedia.com/Dark_Artist_armor","Dark Artist's Leggings")</f>
        <v>Dark Artist's Leggings</v>
      </c>
    </row>
    <row r="3828">
      <c r="A3828" s="2">
        <v>3877.0</v>
      </c>
      <c r="B3828" s="3" t="s">
        <v>17</v>
      </c>
      <c r="C3828" s="4" t="str">
        <f>hyperlink("https://terraria.gamepedia.com/Red_Riding_armor","Red Riding Hood")</f>
        <v>Red Riding Hood</v>
      </c>
    </row>
    <row r="3829">
      <c r="A3829" s="2">
        <v>3878.0</v>
      </c>
      <c r="B3829" s="3" t="s">
        <v>17</v>
      </c>
      <c r="C3829" s="4" t="str">
        <f>hyperlink("https://terraria.gamepedia.com/Red_Riding_armor","Red Riding Dress")</f>
        <v>Red Riding Dress</v>
      </c>
    </row>
    <row r="3830">
      <c r="A3830" s="2">
        <v>3879.0</v>
      </c>
      <c r="B3830" s="3" t="s">
        <v>17</v>
      </c>
      <c r="C3830" s="4" t="str">
        <f>hyperlink("https://terraria.gamepedia.com/Red_Riding_armor","Red Riding Leggings")</f>
        <v>Red Riding Leggings</v>
      </c>
    </row>
    <row r="3831">
      <c r="A3831" s="2">
        <v>3880.0</v>
      </c>
      <c r="B3831" s="3" t="s">
        <v>17</v>
      </c>
      <c r="C3831" s="4" t="str">
        <f>hyperlink("https://terraria.gamepedia.com/Shinobi_Infiltrator_armor","Shinobi Infiltrator's Helmet")</f>
        <v>Shinobi Infiltrator's Helmet</v>
      </c>
    </row>
    <row r="3832">
      <c r="A3832" s="2">
        <v>3881.0</v>
      </c>
      <c r="B3832" s="3" t="s">
        <v>17</v>
      </c>
      <c r="C3832" s="4" t="str">
        <f>hyperlink("https://terraria.gamepedia.com/Shinobi_Infiltrator_armor","Shinobi Infiltrator's Torso")</f>
        <v>Shinobi Infiltrator's Torso</v>
      </c>
    </row>
    <row r="3833">
      <c r="A3833" s="2">
        <v>3882.0</v>
      </c>
      <c r="B3833" s="3" t="s">
        <v>17</v>
      </c>
      <c r="C3833" s="4" t="str">
        <f>hyperlink("https://terraria.gamepedia.com/Shinobi_Infiltrator_armor","Shinobi Infiltrator's Pants")</f>
        <v>Shinobi Infiltrator's Pants</v>
      </c>
    </row>
    <row r="3834">
      <c r="A3834" s="2">
        <v>3883.0</v>
      </c>
      <c r="B3834" s="3" t="s">
        <v>27</v>
      </c>
      <c r="C3834" s="4" t="str">
        <f>hyperlink("https://terraria.gamepedia.com/Wings","Betsy's Wings")</f>
        <v>Betsy's Wings</v>
      </c>
    </row>
    <row r="3835">
      <c r="A3835" s="2">
        <v>3884.0</v>
      </c>
      <c r="B3835" s="3" t="s">
        <v>20</v>
      </c>
      <c r="C3835" s="4" t="str">
        <f>hyperlink("https://terraria.gamepedia.com/Chests","Crystal Chest")</f>
        <v>Crystal Chest</v>
      </c>
    </row>
    <row r="3836">
      <c r="A3836" s="2">
        <v>3885.0</v>
      </c>
      <c r="B3836" s="3" t="s">
        <v>20</v>
      </c>
      <c r="C3836" s="4" t="str">
        <f>hyperlink("https://terraria.gamepedia.com/Chests","Golden Chest")</f>
        <v>Golden Chest</v>
      </c>
    </row>
    <row r="3837">
      <c r="A3837" s="2">
        <v>3886.0</v>
      </c>
      <c r="B3837" s="3" t="s">
        <v>28</v>
      </c>
      <c r="C3837" s="4" t="str">
        <f>hyperlink("https://terraria.gamepedia.com/Trapped_Chests","Trapped Crystal Chest")</f>
        <v>Trapped Crystal Chest</v>
      </c>
    </row>
    <row r="3838">
      <c r="A3838" s="2">
        <v>3887.0</v>
      </c>
      <c r="B3838" s="3" t="s">
        <v>28</v>
      </c>
      <c r="C3838" s="4" t="str">
        <f>hyperlink("https://terraria.gamepedia.com/Trapped_Chests","Trapped Golden Chest")</f>
        <v>Trapped Golden Chest</v>
      </c>
    </row>
    <row r="3839">
      <c r="A3839" s="2">
        <v>3888.0</v>
      </c>
      <c r="B3839" s="3" t="s">
        <v>31</v>
      </c>
      <c r="C3839" s="4" t="str">
        <f>hyperlink("https://terraria.gamepedia.com/Doors","Crystal Door")</f>
        <v>Crystal Door</v>
      </c>
    </row>
    <row r="3840">
      <c r="A3840" s="2">
        <v>3889.0</v>
      </c>
      <c r="B3840" s="3" t="s">
        <v>31</v>
      </c>
      <c r="C3840" s="4" t="str">
        <f>hyperlink("https://terraria.gamepedia.com/Chairs","Crystal Chair")</f>
        <v>Crystal Chair</v>
      </c>
    </row>
    <row r="3841">
      <c r="A3841" s="2">
        <v>3890.0</v>
      </c>
      <c r="B3841" s="3" t="s">
        <v>7</v>
      </c>
      <c r="C3841" s="4" t="str">
        <f>hyperlink("https://terraria.gamepedia.com/Candles","Crystal Candle")</f>
        <v>Crystal Candle</v>
      </c>
    </row>
    <row r="3842">
      <c r="A3842" s="2">
        <v>3891.0</v>
      </c>
      <c r="B3842" s="3" t="s">
        <v>7</v>
      </c>
      <c r="C3842" s="4" t="str">
        <f>hyperlink("https://terraria.gamepedia.com/Lanterns","Crystal Lantern")</f>
        <v>Crystal Lantern</v>
      </c>
    </row>
    <row r="3843">
      <c r="A3843" s="2">
        <v>3892.0</v>
      </c>
      <c r="B3843" s="3" t="s">
        <v>7</v>
      </c>
      <c r="C3843" s="4" t="str">
        <f>hyperlink("https://terraria.gamepedia.com/Lamps","Crystal Lamp")</f>
        <v>Crystal Lamp</v>
      </c>
    </row>
    <row r="3844">
      <c r="A3844" s="2">
        <v>3893.0</v>
      </c>
      <c r="B3844" s="3" t="s">
        <v>7</v>
      </c>
      <c r="C3844" s="4" t="str">
        <f>hyperlink("https://terraria.gamepedia.com/Candelabras","Crystal Candelabra")</f>
        <v>Crystal Candelabra</v>
      </c>
    </row>
    <row r="3845">
      <c r="A3845" s="2">
        <v>3894.0</v>
      </c>
      <c r="B3845" s="3" t="s">
        <v>7</v>
      </c>
      <c r="C3845" s="4" t="str">
        <f>hyperlink("https://terraria.gamepedia.com/Chandeliers","Crystal Chandelier")</f>
        <v>Crystal Chandelier</v>
      </c>
    </row>
    <row r="3846">
      <c r="A3846" s="2">
        <v>3895.0</v>
      </c>
      <c r="B3846" s="3" t="s">
        <v>31</v>
      </c>
      <c r="C3846" s="4" t="str">
        <f>hyperlink("https://terraria.gamepedia.com/Bathtubs","Crystal Bathtub")</f>
        <v>Crystal Bathtub</v>
      </c>
    </row>
    <row r="3847">
      <c r="A3847" s="2">
        <v>3896.0</v>
      </c>
      <c r="B3847" s="3" t="s">
        <v>31</v>
      </c>
      <c r="C3847" s="4" t="str">
        <f>hyperlink("https://terraria.gamepedia.com/Sinks","Crystal Sink")</f>
        <v>Crystal Sink</v>
      </c>
    </row>
    <row r="3848">
      <c r="A3848" s="2">
        <v>3897.0</v>
      </c>
      <c r="B3848" s="3" t="s">
        <v>31</v>
      </c>
      <c r="C3848" s="4" t="str">
        <f>hyperlink("https://terraria.gamepedia.com/Beds","Crystal Bed")</f>
        <v>Crystal Bed</v>
      </c>
    </row>
    <row r="3849">
      <c r="A3849" s="2">
        <v>3898.0</v>
      </c>
      <c r="B3849" s="3" t="s">
        <v>31</v>
      </c>
      <c r="C3849" s="4" t="str">
        <f>hyperlink("https://terraria.gamepedia.com/Grandfather_Clocks","Crystal Clock")</f>
        <v>Crystal Clock</v>
      </c>
    </row>
    <row r="3850">
      <c r="A3850" s="2">
        <v>3899.0</v>
      </c>
      <c r="B3850" s="3" t="s">
        <v>31</v>
      </c>
      <c r="C3850" s="4" t="str">
        <f>hyperlink("https://terraria.gamepedia.com/Grandfather_Clocks","Sunplate Clock")</f>
        <v>Sunplate Clock</v>
      </c>
    </row>
    <row r="3851">
      <c r="A3851" s="2">
        <v>3900.0</v>
      </c>
      <c r="B3851" s="3" t="s">
        <v>31</v>
      </c>
      <c r="C3851" s="4" t="str">
        <f>hyperlink("https://terraria.gamepedia.com/Grandfather_Clocks","Blue Dungeon Clock")</f>
        <v>Blue Dungeon Clock</v>
      </c>
    </row>
    <row r="3852">
      <c r="A3852" s="2">
        <v>3901.0</v>
      </c>
      <c r="B3852" s="3" t="s">
        <v>31</v>
      </c>
      <c r="C3852" s="4" t="str">
        <f>hyperlink("https://terraria.gamepedia.com/Grandfather_Clocks","Green Dungeon Clock")</f>
        <v>Green Dungeon Clock</v>
      </c>
    </row>
    <row r="3853">
      <c r="A3853" s="2">
        <v>3902.0</v>
      </c>
      <c r="B3853" s="3" t="s">
        <v>31</v>
      </c>
      <c r="C3853" s="4" t="str">
        <f>hyperlink("https://terraria.gamepedia.com/Grandfather_Clocks","Pink Dungeon Clock")</f>
        <v>Pink Dungeon Clock</v>
      </c>
    </row>
    <row r="3854">
      <c r="A3854" s="2">
        <v>3903.0</v>
      </c>
      <c r="B3854" s="3" t="s">
        <v>8</v>
      </c>
      <c r="C3854" s="4" t="str">
        <f>hyperlink("https://terraria.gamepedia.com/Platforms","Crystal Platform")</f>
        <v>Crystal Platform</v>
      </c>
    </row>
    <row r="3855">
      <c r="A3855" s="2">
        <v>3904.0</v>
      </c>
      <c r="B3855" s="3" t="s">
        <v>8</v>
      </c>
      <c r="C3855" s="4" t="str">
        <f>hyperlink("https://terraria.gamepedia.com/Platforms","Golden Platform")</f>
        <v>Golden Platform</v>
      </c>
    </row>
    <row r="3856">
      <c r="A3856" s="2">
        <v>3905.0</v>
      </c>
      <c r="B3856" s="3" t="s">
        <v>8</v>
      </c>
      <c r="C3856" s="4" t="str">
        <f>hyperlink("https://terraria.gamepedia.com/Platforms","Dynasty Wood Platform")</f>
        <v>Dynasty Wood Platform</v>
      </c>
    </row>
    <row r="3857">
      <c r="A3857" s="2">
        <v>3906.0</v>
      </c>
      <c r="B3857" s="3" t="s">
        <v>8</v>
      </c>
      <c r="C3857" s="4" t="str">
        <f>hyperlink("https://terraria.gamepedia.com/Platforms","Lihzahrd Platform")</f>
        <v>Lihzahrd Platform</v>
      </c>
    </row>
    <row r="3858">
      <c r="A3858" s="2">
        <v>3907.0</v>
      </c>
      <c r="B3858" s="3" t="s">
        <v>8</v>
      </c>
      <c r="C3858" s="4" t="str">
        <f>hyperlink("https://terraria.gamepedia.com/Platforms","Flesh Platform")</f>
        <v>Flesh Platform</v>
      </c>
    </row>
    <row r="3859">
      <c r="A3859" s="2">
        <v>3908.0</v>
      </c>
      <c r="B3859" s="3" t="s">
        <v>8</v>
      </c>
      <c r="C3859" s="4" t="str">
        <f>hyperlink("https://terraria.gamepedia.com/Platforms","Frozen Platform")</f>
        <v>Frozen Platform</v>
      </c>
    </row>
    <row r="3860">
      <c r="A3860" s="2">
        <v>3909.0</v>
      </c>
      <c r="B3860" s="3" t="s">
        <v>31</v>
      </c>
      <c r="C3860" s="4" t="str">
        <f>hyperlink("https://terraria.gamepedia.com/Work_Benches","Crystal Work Bench")</f>
        <v>Crystal Work Bench</v>
      </c>
    </row>
    <row r="3861">
      <c r="A3861" s="2">
        <v>3910.0</v>
      </c>
      <c r="B3861" s="3" t="s">
        <v>31</v>
      </c>
      <c r="C3861" s="4" t="str">
        <f>hyperlink("https://terraria.gamepedia.com/Work_Benches","Golden Work Bench")</f>
        <v>Golden Work Bench</v>
      </c>
    </row>
    <row r="3862">
      <c r="A3862" s="2">
        <v>3911.0</v>
      </c>
      <c r="B3862" s="3" t="s">
        <v>31</v>
      </c>
      <c r="C3862" s="4" t="str">
        <f>hyperlink("https://terraria.gamepedia.com/Dressers","Crystal Dresser")</f>
        <v>Crystal Dresser</v>
      </c>
    </row>
    <row r="3863">
      <c r="A3863" s="2">
        <v>3912.0</v>
      </c>
      <c r="B3863" s="3" t="s">
        <v>31</v>
      </c>
      <c r="C3863" s="4" t="str">
        <f>hyperlink("https://terraria.gamepedia.com/Dressers","Dynasty Dresser")</f>
        <v>Dynasty Dresser</v>
      </c>
    </row>
    <row r="3864">
      <c r="A3864" s="2">
        <v>3913.0</v>
      </c>
      <c r="B3864" s="3" t="s">
        <v>31</v>
      </c>
      <c r="C3864" s="4" t="str">
        <f>hyperlink("https://terraria.gamepedia.com/Dressers","Frozen Dresser")</f>
        <v>Frozen Dresser</v>
      </c>
    </row>
    <row r="3865">
      <c r="A3865" s="2">
        <v>3914.0</v>
      </c>
      <c r="B3865" s="3" t="s">
        <v>31</v>
      </c>
      <c r="C3865" s="4" t="str">
        <f>hyperlink("https://terraria.gamepedia.com/Dressers","Living Wood Dresser")</f>
        <v>Living Wood Dresser</v>
      </c>
    </row>
    <row r="3866">
      <c r="A3866" s="2">
        <v>3915.0</v>
      </c>
      <c r="B3866" s="3" t="s">
        <v>31</v>
      </c>
      <c r="C3866" s="4" t="str">
        <f>hyperlink("https://terraria.gamepedia.com/Pianos","Crystal Piano")</f>
        <v>Crystal Piano</v>
      </c>
    </row>
    <row r="3867">
      <c r="A3867" s="2">
        <v>3916.0</v>
      </c>
      <c r="B3867" s="3" t="s">
        <v>31</v>
      </c>
      <c r="C3867" s="4" t="str">
        <f>hyperlink("https://terraria.gamepedia.com/Pianos","Dynasty Piano")</f>
        <v>Dynasty Piano</v>
      </c>
    </row>
    <row r="3868">
      <c r="A3868" s="2">
        <v>3917.0</v>
      </c>
      <c r="B3868" s="3" t="s">
        <v>31</v>
      </c>
      <c r="C3868" s="4" t="str">
        <f>hyperlink("https://terraria.gamepedia.com/Bookcases","Crystal Bookcase")</f>
        <v>Crystal Bookcase</v>
      </c>
    </row>
    <row r="3869">
      <c r="A3869" s="2">
        <v>3918.0</v>
      </c>
      <c r="B3869" s="3" t="s">
        <v>31</v>
      </c>
      <c r="C3869" s="4" t="str">
        <f>hyperlink("https://terraria.gamepedia.com/Sofas","Crystal Sofa")</f>
        <v>Crystal Sofa</v>
      </c>
    </row>
    <row r="3870">
      <c r="A3870" s="2">
        <v>3919.0</v>
      </c>
      <c r="B3870" s="3" t="s">
        <v>31</v>
      </c>
      <c r="C3870" s="4" t="str">
        <f>hyperlink("https://terraria.gamepedia.com/Sofas","Dynasty Sofa")</f>
        <v>Dynasty Sofa</v>
      </c>
    </row>
    <row r="3871">
      <c r="A3871" s="2">
        <v>3920.0</v>
      </c>
      <c r="B3871" s="3" t="s">
        <v>31</v>
      </c>
      <c r="C3871" s="4" t="str">
        <f>hyperlink("https://terraria.gamepedia.com/Tables","Crystal Table")</f>
        <v>Crystal Table</v>
      </c>
    </row>
    <row r="3872">
      <c r="A3872" s="2">
        <v>3921.0</v>
      </c>
      <c r="B3872" s="3" t="s">
        <v>32</v>
      </c>
      <c r="C3872" s="4" t="str">
        <f>hyperlink("https://terraria.gamepedia.com/Arkhalis's_set","Arkhalis' Hood")</f>
        <v>Arkhalis' Hood</v>
      </c>
    </row>
    <row r="3873">
      <c r="A3873" s="2">
        <v>3922.0</v>
      </c>
      <c r="B3873" s="3" t="s">
        <v>32</v>
      </c>
      <c r="C3873" s="4" t="str">
        <f>hyperlink("https://terraria.gamepedia.com/Arkhalis's_set","Arkhalis' Bodice")</f>
        <v>Arkhalis' Bodice</v>
      </c>
    </row>
    <row r="3874">
      <c r="A3874" s="2">
        <v>3923.0</v>
      </c>
      <c r="B3874" s="3" t="s">
        <v>32</v>
      </c>
      <c r="C3874" s="4" t="str">
        <f>hyperlink("https://terraria.gamepedia.com/Arkhalis's_set","Arkhalis' Tights")</f>
        <v>Arkhalis' Tights</v>
      </c>
    </row>
    <row r="3875">
      <c r="A3875" s="2">
        <v>3924.0</v>
      </c>
      <c r="B3875" s="3" t="s">
        <v>27</v>
      </c>
      <c r="C3875" s="4" t="str">
        <f>hyperlink("https://terraria.gamepedia.com/Wings","Arkhalis' Lightwings")</f>
        <v>Arkhalis' Lightwings</v>
      </c>
    </row>
    <row r="3876">
      <c r="A3876" s="2">
        <v>3925.0</v>
      </c>
      <c r="B3876" s="3" t="s">
        <v>32</v>
      </c>
      <c r="C3876" s="4" t="str">
        <f>hyperlink("https://terraria.gamepedia.com/Leinfors'_set","Leinfors' Hair Protector")</f>
        <v>Leinfors' Hair Protector</v>
      </c>
    </row>
    <row r="3877">
      <c r="A3877" s="2">
        <v>3926.0</v>
      </c>
      <c r="B3877" s="3" t="s">
        <v>32</v>
      </c>
      <c r="C3877" s="4" t="str">
        <f>hyperlink("https://terraria.gamepedia.com/Leinfors'_set","Leinfors' Excessive Style")</f>
        <v>Leinfors' Excessive Style</v>
      </c>
    </row>
    <row r="3878">
      <c r="A3878" s="2">
        <v>3927.0</v>
      </c>
      <c r="B3878" s="3" t="s">
        <v>32</v>
      </c>
      <c r="C3878" s="4" t="str">
        <f>hyperlink("https://terraria.gamepedia.com/Leinfors'_set","Leinfors' Fancypants")</f>
        <v>Leinfors' Fancypants</v>
      </c>
    </row>
    <row r="3879">
      <c r="A3879" s="2">
        <v>3928.0</v>
      </c>
      <c r="B3879" s="3" t="s">
        <v>27</v>
      </c>
      <c r="C3879" s="4" t="str">
        <f>hyperlink("https://terraria.gamepedia.com/Wings","Leinfors' Prehensile Cloak")</f>
        <v>Leinfors' Prehensile Cloak</v>
      </c>
    </row>
    <row r="3880">
      <c r="A3880" s="2">
        <v>3929.0</v>
      </c>
      <c r="B3880" s="3" t="s">
        <v>33</v>
      </c>
      <c r="C3880" s="4" t="str">
        <f>hyperlink("https://terraria.gamepedia.com/Leinfors'_set","Leinfors' Luxury Shampoo")</f>
        <v>Leinfors' Luxury Shampoo</v>
      </c>
    </row>
    <row r="3881">
      <c r="A3881" s="2">
        <v>3930.0</v>
      </c>
      <c r="B3881" s="3" t="s">
        <v>5</v>
      </c>
      <c r="C3881" s="4" t="str">
        <f>hyperlink("https://terraria.gamepedia.com/Celebration_Mk2","Celebration Mk2")</f>
        <v>Celebration Mk2</v>
      </c>
    </row>
    <row r="3882">
      <c r="A3882" s="2">
        <v>3931.0</v>
      </c>
      <c r="B3882" s="3" t="s">
        <v>31</v>
      </c>
      <c r="C3882" s="4" t="str">
        <f>hyperlink("https://terraria.gamepedia.com/Bathtubs","Spider Bathtub")</f>
        <v>Spider Bathtub</v>
      </c>
    </row>
    <row r="3883">
      <c r="A3883" s="2">
        <v>3932.0</v>
      </c>
      <c r="B3883" s="3" t="s">
        <v>31</v>
      </c>
      <c r="C3883" s="4" t="str">
        <f>hyperlink("https://terraria.gamepedia.com/Beds","Spider Bed")</f>
        <v>Spider Bed</v>
      </c>
    </row>
    <row r="3884">
      <c r="A3884" s="2">
        <v>3933.0</v>
      </c>
      <c r="B3884" s="3" t="s">
        <v>31</v>
      </c>
      <c r="C3884" s="4" t="str">
        <f>hyperlink("https://terraria.gamepedia.com/Bookcases","Spider Bookcase")</f>
        <v>Spider Bookcase</v>
      </c>
    </row>
    <row r="3885">
      <c r="A3885" s="2">
        <v>3934.0</v>
      </c>
      <c r="B3885" s="3" t="s">
        <v>31</v>
      </c>
      <c r="C3885" s="4" t="str">
        <f>hyperlink("https://terraria.gamepedia.com/Dressers","Spider Dresser")</f>
        <v>Spider Dresser</v>
      </c>
    </row>
    <row r="3886">
      <c r="A3886" s="2">
        <v>3935.0</v>
      </c>
      <c r="B3886" s="3" t="s">
        <v>7</v>
      </c>
      <c r="C3886" s="4" t="str">
        <f>hyperlink("https://terraria.gamepedia.com/Candelabras","Spider Candelabra")</f>
        <v>Spider Candelabra</v>
      </c>
    </row>
    <row r="3887">
      <c r="A3887" s="2">
        <v>3936.0</v>
      </c>
      <c r="B3887" s="3" t="s">
        <v>7</v>
      </c>
      <c r="C3887" s="4" t="str">
        <f>hyperlink("https://terraria.gamepedia.com/Candles","Spider Candle")</f>
        <v>Spider Candle</v>
      </c>
    </row>
    <row r="3888">
      <c r="A3888" s="2">
        <v>3937.0</v>
      </c>
      <c r="B3888" s="3" t="s">
        <v>31</v>
      </c>
      <c r="C3888" s="4" t="str">
        <f>hyperlink("https://terraria.gamepedia.com/Chairs","Spider Chair")</f>
        <v>Spider Chair</v>
      </c>
    </row>
    <row r="3889">
      <c r="A3889" s="2">
        <v>3938.0</v>
      </c>
      <c r="B3889" s="3" t="s">
        <v>7</v>
      </c>
      <c r="C3889" s="4" t="str">
        <f>hyperlink("https://terraria.gamepedia.com/Chandeliers","Spider Chandelier")</f>
        <v>Spider Chandelier</v>
      </c>
    </row>
    <row r="3890">
      <c r="A3890" s="2">
        <v>3939.0</v>
      </c>
      <c r="B3890" s="3" t="s">
        <v>20</v>
      </c>
      <c r="C3890" s="4" t="str">
        <f>hyperlink("https://terraria.gamepedia.com/Chests","Spider Chest")</f>
        <v>Spider Chest</v>
      </c>
    </row>
    <row r="3891">
      <c r="A3891" s="2">
        <v>3940.0</v>
      </c>
      <c r="B3891" s="3" t="s">
        <v>31</v>
      </c>
      <c r="C3891" s="4" t="str">
        <f>hyperlink("https://terraria.gamepedia.com/Grandfather_Clocks","Spider Clock")</f>
        <v>Spider Clock</v>
      </c>
    </row>
    <row r="3892">
      <c r="A3892" s="2">
        <v>3941.0</v>
      </c>
      <c r="B3892" s="3" t="s">
        <v>31</v>
      </c>
      <c r="C3892" s="4" t="str">
        <f>hyperlink("https://terraria.gamepedia.com/Doors","Spider Door")</f>
        <v>Spider Door</v>
      </c>
    </row>
    <row r="3893">
      <c r="A3893" s="2">
        <v>3942.0</v>
      </c>
      <c r="B3893" s="3" t="s">
        <v>7</v>
      </c>
      <c r="C3893" s="4" t="str">
        <f>hyperlink("https://terraria.gamepedia.com/Lamps","Spider Lamp")</f>
        <v>Spider Lamp</v>
      </c>
    </row>
    <row r="3894">
      <c r="A3894" s="2">
        <v>3943.0</v>
      </c>
      <c r="B3894" s="3" t="s">
        <v>7</v>
      </c>
      <c r="C3894" s="4" t="str">
        <f>hyperlink("https://terraria.gamepedia.com/Lanterns","Spider Lantern")</f>
        <v>Spider Lantern</v>
      </c>
    </row>
    <row r="3895">
      <c r="A3895" s="2">
        <v>3944.0</v>
      </c>
      <c r="B3895" s="3" t="s">
        <v>31</v>
      </c>
      <c r="C3895" s="4" t="str">
        <f>hyperlink("https://terraria.gamepedia.com/Pianos","Spider Piano")</f>
        <v>Spider Piano</v>
      </c>
    </row>
    <row r="3896">
      <c r="A3896" s="2">
        <v>3945.0</v>
      </c>
      <c r="B3896" s="3" t="s">
        <v>8</v>
      </c>
      <c r="C3896" s="4" t="str">
        <f>hyperlink("https://terraria.gamepedia.com/Platforms","Spider Platform")</f>
        <v>Spider Platform</v>
      </c>
    </row>
    <row r="3897">
      <c r="A3897" s="2">
        <v>3946.0</v>
      </c>
      <c r="B3897" s="3" t="s">
        <v>31</v>
      </c>
      <c r="C3897" s="4" t="str">
        <f>hyperlink("https://terraria.gamepedia.com/Sinks","Spider Sink")</f>
        <v>Spider Sink</v>
      </c>
    </row>
    <row r="3898">
      <c r="A3898" s="2">
        <v>3947.0</v>
      </c>
      <c r="B3898" s="3" t="s">
        <v>31</v>
      </c>
      <c r="C3898" s="4" t="str">
        <f>hyperlink("https://terraria.gamepedia.com/Sofas","Spider Sofa")</f>
        <v>Spider Sofa</v>
      </c>
    </row>
    <row r="3899">
      <c r="A3899" s="2">
        <v>3948.0</v>
      </c>
      <c r="B3899" s="3" t="s">
        <v>31</v>
      </c>
      <c r="C3899" s="4" t="str">
        <f>hyperlink("https://terraria.gamepedia.com/Tables","Spider Table")</f>
        <v>Spider Table</v>
      </c>
    </row>
    <row r="3900">
      <c r="A3900" s="2">
        <v>3949.0</v>
      </c>
      <c r="B3900" s="3" t="s">
        <v>31</v>
      </c>
      <c r="C3900" s="4" t="str">
        <f>hyperlink("https://terraria.gamepedia.com/Work_Benches","Spider Work Bench")</f>
        <v>Spider Work Bench</v>
      </c>
    </row>
    <row r="3901">
      <c r="A3901" s="2">
        <v>3950.0</v>
      </c>
      <c r="B3901" s="3" t="s">
        <v>28</v>
      </c>
      <c r="C3901" s="4" t="str">
        <f>hyperlink("https://terraria.gamepedia.com/Trapped_Chests","Trapped Spider Chest")</f>
        <v>Trapped Spider Chest</v>
      </c>
    </row>
    <row r="3902">
      <c r="A3902" s="2">
        <v>3951.0</v>
      </c>
      <c r="B3902" s="3" t="s">
        <v>4</v>
      </c>
      <c r="C3902" s="4" t="str">
        <f>hyperlink("https://terraria.gamepedia.com/Iron_Brick","Iron Brick")</f>
        <v>Iron Brick</v>
      </c>
    </row>
    <row r="3903">
      <c r="A3903" s="2">
        <v>3952.0</v>
      </c>
      <c r="B3903" s="3" t="s">
        <v>13</v>
      </c>
      <c r="C3903" s="4" t="str">
        <f>hyperlink("https://terraria.gamepedia.com/Iron_Brick_Wall","Iron Brick Wall")</f>
        <v>Iron Brick Wall</v>
      </c>
    </row>
    <row r="3904">
      <c r="A3904" s="2">
        <v>3953.0</v>
      </c>
      <c r="B3904" s="3" t="s">
        <v>4</v>
      </c>
      <c r="C3904" s="4" t="str">
        <f>hyperlink("https://terraria.gamepedia.com/Lead_Brick","Lead Brick")</f>
        <v>Lead Brick</v>
      </c>
    </row>
    <row r="3905">
      <c r="A3905" s="2">
        <v>3954.0</v>
      </c>
      <c r="B3905" s="3" t="s">
        <v>13</v>
      </c>
      <c r="C3905" s="4" t="str">
        <f>hyperlink("https://terraria.gamepedia.com/Lead_Brick_Wall","Lead Brick Wall")</f>
        <v>Lead Brick Wall</v>
      </c>
    </row>
    <row r="3906">
      <c r="A3906" s="2">
        <v>3955.0</v>
      </c>
      <c r="B3906" s="3" t="s">
        <v>4</v>
      </c>
      <c r="C3906" s="4" t="str">
        <f>hyperlink("https://terraria.gamepedia.com/Lesion_Block","Lesion Block")</f>
        <v>Lesion Block</v>
      </c>
    </row>
    <row r="3907">
      <c r="A3907" s="2">
        <v>3956.0</v>
      </c>
      <c r="B3907" s="3" t="s">
        <v>13</v>
      </c>
      <c r="C3907" s="4" t="str">
        <f>hyperlink("https://terraria.gamepedia.com/Lesion_Block_Wall","Lesion Block Wall")</f>
        <v>Lesion Block Wall</v>
      </c>
    </row>
    <row r="3908">
      <c r="A3908" s="2">
        <v>3957.0</v>
      </c>
      <c r="B3908" s="3" t="s">
        <v>8</v>
      </c>
      <c r="C3908" s="4" t="str">
        <f>hyperlink("https://terraria.gamepedia.com/Platforms","Lesion Platform")</f>
        <v>Lesion Platform</v>
      </c>
    </row>
    <row r="3909">
      <c r="A3909" s="2">
        <v>3958.0</v>
      </c>
      <c r="B3909" s="3" t="s">
        <v>31</v>
      </c>
      <c r="C3909" s="4" t="str">
        <f>hyperlink("https://terraria.gamepedia.com/Bathtubs","Lesion Bathtub")</f>
        <v>Lesion Bathtub</v>
      </c>
    </row>
    <row r="3910">
      <c r="A3910" s="2">
        <v>3959.0</v>
      </c>
      <c r="B3910" s="3" t="s">
        <v>31</v>
      </c>
      <c r="C3910" s="4" t="str">
        <f>hyperlink("https://terraria.gamepedia.com/Beds","Lesion Bed")</f>
        <v>Lesion Bed</v>
      </c>
    </row>
    <row r="3911">
      <c r="A3911" s="2">
        <v>3960.0</v>
      </c>
      <c r="B3911" s="3" t="s">
        <v>31</v>
      </c>
      <c r="C3911" s="4" t="str">
        <f>hyperlink("https://terraria.gamepedia.com/Bookcases","Lesion Bookcase")</f>
        <v>Lesion Bookcase</v>
      </c>
    </row>
    <row r="3912">
      <c r="A3912" s="2">
        <v>3961.0</v>
      </c>
      <c r="B3912" s="3" t="s">
        <v>7</v>
      </c>
      <c r="C3912" s="4" t="str">
        <f>hyperlink("https://terraria.gamepedia.com/Candelabras","Lesion Candelabra")</f>
        <v>Lesion Candelabra</v>
      </c>
    </row>
    <row r="3913">
      <c r="A3913" s="2">
        <v>3962.0</v>
      </c>
      <c r="B3913" s="3" t="s">
        <v>7</v>
      </c>
      <c r="C3913" s="4" t="str">
        <f>hyperlink("https://terraria.gamepedia.com/Candles","Lesion Candle")</f>
        <v>Lesion Candle</v>
      </c>
    </row>
    <row r="3914">
      <c r="A3914" s="2">
        <v>3963.0</v>
      </c>
      <c r="B3914" s="3" t="s">
        <v>31</v>
      </c>
      <c r="C3914" s="4" t="str">
        <f>hyperlink("https://terraria.gamepedia.com/Chairs","Lesion Chair")</f>
        <v>Lesion Chair</v>
      </c>
    </row>
    <row r="3915">
      <c r="A3915" s="2">
        <v>3964.0</v>
      </c>
      <c r="B3915" s="3" t="s">
        <v>7</v>
      </c>
      <c r="C3915" s="4" t="str">
        <f>hyperlink("https://terraria.gamepedia.com/Chandeliers","Lesion Chandelier")</f>
        <v>Lesion Chandelier</v>
      </c>
    </row>
    <row r="3916">
      <c r="A3916" s="2">
        <v>3965.0</v>
      </c>
      <c r="B3916" s="3" t="s">
        <v>20</v>
      </c>
      <c r="C3916" s="4" t="str">
        <f>hyperlink("https://terraria.gamepedia.com/Chests","Lesion Chest")</f>
        <v>Lesion Chest</v>
      </c>
    </row>
    <row r="3917">
      <c r="A3917" s="2">
        <v>3966.0</v>
      </c>
      <c r="B3917" s="3" t="s">
        <v>31</v>
      </c>
      <c r="C3917" s="4" t="str">
        <f>hyperlink("https://terraria.gamepedia.com/Grandfather_Clocks","Lesion Clock")</f>
        <v>Lesion Clock</v>
      </c>
    </row>
    <row r="3918">
      <c r="A3918" s="2">
        <v>3967.0</v>
      </c>
      <c r="B3918" s="3" t="s">
        <v>31</v>
      </c>
      <c r="C3918" s="4" t="str">
        <f>hyperlink("https://terraria.gamepedia.com/Doors","Lesion Door")</f>
        <v>Lesion Door</v>
      </c>
    </row>
    <row r="3919">
      <c r="A3919" s="2">
        <v>3968.0</v>
      </c>
      <c r="B3919" s="3" t="s">
        <v>31</v>
      </c>
      <c r="C3919" s="4" t="str">
        <f>hyperlink("https://terraria.gamepedia.com/Dressers","Lesion Dresser")</f>
        <v>Lesion Dresser</v>
      </c>
    </row>
    <row r="3920">
      <c r="A3920" s="2">
        <v>3969.0</v>
      </c>
      <c r="B3920" s="3" t="s">
        <v>7</v>
      </c>
      <c r="C3920" s="4" t="str">
        <f>hyperlink("https://terraria.gamepedia.com/Lamps","Lesion Lamp")</f>
        <v>Lesion Lamp</v>
      </c>
    </row>
    <row r="3921">
      <c r="A3921" s="2">
        <v>3970.0</v>
      </c>
      <c r="B3921" s="3" t="s">
        <v>7</v>
      </c>
      <c r="C3921" s="4" t="str">
        <f>hyperlink("https://terraria.gamepedia.com/Lanterns","Lesion Lantern")</f>
        <v>Lesion Lantern</v>
      </c>
    </row>
    <row r="3922">
      <c r="A3922" s="2">
        <v>3971.0</v>
      </c>
      <c r="B3922" s="3" t="s">
        <v>31</v>
      </c>
      <c r="C3922" s="4" t="str">
        <f>hyperlink("https://terraria.gamepedia.com/Pianos","Lesion Piano")</f>
        <v>Lesion Piano</v>
      </c>
    </row>
    <row r="3923">
      <c r="A3923" s="2">
        <v>3972.0</v>
      </c>
      <c r="B3923" s="3" t="s">
        <v>31</v>
      </c>
      <c r="C3923" s="4" t="str">
        <f>hyperlink("https://terraria.gamepedia.com/Sinks","Lesion Sink")</f>
        <v>Lesion Sink</v>
      </c>
    </row>
    <row r="3924">
      <c r="A3924" s="2">
        <v>3973.0</v>
      </c>
      <c r="B3924" s="3" t="s">
        <v>31</v>
      </c>
      <c r="C3924" s="4" t="str">
        <f>hyperlink("https://terraria.gamepedia.com/Sofas","Lesion Sofa")</f>
        <v>Lesion Sofa</v>
      </c>
    </row>
    <row r="3925">
      <c r="A3925" s="2">
        <v>3974.0</v>
      </c>
      <c r="B3925" s="3" t="s">
        <v>31</v>
      </c>
      <c r="C3925" s="4" t="str">
        <f>hyperlink("https://terraria.gamepedia.com/Tables","Lesion Table")</f>
        <v>Lesion Table</v>
      </c>
    </row>
    <row r="3926">
      <c r="A3926" s="2">
        <v>3975.0</v>
      </c>
      <c r="B3926" s="3" t="s">
        <v>31</v>
      </c>
      <c r="C3926" s="4" t="str">
        <f>hyperlink("https://terraria.gamepedia.com/Work_Benches","Lesion Work Bench")</f>
        <v>Lesion Work Bench</v>
      </c>
    </row>
    <row r="3927">
      <c r="A3927" s="2">
        <v>3976.0</v>
      </c>
      <c r="B3927" s="3" t="s">
        <v>28</v>
      </c>
      <c r="C3927" s="4" t="str">
        <f>hyperlink("https://terraria.gamepedia.com/Trapped_Chests","Trapped Lesion Chest")</f>
        <v>Trapped Lesion Chest</v>
      </c>
    </row>
    <row r="3928">
      <c r="A3928" s="2">
        <v>3977.0</v>
      </c>
      <c r="B3928" s="3" t="s">
        <v>12</v>
      </c>
      <c r="C3928" s="4" t="str">
        <f>hyperlink("https://terraria.gamepedia.com/Hat_Rack","Hat Rack")</f>
        <v>Hat Rack</v>
      </c>
    </row>
    <row r="3929">
      <c r="A3929" s="2">
        <v>3979.0</v>
      </c>
      <c r="B3929" s="3" t="s">
        <v>20</v>
      </c>
      <c r="C3929" s="4" t="str">
        <f>hyperlink("https://terraria.gamepedia.com/Pearlwood_Crate","Pearlwood Crate")</f>
        <v>Pearlwood Crate</v>
      </c>
    </row>
    <row r="3930">
      <c r="A3930" s="2">
        <v>3980.0</v>
      </c>
      <c r="B3930" s="3" t="s">
        <v>20</v>
      </c>
      <c r="C3930" s="4" t="str">
        <f>hyperlink("https://terraria.gamepedia.com/Mythril_Crate","Mythril Crate")</f>
        <v>Mythril Crate</v>
      </c>
    </row>
    <row r="3931">
      <c r="A3931" s="2">
        <v>3981.0</v>
      </c>
      <c r="B3931" s="3" t="s">
        <v>20</v>
      </c>
      <c r="C3931" s="4" t="str">
        <f>hyperlink("https://terraria.gamepedia.com/Titanium_Crate","Titanium Crate")</f>
        <v>Titanium Crate</v>
      </c>
    </row>
    <row r="3932">
      <c r="A3932" s="2">
        <v>3982.0</v>
      </c>
      <c r="B3932" s="3" t="s">
        <v>20</v>
      </c>
      <c r="C3932" s="4" t="str">
        <f>hyperlink("https://terraria.gamepedia.com/Defiled_Crate","Defiled Crate")</f>
        <v>Defiled Crate</v>
      </c>
    </row>
    <row r="3933">
      <c r="A3933" s="2">
        <v>3983.0</v>
      </c>
      <c r="B3933" s="3" t="s">
        <v>20</v>
      </c>
      <c r="C3933" s="4" t="str">
        <f>hyperlink("https://terraria.gamepedia.com/Hematic_Crate","Hematic Crate")</f>
        <v>Hematic Crate</v>
      </c>
    </row>
    <row r="3934">
      <c r="A3934" s="2">
        <v>3984.0</v>
      </c>
      <c r="B3934" s="3" t="s">
        <v>20</v>
      </c>
      <c r="C3934" s="4" t="str">
        <f>hyperlink("https://terraria.gamepedia.com/Stockade_Crate","Stockade Crate")</f>
        <v>Stockade Crate</v>
      </c>
    </row>
    <row r="3935">
      <c r="A3935" s="2">
        <v>3985.0</v>
      </c>
      <c r="B3935" s="3" t="s">
        <v>20</v>
      </c>
      <c r="C3935" s="4" t="str">
        <f>hyperlink("https://terraria.gamepedia.com/Azure_Crate","Azure Crate")</f>
        <v>Azure Crate</v>
      </c>
    </row>
    <row r="3936">
      <c r="A3936" s="2">
        <v>3986.0</v>
      </c>
      <c r="B3936" s="3" t="s">
        <v>20</v>
      </c>
      <c r="C3936" s="4" t="str">
        <f>hyperlink("https://terraria.gamepedia.com/Divine_Crate","Divine Crate")</f>
        <v>Divine Crate</v>
      </c>
    </row>
    <row r="3937">
      <c r="A3937" s="2">
        <v>3987.0</v>
      </c>
      <c r="B3937" s="3" t="s">
        <v>20</v>
      </c>
      <c r="C3937" s="4" t="str">
        <f>hyperlink("https://terraria.gamepedia.com/Bramble_Crate","Bramble Crate")</f>
        <v>Bramble Crate</v>
      </c>
    </row>
    <row r="3938">
      <c r="A3938" s="2">
        <v>3988.0</v>
      </c>
      <c r="B3938" s="3" t="s">
        <v>28</v>
      </c>
      <c r="C3938" s="4" t="str">
        <f>hyperlink("https://terraria.gamepedia.com/Dead_Man's_Chest","Dead Man's Chest")</f>
        <v>Dead Man's Chest</v>
      </c>
    </row>
    <row r="3939">
      <c r="A3939" s="2">
        <v>3989.0</v>
      </c>
      <c r="B3939" s="3" t="s">
        <v>41</v>
      </c>
      <c r="C3939" s="4" t="str">
        <f>hyperlink("https://terraria.gamepedia.com/Golf_Balls","Golf Ball")</f>
        <v>Golf Ball</v>
      </c>
    </row>
    <row r="3940">
      <c r="A3940" s="2">
        <v>3990.0</v>
      </c>
      <c r="B3940" s="3" t="s">
        <v>10</v>
      </c>
      <c r="C3940" s="4" t="str">
        <f>hyperlink("https://terraria.gamepedia.com/Amphibian_Boots","Amphibian Boots")</f>
        <v>Amphibian Boots</v>
      </c>
    </row>
    <row r="3941">
      <c r="A3941" s="2">
        <v>3991.0</v>
      </c>
      <c r="B3941" s="3" t="s">
        <v>10</v>
      </c>
      <c r="C3941" s="4" t="str">
        <f>hyperlink("https://terraria.gamepedia.com/Arcane_Flower","Arcane Flower")</f>
        <v>Arcane Flower</v>
      </c>
    </row>
    <row r="3942">
      <c r="A3942" s="2">
        <v>3992.0</v>
      </c>
      <c r="B3942" s="3" t="s">
        <v>10</v>
      </c>
      <c r="C3942" s="4" t="str">
        <f>hyperlink("https://terraria.gamepedia.com/Berserker's_Glove","Berserker's Glove")</f>
        <v>Berserker's Glove</v>
      </c>
    </row>
    <row r="3943">
      <c r="A3943" s="2">
        <v>3993.0</v>
      </c>
      <c r="B3943" s="3" t="s">
        <v>10</v>
      </c>
      <c r="C3943" s="4" t="str">
        <f>hyperlink("https://terraria.gamepedia.com/Fairy_Boots","Fairy Boots")</f>
        <v>Fairy Boots</v>
      </c>
    </row>
    <row r="3944">
      <c r="A3944" s="2">
        <v>3994.0</v>
      </c>
      <c r="B3944" s="3" t="s">
        <v>10</v>
      </c>
      <c r="C3944" s="4" t="str">
        <f>hyperlink("https://terraria.gamepedia.com/Frog_Flipper","Frog Flipper")</f>
        <v>Frog Flipper</v>
      </c>
    </row>
    <row r="3945">
      <c r="A3945" s="2">
        <v>3995.0</v>
      </c>
      <c r="B3945" s="3" t="s">
        <v>10</v>
      </c>
      <c r="C3945" s="4" t="str">
        <f>hyperlink("https://terraria.gamepedia.com/Frog_Gear","Frog Gear")</f>
        <v>Frog Gear</v>
      </c>
    </row>
    <row r="3946">
      <c r="A3946" s="2">
        <v>3996.0</v>
      </c>
      <c r="B3946" s="3" t="s">
        <v>10</v>
      </c>
      <c r="C3946" s="4" t="str">
        <f>hyperlink("https://terraria.gamepedia.com/Frog_Webbing","Frog Webbing")</f>
        <v>Frog Webbing</v>
      </c>
    </row>
    <row r="3947">
      <c r="A3947" s="2">
        <v>3997.0</v>
      </c>
      <c r="B3947" s="3" t="s">
        <v>10</v>
      </c>
      <c r="C3947" s="4" t="str">
        <f>hyperlink("https://terraria.gamepedia.com/Frozen_Shield","Frozen Shield")</f>
        <v>Frozen Shield</v>
      </c>
    </row>
    <row r="3948">
      <c r="A3948" s="2">
        <v>3998.0</v>
      </c>
      <c r="B3948" s="3" t="s">
        <v>10</v>
      </c>
      <c r="C3948" s="4" t="str">
        <f>hyperlink("https://terraria.gamepedia.com/Hero_Shield","Hero Shield")</f>
        <v>Hero Shield</v>
      </c>
    </row>
    <row r="3949">
      <c r="A3949" s="2">
        <v>3999.0</v>
      </c>
      <c r="B3949" s="3" t="s">
        <v>10</v>
      </c>
      <c r="C3949" s="4" t="str">
        <f>hyperlink("https://terraria.gamepedia.com/Magma_Skull","Magma Skull")</f>
        <v>Magma Skull</v>
      </c>
    </row>
    <row r="3950">
      <c r="A3950" s="2">
        <v>4000.0</v>
      </c>
      <c r="B3950" s="3" t="s">
        <v>10</v>
      </c>
      <c r="C3950" s="4" t="str">
        <f>hyperlink("https://terraria.gamepedia.com/Magnet_Flower","Magnet Flower")</f>
        <v>Magnet Flower</v>
      </c>
    </row>
    <row r="3951">
      <c r="A3951" s="2">
        <v>4001.0</v>
      </c>
      <c r="B3951" s="3" t="s">
        <v>10</v>
      </c>
      <c r="C3951" s="4" t="str">
        <f>hyperlink("https://terraria.gamepedia.com/Mana_Cloak","Mana Cloak")</f>
        <v>Mana Cloak</v>
      </c>
    </row>
    <row r="3952">
      <c r="A3952" s="2">
        <v>4002.0</v>
      </c>
      <c r="B3952" s="3" t="s">
        <v>10</v>
      </c>
      <c r="C3952" s="4" t="str">
        <f>hyperlink("https://terraria.gamepedia.com/Molten_Quiver","Molten Quiver")</f>
        <v>Molten Quiver</v>
      </c>
    </row>
    <row r="3953">
      <c r="A3953" s="2">
        <v>4003.0</v>
      </c>
      <c r="B3953" s="3" t="s">
        <v>10</v>
      </c>
      <c r="C3953" s="4" t="str">
        <f>hyperlink("https://terraria.gamepedia.com/Molten_Skull_Rose","Molten Skull Rose")</f>
        <v>Molten Skull Rose</v>
      </c>
    </row>
    <row r="3954">
      <c r="A3954" s="2">
        <v>4004.0</v>
      </c>
      <c r="B3954" s="3" t="s">
        <v>10</v>
      </c>
      <c r="C3954" s="4" t="str">
        <f>hyperlink("https://terraria.gamepedia.com/Obsidian_Skull_Rose","Obsidian Skull Rose")</f>
        <v>Obsidian Skull Rose</v>
      </c>
    </row>
    <row r="3955">
      <c r="A3955" s="2">
        <v>4005.0</v>
      </c>
      <c r="B3955" s="3" t="s">
        <v>10</v>
      </c>
      <c r="C3955" s="4" t="str">
        <f>hyperlink("https://terraria.gamepedia.com/Recon_Scope","Recon Scope")</f>
        <v>Recon Scope</v>
      </c>
    </row>
    <row r="3956">
      <c r="A3956" s="2">
        <v>4006.0</v>
      </c>
      <c r="B3956" s="3" t="s">
        <v>10</v>
      </c>
      <c r="C3956" s="4" t="str">
        <f>hyperlink("https://terraria.gamepedia.com/Stalker's_Quiver","Stalker's Quiver")</f>
        <v>Stalker's Quiver</v>
      </c>
    </row>
    <row r="3957">
      <c r="A3957" s="2">
        <v>4007.0</v>
      </c>
      <c r="B3957" s="3" t="s">
        <v>10</v>
      </c>
      <c r="C3957" s="4" t="str">
        <f>hyperlink("https://terraria.gamepedia.com/Stinger_Necklace","Stinger Necklace")</f>
        <v>Stinger Necklace</v>
      </c>
    </row>
    <row r="3958">
      <c r="A3958" s="2">
        <v>4008.0</v>
      </c>
      <c r="B3958" s="3" t="s">
        <v>10</v>
      </c>
      <c r="C3958" s="4" t="str">
        <f>hyperlink("https://terraria.gamepedia.com/Ultrabright_Helmet","Ultrabright Helmet")</f>
        <v>Ultrabright Helmet</v>
      </c>
    </row>
    <row r="3959">
      <c r="A3959" s="2">
        <v>4009.0</v>
      </c>
      <c r="B3959" s="3" t="s">
        <v>26</v>
      </c>
      <c r="C3959" s="4" t="str">
        <f>hyperlink("https://terraria.gamepedia.com/Apple","Apple")</f>
        <v>Apple</v>
      </c>
    </row>
    <row r="3960">
      <c r="A3960" s="2">
        <v>4011.0</v>
      </c>
      <c r="B3960" s="3" t="s">
        <v>26</v>
      </c>
      <c r="C3960" s="4" t="str">
        <f>hyperlink("https://terraria.gamepedia.com/Apple_Pie","Apple Pie")</f>
        <v>Apple Pie</v>
      </c>
    </row>
    <row r="3961">
      <c r="A3961" s="2">
        <v>4012.0</v>
      </c>
      <c r="B3961" s="3" t="s">
        <v>26</v>
      </c>
      <c r="C3961" s="4" t="str">
        <f>hyperlink("https://terraria.gamepedia.com/Banana_Split","Banana Split")</f>
        <v>Banana Split</v>
      </c>
    </row>
    <row r="3962">
      <c r="A3962" s="2">
        <v>4013.0</v>
      </c>
      <c r="B3962" s="3" t="s">
        <v>26</v>
      </c>
      <c r="C3962" s="4" t="str">
        <f>hyperlink("https://terraria.gamepedia.com/BBQ_Ribs","BBQ Ribs")</f>
        <v>BBQ Ribs</v>
      </c>
    </row>
    <row r="3963">
      <c r="A3963" s="2">
        <v>4014.0</v>
      </c>
      <c r="B3963" s="3" t="s">
        <v>26</v>
      </c>
      <c r="C3963" s="4" t="str">
        <f>hyperlink("https://terraria.gamepedia.com/Bunny_Stew","Bunny Stew")</f>
        <v>Bunny Stew</v>
      </c>
    </row>
    <row r="3964">
      <c r="A3964" s="2">
        <v>4015.0</v>
      </c>
      <c r="B3964" s="3" t="s">
        <v>26</v>
      </c>
      <c r="C3964" s="4" t="str">
        <f>hyperlink("https://terraria.gamepedia.com/Burger","Burger")</f>
        <v>Burger</v>
      </c>
    </row>
    <row r="3965">
      <c r="A3965" s="2">
        <v>4016.0</v>
      </c>
      <c r="B3965" s="3" t="s">
        <v>26</v>
      </c>
      <c r="C3965" s="4" t="str">
        <f>hyperlink("https://terraria.gamepedia.com/Chicken_Nugget","Chicken Nugget")</f>
        <v>Chicken Nugget</v>
      </c>
    </row>
    <row r="3966">
      <c r="A3966" s="2">
        <v>4017.0</v>
      </c>
      <c r="B3966" s="3" t="s">
        <v>26</v>
      </c>
      <c r="C3966" s="4" t="str">
        <f>hyperlink("https://terraria.gamepedia.com/Chocolate_Chip_Cookie","Chocolate Chip Cookie")</f>
        <v>Chocolate Chip Cookie</v>
      </c>
    </row>
    <row r="3967">
      <c r="A3967" s="2">
        <v>4018.0</v>
      </c>
      <c r="B3967" s="3" t="s">
        <v>26</v>
      </c>
      <c r="C3967" s="4" t="str">
        <f>hyperlink("https://terraria.gamepedia.com/Cream_Soda","Cream Soda")</f>
        <v>Cream Soda</v>
      </c>
    </row>
    <row r="3968">
      <c r="A3968" s="2">
        <v>4019.0</v>
      </c>
      <c r="B3968" s="3" t="s">
        <v>26</v>
      </c>
      <c r="C3968" s="4" t="str">
        <f>hyperlink("https://terraria.gamepedia.com/Escargot","Escargot")</f>
        <v>Escargot</v>
      </c>
    </row>
    <row r="3969">
      <c r="A3969" s="2">
        <v>4020.0</v>
      </c>
      <c r="B3969" s="3" t="s">
        <v>26</v>
      </c>
      <c r="C3969" s="4" t="str">
        <f>hyperlink("https://terraria.gamepedia.com/Fried_Egg","Fried Egg")</f>
        <v>Fried Egg</v>
      </c>
    </row>
    <row r="3970">
      <c r="A3970" s="2">
        <v>4021.0</v>
      </c>
      <c r="B3970" s="3" t="s">
        <v>26</v>
      </c>
      <c r="C3970" s="4" t="str">
        <f>hyperlink("https://terraria.gamepedia.com/Fries","Fries")</f>
        <v>Fries</v>
      </c>
    </row>
    <row r="3971">
      <c r="A3971" s="2">
        <v>4022.0</v>
      </c>
      <c r="B3971" s="3" t="s">
        <v>26</v>
      </c>
      <c r="C3971" s="4" t="str">
        <f>hyperlink("https://terraria.gamepedia.com/Golden_Delight","Golden Delight")</f>
        <v>Golden Delight</v>
      </c>
    </row>
    <row r="3972">
      <c r="A3972" s="2">
        <v>4023.0</v>
      </c>
      <c r="B3972" s="3" t="s">
        <v>26</v>
      </c>
      <c r="C3972" s="4" t="str">
        <f>hyperlink("https://terraria.gamepedia.com/Grapes","Grapes")</f>
        <v>Grapes</v>
      </c>
    </row>
    <row r="3973">
      <c r="A3973" s="2">
        <v>4024.0</v>
      </c>
      <c r="B3973" s="3" t="s">
        <v>26</v>
      </c>
      <c r="C3973" s="4" t="str">
        <f>hyperlink("https://terraria.gamepedia.com/Grilled_Squirrel","Grilled Squirrel")</f>
        <v>Grilled Squirrel</v>
      </c>
    </row>
    <row r="3974">
      <c r="A3974" s="2">
        <v>4025.0</v>
      </c>
      <c r="B3974" s="3" t="s">
        <v>26</v>
      </c>
      <c r="C3974" s="4" t="str">
        <f>hyperlink("https://terraria.gamepedia.com/Hotdog","Hotdog")</f>
        <v>Hotdog</v>
      </c>
    </row>
    <row r="3975">
      <c r="A3975" s="2">
        <v>4026.0</v>
      </c>
      <c r="B3975" s="3" t="s">
        <v>26</v>
      </c>
      <c r="C3975" s="4" t="str">
        <f>hyperlink("https://terraria.gamepedia.com/Ice_Cream","Ice Cream")</f>
        <v>Ice Cream</v>
      </c>
    </row>
    <row r="3976">
      <c r="A3976" s="2">
        <v>4027.0</v>
      </c>
      <c r="B3976" s="3" t="s">
        <v>26</v>
      </c>
      <c r="C3976" s="4" t="str">
        <f>hyperlink("https://terraria.gamepedia.com/Milkshake","Milkshake")</f>
        <v>Milkshake</v>
      </c>
    </row>
    <row r="3977">
      <c r="A3977" s="2">
        <v>4028.0</v>
      </c>
      <c r="B3977" s="3" t="s">
        <v>26</v>
      </c>
      <c r="C3977" s="4" t="str">
        <f>hyperlink("https://terraria.gamepedia.com/Nachos","Nachos")</f>
        <v>Nachos</v>
      </c>
    </row>
    <row r="3978">
      <c r="A3978" s="2">
        <v>4029.0</v>
      </c>
      <c r="B3978" s="3" t="s">
        <v>26</v>
      </c>
      <c r="C3978" s="4" t="str">
        <f>hyperlink("https://terraria.gamepedia.com/Pizza","Pizza")</f>
        <v>Pizza</v>
      </c>
    </row>
    <row r="3979">
      <c r="A3979" s="2">
        <v>4030.0</v>
      </c>
      <c r="B3979" s="3" t="s">
        <v>26</v>
      </c>
      <c r="C3979" s="4" t="str">
        <f>hyperlink("https://terraria.gamepedia.com/Potato_Chips","Potato Chips")</f>
        <v>Potato Chips</v>
      </c>
    </row>
    <row r="3980">
      <c r="A3980" s="2">
        <v>4031.0</v>
      </c>
      <c r="B3980" s="3" t="s">
        <v>26</v>
      </c>
      <c r="C3980" s="4" t="str">
        <f>hyperlink("https://terraria.gamepedia.com/Roasted_Bird","Roasted Bird")</f>
        <v>Roasted Bird</v>
      </c>
    </row>
    <row r="3981">
      <c r="A3981" s="2">
        <v>4032.0</v>
      </c>
      <c r="B3981" s="3" t="s">
        <v>26</v>
      </c>
      <c r="C3981" s="4" t="str">
        <f>hyperlink("https://terraria.gamepedia.com/Roasted_Duck","Roasted Duck")</f>
        <v>Roasted Duck</v>
      </c>
    </row>
    <row r="3982">
      <c r="A3982" s="2">
        <v>4033.0</v>
      </c>
      <c r="B3982" s="3" t="s">
        <v>26</v>
      </c>
      <c r="C3982" s="4" t="str">
        <f>hyperlink("https://terraria.gamepedia.com/Sauteed_Frog_Legs","Sauteed Frog Legs")</f>
        <v>Sauteed Frog Legs</v>
      </c>
    </row>
    <row r="3983">
      <c r="A3983" s="2">
        <v>4034.0</v>
      </c>
      <c r="B3983" s="3" t="s">
        <v>26</v>
      </c>
      <c r="C3983" s="4" t="str">
        <f>hyperlink("https://terraria.gamepedia.com/Fishing_foods","Seafood Dinner")</f>
        <v>Seafood Dinner</v>
      </c>
    </row>
    <row r="3984">
      <c r="A3984" s="2">
        <v>4035.0</v>
      </c>
      <c r="B3984" s="3" t="s">
        <v>26</v>
      </c>
      <c r="C3984" s="4" t="str">
        <f>hyperlink("https://terraria.gamepedia.com/Shrimp_Po'_Boy","Shrimp Po' Boy")</f>
        <v>Shrimp Po' Boy</v>
      </c>
    </row>
    <row r="3985">
      <c r="A3985" s="2">
        <v>4036.0</v>
      </c>
      <c r="B3985" s="3" t="s">
        <v>26</v>
      </c>
      <c r="C3985" s="4" t="str">
        <f>hyperlink("https://terraria.gamepedia.com/Spaghetti","Spaghetti")</f>
        <v>Spaghetti</v>
      </c>
    </row>
    <row r="3986">
      <c r="A3986" s="2">
        <v>4037.0</v>
      </c>
      <c r="B3986" s="3" t="s">
        <v>26</v>
      </c>
      <c r="C3986" s="4" t="str">
        <f>hyperlink("https://terraria.gamepedia.com/Steak","Steak")</f>
        <v>Steak</v>
      </c>
    </row>
    <row r="3987">
      <c r="A3987" s="2">
        <v>4038.0</v>
      </c>
      <c r="B3987" s="3" t="s">
        <v>10</v>
      </c>
      <c r="C3987" s="4" t="str">
        <f>hyperlink("https://terraria.gamepedia.com/Molten_Charm","Molten Charm")</f>
        <v>Molten Charm</v>
      </c>
    </row>
    <row r="3988">
      <c r="A3988" s="2">
        <v>4039.0</v>
      </c>
      <c r="B3988" s="3" t="s">
        <v>41</v>
      </c>
      <c r="C3988" s="4" t="str">
        <f>hyperlink("https://terraria.gamepedia.com/Golf_Clubs","Golf Club (Iron)")</f>
        <v>Golf Club (Iron)</v>
      </c>
    </row>
    <row r="3989">
      <c r="A3989" s="2">
        <v>4040.0</v>
      </c>
      <c r="B3989" s="3" t="s">
        <v>41</v>
      </c>
      <c r="C3989" s="4" t="str">
        <f>hyperlink("https://terraria.gamepedia.com/Golf_Cup","Golf Cup")</f>
        <v>Golf Cup</v>
      </c>
    </row>
    <row r="3990">
      <c r="A3990" s="2">
        <v>4041.0</v>
      </c>
      <c r="B3990" s="3" t="s">
        <v>6</v>
      </c>
      <c r="C3990" s="4" t="str">
        <f>hyperlink("https://terraria.gamepedia.com/Flower_Seeds","Blue Flower Seeds")</f>
        <v>Blue Flower Seeds</v>
      </c>
    </row>
    <row r="3991">
      <c r="A3991" s="2">
        <v>4042.0</v>
      </c>
      <c r="B3991" s="3" t="s">
        <v>6</v>
      </c>
      <c r="C3991" s="4" t="str">
        <f>hyperlink("https://terraria.gamepedia.com/Flower_Seeds","Magenta Flower Seeds")</f>
        <v>Magenta Flower Seeds</v>
      </c>
    </row>
    <row r="3992">
      <c r="A3992" s="2">
        <v>4043.0</v>
      </c>
      <c r="B3992" s="3" t="s">
        <v>6</v>
      </c>
      <c r="C3992" s="4" t="str">
        <f>hyperlink("https://terraria.gamepedia.com/Flower_Seeds","Pink Flower Seeds")</f>
        <v>Pink Flower Seeds</v>
      </c>
    </row>
    <row r="3993">
      <c r="A3993" s="2">
        <v>4044.0</v>
      </c>
      <c r="B3993" s="3" t="s">
        <v>6</v>
      </c>
      <c r="C3993" s="4" t="str">
        <f>hyperlink("https://terraria.gamepedia.com/Flower_Seeds","Red Flower Seeds")</f>
        <v>Red Flower Seeds</v>
      </c>
    </row>
    <row r="3994">
      <c r="A3994" s="2">
        <v>4045.0</v>
      </c>
      <c r="B3994" s="3" t="s">
        <v>6</v>
      </c>
      <c r="C3994" s="4" t="str">
        <f>hyperlink("https://terraria.gamepedia.com/Flower_Seeds","Yellow Flower Seeds")</f>
        <v>Yellow Flower Seeds</v>
      </c>
    </row>
    <row r="3995">
      <c r="A3995" s="2">
        <v>4046.0</v>
      </c>
      <c r="B3995" s="3" t="s">
        <v>6</v>
      </c>
      <c r="C3995" s="4" t="str">
        <f>hyperlink("https://terraria.gamepedia.com/Flower_Seeds","Violet Flower Seeds")</f>
        <v>Violet Flower Seeds</v>
      </c>
    </row>
    <row r="3996">
      <c r="A3996" s="2">
        <v>4047.0</v>
      </c>
      <c r="B3996" s="3" t="s">
        <v>6</v>
      </c>
      <c r="C3996" s="4" t="str">
        <f>hyperlink("https://terraria.gamepedia.com/Flower_Seeds","White Flower Seeds")</f>
        <v>White Flower Seeds</v>
      </c>
    </row>
    <row r="3997">
      <c r="A3997" s="2">
        <v>4048.0</v>
      </c>
      <c r="B3997" s="3" t="s">
        <v>6</v>
      </c>
      <c r="C3997" s="4" t="str">
        <f>hyperlink("https://terraria.gamepedia.com/Flower_Seeds","Tall Grass Seeds")</f>
        <v>Tall Grass Seeds</v>
      </c>
    </row>
    <row r="3998">
      <c r="A3998" s="2">
        <v>4049.0</v>
      </c>
      <c r="B3998" s="3" t="s">
        <v>3</v>
      </c>
      <c r="C3998" s="4" t="str">
        <f>hyperlink("https://terraria.gamepedia.com/Lawn_Mower","Lawn Mower")</f>
        <v>Lawn Mower</v>
      </c>
    </row>
    <row r="3999">
      <c r="A3999" s="2">
        <v>4050.0</v>
      </c>
      <c r="B3999" s="3" t="s">
        <v>4</v>
      </c>
      <c r="C3999" s="4" t="str">
        <f>hyperlink("https://terraria.gamepedia.com/Crimstone_Brick","Crimstone Brick")</f>
        <v>Crimstone Brick</v>
      </c>
    </row>
    <row r="4000">
      <c r="A4000" s="2">
        <v>4051.0</v>
      </c>
      <c r="B4000" s="3" t="s">
        <v>4</v>
      </c>
      <c r="C4000" s="4" t="str">
        <f>hyperlink("https://terraria.gamepedia.com/Smooth_Sandstone","Smooth Sandstone")</f>
        <v>Smooth Sandstone</v>
      </c>
    </row>
    <row r="4001">
      <c r="A4001" s="2">
        <v>4052.0</v>
      </c>
      <c r="B4001" s="3" t="s">
        <v>13</v>
      </c>
      <c r="C4001" s="4" t="str">
        <f>hyperlink("https://terraria.gamepedia.com/Crimstone_Brick_Wall","Crimstone Brick Wall")</f>
        <v>Crimstone Brick Wall</v>
      </c>
    </row>
    <row r="4002">
      <c r="A4002" s="2">
        <v>4053.0</v>
      </c>
      <c r="B4002" s="3" t="s">
        <v>13</v>
      </c>
      <c r="C4002" s="4" t="str">
        <f>hyperlink("https://terraria.gamepedia.com/Smooth_Sandstone_Wall","Smooth Sandstone Wall")</f>
        <v>Smooth Sandstone Wall</v>
      </c>
    </row>
    <row r="4003">
      <c r="A4003" s="2">
        <v>4054.0</v>
      </c>
      <c r="B4003" s="3" t="s">
        <v>12</v>
      </c>
      <c r="C4003" s="4" t="str">
        <f>hyperlink("https://terraria.gamepedia.com/Monoliths","Blood Moon Monolith")</f>
        <v>Blood Moon Monolith</v>
      </c>
    </row>
    <row r="4004">
      <c r="A4004" s="2">
        <v>4055.0</v>
      </c>
      <c r="B4004" s="3" t="s">
        <v>10</v>
      </c>
      <c r="C4004" s="4" t="str">
        <f>hyperlink("https://terraria.gamepedia.com/Dunerider_Boots","Dunerider Boots")</f>
        <v>Dunerider Boots</v>
      </c>
    </row>
    <row r="4005">
      <c r="A4005" s="2">
        <v>4056.0</v>
      </c>
      <c r="B4005" s="3" t="s">
        <v>10</v>
      </c>
      <c r="C4005" s="4" t="str">
        <f>hyperlink("https://terraria.gamepedia.com/Ancient_Chisel","Ancient Chisel")</f>
        <v>Ancient Chisel</v>
      </c>
    </row>
    <row r="4006">
      <c r="A4006" s="2">
        <v>4057.0</v>
      </c>
      <c r="B4006" s="3" t="s">
        <v>15</v>
      </c>
      <c r="C4006" s="4" t="str">
        <f>hyperlink("https://terraria.gamepedia.com/Rain_Song","Rain Song")</f>
        <v>Rain Song</v>
      </c>
    </row>
    <row r="4007">
      <c r="A4007" s="2">
        <v>4059.0</v>
      </c>
      <c r="B4007" s="3" t="s">
        <v>3</v>
      </c>
      <c r="C4007" s="4" t="str">
        <f>hyperlink("https://terraria.gamepedia.com/Fossil_Pickaxe","Fossil Pickaxe")</f>
        <v>Fossil Pickaxe</v>
      </c>
    </row>
    <row r="4008">
      <c r="A4008" s="2">
        <v>4060.0</v>
      </c>
      <c r="B4008" s="3" t="s">
        <v>5</v>
      </c>
      <c r="C4008" s="4" t="str">
        <f>hyperlink("https://terraria.gamepedia.com/Super_Star_Shooter","Super Star Shooter")</f>
        <v>Super Star Shooter</v>
      </c>
    </row>
    <row r="4009">
      <c r="A4009" s="2">
        <v>4061.0</v>
      </c>
      <c r="B4009" s="3" t="s">
        <v>5</v>
      </c>
      <c r="C4009" s="4" t="str">
        <f>hyperlink("https://terraria.gamepedia.com/Storm_Spear","Storm Spear")</f>
        <v>Storm Spear</v>
      </c>
    </row>
    <row r="4010">
      <c r="A4010" s="2">
        <v>4062.0</v>
      </c>
      <c r="B4010" s="3" t="s">
        <v>5</v>
      </c>
      <c r="C4010" s="4" t="str">
        <f>hyperlink("https://terraria.gamepedia.com/Thunder_Zapper","Thunder Zapper")</f>
        <v>Thunder Zapper</v>
      </c>
    </row>
    <row r="4011">
      <c r="A4011" s="2">
        <v>4063.0</v>
      </c>
      <c r="B4011" s="3" t="s">
        <v>12</v>
      </c>
      <c r="C4011" s="4" t="str">
        <f>hyperlink("https://terraria.gamepedia.com/Drum_Set","Drum Set")</f>
        <v>Drum Set</v>
      </c>
    </row>
    <row r="4012">
      <c r="A4012" s="2">
        <v>4064.0</v>
      </c>
      <c r="B4012" s="3" t="s">
        <v>12</v>
      </c>
      <c r="C4012" s="4" t="str">
        <f>hyperlink("https://terraria.gamepedia.com/Tables","Picnic Table")</f>
        <v>Picnic Table</v>
      </c>
    </row>
    <row r="4013">
      <c r="A4013" s="2">
        <v>4065.0</v>
      </c>
      <c r="B4013" s="3" t="s">
        <v>12</v>
      </c>
      <c r="C4013" s="4" t="str">
        <f>hyperlink("https://terraria.gamepedia.com/Tables","Fancy Picnic Table")</f>
        <v>Fancy Picnic Table</v>
      </c>
    </row>
    <row r="4014">
      <c r="A4014" s="2">
        <v>4066.0</v>
      </c>
      <c r="B4014" s="3" t="s">
        <v>40</v>
      </c>
      <c r="C4014" s="4" t="str">
        <f>hyperlink("https://terraria.gamepedia.com/Minecarts","Desert Minecart")</f>
        <v>Desert Minecart</v>
      </c>
    </row>
    <row r="4015">
      <c r="A4015" s="2">
        <v>4067.0</v>
      </c>
      <c r="B4015" s="3" t="s">
        <v>40</v>
      </c>
      <c r="C4015" s="4" t="str">
        <f>hyperlink("https://terraria.gamepedia.com/Minecarts","Minecarp")</f>
        <v>Minecarp</v>
      </c>
    </row>
    <row r="4016">
      <c r="A4016" s="2">
        <v>4068.0</v>
      </c>
      <c r="B4016" s="3" t="s">
        <v>24</v>
      </c>
      <c r="C4016" s="4" t="str">
        <f>hyperlink("https://terraria.gamepedia.com/Fairies","Pink Fairy")</f>
        <v>Pink Fairy</v>
      </c>
    </row>
    <row r="4017">
      <c r="A4017" s="2">
        <v>4069.0</v>
      </c>
      <c r="B4017" s="3" t="s">
        <v>24</v>
      </c>
      <c r="C4017" s="4" t="str">
        <f>hyperlink("https://terraria.gamepedia.com/Fairies","Green Fairy")</f>
        <v>Green Fairy</v>
      </c>
    </row>
    <row r="4018">
      <c r="A4018" s="2">
        <v>4070.0</v>
      </c>
      <c r="B4018" s="3" t="s">
        <v>24</v>
      </c>
      <c r="C4018" s="4" t="str">
        <f>hyperlink("https://terraria.gamepedia.com/Fairies","Blue Fairy")</f>
        <v>Blue Fairy</v>
      </c>
    </row>
    <row r="4019">
      <c r="A4019" s="2">
        <v>4071.0</v>
      </c>
      <c r="B4019" s="3" t="s">
        <v>15</v>
      </c>
      <c r="C4019" s="4" t="str">
        <f>hyperlink("https://terraria.gamepedia.com/Seashells","Junonia Shell")</f>
        <v>Junonia Shell</v>
      </c>
    </row>
    <row r="4020">
      <c r="A4020" s="2">
        <v>4072.0</v>
      </c>
      <c r="B4020" s="3" t="s">
        <v>15</v>
      </c>
      <c r="C4020" s="4" t="str">
        <f>hyperlink("https://terraria.gamepedia.com/Seashells","Lightning Whelk Shell")</f>
        <v>Lightning Whelk Shell</v>
      </c>
    </row>
    <row r="4021">
      <c r="A4021" s="2">
        <v>4073.0</v>
      </c>
      <c r="B4021" s="3" t="s">
        <v>15</v>
      </c>
      <c r="C4021" s="4" t="str">
        <f>hyperlink("https://terraria.gamepedia.com/Seashells","Tulip Shell")</f>
        <v>Tulip Shell</v>
      </c>
    </row>
    <row r="4022">
      <c r="A4022" s="2">
        <v>4074.0</v>
      </c>
      <c r="B4022" s="3" t="s">
        <v>15</v>
      </c>
      <c r="C4022" s="4" t="str">
        <f>hyperlink("https://terraria.gamepedia.com/Pin_Wheel","Pin Wheel")</f>
        <v>Pin Wheel</v>
      </c>
    </row>
    <row r="4023">
      <c r="A4023" s="2">
        <v>4075.0</v>
      </c>
      <c r="B4023" s="3" t="s">
        <v>15</v>
      </c>
      <c r="C4023" s="4" t="str">
        <f>hyperlink("https://terraria.gamepedia.com/Weather_Vane","Weather Vane")</f>
        <v>Weather Vane</v>
      </c>
    </row>
    <row r="4024">
      <c r="A4024" s="2">
        <v>4076.0</v>
      </c>
      <c r="B4024" s="3" t="s">
        <v>15</v>
      </c>
      <c r="C4024" s="4" t="str">
        <f>hyperlink("https://terraria.gamepedia.com/Void_Vault","Void Vault")</f>
        <v>Void Vault</v>
      </c>
    </row>
    <row r="4025">
      <c r="A4025" s="2">
        <v>4077.0</v>
      </c>
      <c r="B4025" s="3" t="s">
        <v>29</v>
      </c>
      <c r="C4025" s="4" t="str">
        <f>hyperlink("https://terraria.gamepedia.com/Music_Boxes","Music Box (Ocean Night)")</f>
        <v>Music Box (Ocean Night)</v>
      </c>
    </row>
    <row r="4026">
      <c r="A4026" s="2">
        <v>4078.0</v>
      </c>
      <c r="B4026" s="3" t="s">
        <v>29</v>
      </c>
      <c r="C4026" s="4" t="str">
        <f>hyperlink("https://terraria.gamepedia.com/Music_Boxes","Music Box (Slime Rain)")</f>
        <v>Music Box (Slime Rain)</v>
      </c>
    </row>
    <row r="4027">
      <c r="A4027" s="2">
        <v>4079.0</v>
      </c>
      <c r="B4027" s="3" t="s">
        <v>29</v>
      </c>
      <c r="C4027" s="4" t="str">
        <f>hyperlink("https://terraria.gamepedia.com/Music_Boxes","Music Box (Space Day)")</f>
        <v>Music Box (Space Day)</v>
      </c>
    </row>
    <row r="4028">
      <c r="A4028" s="2">
        <v>4080.0</v>
      </c>
      <c r="B4028" s="3" t="s">
        <v>29</v>
      </c>
      <c r="C4028" s="4" t="str">
        <f>hyperlink("https://terraria.gamepedia.com/Music_Boxes","Music Box (Town Day)")</f>
        <v>Music Box (Town Day)</v>
      </c>
    </row>
    <row r="4029">
      <c r="A4029" s="2">
        <v>4081.0</v>
      </c>
      <c r="B4029" s="3" t="s">
        <v>29</v>
      </c>
      <c r="C4029" s="4" t="str">
        <f>hyperlink("https://terraria.gamepedia.com/Music_Boxes","Music Box (Town Night)")</f>
        <v>Music Box (Town Night)</v>
      </c>
    </row>
    <row r="4030">
      <c r="A4030" s="2">
        <v>4082.0</v>
      </c>
      <c r="B4030" s="3" t="s">
        <v>29</v>
      </c>
      <c r="C4030" s="4" t="str">
        <f>hyperlink("https://terraria.gamepedia.com/Music_Boxes","Music Box (Windy Day)")</f>
        <v>Music Box (Windy Day)</v>
      </c>
    </row>
    <row r="4031">
      <c r="A4031" s="2">
        <v>4083.0</v>
      </c>
      <c r="B4031" s="3" t="s">
        <v>41</v>
      </c>
      <c r="C4031" s="4" t="str">
        <f>hyperlink("https://terraria.gamepedia.com/Pin_Flags","White Pin Flag")</f>
        <v>White Pin Flag</v>
      </c>
    </row>
    <row r="4032">
      <c r="A4032" s="2">
        <v>4084.0</v>
      </c>
      <c r="B4032" s="3" t="s">
        <v>41</v>
      </c>
      <c r="C4032" s="4" t="str">
        <f>hyperlink("https://terraria.gamepedia.com/Pin_Flags","Red Pin Flag")</f>
        <v>Red Pin Flag</v>
      </c>
    </row>
    <row r="4033">
      <c r="A4033" s="2">
        <v>4085.0</v>
      </c>
      <c r="B4033" s="3" t="s">
        <v>41</v>
      </c>
      <c r="C4033" s="4" t="str">
        <f>hyperlink("https://terraria.gamepedia.com/Pin_Flags","Green Pin Flag")</f>
        <v>Green Pin Flag</v>
      </c>
    </row>
    <row r="4034">
      <c r="A4034" s="2">
        <v>4086.0</v>
      </c>
      <c r="B4034" s="3" t="s">
        <v>41</v>
      </c>
      <c r="C4034" s="4" t="str">
        <f>hyperlink("https://terraria.gamepedia.com/Pin_Flags","Blue Pin Flag")</f>
        <v>Blue Pin Flag</v>
      </c>
    </row>
    <row r="4035">
      <c r="A4035" s="2">
        <v>4087.0</v>
      </c>
      <c r="B4035" s="3" t="s">
        <v>41</v>
      </c>
      <c r="C4035" s="4" t="str">
        <f>hyperlink("https://terraria.gamepedia.com/Pin_Flags","Yellow Pin Flag")</f>
        <v>Yellow Pin Flag</v>
      </c>
    </row>
    <row r="4036">
      <c r="A4036" s="2">
        <v>4088.0</v>
      </c>
      <c r="B4036" s="3" t="s">
        <v>41</v>
      </c>
      <c r="C4036" s="4" t="str">
        <f>hyperlink("https://terraria.gamepedia.com/Pin_Flags","Purple Pin Flag")</f>
        <v>Purple Pin Flag</v>
      </c>
    </row>
    <row r="4037">
      <c r="A4037" s="2">
        <v>4089.0</v>
      </c>
      <c r="B4037" s="3" t="s">
        <v>41</v>
      </c>
      <c r="C4037" s="4" t="str">
        <f>hyperlink("https://terraria.gamepedia.com/Golf_Tee","Golf Tee")</f>
        <v>Golf Tee</v>
      </c>
    </row>
    <row r="4038">
      <c r="A4038" s="2">
        <v>4090.0</v>
      </c>
      <c r="B4038" s="3" t="s">
        <v>15</v>
      </c>
      <c r="C4038" s="4" t="str">
        <f>hyperlink("https://terraria.gamepedia.com/Shell_Pile","Shell Pile")</f>
        <v>Shell Pile</v>
      </c>
    </row>
    <row r="4039">
      <c r="A4039" s="2">
        <v>4091.0</v>
      </c>
      <c r="B4039" s="3" t="s">
        <v>4</v>
      </c>
      <c r="C4039" s="4" t="str">
        <f>hyperlink("https://terraria.gamepedia.com/Anti-Portal_Block","Anti-Portal Block")</f>
        <v>Anti-Portal Block</v>
      </c>
    </row>
    <row r="4040">
      <c r="A4040" s="2">
        <v>4092.0</v>
      </c>
      <c r="B4040" s="3" t="s">
        <v>41</v>
      </c>
      <c r="C4040" s="4" t="str">
        <f>hyperlink("https://terraria.gamepedia.com/Golf_Clubs","Golf Club (Putter)")</f>
        <v>Golf Club (Putter)</v>
      </c>
    </row>
    <row r="4041">
      <c r="A4041" s="2">
        <v>4093.0</v>
      </c>
      <c r="B4041" s="3" t="s">
        <v>41</v>
      </c>
      <c r="C4041" s="4" t="str">
        <f>hyperlink("https://terraria.gamepedia.com/Golf_Clubs","Golf Club (Wedge)")</f>
        <v>Golf Club (Wedge)</v>
      </c>
    </row>
    <row r="4042">
      <c r="A4042" s="2">
        <v>4094.0</v>
      </c>
      <c r="B4042" s="3" t="s">
        <v>41</v>
      </c>
      <c r="C4042" s="4" t="str">
        <f>hyperlink("https://terraria.gamepedia.com/Golf_Clubs","Golf Club (Driver)")</f>
        <v>Golf Club (Driver)</v>
      </c>
    </row>
    <row r="4043">
      <c r="A4043" s="2">
        <v>4095.0</v>
      </c>
      <c r="B4043" s="3" t="s">
        <v>41</v>
      </c>
      <c r="C4043" s="4" t="str">
        <f>hyperlink("https://terraria.gamepedia.com/Golf_Whistle","Golf Whistle")</f>
        <v>Golf Whistle</v>
      </c>
    </row>
    <row r="4044">
      <c r="A4044" s="2">
        <v>4096.0</v>
      </c>
      <c r="B4044" s="3" t="s">
        <v>31</v>
      </c>
      <c r="C4044" s="4" t="str">
        <f>hyperlink("https://terraria.gamepedia.com/Toilets","Ebonwood Toilet")</f>
        <v>Ebonwood Toilet</v>
      </c>
    </row>
    <row r="4045">
      <c r="A4045" s="2">
        <v>4097.0</v>
      </c>
      <c r="B4045" s="3" t="s">
        <v>31</v>
      </c>
      <c r="C4045" s="4" t="str">
        <f>hyperlink("https://terraria.gamepedia.com/Toilets","Rich Mahogany Toilet")</f>
        <v>Rich Mahogany Toilet</v>
      </c>
    </row>
    <row r="4046">
      <c r="A4046" s="2">
        <v>4098.0</v>
      </c>
      <c r="B4046" s="3" t="s">
        <v>31</v>
      </c>
      <c r="C4046" s="4" t="str">
        <f>hyperlink("https://terraria.gamepedia.com/Toilets","Pearlwood Toilet")</f>
        <v>Pearlwood Toilet</v>
      </c>
    </row>
    <row r="4047">
      <c r="A4047" s="2">
        <v>4099.0</v>
      </c>
      <c r="B4047" s="3" t="s">
        <v>31</v>
      </c>
      <c r="C4047" s="4" t="str">
        <f>hyperlink("https://terraria.gamepedia.com/Toilets","Living Wood Toilet")</f>
        <v>Living Wood Toilet</v>
      </c>
    </row>
    <row r="4048">
      <c r="A4048" s="2">
        <v>4100.0</v>
      </c>
      <c r="B4048" s="3" t="s">
        <v>31</v>
      </c>
      <c r="C4048" s="4" t="str">
        <f>hyperlink("https://terraria.gamepedia.com/Toilets","Cactus Toilet")</f>
        <v>Cactus Toilet</v>
      </c>
    </row>
    <row r="4049">
      <c r="A4049" s="2">
        <v>4101.0</v>
      </c>
      <c r="B4049" s="3" t="s">
        <v>31</v>
      </c>
      <c r="C4049" s="4" t="str">
        <f>hyperlink("https://terraria.gamepedia.com/Toilets","Bone Toilet")</f>
        <v>Bone Toilet</v>
      </c>
    </row>
    <row r="4050">
      <c r="A4050" s="2">
        <v>4102.0</v>
      </c>
      <c r="B4050" s="3" t="s">
        <v>31</v>
      </c>
      <c r="C4050" s="4" t="str">
        <f>hyperlink("https://terraria.gamepedia.com/Toilets","Flesh Toilet")</f>
        <v>Flesh Toilet</v>
      </c>
    </row>
    <row r="4051">
      <c r="A4051" s="2">
        <v>4103.0</v>
      </c>
      <c r="B4051" s="3" t="s">
        <v>31</v>
      </c>
      <c r="C4051" s="4" t="str">
        <f>hyperlink("https://terraria.gamepedia.com/Toilets","Mushroom Toilet")</f>
        <v>Mushroom Toilet</v>
      </c>
    </row>
    <row r="4052">
      <c r="A4052" s="2">
        <v>4104.0</v>
      </c>
      <c r="B4052" s="3" t="s">
        <v>31</v>
      </c>
      <c r="C4052" s="4" t="str">
        <f>hyperlink("https://terraria.gamepedia.com/Toilets","Skyware Toilet")</f>
        <v>Skyware Toilet</v>
      </c>
    </row>
    <row r="4053">
      <c r="A4053" s="2">
        <v>4105.0</v>
      </c>
      <c r="B4053" s="3" t="s">
        <v>31</v>
      </c>
      <c r="C4053" s="4" t="str">
        <f>hyperlink("https://terraria.gamepedia.com/Toilets","Shadewood Toilet")</f>
        <v>Shadewood Toilet</v>
      </c>
    </row>
    <row r="4054">
      <c r="A4054" s="2">
        <v>4106.0</v>
      </c>
      <c r="B4054" s="3" t="s">
        <v>31</v>
      </c>
      <c r="C4054" s="4" t="str">
        <f>hyperlink("https://terraria.gamepedia.com/Toilets","Lihzahrd Toilet")</f>
        <v>Lihzahrd Toilet</v>
      </c>
    </row>
    <row r="4055">
      <c r="A4055" s="2">
        <v>4107.0</v>
      </c>
      <c r="B4055" s="3" t="s">
        <v>31</v>
      </c>
      <c r="C4055" s="4" t="str">
        <f>hyperlink("https://terraria.gamepedia.com/Toilets","Blue Dungeon Toilet")</f>
        <v>Blue Dungeon Toilet</v>
      </c>
    </row>
    <row r="4056">
      <c r="A4056" s="2">
        <v>4108.0</v>
      </c>
      <c r="B4056" s="3" t="s">
        <v>31</v>
      </c>
      <c r="C4056" s="4" t="str">
        <f>hyperlink("https://terraria.gamepedia.com/Toilets","Green Dungeon Toilet")</f>
        <v>Green Dungeon Toilet</v>
      </c>
    </row>
    <row r="4057">
      <c r="A4057" s="2">
        <v>4109.0</v>
      </c>
      <c r="B4057" s="3" t="s">
        <v>31</v>
      </c>
      <c r="C4057" s="4" t="str">
        <f>hyperlink("https://terraria.gamepedia.com/Toilets","Pink Dungeon Toilet")</f>
        <v>Pink Dungeon Toilet</v>
      </c>
    </row>
    <row r="4058">
      <c r="A4058" s="2">
        <v>4110.0</v>
      </c>
      <c r="B4058" s="3" t="s">
        <v>31</v>
      </c>
      <c r="C4058" s="4" t="str">
        <f>hyperlink("https://terraria.gamepedia.com/Toilets","Obsidian Toilet")</f>
        <v>Obsidian Toilet</v>
      </c>
    </row>
    <row r="4059">
      <c r="A4059" s="2">
        <v>4111.0</v>
      </c>
      <c r="B4059" s="3" t="s">
        <v>31</v>
      </c>
      <c r="C4059" s="4" t="str">
        <f>hyperlink("https://terraria.gamepedia.com/Toilets","Frozen Toilet")</f>
        <v>Frozen Toilet</v>
      </c>
    </row>
    <row r="4060">
      <c r="A4060" s="2">
        <v>4112.0</v>
      </c>
      <c r="B4060" s="3" t="s">
        <v>31</v>
      </c>
      <c r="C4060" s="4" t="str">
        <f>hyperlink("https://terraria.gamepedia.com/Toilets","Glass Toilet")</f>
        <v>Glass Toilet</v>
      </c>
    </row>
    <row r="4061">
      <c r="A4061" s="2">
        <v>4113.0</v>
      </c>
      <c r="B4061" s="3" t="s">
        <v>31</v>
      </c>
      <c r="C4061" s="4" t="str">
        <f>hyperlink("https://terraria.gamepedia.com/Toilets","Honey Toilet")</f>
        <v>Honey Toilet</v>
      </c>
    </row>
    <row r="4062">
      <c r="A4062" s="2">
        <v>4114.0</v>
      </c>
      <c r="B4062" s="3" t="s">
        <v>31</v>
      </c>
      <c r="C4062" s="4" t="str">
        <f>hyperlink("https://terraria.gamepedia.com/Toilets","Steampunk Toilet")</f>
        <v>Steampunk Toilet</v>
      </c>
    </row>
    <row r="4063">
      <c r="A4063" s="2">
        <v>4115.0</v>
      </c>
      <c r="B4063" s="3" t="s">
        <v>31</v>
      </c>
      <c r="C4063" s="4" t="str">
        <f>hyperlink("https://terraria.gamepedia.com/Toilets","Pumpkin Toilet")</f>
        <v>Pumpkin Toilet</v>
      </c>
    </row>
    <row r="4064">
      <c r="A4064" s="2">
        <v>4116.0</v>
      </c>
      <c r="B4064" s="3" t="s">
        <v>31</v>
      </c>
      <c r="C4064" s="4" t="str">
        <f>hyperlink("https://terraria.gamepedia.com/Toilets","Spooky Toilet")</f>
        <v>Spooky Toilet</v>
      </c>
    </row>
    <row r="4065">
      <c r="A4065" s="2">
        <v>4117.0</v>
      </c>
      <c r="B4065" s="3" t="s">
        <v>31</v>
      </c>
      <c r="C4065" s="4" t="str">
        <f>hyperlink("https://terraria.gamepedia.com/Toilets","Dynasty Toilet")</f>
        <v>Dynasty Toilet</v>
      </c>
    </row>
    <row r="4066">
      <c r="A4066" s="2">
        <v>4118.0</v>
      </c>
      <c r="B4066" s="3" t="s">
        <v>31</v>
      </c>
      <c r="C4066" s="4" t="str">
        <f>hyperlink("https://terraria.gamepedia.com/Toilets","Palm Wood Toilet")</f>
        <v>Palm Wood Toilet</v>
      </c>
    </row>
    <row r="4067">
      <c r="A4067" s="2">
        <v>4119.0</v>
      </c>
      <c r="B4067" s="3" t="s">
        <v>31</v>
      </c>
      <c r="C4067" s="4" t="str">
        <f>hyperlink("https://terraria.gamepedia.com/Toilets","Boreal Wood Toilet")</f>
        <v>Boreal Wood Toilet</v>
      </c>
    </row>
    <row r="4068">
      <c r="A4068" s="2">
        <v>4120.0</v>
      </c>
      <c r="B4068" s="3" t="s">
        <v>31</v>
      </c>
      <c r="C4068" s="4" t="str">
        <f>hyperlink("https://terraria.gamepedia.com/Toilets","Slime Toilet")</f>
        <v>Slime Toilet</v>
      </c>
    </row>
    <row r="4069">
      <c r="A4069" s="2">
        <v>4121.0</v>
      </c>
      <c r="B4069" s="3" t="s">
        <v>31</v>
      </c>
      <c r="C4069" s="4" t="str">
        <f>hyperlink("https://terraria.gamepedia.com/Toilets","Martian Toilet")</f>
        <v>Martian Toilet</v>
      </c>
    </row>
    <row r="4070">
      <c r="A4070" s="2">
        <v>4122.0</v>
      </c>
      <c r="B4070" s="3" t="s">
        <v>31</v>
      </c>
      <c r="C4070" s="4" t="str">
        <f>hyperlink("https://terraria.gamepedia.com/Toilets","Granite Toilet")</f>
        <v>Granite Toilet</v>
      </c>
    </row>
    <row r="4071">
      <c r="A4071" s="2">
        <v>4123.0</v>
      </c>
      <c r="B4071" s="3" t="s">
        <v>31</v>
      </c>
      <c r="C4071" s="4" t="str">
        <f>hyperlink("https://terraria.gamepedia.com/Toilets","Marble Toilet")</f>
        <v>Marble Toilet</v>
      </c>
    </row>
    <row r="4072">
      <c r="A4072" s="2">
        <v>4124.0</v>
      </c>
      <c r="B4072" s="3" t="s">
        <v>31</v>
      </c>
      <c r="C4072" s="4" t="str">
        <f>hyperlink("https://terraria.gamepedia.com/Toilets","Crystal Toilet")</f>
        <v>Crystal Toilet</v>
      </c>
    </row>
    <row r="4073">
      <c r="A4073" s="2">
        <v>4125.0</v>
      </c>
      <c r="B4073" s="3" t="s">
        <v>31</v>
      </c>
      <c r="C4073" s="4" t="str">
        <f>hyperlink("https://terraria.gamepedia.com/Toilets","Spider Toilet")</f>
        <v>Spider Toilet</v>
      </c>
    </row>
    <row r="4074">
      <c r="A4074" s="2">
        <v>4126.0</v>
      </c>
      <c r="B4074" s="3" t="s">
        <v>31</v>
      </c>
      <c r="C4074" s="4" t="str">
        <f>hyperlink("https://terraria.gamepedia.com/Toilets","Lesion Toilet")</f>
        <v>Lesion Toilet</v>
      </c>
    </row>
    <row r="4075">
      <c r="A4075" s="2">
        <v>4127.0</v>
      </c>
      <c r="B4075" s="3" t="s">
        <v>31</v>
      </c>
      <c r="C4075" s="4" t="str">
        <f>hyperlink("https://terraria.gamepedia.com/Toilets","Diamond Toilet")</f>
        <v>Diamond Toilet</v>
      </c>
    </row>
    <row r="4076">
      <c r="A4076" s="2">
        <v>4128.0</v>
      </c>
      <c r="B4076" s="3" t="s">
        <v>23</v>
      </c>
      <c r="C4076" s="4" t="str">
        <f>hyperlink("https://terraria.gamepedia.com/Maid_set","Maid Bonnet")</f>
        <v>Maid Bonnet</v>
      </c>
    </row>
    <row r="4077">
      <c r="A4077" s="2">
        <v>4129.0</v>
      </c>
      <c r="B4077" s="3" t="s">
        <v>23</v>
      </c>
      <c r="C4077" s="4" t="str">
        <f>hyperlink("https://terraria.gamepedia.com/Maid_set","Maid Dress")</f>
        <v>Maid Dress</v>
      </c>
    </row>
    <row r="4078">
      <c r="A4078" s="2">
        <v>4130.0</v>
      </c>
      <c r="B4078" s="3" t="s">
        <v>23</v>
      </c>
      <c r="C4078" s="4" t="str">
        <f>hyperlink("https://terraria.gamepedia.com/Maid_set","Maid Shoes")</f>
        <v>Maid Shoes</v>
      </c>
    </row>
    <row r="4079">
      <c r="A4079" s="2">
        <v>4131.0</v>
      </c>
      <c r="B4079" s="3" t="s">
        <v>15</v>
      </c>
      <c r="C4079" s="4" t="str">
        <f>hyperlink("https://terraria.gamepedia.com/Void_Bag","Void Bag")</f>
        <v>Void Bag</v>
      </c>
    </row>
    <row r="4080">
      <c r="A4080" s="2">
        <v>4132.0</v>
      </c>
      <c r="B4080" s="3" t="s">
        <v>23</v>
      </c>
      <c r="C4080" s="4" t="str">
        <f>hyperlink("https://terraria.gamepedia.com/Pink_Maid_set","Pink Maid Bonnet")</f>
        <v>Pink Maid Bonnet</v>
      </c>
    </row>
    <row r="4081">
      <c r="A4081" s="2">
        <v>4133.0</v>
      </c>
      <c r="B4081" s="3" t="s">
        <v>23</v>
      </c>
      <c r="C4081" s="4" t="str">
        <f>hyperlink("https://terraria.gamepedia.com/Pink_Maid_set","Pink Maid Dress")</f>
        <v>Pink Maid Dress</v>
      </c>
    </row>
    <row r="4082">
      <c r="A4082" s="2">
        <v>4134.0</v>
      </c>
      <c r="B4082" s="3" t="s">
        <v>23</v>
      </c>
      <c r="C4082" s="4" t="str">
        <f>hyperlink("https://terraria.gamepedia.com/Pink_Maid_set","Pink Maid Shoes")</f>
        <v>Pink Maid Shoes</v>
      </c>
    </row>
    <row r="4083">
      <c r="A4083" s="2">
        <v>4135.0</v>
      </c>
      <c r="B4083" s="3" t="s">
        <v>23</v>
      </c>
      <c r="C4083" s="4" t="str">
        <f>hyperlink("https://terraria.gamepedia.com/Country_Club_set","Country Club Cap")</f>
        <v>Country Club Cap</v>
      </c>
    </row>
    <row r="4084">
      <c r="A4084" s="2">
        <v>4136.0</v>
      </c>
      <c r="B4084" s="3" t="s">
        <v>23</v>
      </c>
      <c r="C4084" s="4" t="str">
        <f>hyperlink("https://terraria.gamepedia.com/Country_Club_set","Country Club Vest")</f>
        <v>Country Club Vest</v>
      </c>
    </row>
    <row r="4085">
      <c r="A4085" s="2">
        <v>4137.0</v>
      </c>
      <c r="B4085" s="3" t="s">
        <v>23</v>
      </c>
      <c r="C4085" s="4" t="str">
        <f>hyperlink("https://terraria.gamepedia.com/Country_Club_set","Country Club Trousers")</f>
        <v>Country Club Trousers</v>
      </c>
    </row>
    <row r="4086">
      <c r="A4086" s="2">
        <v>4138.0</v>
      </c>
      <c r="B4086" s="3" t="s">
        <v>23</v>
      </c>
      <c r="C4086" s="4" t="str">
        <f>hyperlink("https://terraria.gamepedia.com/Country_Club_set","Country Club Visor")</f>
        <v>Country Club Visor</v>
      </c>
    </row>
    <row r="4087">
      <c r="A4087" s="2">
        <v>4139.0</v>
      </c>
      <c r="B4087" s="3" t="s">
        <v>4</v>
      </c>
      <c r="C4087" s="4" t="str">
        <f>hyperlink("https://terraria.gamepedia.com/Spider_Nest_Block","Spider Nest Block")</f>
        <v>Spider Nest Block</v>
      </c>
    </row>
    <row r="4088">
      <c r="A4088" s="2">
        <v>4140.0</v>
      </c>
      <c r="B4088" s="3" t="s">
        <v>13</v>
      </c>
      <c r="C4088" s="4" t="str">
        <f>hyperlink("https://terraria.gamepedia.com/Spider_Nest_Wall","Spider Nest Wall")</f>
        <v>Spider Nest Wall</v>
      </c>
    </row>
    <row r="4089">
      <c r="A4089" s="2">
        <v>4141.0</v>
      </c>
      <c r="B4089" s="3" t="s">
        <v>31</v>
      </c>
      <c r="C4089" s="4" t="str">
        <f>hyperlink("https://terraria.gamepedia.com/Toilets","Meteor Toilet")</f>
        <v>Meteor Toilet</v>
      </c>
    </row>
    <row r="4090">
      <c r="A4090" s="2">
        <v>4142.0</v>
      </c>
      <c r="B4090" s="3" t="s">
        <v>16</v>
      </c>
      <c r="C4090" s="4" t="str">
        <f>hyperlink("https://terraria.gamepedia.com/Decay_Chamber","Decay Chamber")</f>
        <v>Decay Chamber</v>
      </c>
    </row>
    <row r="4091">
      <c r="A4091" s="2">
        <v>4144.0</v>
      </c>
      <c r="B4091" s="3" t="s">
        <v>5</v>
      </c>
      <c r="C4091" s="4" t="str">
        <f>hyperlink("https://terraria.gamepedia.com/Terragrim","Terragrim")</f>
        <v>Terragrim</v>
      </c>
    </row>
    <row r="4092">
      <c r="A4092" s="2">
        <v>4145.0</v>
      </c>
      <c r="B4092" s="3" t="s">
        <v>31</v>
      </c>
      <c r="C4092" s="4" t="str">
        <f>hyperlink("https://terraria.gamepedia.com/Bathtubs","Solar Bathtub")</f>
        <v>Solar Bathtub</v>
      </c>
    </row>
    <row r="4093">
      <c r="A4093" s="2">
        <v>4146.0</v>
      </c>
      <c r="B4093" s="3" t="s">
        <v>31</v>
      </c>
      <c r="C4093" s="4" t="str">
        <f>hyperlink("https://terraria.gamepedia.com/Beds","Solar Bed")</f>
        <v>Solar Bed</v>
      </c>
    </row>
    <row r="4094">
      <c r="A4094" s="2">
        <v>4147.0</v>
      </c>
      <c r="B4094" s="3" t="s">
        <v>31</v>
      </c>
      <c r="C4094" s="4" t="str">
        <f>hyperlink("https://terraria.gamepedia.com/Bookcases","Solar Bookcase")</f>
        <v>Solar Bookcase</v>
      </c>
    </row>
    <row r="4095">
      <c r="A4095" s="2">
        <v>4148.0</v>
      </c>
      <c r="B4095" s="3" t="s">
        <v>31</v>
      </c>
      <c r="C4095" s="4" t="str">
        <f>hyperlink("https://terraria.gamepedia.com/Dressers","Solar Dresser")</f>
        <v>Solar Dresser</v>
      </c>
    </row>
    <row r="4096">
      <c r="A4096" s="2">
        <v>4149.0</v>
      </c>
      <c r="B4096" s="3" t="s">
        <v>7</v>
      </c>
      <c r="C4096" s="4" t="str">
        <f>hyperlink("https://terraria.gamepedia.com/Candelabras","Solar Candelabra")</f>
        <v>Solar Candelabra</v>
      </c>
    </row>
    <row r="4097">
      <c r="A4097" s="2">
        <v>4150.0</v>
      </c>
      <c r="B4097" s="3" t="s">
        <v>7</v>
      </c>
      <c r="C4097" s="4" t="str">
        <f>hyperlink("https://terraria.gamepedia.com/Candles","Solar Candle")</f>
        <v>Solar Candle</v>
      </c>
    </row>
    <row r="4098">
      <c r="A4098" s="2">
        <v>4151.0</v>
      </c>
      <c r="B4098" s="3" t="s">
        <v>7</v>
      </c>
      <c r="C4098" s="4" t="str">
        <f>hyperlink("https://terraria.gamepedia.com/Chairs","Solar Chair")</f>
        <v>Solar Chair</v>
      </c>
    </row>
    <row r="4099">
      <c r="A4099" s="2">
        <v>4152.0</v>
      </c>
      <c r="B4099" s="3" t="s">
        <v>7</v>
      </c>
      <c r="C4099" s="4" t="str">
        <f>hyperlink("https://terraria.gamepedia.com/Chandeliers","Solar Chandelier")</f>
        <v>Solar Chandelier</v>
      </c>
    </row>
    <row r="4100">
      <c r="A4100" s="2">
        <v>4153.0</v>
      </c>
      <c r="B4100" s="3" t="s">
        <v>20</v>
      </c>
      <c r="C4100" s="4" t="str">
        <f>hyperlink("https://terraria.gamepedia.com/Chests","Solar Chest")</f>
        <v>Solar Chest</v>
      </c>
    </row>
    <row r="4101">
      <c r="A4101" s="2">
        <v>4154.0</v>
      </c>
      <c r="B4101" s="3" t="s">
        <v>31</v>
      </c>
      <c r="C4101" s="4" t="str">
        <f>hyperlink("https://terraria.gamepedia.com/Grandfather_Clocks","Solar Clock")</f>
        <v>Solar Clock</v>
      </c>
    </row>
    <row r="4102">
      <c r="A4102" s="2">
        <v>4155.0</v>
      </c>
      <c r="B4102" s="3" t="s">
        <v>31</v>
      </c>
      <c r="C4102" s="4" t="str">
        <f>hyperlink("https://terraria.gamepedia.com/Doors","Solar Door")</f>
        <v>Solar Door</v>
      </c>
    </row>
    <row r="4103">
      <c r="A4103" s="2">
        <v>4156.0</v>
      </c>
      <c r="B4103" s="3" t="s">
        <v>7</v>
      </c>
      <c r="C4103" s="4" t="str">
        <f>hyperlink("https://terraria.gamepedia.com/Lamps","Solar Lamp")</f>
        <v>Solar Lamp</v>
      </c>
    </row>
    <row r="4104">
      <c r="A4104" s="2">
        <v>4157.0</v>
      </c>
      <c r="B4104" s="3" t="s">
        <v>7</v>
      </c>
      <c r="C4104" s="4" t="str">
        <f>hyperlink("https://terraria.gamepedia.com/Lanterns","Solar Lantern")</f>
        <v>Solar Lantern</v>
      </c>
    </row>
    <row r="4105">
      <c r="A4105" s="2">
        <v>4158.0</v>
      </c>
      <c r="B4105" s="3" t="s">
        <v>31</v>
      </c>
      <c r="C4105" s="4" t="str">
        <f>hyperlink("https://terraria.gamepedia.com/Pianos","Solar Piano")</f>
        <v>Solar Piano</v>
      </c>
    </row>
    <row r="4106">
      <c r="A4106" s="2">
        <v>4159.0</v>
      </c>
      <c r="B4106" s="3" t="s">
        <v>8</v>
      </c>
      <c r="C4106" s="4" t="str">
        <f>hyperlink("https://terraria.gamepedia.com/Platforms","Solar Platform")</f>
        <v>Solar Platform</v>
      </c>
    </row>
    <row r="4107">
      <c r="A4107" s="2">
        <v>4160.0</v>
      </c>
      <c r="B4107" s="3" t="s">
        <v>31</v>
      </c>
      <c r="C4107" s="4" t="str">
        <f>hyperlink("https://terraria.gamepedia.com/Sinks","Solar Sink")</f>
        <v>Solar Sink</v>
      </c>
    </row>
    <row r="4108">
      <c r="A4108" s="2">
        <v>4161.0</v>
      </c>
      <c r="B4108" s="3" t="s">
        <v>31</v>
      </c>
      <c r="C4108" s="4" t="str">
        <f>hyperlink("https://terraria.gamepedia.com/Sofas","Solar Sofa")</f>
        <v>Solar Sofa</v>
      </c>
    </row>
    <row r="4109">
      <c r="A4109" s="2">
        <v>4162.0</v>
      </c>
      <c r="B4109" s="3" t="s">
        <v>31</v>
      </c>
      <c r="C4109" s="4" t="str">
        <f>hyperlink("https://terraria.gamepedia.com/Tables","Solar Table")</f>
        <v>Solar Table</v>
      </c>
    </row>
    <row r="4110">
      <c r="A4110" s="2">
        <v>4163.0</v>
      </c>
      <c r="B4110" s="3" t="s">
        <v>31</v>
      </c>
      <c r="C4110" s="4" t="str">
        <f>hyperlink("https://terraria.gamepedia.com/Work_Benches","Solar Work Bench")</f>
        <v>Solar Work Bench</v>
      </c>
    </row>
    <row r="4111">
      <c r="A4111" s="2">
        <v>4164.0</v>
      </c>
      <c r="B4111" s="3" t="s">
        <v>28</v>
      </c>
      <c r="C4111" s="4" t="str">
        <f>hyperlink("https://terraria.gamepedia.com/Trapped_Chests","Trapped Solar Chest")</f>
        <v>Trapped Solar Chest</v>
      </c>
    </row>
    <row r="4112">
      <c r="A4112" s="2">
        <v>4165.0</v>
      </c>
      <c r="B4112" s="3" t="s">
        <v>31</v>
      </c>
      <c r="C4112" s="4" t="str">
        <f>hyperlink("https://terraria.gamepedia.com/Toilets","Solar Toilet")</f>
        <v>Solar Toilet</v>
      </c>
    </row>
    <row r="4113">
      <c r="A4113" s="2">
        <v>4166.0</v>
      </c>
      <c r="B4113" s="3" t="s">
        <v>31</v>
      </c>
      <c r="C4113" s="4" t="str">
        <f>hyperlink("https://terraria.gamepedia.com/Bathtubs","Vortex Bathtub")</f>
        <v>Vortex Bathtub</v>
      </c>
    </row>
    <row r="4114">
      <c r="A4114" s="2">
        <v>4167.0</v>
      </c>
      <c r="B4114" s="3" t="s">
        <v>31</v>
      </c>
      <c r="C4114" s="4" t="str">
        <f>hyperlink("https://terraria.gamepedia.com/Beds","Vortex Bed")</f>
        <v>Vortex Bed</v>
      </c>
    </row>
    <row r="4115">
      <c r="A4115" s="2">
        <v>4168.0</v>
      </c>
      <c r="B4115" s="3" t="s">
        <v>31</v>
      </c>
      <c r="C4115" s="4" t="str">
        <f>hyperlink("https://terraria.gamepedia.com/Bookcases","Vortex Bookcase")</f>
        <v>Vortex Bookcase</v>
      </c>
    </row>
    <row r="4116">
      <c r="A4116" s="2">
        <v>4169.0</v>
      </c>
      <c r="B4116" s="3" t="s">
        <v>31</v>
      </c>
      <c r="C4116" s="4" t="str">
        <f>hyperlink("https://terraria.gamepedia.com/Dressers","Vortex Dresser")</f>
        <v>Vortex Dresser</v>
      </c>
    </row>
    <row r="4117">
      <c r="A4117" s="2">
        <v>4170.0</v>
      </c>
      <c r="B4117" s="3" t="s">
        <v>7</v>
      </c>
      <c r="C4117" s="4" t="str">
        <f>hyperlink("https://terraria.gamepedia.com/Candelabras","Vortex Candelabra")</f>
        <v>Vortex Candelabra</v>
      </c>
    </row>
    <row r="4118">
      <c r="A4118" s="2">
        <v>4171.0</v>
      </c>
      <c r="B4118" s="3" t="s">
        <v>7</v>
      </c>
      <c r="C4118" s="4" t="str">
        <f>hyperlink("https://terraria.gamepedia.com/Candles","Vortex Candle")</f>
        <v>Vortex Candle</v>
      </c>
    </row>
    <row r="4119">
      <c r="A4119" s="2">
        <v>4172.0</v>
      </c>
      <c r="B4119" s="3" t="s">
        <v>31</v>
      </c>
      <c r="C4119" s="4" t="str">
        <f>hyperlink("https://terraria.gamepedia.com/Chairs","Vortex Chair")</f>
        <v>Vortex Chair</v>
      </c>
    </row>
    <row r="4120">
      <c r="A4120" s="2">
        <v>4173.0</v>
      </c>
      <c r="B4120" s="3" t="s">
        <v>7</v>
      </c>
      <c r="C4120" s="4" t="str">
        <f>hyperlink("https://terraria.gamepedia.com/Chandeliers","Vortex Chandelier")</f>
        <v>Vortex Chandelier</v>
      </c>
    </row>
    <row r="4121">
      <c r="A4121" s="2">
        <v>4174.0</v>
      </c>
      <c r="B4121" s="3" t="s">
        <v>20</v>
      </c>
      <c r="C4121" s="4" t="str">
        <f>hyperlink("https://terraria.gamepedia.com/Chests","Vortex Chest")</f>
        <v>Vortex Chest</v>
      </c>
    </row>
    <row r="4122">
      <c r="A4122" s="2">
        <v>4175.0</v>
      </c>
      <c r="B4122" s="3" t="s">
        <v>31</v>
      </c>
      <c r="C4122" s="4" t="str">
        <f>hyperlink("https://terraria.gamepedia.com/Grandfather_Clocks","Vortex Clock")</f>
        <v>Vortex Clock</v>
      </c>
    </row>
    <row r="4123">
      <c r="A4123" s="2">
        <v>4176.0</v>
      </c>
      <c r="B4123" s="3" t="s">
        <v>31</v>
      </c>
      <c r="C4123" s="4" t="str">
        <f>hyperlink("https://terraria.gamepedia.com/Doors","Vortex Door")</f>
        <v>Vortex Door</v>
      </c>
    </row>
    <row r="4124">
      <c r="A4124" s="2">
        <v>4177.0</v>
      </c>
      <c r="B4124" s="3" t="s">
        <v>7</v>
      </c>
      <c r="C4124" s="4" t="str">
        <f>hyperlink("https://terraria.gamepedia.com/Lamps","Vortex Lamp")</f>
        <v>Vortex Lamp</v>
      </c>
    </row>
    <row r="4125">
      <c r="A4125" s="2">
        <v>4178.0</v>
      </c>
      <c r="B4125" s="3" t="s">
        <v>7</v>
      </c>
      <c r="C4125" s="4" t="str">
        <f>hyperlink("https://terraria.gamepedia.com/Lanterns","Vortex Lantern")</f>
        <v>Vortex Lantern</v>
      </c>
    </row>
    <row r="4126">
      <c r="A4126" s="2">
        <v>4179.0</v>
      </c>
      <c r="B4126" s="3" t="s">
        <v>31</v>
      </c>
      <c r="C4126" s="4" t="str">
        <f>hyperlink("https://terraria.gamepedia.com/Pianos","Vortex Piano")</f>
        <v>Vortex Piano</v>
      </c>
    </row>
    <row r="4127">
      <c r="A4127" s="2">
        <v>4180.0</v>
      </c>
      <c r="B4127" s="3" t="s">
        <v>8</v>
      </c>
      <c r="C4127" s="4" t="str">
        <f>hyperlink("https://terraria.gamepedia.com/Platforms","Vortex Platform")</f>
        <v>Vortex Platform</v>
      </c>
    </row>
    <row r="4128">
      <c r="A4128" s="2">
        <v>4181.0</v>
      </c>
      <c r="B4128" s="3" t="s">
        <v>31</v>
      </c>
      <c r="C4128" s="4" t="str">
        <f>hyperlink("https://terraria.gamepedia.com/Sinks","Vortex Sink")</f>
        <v>Vortex Sink</v>
      </c>
    </row>
    <row r="4129">
      <c r="A4129" s="2">
        <v>4182.0</v>
      </c>
      <c r="B4129" s="3" t="s">
        <v>31</v>
      </c>
      <c r="C4129" s="4" t="str">
        <f>hyperlink("https://terraria.gamepedia.com/Sofas","Vortex Sofa")</f>
        <v>Vortex Sofa</v>
      </c>
    </row>
    <row r="4130">
      <c r="A4130" s="2">
        <v>4183.0</v>
      </c>
      <c r="B4130" s="3" t="s">
        <v>31</v>
      </c>
      <c r="C4130" s="4" t="str">
        <f>hyperlink("https://terraria.gamepedia.com/Tables","Vortex Table")</f>
        <v>Vortex Table</v>
      </c>
    </row>
    <row r="4131">
      <c r="A4131" s="2">
        <v>4184.0</v>
      </c>
      <c r="B4131" s="3" t="s">
        <v>31</v>
      </c>
      <c r="C4131" s="4" t="str">
        <f>hyperlink("https://terraria.gamepedia.com/Work_Benches","Vortex Work Bench")</f>
        <v>Vortex Work Bench</v>
      </c>
    </row>
    <row r="4132">
      <c r="A4132" s="2">
        <v>4185.0</v>
      </c>
      <c r="B4132" s="3" t="s">
        <v>28</v>
      </c>
      <c r="C4132" s="4" t="str">
        <f>hyperlink("https://terraria.gamepedia.com/Trapped_Chests","Trapped Vortex Chest")</f>
        <v>Trapped Vortex Chest</v>
      </c>
    </row>
    <row r="4133">
      <c r="A4133" s="2">
        <v>4186.0</v>
      </c>
      <c r="B4133" s="3" t="s">
        <v>31</v>
      </c>
      <c r="C4133" s="4" t="str">
        <f>hyperlink("https://terraria.gamepedia.com/Toilets","Vortex Toilet")</f>
        <v>Vortex Toilet</v>
      </c>
    </row>
    <row r="4134">
      <c r="A4134" s="2">
        <v>4187.0</v>
      </c>
      <c r="B4134" s="3" t="s">
        <v>31</v>
      </c>
      <c r="C4134" s="4" t="str">
        <f>hyperlink("https://terraria.gamepedia.com/Bathtubs","Nebula Bathtub")</f>
        <v>Nebula Bathtub</v>
      </c>
    </row>
    <row r="4135">
      <c r="A4135" s="2">
        <v>4188.0</v>
      </c>
      <c r="B4135" s="3" t="s">
        <v>31</v>
      </c>
      <c r="C4135" s="4" t="str">
        <f>hyperlink("https://terraria.gamepedia.com/Beds","Nebula Bed")</f>
        <v>Nebula Bed</v>
      </c>
    </row>
    <row r="4136">
      <c r="A4136" s="2">
        <v>4189.0</v>
      </c>
      <c r="B4136" s="3" t="s">
        <v>31</v>
      </c>
      <c r="C4136" s="4" t="str">
        <f>hyperlink("https://terraria.gamepedia.com/Bookcases","Nebula Bookcase")</f>
        <v>Nebula Bookcase</v>
      </c>
    </row>
    <row r="4137">
      <c r="A4137" s="2">
        <v>4190.0</v>
      </c>
      <c r="B4137" s="3" t="s">
        <v>31</v>
      </c>
      <c r="C4137" s="4" t="str">
        <f>hyperlink("https://terraria.gamepedia.com/Dressers","Nebula Dresser")</f>
        <v>Nebula Dresser</v>
      </c>
    </row>
    <row r="4138">
      <c r="A4138" s="2">
        <v>4191.0</v>
      </c>
      <c r="B4138" s="3" t="s">
        <v>7</v>
      </c>
      <c r="C4138" s="4" t="str">
        <f>hyperlink("https://terraria.gamepedia.com/Candelabras","Nebula Candelabra")</f>
        <v>Nebula Candelabra</v>
      </c>
    </row>
    <row r="4139">
      <c r="A4139" s="2">
        <v>4192.0</v>
      </c>
      <c r="B4139" s="3" t="s">
        <v>7</v>
      </c>
      <c r="C4139" s="4" t="str">
        <f>hyperlink("https://terraria.gamepedia.com/Candles","Nebula Candle")</f>
        <v>Nebula Candle</v>
      </c>
    </row>
    <row r="4140">
      <c r="A4140" s="2">
        <v>4193.0</v>
      </c>
      <c r="B4140" s="3" t="s">
        <v>31</v>
      </c>
      <c r="C4140" s="4" t="str">
        <f>hyperlink("https://terraria.gamepedia.com/Chairs","Nebula Chair")</f>
        <v>Nebula Chair</v>
      </c>
    </row>
    <row r="4141">
      <c r="A4141" s="2">
        <v>4194.0</v>
      </c>
      <c r="B4141" s="3" t="s">
        <v>7</v>
      </c>
      <c r="C4141" s="4" t="str">
        <f>hyperlink("https://terraria.gamepedia.com/Chandeliers","Nebula Chandelier")</f>
        <v>Nebula Chandelier</v>
      </c>
    </row>
    <row r="4142">
      <c r="A4142" s="2">
        <v>4195.0</v>
      </c>
      <c r="B4142" s="3" t="s">
        <v>20</v>
      </c>
      <c r="C4142" s="4" t="str">
        <f>hyperlink("https://terraria.gamepedia.com/Chests","Nebula Chest")</f>
        <v>Nebula Chest</v>
      </c>
    </row>
    <row r="4143">
      <c r="A4143" s="2">
        <v>4196.0</v>
      </c>
      <c r="B4143" s="3" t="s">
        <v>31</v>
      </c>
      <c r="C4143" s="4" t="str">
        <f>hyperlink("https://terraria.gamepedia.com/Grandfather_Clocks","Nebula Clock")</f>
        <v>Nebula Clock</v>
      </c>
    </row>
    <row r="4144">
      <c r="A4144" s="2">
        <v>4197.0</v>
      </c>
      <c r="B4144" s="3" t="s">
        <v>31</v>
      </c>
      <c r="C4144" s="4" t="str">
        <f>hyperlink("https://terraria.gamepedia.com/Doors","Nebula Door")</f>
        <v>Nebula Door</v>
      </c>
    </row>
    <row r="4145">
      <c r="A4145" s="2">
        <v>4198.0</v>
      </c>
      <c r="B4145" s="3" t="s">
        <v>7</v>
      </c>
      <c r="C4145" s="4" t="str">
        <f>hyperlink("https://terraria.gamepedia.com/Lamps","Nebula Lamp")</f>
        <v>Nebula Lamp</v>
      </c>
    </row>
    <row r="4146">
      <c r="A4146" s="2">
        <v>4199.0</v>
      </c>
      <c r="B4146" s="3" t="s">
        <v>7</v>
      </c>
      <c r="C4146" s="4" t="str">
        <f>hyperlink("https://terraria.gamepedia.com/Lanterns","Nebula Lantern")</f>
        <v>Nebula Lantern</v>
      </c>
    </row>
    <row r="4147">
      <c r="A4147" s="2">
        <v>4200.0</v>
      </c>
      <c r="B4147" s="3" t="s">
        <v>31</v>
      </c>
      <c r="C4147" s="4" t="str">
        <f>hyperlink("https://terraria.gamepedia.com/Pianos","Nebula Piano")</f>
        <v>Nebula Piano</v>
      </c>
    </row>
    <row r="4148">
      <c r="A4148" s="2">
        <v>4201.0</v>
      </c>
      <c r="B4148" s="3" t="s">
        <v>8</v>
      </c>
      <c r="C4148" s="4" t="str">
        <f>hyperlink("https://terraria.gamepedia.com/Platforms","Nebula Platform")</f>
        <v>Nebula Platform</v>
      </c>
    </row>
    <row r="4149">
      <c r="A4149" s="2">
        <v>4202.0</v>
      </c>
      <c r="B4149" s="3" t="s">
        <v>31</v>
      </c>
      <c r="C4149" s="4" t="str">
        <f>hyperlink("https://terraria.gamepedia.com/Sinks","Nebula Sink")</f>
        <v>Nebula Sink</v>
      </c>
    </row>
    <row r="4150">
      <c r="A4150" s="2">
        <v>4203.0</v>
      </c>
      <c r="B4150" s="3" t="s">
        <v>31</v>
      </c>
      <c r="C4150" s="4" t="str">
        <f>hyperlink("https://terraria.gamepedia.com/Sofas","Nebula Sofa")</f>
        <v>Nebula Sofa</v>
      </c>
    </row>
    <row r="4151">
      <c r="A4151" s="2">
        <v>4204.0</v>
      </c>
      <c r="B4151" s="3" t="s">
        <v>31</v>
      </c>
      <c r="C4151" s="4" t="str">
        <f>hyperlink("https://terraria.gamepedia.com/Tables","Nebula Table")</f>
        <v>Nebula Table</v>
      </c>
    </row>
    <row r="4152">
      <c r="A4152" s="2">
        <v>4205.0</v>
      </c>
      <c r="B4152" s="3" t="s">
        <v>31</v>
      </c>
      <c r="C4152" s="4" t="str">
        <f>hyperlink("https://terraria.gamepedia.com/Work_Benches","Nebula Work Bench")</f>
        <v>Nebula Work Bench</v>
      </c>
    </row>
    <row r="4153">
      <c r="A4153" s="2">
        <v>4206.0</v>
      </c>
      <c r="B4153" s="3" t="s">
        <v>28</v>
      </c>
      <c r="C4153" s="4" t="str">
        <f>hyperlink("https://terraria.gamepedia.com/Trapped_Chests","Trapped Nebula Chest")</f>
        <v>Trapped Nebula Chest</v>
      </c>
    </row>
    <row r="4154">
      <c r="A4154" s="2">
        <v>4207.0</v>
      </c>
      <c r="B4154" s="3" t="s">
        <v>31</v>
      </c>
      <c r="C4154" s="4" t="str">
        <f>hyperlink("https://terraria.gamepedia.com/Toilets","Nebula Toilet")</f>
        <v>Nebula Toilet</v>
      </c>
    </row>
    <row r="4155">
      <c r="A4155" s="2">
        <v>4208.0</v>
      </c>
      <c r="B4155" s="3" t="s">
        <v>31</v>
      </c>
      <c r="C4155" s="4" t="str">
        <f>hyperlink("https://terraria.gamepedia.com/Bathtubs","Stardust Bathtub")</f>
        <v>Stardust Bathtub</v>
      </c>
    </row>
    <row r="4156">
      <c r="A4156" s="2">
        <v>4209.0</v>
      </c>
      <c r="B4156" s="3" t="s">
        <v>31</v>
      </c>
      <c r="C4156" s="4" t="str">
        <f>hyperlink("https://terraria.gamepedia.com/Beds","Stardust Bed")</f>
        <v>Stardust Bed</v>
      </c>
    </row>
    <row r="4157">
      <c r="A4157" s="2">
        <v>4210.0</v>
      </c>
      <c r="B4157" s="3" t="s">
        <v>31</v>
      </c>
      <c r="C4157" s="4" t="str">
        <f>hyperlink("https://terraria.gamepedia.com/Bookcases","Stardust Bookcase")</f>
        <v>Stardust Bookcase</v>
      </c>
    </row>
    <row r="4158">
      <c r="A4158" s="2">
        <v>4211.0</v>
      </c>
      <c r="B4158" s="3" t="s">
        <v>31</v>
      </c>
      <c r="C4158" s="4" t="str">
        <f>hyperlink("https://terraria.gamepedia.com/Dressers","Stardust Dresser")</f>
        <v>Stardust Dresser</v>
      </c>
    </row>
    <row r="4159">
      <c r="A4159" s="2">
        <v>4212.0</v>
      </c>
      <c r="B4159" s="3" t="s">
        <v>7</v>
      </c>
      <c r="C4159" s="4" t="str">
        <f>hyperlink("https://terraria.gamepedia.com/Candelabras","Stardust Candelabra")</f>
        <v>Stardust Candelabra</v>
      </c>
    </row>
    <row r="4160">
      <c r="A4160" s="2">
        <v>4213.0</v>
      </c>
      <c r="B4160" s="3" t="s">
        <v>7</v>
      </c>
      <c r="C4160" s="4" t="str">
        <f>hyperlink("https://terraria.gamepedia.com/Candles","Stardust Candle")</f>
        <v>Stardust Candle</v>
      </c>
    </row>
    <row r="4161">
      <c r="A4161" s="2">
        <v>4214.0</v>
      </c>
      <c r="B4161" s="3" t="s">
        <v>31</v>
      </c>
      <c r="C4161" s="4" t="str">
        <f>hyperlink("https://terraria.gamepedia.com/Chairs","Stardust Chair")</f>
        <v>Stardust Chair</v>
      </c>
    </row>
    <row r="4162">
      <c r="A4162" s="2">
        <v>4215.0</v>
      </c>
      <c r="B4162" s="3" t="s">
        <v>7</v>
      </c>
      <c r="C4162" s="4" t="str">
        <f>hyperlink("https://terraria.gamepedia.com/Chandeliers","Stardust Chandelier")</f>
        <v>Stardust Chandelier</v>
      </c>
    </row>
    <row r="4163">
      <c r="A4163" s="2">
        <v>4216.0</v>
      </c>
      <c r="B4163" s="3" t="s">
        <v>20</v>
      </c>
      <c r="C4163" s="4" t="str">
        <f>hyperlink("https://terraria.gamepedia.com/Chests","Stardust Chest")</f>
        <v>Stardust Chest</v>
      </c>
    </row>
    <row r="4164">
      <c r="A4164" s="2">
        <v>4217.0</v>
      </c>
      <c r="B4164" s="3" t="s">
        <v>31</v>
      </c>
      <c r="C4164" s="4" t="str">
        <f>hyperlink("https://terraria.gamepedia.com/Grandfather_Clocks","Stardust Clock")</f>
        <v>Stardust Clock</v>
      </c>
    </row>
    <row r="4165">
      <c r="A4165" s="2">
        <v>4218.0</v>
      </c>
      <c r="B4165" s="3" t="s">
        <v>31</v>
      </c>
      <c r="C4165" s="4" t="str">
        <f>hyperlink("https://terraria.gamepedia.com/Doors","Stardust Door")</f>
        <v>Stardust Door</v>
      </c>
    </row>
    <row r="4166">
      <c r="A4166" s="2">
        <v>4219.0</v>
      </c>
      <c r="B4166" s="3" t="s">
        <v>7</v>
      </c>
      <c r="C4166" s="4" t="str">
        <f>hyperlink("https://terraria.gamepedia.com/Lamps","Stardust Lamp")</f>
        <v>Stardust Lamp</v>
      </c>
    </row>
    <row r="4167">
      <c r="A4167" s="2">
        <v>4220.0</v>
      </c>
      <c r="B4167" s="3" t="s">
        <v>7</v>
      </c>
      <c r="C4167" s="4" t="str">
        <f>hyperlink("https://terraria.gamepedia.com/Lanterns","Stardust Lantern")</f>
        <v>Stardust Lantern</v>
      </c>
    </row>
    <row r="4168">
      <c r="A4168" s="2">
        <v>4221.0</v>
      </c>
      <c r="B4168" s="3" t="s">
        <v>31</v>
      </c>
      <c r="C4168" s="4" t="str">
        <f>hyperlink("https://terraria.gamepedia.com/Pianos","Stardust Piano")</f>
        <v>Stardust Piano</v>
      </c>
    </row>
    <row r="4169">
      <c r="A4169" s="2">
        <v>4222.0</v>
      </c>
      <c r="B4169" s="3" t="s">
        <v>8</v>
      </c>
      <c r="C4169" s="4" t="str">
        <f>hyperlink("https://terraria.gamepedia.com/Platforms","Stardust Platform")</f>
        <v>Stardust Platform</v>
      </c>
    </row>
    <row r="4170">
      <c r="A4170" s="2">
        <v>4223.0</v>
      </c>
      <c r="B4170" s="3" t="s">
        <v>31</v>
      </c>
      <c r="C4170" s="4" t="str">
        <f>hyperlink("https://terraria.gamepedia.com/Sinks","Stardust Sink")</f>
        <v>Stardust Sink</v>
      </c>
    </row>
    <row r="4171">
      <c r="A4171" s="2">
        <v>4224.0</v>
      </c>
      <c r="B4171" s="3" t="s">
        <v>31</v>
      </c>
      <c r="C4171" s="4" t="str">
        <f>hyperlink("https://terraria.gamepedia.com/Sofas","Stardust Sofa")</f>
        <v>Stardust Sofa</v>
      </c>
    </row>
    <row r="4172">
      <c r="A4172" s="2">
        <v>4225.0</v>
      </c>
      <c r="B4172" s="3" t="s">
        <v>31</v>
      </c>
      <c r="C4172" s="4" t="str">
        <f>hyperlink("https://terraria.gamepedia.com/Tables","Stardust Table")</f>
        <v>Stardust Table</v>
      </c>
    </row>
    <row r="4173">
      <c r="A4173" s="2">
        <v>4226.0</v>
      </c>
      <c r="B4173" s="3" t="s">
        <v>31</v>
      </c>
      <c r="C4173" s="4" t="str">
        <f>hyperlink("https://terraria.gamepedia.com/Work_Benches","Stardust Work Bench")</f>
        <v>Stardust Work Bench</v>
      </c>
    </row>
    <row r="4174">
      <c r="A4174" s="2">
        <v>4227.0</v>
      </c>
      <c r="B4174" s="3" t="s">
        <v>28</v>
      </c>
      <c r="C4174" s="4" t="str">
        <f>hyperlink("https://terraria.gamepedia.com/Trapped_Chests","Trapped Stardust Chest")</f>
        <v>Trapped Stardust Chest</v>
      </c>
    </row>
    <row r="4175">
      <c r="A4175" s="2">
        <v>4228.0</v>
      </c>
      <c r="B4175" s="3" t="s">
        <v>31</v>
      </c>
      <c r="C4175" s="4" t="str">
        <f>hyperlink("https://terraria.gamepedia.com/Toilets","Stardust Toilet")</f>
        <v>Stardust Toilet</v>
      </c>
    </row>
    <row r="4176">
      <c r="A4176" s="2">
        <v>4229.0</v>
      </c>
      <c r="B4176" s="3" t="s">
        <v>4</v>
      </c>
      <c r="C4176" s="4" t="str">
        <f>hyperlink("https://terraria.gamepedia.com/Solar_Brick","Solar Brick")</f>
        <v>Solar Brick</v>
      </c>
    </row>
    <row r="4177">
      <c r="A4177" s="2">
        <v>4230.0</v>
      </c>
      <c r="B4177" s="3" t="s">
        <v>4</v>
      </c>
      <c r="C4177" s="4" t="str">
        <f>hyperlink("https://terraria.gamepedia.com/Vortex_Brick","Vortex Brick")</f>
        <v>Vortex Brick</v>
      </c>
    </row>
    <row r="4178">
      <c r="A4178" s="2">
        <v>4231.0</v>
      </c>
      <c r="B4178" s="3" t="s">
        <v>4</v>
      </c>
      <c r="C4178" s="4" t="str">
        <f>hyperlink("https://terraria.gamepedia.com/Nebula_Brick","Nebula Brick")</f>
        <v>Nebula Brick</v>
      </c>
    </row>
    <row r="4179">
      <c r="A4179" s="2">
        <v>4232.0</v>
      </c>
      <c r="B4179" s="3" t="s">
        <v>4</v>
      </c>
      <c r="C4179" s="4" t="str">
        <f>hyperlink("https://terraria.gamepedia.com/Stardust_Brick","Stardust Brick")</f>
        <v>Stardust Brick</v>
      </c>
    </row>
    <row r="4180">
      <c r="A4180" s="2">
        <v>4233.0</v>
      </c>
      <c r="B4180" s="3" t="s">
        <v>13</v>
      </c>
      <c r="C4180" s="4" t="str">
        <f>hyperlink("https://terraria.gamepedia.com/Solar_Brick_Wall","Solar Brick Wall")</f>
        <v>Solar Brick Wall</v>
      </c>
    </row>
    <row r="4181">
      <c r="A4181" s="2">
        <v>4234.0</v>
      </c>
      <c r="B4181" s="3" t="s">
        <v>13</v>
      </c>
      <c r="C4181" s="4" t="str">
        <f>hyperlink("https://terraria.gamepedia.com/Vortex_Brick_Wall","Vortex Brick Wall")</f>
        <v>Vortex Brick Wall</v>
      </c>
    </row>
    <row r="4182">
      <c r="A4182" s="2">
        <v>4235.0</v>
      </c>
      <c r="B4182" s="3" t="s">
        <v>13</v>
      </c>
      <c r="C4182" s="4" t="str">
        <f>hyperlink("https://terraria.gamepedia.com/Nebula_Brick_Wall","Nebula Brick Wall")</f>
        <v>Nebula Brick Wall</v>
      </c>
    </row>
    <row r="4183">
      <c r="A4183" s="2">
        <v>4236.0</v>
      </c>
      <c r="B4183" s="3" t="s">
        <v>13</v>
      </c>
      <c r="C4183" s="4" t="str">
        <f>hyperlink("https://terraria.gamepedia.com/Stardust_Brick_Wall","Stardust Brick Wall")</f>
        <v>Stardust Brick Wall</v>
      </c>
    </row>
    <row r="4184">
      <c r="A4184" s="2">
        <v>4237.0</v>
      </c>
      <c r="B4184" s="3" t="s">
        <v>29</v>
      </c>
      <c r="C4184" s="4" t="str">
        <f>hyperlink("https://terraria.gamepedia.com/Music_Boxes","Music Box (Day Remix)")</f>
        <v>Music Box (Day Remix)</v>
      </c>
    </row>
    <row r="4185">
      <c r="A4185" s="2">
        <v>4238.0</v>
      </c>
      <c r="B4185" s="3" t="s">
        <v>4</v>
      </c>
      <c r="C4185" s="4" t="str">
        <f>hyperlink("https://terraria.gamepedia.com/Cracked_Dungeon_Bricks","Cracked Blue Brick")</f>
        <v>Cracked Blue Brick</v>
      </c>
    </row>
    <row r="4186">
      <c r="A4186" s="2">
        <v>4239.0</v>
      </c>
      <c r="B4186" s="3" t="s">
        <v>4</v>
      </c>
      <c r="C4186" s="4" t="str">
        <f>hyperlink("https://terraria.gamepedia.com/Cracked_Dungeon_Bricks","Cracked Green Brick")</f>
        <v>Cracked Green Brick</v>
      </c>
    </row>
    <row r="4187">
      <c r="A4187" s="2">
        <v>4240.0</v>
      </c>
      <c r="B4187" s="3" t="s">
        <v>4</v>
      </c>
      <c r="C4187" s="4" t="str">
        <f>hyperlink("https://terraria.gamepedia.com/Cracked_Dungeon_Bricks","Cracked Pink Brick")</f>
        <v>Cracked Pink Brick</v>
      </c>
    </row>
    <row r="4188">
      <c r="A4188" s="2">
        <v>4241.0</v>
      </c>
      <c r="B4188" s="3" t="s">
        <v>6</v>
      </c>
      <c r="C4188" s="4" t="str">
        <f>hyperlink("https://terraria.gamepedia.com/Flower_Seeds","Wild Flower Seeds")</f>
        <v>Wild Flower Seeds</v>
      </c>
    </row>
    <row r="4189">
      <c r="A4189" s="2">
        <v>4242.0</v>
      </c>
      <c r="B4189" s="3" t="s">
        <v>41</v>
      </c>
      <c r="C4189" s="4" t="str">
        <f>hyperlink("https://terraria.gamepedia.com/Golf_Balls","Black Golf Ball")</f>
        <v>Black Golf Ball</v>
      </c>
    </row>
    <row r="4190">
      <c r="A4190" s="2">
        <v>4243.0</v>
      </c>
      <c r="B4190" s="3" t="s">
        <v>41</v>
      </c>
      <c r="C4190" s="4" t="str">
        <f>hyperlink("https://terraria.gamepedia.com/Golf_Balls","Blue Golf Ball")</f>
        <v>Blue Golf Ball</v>
      </c>
    </row>
    <row r="4191">
      <c r="A4191" s="2">
        <v>4244.0</v>
      </c>
      <c r="B4191" s="3" t="s">
        <v>41</v>
      </c>
      <c r="C4191" s="4" t="str">
        <f>hyperlink("https://terraria.gamepedia.com/Golf_Balls","Brown Golf Ball")</f>
        <v>Brown Golf Ball</v>
      </c>
    </row>
    <row r="4192">
      <c r="A4192" s="2">
        <v>4245.0</v>
      </c>
      <c r="B4192" s="3" t="s">
        <v>41</v>
      </c>
      <c r="C4192" s="4" t="str">
        <f>hyperlink("https://terraria.gamepedia.com/Golf_Balls","Cyan Golf Ball")</f>
        <v>Cyan Golf Ball</v>
      </c>
    </row>
    <row r="4193">
      <c r="A4193" s="2">
        <v>4246.0</v>
      </c>
      <c r="B4193" s="3" t="s">
        <v>41</v>
      </c>
      <c r="C4193" s="4" t="str">
        <f>hyperlink("https://terraria.gamepedia.com/Golf_Balls","Green Golf Ball")</f>
        <v>Green Golf Ball</v>
      </c>
    </row>
    <row r="4194">
      <c r="A4194" s="2">
        <v>4247.0</v>
      </c>
      <c r="B4194" s="3" t="s">
        <v>41</v>
      </c>
      <c r="C4194" s="4" t="str">
        <f>hyperlink("https://terraria.gamepedia.com/Golf_Balls","Lime Golf Ball")</f>
        <v>Lime Golf Ball</v>
      </c>
    </row>
    <row r="4195">
      <c r="A4195" s="2">
        <v>4248.0</v>
      </c>
      <c r="B4195" s="3" t="s">
        <v>41</v>
      </c>
      <c r="C4195" s="4" t="str">
        <f>hyperlink("https://terraria.gamepedia.com/Golf_Balls","Orange Golf Ball")</f>
        <v>Orange Golf Ball</v>
      </c>
    </row>
    <row r="4196">
      <c r="A4196" s="2">
        <v>4249.0</v>
      </c>
      <c r="B4196" s="3" t="s">
        <v>41</v>
      </c>
      <c r="C4196" s="4" t="str">
        <f>hyperlink("https://terraria.gamepedia.com/Golf_Balls","Pink Golf Ball")</f>
        <v>Pink Golf Ball</v>
      </c>
    </row>
    <row r="4197">
      <c r="A4197" s="2">
        <v>4250.0</v>
      </c>
      <c r="B4197" s="3" t="s">
        <v>41</v>
      </c>
      <c r="C4197" s="4" t="str">
        <f>hyperlink("https://terraria.gamepedia.com/Golf_Balls","Purple Golf Ball")</f>
        <v>Purple Golf Ball</v>
      </c>
    </row>
    <row r="4198">
      <c r="A4198" s="2">
        <v>4251.0</v>
      </c>
      <c r="B4198" s="3" t="s">
        <v>41</v>
      </c>
      <c r="C4198" s="4" t="str">
        <f>hyperlink("https://terraria.gamepedia.com/Golf_Balls","Red Golf Ball")</f>
        <v>Red Golf Ball</v>
      </c>
    </row>
    <row r="4199">
      <c r="A4199" s="2">
        <v>4252.0</v>
      </c>
      <c r="B4199" s="3" t="s">
        <v>41</v>
      </c>
      <c r="C4199" s="4" t="str">
        <f>hyperlink("https://terraria.gamepedia.com/Golf_Balls","Sky Blue Golf Ball")</f>
        <v>Sky Blue Golf Ball</v>
      </c>
    </row>
    <row r="4200">
      <c r="A4200" s="2">
        <v>4253.0</v>
      </c>
      <c r="B4200" s="3" t="s">
        <v>41</v>
      </c>
      <c r="C4200" s="4" t="str">
        <f>hyperlink("https://terraria.gamepedia.com/Golf_Balls","Teal Golf Ball")</f>
        <v>Teal Golf Ball</v>
      </c>
    </row>
    <row r="4201">
      <c r="A4201" s="2">
        <v>4254.0</v>
      </c>
      <c r="B4201" s="3" t="s">
        <v>41</v>
      </c>
      <c r="C4201" s="4" t="str">
        <f>hyperlink("https://terraria.gamepedia.com/Golf_Balls","Violet Golf Ball")</f>
        <v>Violet Golf Ball</v>
      </c>
    </row>
    <row r="4202">
      <c r="A4202" s="2">
        <v>4255.0</v>
      </c>
      <c r="B4202" s="3" t="s">
        <v>41</v>
      </c>
      <c r="C4202" s="4" t="str">
        <f>hyperlink("https://terraria.gamepedia.com/Golf_Balls","Yellow Golf Ball")</f>
        <v>Yellow Golf Ball</v>
      </c>
    </row>
    <row r="4203">
      <c r="A4203" s="2">
        <v>4256.0</v>
      </c>
      <c r="B4203" s="3" t="s">
        <v>23</v>
      </c>
      <c r="C4203" s="4" t="str">
        <f>hyperlink("https://terraria.gamepedia.com/Amber_Robe","Amber Robe")</f>
        <v>Amber Robe</v>
      </c>
    </row>
    <row r="4204">
      <c r="A4204" s="2">
        <v>4257.0</v>
      </c>
      <c r="B4204" s="3" t="s">
        <v>3</v>
      </c>
      <c r="C4204" s="4" t="str">
        <f>hyperlink("https://terraria.gamepedia.com/Hooks","Amber Hook")</f>
        <v>Amber Hook</v>
      </c>
    </row>
    <row r="4205">
      <c r="A4205" s="2">
        <v>4258.0</v>
      </c>
      <c r="B4205" s="3" t="s">
        <v>5</v>
      </c>
      <c r="C4205" s="4" t="str">
        <f>hyperlink("https://terraria.gamepedia.com/Phaseblades","Orange Phaseblade")</f>
        <v>Orange Phaseblade</v>
      </c>
    </row>
    <row r="4206">
      <c r="A4206" s="2">
        <v>4259.0</v>
      </c>
      <c r="B4206" s="3" t="s">
        <v>5</v>
      </c>
      <c r="C4206" s="4" t="str">
        <f>hyperlink("https://terraria.gamepedia.com/Phasesabers","Orange Phasesaber")</f>
        <v>Orange Phasesaber</v>
      </c>
    </row>
    <row r="4207">
      <c r="A4207" s="2">
        <v>4260.0</v>
      </c>
      <c r="B4207" s="3" t="s">
        <v>13</v>
      </c>
      <c r="C4207" s="4" t="str">
        <f>hyperlink("https://terraria.gamepedia.com/Stained_Glass","Orange Stained Glass")</f>
        <v>Orange Stained Glass</v>
      </c>
    </row>
    <row r="4208">
      <c r="A4208" s="2">
        <v>4261.0</v>
      </c>
      <c r="B4208" s="3" t="s">
        <v>28</v>
      </c>
      <c r="C4208" s="4" t="str">
        <f>hyperlink("https://terraria.gamepedia.com/Pressure_Plates","Orange Pressure Plate")</f>
        <v>Orange Pressure Plate</v>
      </c>
    </row>
    <row r="4209">
      <c r="A4209" s="2">
        <v>4262.0</v>
      </c>
      <c r="B4209" s="3" t="s">
        <v>3</v>
      </c>
      <c r="C4209" s="4" t="str">
        <f>hyperlink("https://terraria.gamepedia.com/Snake_Charmer's_Flute","Snake Charmer's Flute")</f>
        <v>Snake Charmer's Flute</v>
      </c>
    </row>
    <row r="4210">
      <c r="A4210" s="2">
        <v>4263.0</v>
      </c>
      <c r="B4210" s="3" t="s">
        <v>3</v>
      </c>
      <c r="C4210" s="4" t="str">
        <f>hyperlink("https://terraria.gamepedia.com/Magic_Conch","Magic Conch")</f>
        <v>Magic Conch</v>
      </c>
    </row>
    <row r="4211">
      <c r="A4211" s="2">
        <v>4264.0</v>
      </c>
      <c r="B4211" s="3" t="s">
        <v>41</v>
      </c>
      <c r="C4211" s="4" t="str">
        <f>hyperlink("https://terraria.gamepedia.com/Golf_Cart_Keys","Golf Cart Keys")</f>
        <v>Golf Cart Keys</v>
      </c>
    </row>
    <row r="4212">
      <c r="A4212" s="2">
        <v>4265.0</v>
      </c>
      <c r="B4212" s="3" t="s">
        <v>20</v>
      </c>
      <c r="C4212" s="4" t="str">
        <f>hyperlink("https://terraria.gamepedia.com/Chests","Golf Chest")</f>
        <v>Golf Chest</v>
      </c>
    </row>
    <row r="4213">
      <c r="A4213" s="2">
        <v>4266.0</v>
      </c>
      <c r="B4213" s="3" t="s">
        <v>28</v>
      </c>
      <c r="C4213" s="4" t="str">
        <f>hyperlink("https://terraria.gamepedia.com/Trapped_Chests","Trapped Golf Chest")</f>
        <v>Trapped Golf Chest</v>
      </c>
    </row>
    <row r="4214">
      <c r="A4214" s="2">
        <v>4267.0</v>
      </c>
      <c r="B4214" s="3" t="s">
        <v>20</v>
      </c>
      <c r="C4214" s="4" t="str">
        <f>hyperlink("https://terraria.gamepedia.com/Sandstone_Chest","Sandstone Chest")</f>
        <v>Sandstone Chest</v>
      </c>
    </row>
    <row r="4215">
      <c r="A4215" s="2">
        <v>4268.0</v>
      </c>
      <c r="B4215" s="3" t="s">
        <v>28</v>
      </c>
      <c r="C4215" s="4" t="str">
        <f>hyperlink("https://terraria.gamepedia.com/Trapped_Chests","Trapped Sandstone Chest")</f>
        <v>Trapped Sandstone Chest</v>
      </c>
    </row>
    <row r="4216">
      <c r="A4216" s="2">
        <v>4269.0</v>
      </c>
      <c r="B4216" s="3" t="s">
        <v>5</v>
      </c>
      <c r="C4216" s="4" t="str">
        <f>hyperlink("https://terraria.gamepedia.com/Sanguine_Staff","Sanguine Staff")</f>
        <v>Sanguine Staff</v>
      </c>
    </row>
    <row r="4217">
      <c r="A4217" s="2">
        <v>4270.0</v>
      </c>
      <c r="B4217" s="3" t="s">
        <v>5</v>
      </c>
      <c r="C4217" s="4" t="str">
        <f>hyperlink("https://terraria.gamepedia.com/Blood_Thorn","Blood Thorn")</f>
        <v>Blood Thorn</v>
      </c>
    </row>
    <row r="4218">
      <c r="A4218" s="2">
        <v>4271.0</v>
      </c>
      <c r="B4218" s="3" t="s">
        <v>19</v>
      </c>
      <c r="C4218" s="4" t="str">
        <f>hyperlink("https://terraria.gamepedia.com/Bloody_Tear","Bloody Tear")</f>
        <v>Bloody Tear</v>
      </c>
    </row>
    <row r="4219">
      <c r="A4219" s="2">
        <v>4272.0</v>
      </c>
      <c r="B4219" s="3" t="s">
        <v>5</v>
      </c>
      <c r="C4219" s="4" t="str">
        <f>hyperlink("https://terraria.gamepedia.com/Drippler_Crippler","Drippler Crippler")</f>
        <v>Drippler Crippler</v>
      </c>
    </row>
    <row r="4220">
      <c r="A4220" s="2">
        <v>4273.0</v>
      </c>
      <c r="B4220" s="3" t="s">
        <v>5</v>
      </c>
      <c r="C4220" s="4" t="str">
        <f>hyperlink("https://terraria.gamepedia.com/Vampire_Frog_Staff","Vampire Frog Staff")</f>
        <v>Vampire Frog Staff</v>
      </c>
    </row>
    <row r="4221">
      <c r="A4221" s="2">
        <v>4274.0</v>
      </c>
      <c r="B4221" s="3" t="s">
        <v>24</v>
      </c>
      <c r="C4221" s="4" t="str">
        <f>hyperlink("https://terraria.gamepedia.com/Gold_Goldfish","Gold Goldfish")</f>
        <v>Gold Goldfish</v>
      </c>
    </row>
    <row r="4222">
      <c r="A4222" s="2">
        <v>4275.0</v>
      </c>
      <c r="B4222" s="3" t="s">
        <v>24</v>
      </c>
      <c r="C4222" s="4" t="str">
        <f>hyperlink("https://terraria.gamepedia.com/Fish_Bowls","Gold Fish Bowl")</f>
        <v>Gold Fish Bowl</v>
      </c>
    </row>
    <row r="4223">
      <c r="A4223" s="2">
        <v>4276.0</v>
      </c>
      <c r="B4223" s="3" t="s">
        <v>21</v>
      </c>
      <c r="C4223" s="4" t="str">
        <f>hyperlink("https://terraria.gamepedia.com/Bast_Statue","Bast Statue")</f>
        <v>Bast Statue</v>
      </c>
    </row>
    <row r="4224">
      <c r="A4224" s="2">
        <v>4277.0</v>
      </c>
      <c r="B4224" s="3" t="s">
        <v>4</v>
      </c>
      <c r="C4224" s="4" t="str">
        <f>hyperlink("https://terraria.gamepedia.com/Gold_Starry_Block","Gold Starry Block")</f>
        <v>Gold Starry Block</v>
      </c>
    </row>
    <row r="4225">
      <c r="A4225" s="2">
        <v>4278.0</v>
      </c>
      <c r="B4225" s="3" t="s">
        <v>4</v>
      </c>
      <c r="C4225" s="4" t="str">
        <f>hyperlink("https://terraria.gamepedia.com/Blue_Starry_Block","Blue Starry Block")</f>
        <v>Blue Starry Block</v>
      </c>
    </row>
    <row r="4226">
      <c r="A4226" s="2">
        <v>4279.0</v>
      </c>
      <c r="B4226" s="3" t="s">
        <v>13</v>
      </c>
      <c r="C4226" s="4" t="str">
        <f>hyperlink("https://terraria.gamepedia.com/Gold_Starry_Wall","Gold Starry Wall")</f>
        <v>Gold Starry Wall</v>
      </c>
    </row>
    <row r="4227">
      <c r="A4227" s="2">
        <v>4280.0</v>
      </c>
      <c r="B4227" s="3" t="s">
        <v>13</v>
      </c>
      <c r="C4227" s="4" t="str">
        <f>hyperlink("https://terraria.gamepedia.com/Blue_Starry_Wall","Blue Starry Wall")</f>
        <v>Blue Starry Wall</v>
      </c>
    </row>
    <row r="4228">
      <c r="A4228" s="2">
        <v>4281.0</v>
      </c>
      <c r="B4228" s="3" t="s">
        <v>5</v>
      </c>
      <c r="C4228" s="4" t="str">
        <f>hyperlink("https://terraria.gamepedia.com/Finch_Staff","Finch Staff")</f>
        <v>Finch Staff</v>
      </c>
    </row>
    <row r="4229">
      <c r="A4229" s="2">
        <v>4282.0</v>
      </c>
      <c r="B4229" s="3" t="s">
        <v>26</v>
      </c>
      <c r="C4229" s="4" t="str">
        <f>hyperlink("https://terraria.gamepedia.com/Apricot","Apricot")</f>
        <v>Apricot</v>
      </c>
    </row>
    <row r="4230">
      <c r="A4230" s="2">
        <v>4283.0</v>
      </c>
      <c r="B4230" s="3" t="s">
        <v>26</v>
      </c>
      <c r="C4230" s="4" t="str">
        <f>hyperlink("https://terraria.gamepedia.com/Banana","Banana")</f>
        <v>Banana</v>
      </c>
    </row>
    <row r="4231">
      <c r="A4231" s="2">
        <v>4284.0</v>
      </c>
      <c r="B4231" s="3" t="s">
        <v>26</v>
      </c>
      <c r="C4231" s="4" t="str">
        <f>hyperlink("https://terraria.gamepedia.com/Blackcurrant","Blackcurrant")</f>
        <v>Blackcurrant</v>
      </c>
    </row>
    <row r="4232">
      <c r="A4232" s="2">
        <v>4285.0</v>
      </c>
      <c r="B4232" s="3" t="s">
        <v>26</v>
      </c>
      <c r="C4232" s="4" t="str">
        <f>hyperlink("https://terraria.gamepedia.com/Blood_Orange","Blood Orange")</f>
        <v>Blood Orange</v>
      </c>
    </row>
    <row r="4233">
      <c r="A4233" s="2">
        <v>4286.0</v>
      </c>
      <c r="B4233" s="3" t="s">
        <v>26</v>
      </c>
      <c r="C4233" s="4" t="str">
        <f>hyperlink("https://terraria.gamepedia.com/Cherry","Cherry")</f>
        <v>Cherry</v>
      </c>
    </row>
    <row r="4234">
      <c r="A4234" s="2">
        <v>4287.0</v>
      </c>
      <c r="B4234" s="3" t="s">
        <v>26</v>
      </c>
      <c r="C4234" s="4" t="str">
        <f>hyperlink("https://terraria.gamepedia.com/Coconut","Coconut")</f>
        <v>Coconut</v>
      </c>
    </row>
    <row r="4235">
      <c r="A4235" s="2">
        <v>4288.0</v>
      </c>
      <c r="B4235" s="3" t="s">
        <v>26</v>
      </c>
      <c r="C4235" s="4" t="str">
        <f>hyperlink("https://terraria.gamepedia.com/Dragon_Fruit","Dragon Fruit")</f>
        <v>Dragon Fruit</v>
      </c>
    </row>
    <row r="4236">
      <c r="A4236" s="2">
        <v>4289.0</v>
      </c>
      <c r="B4236" s="3" t="s">
        <v>26</v>
      </c>
      <c r="C4236" s="4" t="str">
        <f>hyperlink("https://terraria.gamepedia.com/Elderberry","Elderberry")</f>
        <v>Elderberry</v>
      </c>
    </row>
    <row r="4237">
      <c r="A4237" s="2">
        <v>4290.0</v>
      </c>
      <c r="B4237" s="3" t="s">
        <v>26</v>
      </c>
      <c r="C4237" s="4" t="str">
        <f>hyperlink("https://terraria.gamepedia.com/Grapefruit","Grapefruit")</f>
        <v>Grapefruit</v>
      </c>
    </row>
    <row r="4238">
      <c r="A4238" s="2">
        <v>4291.0</v>
      </c>
      <c r="B4238" s="3" t="s">
        <v>26</v>
      </c>
      <c r="C4238" s="4" t="str">
        <f>hyperlink("https://terraria.gamepedia.com/Lemon","Lemon")</f>
        <v>Lemon</v>
      </c>
    </row>
    <row r="4239">
      <c r="A4239" s="2">
        <v>4292.0</v>
      </c>
      <c r="B4239" s="3" t="s">
        <v>26</v>
      </c>
      <c r="C4239" s="4" t="str">
        <f>hyperlink("https://terraria.gamepedia.com/Mango","Mango")</f>
        <v>Mango</v>
      </c>
    </row>
    <row r="4240">
      <c r="A4240" s="2">
        <v>4293.0</v>
      </c>
      <c r="B4240" s="3" t="s">
        <v>26</v>
      </c>
      <c r="C4240" s="4" t="str">
        <f>hyperlink("https://terraria.gamepedia.com/Peach","Peach")</f>
        <v>Peach</v>
      </c>
    </row>
    <row r="4241">
      <c r="A4241" s="2">
        <v>4294.0</v>
      </c>
      <c r="B4241" s="3" t="s">
        <v>26</v>
      </c>
      <c r="C4241" s="4" t="str">
        <f>hyperlink("https://terraria.gamepedia.com/Pineapple","Pineapple")</f>
        <v>Pineapple</v>
      </c>
    </row>
    <row r="4242">
      <c r="A4242" s="2">
        <v>4295.0</v>
      </c>
      <c r="B4242" s="3" t="s">
        <v>26</v>
      </c>
      <c r="C4242" s="4" t="str">
        <f>hyperlink("https://terraria.gamepedia.com/Plum","Plum")</f>
        <v>Plum</v>
      </c>
    </row>
    <row r="4243">
      <c r="A4243" s="2">
        <v>4296.0</v>
      </c>
      <c r="B4243" s="3" t="s">
        <v>26</v>
      </c>
      <c r="C4243" s="4" t="str">
        <f>hyperlink("https://terraria.gamepedia.com/Rambutan","Rambutan")</f>
        <v>Rambutan</v>
      </c>
    </row>
    <row r="4244">
      <c r="A4244" s="2">
        <v>4297.0</v>
      </c>
      <c r="B4244" s="3" t="s">
        <v>26</v>
      </c>
      <c r="C4244" s="4" t="str">
        <f>hyperlink("https://terraria.gamepedia.com/Star_Fruit","Star Fruit")</f>
        <v>Star Fruit</v>
      </c>
    </row>
    <row r="4245">
      <c r="A4245" s="2">
        <v>4298.0</v>
      </c>
      <c r="B4245" s="3" t="s">
        <v>31</v>
      </c>
      <c r="C4245" s="4" t="str">
        <f>hyperlink("https://terraria.gamepedia.com/Bathtubs","Sandstone Bathtub")</f>
        <v>Sandstone Bathtub</v>
      </c>
    </row>
    <row r="4246">
      <c r="A4246" s="2">
        <v>4299.0</v>
      </c>
      <c r="B4246" s="3" t="s">
        <v>31</v>
      </c>
      <c r="C4246" s="4" t="str">
        <f>hyperlink("https://terraria.gamepedia.com/Beds","Sandstone Bed")</f>
        <v>Sandstone Bed</v>
      </c>
    </row>
    <row r="4247">
      <c r="A4247" s="2">
        <v>4300.0</v>
      </c>
      <c r="B4247" s="3" t="s">
        <v>31</v>
      </c>
      <c r="C4247" s="4" t="str">
        <f>hyperlink("https://terraria.gamepedia.com/Bookcases","Sandstone Bookcase")</f>
        <v>Sandstone Bookcase</v>
      </c>
    </row>
    <row r="4248">
      <c r="A4248" s="2">
        <v>4301.0</v>
      </c>
      <c r="B4248" s="3" t="s">
        <v>31</v>
      </c>
      <c r="C4248" s="4" t="str">
        <f>hyperlink("https://terraria.gamepedia.com/Dressers","Sandstone Dresser")</f>
        <v>Sandstone Dresser</v>
      </c>
    </row>
    <row r="4249">
      <c r="A4249" s="2">
        <v>4302.0</v>
      </c>
      <c r="B4249" s="3" t="s">
        <v>7</v>
      </c>
      <c r="C4249" s="4" t="str">
        <f>hyperlink("https://terraria.gamepedia.com/Candelabras","Sandstone Candelabra")</f>
        <v>Sandstone Candelabra</v>
      </c>
    </row>
    <row r="4250">
      <c r="A4250" s="2">
        <v>4303.0</v>
      </c>
      <c r="B4250" s="3" t="s">
        <v>7</v>
      </c>
      <c r="C4250" s="4" t="str">
        <f>hyperlink("https://terraria.gamepedia.com/Candles","Sandstone Candle")</f>
        <v>Sandstone Candle</v>
      </c>
    </row>
    <row r="4251">
      <c r="A4251" s="2">
        <v>4304.0</v>
      </c>
      <c r="B4251" s="3" t="s">
        <v>31</v>
      </c>
      <c r="C4251" s="4" t="str">
        <f>hyperlink("https://terraria.gamepedia.com/Chairs","Sandstone Chair")</f>
        <v>Sandstone Chair</v>
      </c>
    </row>
    <row r="4252">
      <c r="A4252" s="2">
        <v>4305.0</v>
      </c>
      <c r="B4252" s="3" t="s">
        <v>7</v>
      </c>
      <c r="C4252" s="4" t="str">
        <f>hyperlink("https://terraria.gamepedia.com/Chandeliers","Sandstone Chandelier")</f>
        <v>Sandstone Chandelier</v>
      </c>
    </row>
    <row r="4253">
      <c r="A4253" s="2">
        <v>4306.0</v>
      </c>
      <c r="B4253" s="3" t="s">
        <v>31</v>
      </c>
      <c r="C4253" s="4" t="str">
        <f>hyperlink("https://terraria.gamepedia.com/Grandfather_Clocks","Sandstone Clock")</f>
        <v>Sandstone Clock</v>
      </c>
    </row>
    <row r="4254">
      <c r="A4254" s="2">
        <v>4307.0</v>
      </c>
      <c r="B4254" s="3" t="s">
        <v>31</v>
      </c>
      <c r="C4254" s="4" t="str">
        <f>hyperlink("https://terraria.gamepedia.com/Doors","Sandstone Door")</f>
        <v>Sandstone Door</v>
      </c>
    </row>
    <row r="4255">
      <c r="A4255" s="2">
        <v>4308.0</v>
      </c>
      <c r="B4255" s="3" t="s">
        <v>7</v>
      </c>
      <c r="C4255" s="4" t="str">
        <f>hyperlink("https://terraria.gamepedia.com/Lamps","Sandstone Lamp")</f>
        <v>Sandstone Lamp</v>
      </c>
    </row>
    <row r="4256">
      <c r="A4256" s="2">
        <v>4309.0</v>
      </c>
      <c r="B4256" s="3" t="s">
        <v>7</v>
      </c>
      <c r="C4256" s="4" t="str">
        <f>hyperlink("https://terraria.gamepedia.com/Lanterns","Sandstone Lantern")</f>
        <v>Sandstone Lantern</v>
      </c>
    </row>
    <row r="4257">
      <c r="A4257" s="2">
        <v>4310.0</v>
      </c>
      <c r="B4257" s="3" t="s">
        <v>31</v>
      </c>
      <c r="C4257" s="4" t="str">
        <f>hyperlink("https://terraria.gamepedia.com/Pianos","Sandstone Piano")</f>
        <v>Sandstone Piano</v>
      </c>
    </row>
    <row r="4258">
      <c r="A4258" s="2">
        <v>4311.0</v>
      </c>
      <c r="B4258" s="3" t="s">
        <v>8</v>
      </c>
      <c r="C4258" s="4" t="str">
        <f>hyperlink("https://terraria.gamepedia.com/Platforms","Sandstone Platform")</f>
        <v>Sandstone Platform</v>
      </c>
    </row>
    <row r="4259">
      <c r="A4259" s="2">
        <v>4312.0</v>
      </c>
      <c r="B4259" s="3" t="s">
        <v>31</v>
      </c>
      <c r="C4259" s="4" t="str">
        <f>hyperlink("https://terraria.gamepedia.com/Sinks","Sandstone Sink")</f>
        <v>Sandstone Sink</v>
      </c>
    </row>
    <row r="4260">
      <c r="A4260" s="2">
        <v>4313.0</v>
      </c>
      <c r="B4260" s="3" t="s">
        <v>31</v>
      </c>
      <c r="C4260" s="4" t="str">
        <f>hyperlink("https://terraria.gamepedia.com/Sofas","Sandstone Sofa")</f>
        <v>Sandstone Sofa</v>
      </c>
    </row>
    <row r="4261">
      <c r="A4261" s="2">
        <v>4314.0</v>
      </c>
      <c r="B4261" s="3" t="s">
        <v>31</v>
      </c>
      <c r="C4261" s="4" t="str">
        <f>hyperlink("https://terraria.gamepedia.com/Tables","Sandstone Table")</f>
        <v>Sandstone Table</v>
      </c>
    </row>
    <row r="4262">
      <c r="A4262" s="2">
        <v>4315.0</v>
      </c>
      <c r="B4262" s="3" t="s">
        <v>31</v>
      </c>
      <c r="C4262" s="4" t="str">
        <f>hyperlink("https://terraria.gamepedia.com/Work_Benches","Sandstone Work Bench")</f>
        <v>Sandstone Work Bench</v>
      </c>
    </row>
    <row r="4263">
      <c r="A4263" s="2">
        <v>4316.0</v>
      </c>
      <c r="B4263" s="3" t="s">
        <v>31</v>
      </c>
      <c r="C4263" s="4" t="str">
        <f>hyperlink("https://terraria.gamepedia.com/Toilets","Sandstone Toilet")</f>
        <v>Sandstone Toilet</v>
      </c>
    </row>
    <row r="4264">
      <c r="A4264" s="2">
        <v>4317.0</v>
      </c>
      <c r="B4264" s="3" t="s">
        <v>3</v>
      </c>
      <c r="C4264" s="4" t="str">
        <f>hyperlink("https://terraria.gamepedia.com/Haemorrhaxe","Haemorrhaxe")</f>
        <v>Haemorrhaxe</v>
      </c>
    </row>
    <row r="4265">
      <c r="A4265" s="2">
        <v>4318.0</v>
      </c>
      <c r="B4265" s="3" t="s">
        <v>28</v>
      </c>
      <c r="C4265" s="4" t="str">
        <f>hyperlink("https://terraria.gamepedia.com/Monoliths","Void Monolith")</f>
        <v>Void Monolith</v>
      </c>
    </row>
    <row r="4266">
      <c r="A4266" s="2">
        <v>4319.0</v>
      </c>
      <c r="B4266" s="3" t="s">
        <v>12</v>
      </c>
      <c r="C4266" s="4" t="str">
        <f>hyperlink("https://terraria.gamepedia.com/Arrow_Signs","Arrow Sign")</f>
        <v>Arrow Sign</v>
      </c>
    </row>
    <row r="4267">
      <c r="A4267" s="2">
        <v>4320.0</v>
      </c>
      <c r="B4267" s="3" t="s">
        <v>12</v>
      </c>
      <c r="C4267" s="4" t="str">
        <f>hyperlink("https://terraria.gamepedia.com/Arrow_Signs","Painted Arrow Sign")</f>
        <v>Painted Arrow Sign</v>
      </c>
    </row>
    <row r="4268">
      <c r="A4268" s="2">
        <v>4321.0</v>
      </c>
      <c r="B4268" s="3" t="s">
        <v>23</v>
      </c>
      <c r="C4268" s="4" t="str">
        <f>hyperlink("https://terraria.gamepedia.com/Master_Gamer's_set","Master Gamer's Jacket")</f>
        <v>Master Gamer's Jacket</v>
      </c>
    </row>
    <row r="4269">
      <c r="A4269" s="2">
        <v>4322.0</v>
      </c>
      <c r="B4269" s="3" t="s">
        <v>23</v>
      </c>
      <c r="C4269" s="4" t="str">
        <f>hyperlink("https://terraria.gamepedia.com/Master_Gamer's_set","Master Gamer's Pants")</f>
        <v>Master Gamer's Pants</v>
      </c>
    </row>
    <row r="4270">
      <c r="A4270" s="2">
        <v>4323.0</v>
      </c>
      <c r="B4270" s="3" t="s">
        <v>23</v>
      </c>
      <c r="C4270" s="4" t="str">
        <f>hyperlink("https://terraria.gamepedia.com/Star_Princess_set","Star Princess Crown")</f>
        <v>Star Princess Crown</v>
      </c>
    </row>
    <row r="4271">
      <c r="A4271" s="2">
        <v>4324.0</v>
      </c>
      <c r="B4271" s="3" t="s">
        <v>23</v>
      </c>
      <c r="C4271" s="4" t="str">
        <f>hyperlink("https://terraria.gamepedia.com/Star_Princess_set","Star Princess Dress")</f>
        <v>Star Princess Dress</v>
      </c>
    </row>
    <row r="4272">
      <c r="A4272" s="2">
        <v>4325.0</v>
      </c>
      <c r="B4272" s="3" t="s">
        <v>3</v>
      </c>
      <c r="C4272" s="4" t="str">
        <f>hyperlink("https://terraria.gamepedia.com/Fishing_poles","Chum Caster")</f>
        <v>Chum Caster</v>
      </c>
    </row>
    <row r="4273">
      <c r="A4273" s="2">
        <v>4326.0</v>
      </c>
      <c r="B4273" s="3" t="s">
        <v>12</v>
      </c>
      <c r="C4273" s="4" t="str">
        <f>hyperlink("https://terraria.gamepedia.com/Plate","Plate")</f>
        <v>Plate</v>
      </c>
    </row>
    <row r="4274">
      <c r="A4274" s="2">
        <v>4327.0</v>
      </c>
      <c r="B4274" s="3" t="s">
        <v>24</v>
      </c>
      <c r="C4274" s="4" t="str">
        <f>hyperlink("https://terraria.gamepedia.com/Dragonfly_Jars","Black Dragonfly Jar")</f>
        <v>Black Dragonfly Jar</v>
      </c>
    </row>
    <row r="4275">
      <c r="A4275" s="2">
        <v>4328.0</v>
      </c>
      <c r="B4275" s="3" t="s">
        <v>24</v>
      </c>
      <c r="C4275" s="4" t="str">
        <f>hyperlink("https://terraria.gamepedia.com/Dragonfly_Jars","Blue Dragonfly Jar")</f>
        <v>Blue Dragonfly Jar</v>
      </c>
    </row>
    <row r="4276">
      <c r="A4276" s="2">
        <v>4329.0</v>
      </c>
      <c r="B4276" s="3" t="s">
        <v>24</v>
      </c>
      <c r="C4276" s="4" t="str">
        <f>hyperlink("https://terraria.gamepedia.com/Dragonfly_Jars","Green Dragonfly Jar")</f>
        <v>Green Dragonfly Jar</v>
      </c>
    </row>
    <row r="4277">
      <c r="A4277" s="2">
        <v>4330.0</v>
      </c>
      <c r="B4277" s="3" t="s">
        <v>24</v>
      </c>
      <c r="C4277" s="4" t="str">
        <f>hyperlink("https://terraria.gamepedia.com/Dragonfly_Jars","Orange Dragonfly Jar")</f>
        <v>Orange Dragonfly Jar</v>
      </c>
    </row>
    <row r="4278">
      <c r="A4278" s="2">
        <v>4331.0</v>
      </c>
      <c r="B4278" s="3" t="s">
        <v>24</v>
      </c>
      <c r="C4278" s="4" t="str">
        <f>hyperlink("https://terraria.gamepedia.com/Dragonfly_Jars","Red Dragonfly Jar")</f>
        <v>Red Dragonfly Jar</v>
      </c>
    </row>
    <row r="4279">
      <c r="A4279" s="2">
        <v>4332.0</v>
      </c>
      <c r="B4279" s="3" t="s">
        <v>24</v>
      </c>
      <c r="C4279" s="4" t="str">
        <f>hyperlink("https://terraria.gamepedia.com/Dragonfly_Jars","Yellow Dragonfly Jar")</f>
        <v>Yellow Dragonfly Jar</v>
      </c>
    </row>
    <row r="4280">
      <c r="A4280" s="2">
        <v>4333.0</v>
      </c>
      <c r="B4280" s="3" t="s">
        <v>24</v>
      </c>
      <c r="C4280" s="4" t="str">
        <f>hyperlink("https://terraria.gamepedia.com/Dragonfly_Jars","Gold Dragonfly Jar")</f>
        <v>Gold Dragonfly Jar</v>
      </c>
    </row>
    <row r="4281">
      <c r="A4281" s="2">
        <v>4334.0</v>
      </c>
      <c r="B4281" s="3" t="s">
        <v>24</v>
      </c>
      <c r="C4281" s="4" t="str">
        <f>hyperlink("https://terraria.gamepedia.com/Dragonflies","Black Dragonfly")</f>
        <v>Black Dragonfly</v>
      </c>
    </row>
    <row r="4282">
      <c r="A4282" s="2">
        <v>4335.0</v>
      </c>
      <c r="B4282" s="3" t="s">
        <v>24</v>
      </c>
      <c r="C4282" s="4" t="str">
        <f>hyperlink("https://terraria.gamepedia.com/Dragonflies","Blue Dragonfly")</f>
        <v>Blue Dragonfly</v>
      </c>
    </row>
    <row r="4283">
      <c r="A4283" s="2">
        <v>4336.0</v>
      </c>
      <c r="B4283" s="3" t="s">
        <v>24</v>
      </c>
      <c r="C4283" s="4" t="str">
        <f>hyperlink("https://terraria.gamepedia.com/Dragonflies","Green Dragonfly")</f>
        <v>Green Dragonfly</v>
      </c>
    </row>
    <row r="4284">
      <c r="A4284" s="2">
        <v>4337.0</v>
      </c>
      <c r="B4284" s="3" t="s">
        <v>24</v>
      </c>
      <c r="C4284" s="4" t="str">
        <f>hyperlink("https://terraria.gamepedia.com/Dragonflies","Orange Dragonfly")</f>
        <v>Orange Dragonfly</v>
      </c>
    </row>
    <row r="4285">
      <c r="A4285" s="2">
        <v>4338.0</v>
      </c>
      <c r="B4285" s="3" t="s">
        <v>24</v>
      </c>
      <c r="C4285" s="4" t="str">
        <f>hyperlink("https://terraria.gamepedia.com/Dragonflies","Red Dragonfly")</f>
        <v>Red Dragonfly</v>
      </c>
    </row>
    <row r="4286">
      <c r="A4286" s="2">
        <v>4339.0</v>
      </c>
      <c r="B4286" s="3" t="s">
        <v>24</v>
      </c>
      <c r="C4286" s="4" t="str">
        <f>hyperlink("https://terraria.gamepedia.com/Dragonflies","Yellow Dragonfly")</f>
        <v>Yellow Dragonfly</v>
      </c>
    </row>
    <row r="4287">
      <c r="A4287" s="2">
        <v>4340.0</v>
      </c>
      <c r="B4287" s="3" t="s">
        <v>24</v>
      </c>
      <c r="C4287" s="4" t="str">
        <f>hyperlink("https://terraria.gamepedia.com/Gold_Dragonfly","Gold Dragonfly")</f>
        <v>Gold Dragonfly</v>
      </c>
    </row>
    <row r="4288">
      <c r="A4288" s="2">
        <v>4341.0</v>
      </c>
      <c r="B4288" s="3" t="s">
        <v>10</v>
      </c>
      <c r="C4288" s="4" t="str">
        <f>hyperlink("https://terraria.gamepedia.com/Step_Stool","Step Stool")</f>
        <v>Step Stool</v>
      </c>
    </row>
    <row r="4289">
      <c r="A4289" s="2">
        <v>4342.0</v>
      </c>
      <c r="B4289" s="3" t="s">
        <v>21</v>
      </c>
      <c r="C4289" s="4" t="str">
        <f>hyperlink("https://terraria.gamepedia.com/Statues","Dragonfly Statue")</f>
        <v>Dragonfly Statue</v>
      </c>
    </row>
    <row r="4290">
      <c r="A4290" s="2">
        <v>4343.0</v>
      </c>
      <c r="B4290" s="3" t="s">
        <v>15</v>
      </c>
      <c r="C4290" s="4" t="str">
        <f>hyperlink("https://terraria.gamepedia.com/Paper_Airplanes","Paper Airplane")</f>
        <v>Paper Airplane</v>
      </c>
    </row>
    <row r="4291">
      <c r="A4291" s="2">
        <v>4344.0</v>
      </c>
      <c r="B4291" s="3" t="s">
        <v>15</v>
      </c>
      <c r="C4291" s="4" t="str">
        <f>hyperlink("https://terraria.gamepedia.com/Paper_Airplanes","White Paper Airplane")</f>
        <v>White Paper Airplane</v>
      </c>
    </row>
    <row r="4292">
      <c r="A4292" s="2">
        <v>4345.0</v>
      </c>
      <c r="B4292" s="3" t="s">
        <v>15</v>
      </c>
      <c r="C4292" s="4" t="str">
        <f>hyperlink("https://terraria.gamepedia.com/Can_Of_Worms","Can Of Worms")</f>
        <v>Can Of Worms</v>
      </c>
    </row>
    <row r="4293">
      <c r="A4293" s="2">
        <v>4346.0</v>
      </c>
      <c r="B4293" s="3" t="s">
        <v>3</v>
      </c>
      <c r="C4293" s="4" t="str">
        <f>hyperlink("https://terraria.gamepedia.com/Encumbering_Stone","Encumbering Stone")</f>
        <v>Encumbering Stone</v>
      </c>
    </row>
    <row r="4294">
      <c r="A4294" s="2">
        <v>4347.0</v>
      </c>
      <c r="B4294" s="3" t="s">
        <v>5</v>
      </c>
      <c r="C4294" s="4" t="str">
        <f>hyperlink("https://terraria.gamepedia.com/Gray_Zapinator","Gray Zapinator")</f>
        <v>Gray Zapinator</v>
      </c>
    </row>
    <row r="4295">
      <c r="A4295" s="2">
        <v>4348.0</v>
      </c>
      <c r="B4295" s="3" t="s">
        <v>5</v>
      </c>
      <c r="C4295" s="4" t="str">
        <f>hyperlink("https://terraria.gamepedia.com/Orange_Zapinator","Orange Zapinator")</f>
        <v>Orange Zapinator</v>
      </c>
    </row>
    <row r="4296">
      <c r="A4296" s="2">
        <v>4349.0</v>
      </c>
      <c r="B4296" s="3" t="s">
        <v>11</v>
      </c>
      <c r="C4296" s="4" t="str">
        <f>hyperlink("https://terraria.gamepedia.com/Moss","Green Moss")</f>
        <v>Green Moss</v>
      </c>
    </row>
    <row r="4297">
      <c r="A4297" s="2">
        <v>4350.0</v>
      </c>
      <c r="B4297" s="3" t="s">
        <v>11</v>
      </c>
      <c r="C4297" s="4" t="str">
        <f>hyperlink("https://terraria.gamepedia.com/Moss","Brown Moss")</f>
        <v>Brown Moss</v>
      </c>
    </row>
    <row r="4298">
      <c r="A4298" s="2">
        <v>4351.0</v>
      </c>
      <c r="B4298" s="3" t="s">
        <v>11</v>
      </c>
      <c r="C4298" s="4" t="str">
        <f>hyperlink("https://terraria.gamepedia.com/Moss","Red Moss")</f>
        <v>Red Moss</v>
      </c>
    </row>
    <row r="4299">
      <c r="A4299" s="2">
        <v>4352.0</v>
      </c>
      <c r="B4299" s="3" t="s">
        <v>11</v>
      </c>
      <c r="C4299" s="4" t="str">
        <f>hyperlink("https://terraria.gamepedia.com/Moss","Blue Moss")</f>
        <v>Blue Moss</v>
      </c>
    </row>
    <row r="4300">
      <c r="A4300" s="2">
        <v>4353.0</v>
      </c>
      <c r="B4300" s="3" t="s">
        <v>11</v>
      </c>
      <c r="C4300" s="4" t="str">
        <f>hyperlink("https://terraria.gamepedia.com/Moss","Purple Moss")</f>
        <v>Purple Moss</v>
      </c>
    </row>
    <row r="4301">
      <c r="A4301" s="2">
        <v>4354.0</v>
      </c>
      <c r="B4301" s="3" t="s">
        <v>11</v>
      </c>
      <c r="C4301" s="4" t="str">
        <f>hyperlink("https://terraria.gamepedia.com/Moss","Lava Moss")</f>
        <v>Lava Moss</v>
      </c>
    </row>
    <row r="4302">
      <c r="A4302" s="2">
        <v>4355.0</v>
      </c>
      <c r="B4302" s="3" t="s">
        <v>21</v>
      </c>
      <c r="C4302" s="4" t="str">
        <f>hyperlink("https://terraria.gamepedia.com/Statues","Boulder Statue")</f>
        <v>Boulder Statue</v>
      </c>
    </row>
    <row r="4303">
      <c r="A4303" s="2">
        <v>4356.0</v>
      </c>
      <c r="B4303" s="3" t="s">
        <v>29</v>
      </c>
      <c r="C4303" s="4" t="str">
        <f>hyperlink("https://terraria.gamepedia.com/Music_Boxes","Music Box (Journey's Beginning)")</f>
        <v>Music Box (Journey's Beginning)</v>
      </c>
    </row>
    <row r="4304">
      <c r="A4304" s="2">
        <v>4357.0</v>
      </c>
      <c r="B4304" s="3" t="s">
        <v>29</v>
      </c>
      <c r="C4304" s="4" t="str">
        <f>hyperlink("https://terraria.gamepedia.com/Music_Boxes","Music Box (Storm)")</f>
        <v>Music Box (Storm)</v>
      </c>
    </row>
    <row r="4305">
      <c r="A4305" s="2">
        <v>4358.0</v>
      </c>
      <c r="B4305" s="3" t="s">
        <v>29</v>
      </c>
      <c r="C4305" s="4" t="str">
        <f>hyperlink("https://terraria.gamepedia.com/Music_Boxes","Music Box (Graveyard)")</f>
        <v>Music Box (Graveyard)</v>
      </c>
    </row>
    <row r="4306">
      <c r="A4306" s="2">
        <v>4359.0</v>
      </c>
      <c r="B4306" s="3" t="s">
        <v>24</v>
      </c>
      <c r="C4306" s="4" t="str">
        <f>hyperlink("https://terraria.gamepedia.com/Seagull","Seagull")</f>
        <v>Seagull</v>
      </c>
    </row>
    <row r="4307">
      <c r="A4307" s="2">
        <v>4360.0</v>
      </c>
      <c r="B4307" s="3" t="s">
        <v>21</v>
      </c>
      <c r="C4307" s="4" t="str">
        <f>hyperlink("https://terraria.gamepedia.com/Statues","Seagull Statue")</f>
        <v>Seagull Statue</v>
      </c>
    </row>
    <row r="4308">
      <c r="A4308" s="2">
        <v>4361.0</v>
      </c>
      <c r="B4308" s="3" t="s">
        <v>24</v>
      </c>
      <c r="C4308" s="4" t="str">
        <f>hyperlink("https://terraria.gamepedia.com/Ladybug","Ladybug")</f>
        <v>Ladybug</v>
      </c>
    </row>
    <row r="4309">
      <c r="A4309" s="2">
        <v>4362.0</v>
      </c>
      <c r="B4309" s="3" t="s">
        <v>24</v>
      </c>
      <c r="C4309" s="4" t="str">
        <f>hyperlink("https://terraria.gamepedia.com/Gold_Ladybug","Gold Ladybug")</f>
        <v>Gold Ladybug</v>
      </c>
    </row>
    <row r="4310">
      <c r="A4310" s="2">
        <v>4363.0</v>
      </c>
      <c r="B4310" s="3" t="s">
        <v>24</v>
      </c>
      <c r="C4310" s="4" t="str">
        <f>hyperlink("https://terraria.gamepedia.com/Maggot","Maggot")</f>
        <v>Maggot</v>
      </c>
    </row>
    <row r="4311">
      <c r="A4311" s="2">
        <v>4364.0</v>
      </c>
      <c r="B4311" s="3" t="s">
        <v>24</v>
      </c>
      <c r="C4311" s="4" t="str">
        <f>hyperlink("https://terraria.gamepedia.com/Cages","Maggot Cage")</f>
        <v>Maggot Cage</v>
      </c>
    </row>
    <row r="4312">
      <c r="A4312" s="2">
        <v>4365.0</v>
      </c>
      <c r="B4312" s="3" t="s">
        <v>5</v>
      </c>
      <c r="C4312" s="4" t="str">
        <f>hyperlink("https://terraria.gamepedia.com/Celestial_Wand","Celestial Wand")</f>
        <v>Celestial Wand</v>
      </c>
    </row>
    <row r="4313">
      <c r="A4313" s="2">
        <v>4366.0</v>
      </c>
      <c r="B4313" s="3" t="s">
        <v>22</v>
      </c>
      <c r="C4313" s="4" t="str">
        <f>hyperlink("https://terraria.gamepedia.com/Eucalyptus_Sap","Eucalyptus Sap")</f>
        <v>Eucalyptus Sap</v>
      </c>
    </row>
    <row r="4314">
      <c r="A4314" s="2">
        <v>4367.0</v>
      </c>
      <c r="B4314" s="3" t="s">
        <v>42</v>
      </c>
      <c r="C4314" s="4" t="str">
        <f>hyperlink("https://terraria.gamepedia.com/Kites","Blue Kite")</f>
        <v>Blue Kite</v>
      </c>
    </row>
    <row r="4315">
      <c r="A4315" s="2">
        <v>4368.0</v>
      </c>
      <c r="B4315" s="3" t="s">
        <v>42</v>
      </c>
      <c r="C4315" s="4" t="str">
        <f>hyperlink("https://terraria.gamepedia.com/Kites","Blue and Yellow Kite")</f>
        <v>Blue and Yellow Kite</v>
      </c>
    </row>
    <row r="4316">
      <c r="A4316" s="2">
        <v>4369.0</v>
      </c>
      <c r="B4316" s="3" t="s">
        <v>42</v>
      </c>
      <c r="C4316" s="4" t="str">
        <f>hyperlink("https://terraria.gamepedia.com/Kites","Red Kite")</f>
        <v>Red Kite</v>
      </c>
    </row>
    <row r="4317">
      <c r="A4317" s="2">
        <v>4370.0</v>
      </c>
      <c r="B4317" s="3" t="s">
        <v>42</v>
      </c>
      <c r="C4317" s="4" t="str">
        <f>hyperlink("https://terraria.gamepedia.com/Kites","Red and Yellow Kite")</f>
        <v>Red and Yellow Kite</v>
      </c>
    </row>
    <row r="4318">
      <c r="A4318" s="2">
        <v>4371.0</v>
      </c>
      <c r="B4318" s="3" t="s">
        <v>42</v>
      </c>
      <c r="C4318" s="4" t="str">
        <f>hyperlink("https://terraria.gamepedia.com/Kites","Yellow Kite")</f>
        <v>Yellow Kite</v>
      </c>
    </row>
    <row r="4319">
      <c r="A4319" s="2">
        <v>4372.0</v>
      </c>
      <c r="B4319" s="3" t="s">
        <v>3</v>
      </c>
      <c r="C4319" s="4" t="str">
        <f>hyperlink("https://terraria.gamepedia.com/Ivy","Ivy")</f>
        <v>Ivy</v>
      </c>
    </row>
    <row r="4320">
      <c r="A4320" s="2">
        <v>4373.0</v>
      </c>
      <c r="B4320" s="3" t="s">
        <v>24</v>
      </c>
      <c r="C4320" s="4" t="str">
        <f>hyperlink("https://terraria.gamepedia.com/Pupfish","Pupfish")</f>
        <v>Pupfish</v>
      </c>
    </row>
    <row r="4321">
      <c r="A4321" s="2">
        <v>4374.0</v>
      </c>
      <c r="B4321" s="3" t="s">
        <v>24</v>
      </c>
      <c r="C4321" s="4" t="str">
        <f>hyperlink("https://terraria.gamepedia.com/Grebe","Grebe")</f>
        <v>Grebe</v>
      </c>
    </row>
    <row r="4322">
      <c r="A4322" s="2">
        <v>4375.0</v>
      </c>
      <c r="B4322" s="3" t="s">
        <v>24</v>
      </c>
      <c r="C4322" s="4" t="str">
        <f>hyperlink("https://terraria.gamepedia.com/Rat","Rat")</f>
        <v>Rat</v>
      </c>
    </row>
    <row r="4323">
      <c r="A4323" s="2">
        <v>4376.0</v>
      </c>
      <c r="B4323" s="3" t="s">
        <v>24</v>
      </c>
      <c r="C4323" s="4" t="str">
        <f>hyperlink("https://terraria.gamepedia.com/Cages","Rat Cage")</f>
        <v>Rat Cage</v>
      </c>
    </row>
    <row r="4324">
      <c r="A4324" s="2">
        <v>4377.0</v>
      </c>
      <c r="B4324" s="3" t="s">
        <v>4</v>
      </c>
      <c r="C4324" s="4" t="str">
        <f>hyperlink("https://terraria.gamepedia.com/Moss","Krypton Moss")</f>
        <v>Krypton Moss</v>
      </c>
    </row>
    <row r="4325">
      <c r="A4325" s="2">
        <v>4378.0</v>
      </c>
      <c r="B4325" s="3" t="s">
        <v>4</v>
      </c>
      <c r="C4325" s="4" t="str">
        <f>hyperlink("https://terraria.gamepedia.com/Moss","Xenon Moss")</f>
        <v>Xenon Moss</v>
      </c>
    </row>
    <row r="4326">
      <c r="A4326" s="2">
        <v>4379.0</v>
      </c>
      <c r="B4326" s="3" t="s">
        <v>42</v>
      </c>
      <c r="C4326" s="4" t="str">
        <f>hyperlink("https://terraria.gamepedia.com/Kites","Wyvern Kite")</f>
        <v>Wyvern Kite</v>
      </c>
    </row>
    <row r="4327">
      <c r="A4327" s="2">
        <v>4380.0</v>
      </c>
      <c r="B4327" s="3" t="s">
        <v>24</v>
      </c>
      <c r="C4327" s="4" t="str">
        <f>hyperlink("https://terraria.gamepedia.com/Cages","Ladybug Cage")</f>
        <v>Ladybug Cage</v>
      </c>
    </row>
    <row r="4328">
      <c r="A4328" s="2">
        <v>4381.0</v>
      </c>
      <c r="B4328" s="3" t="s">
        <v>5</v>
      </c>
      <c r="C4328" s="4" t="str">
        <f>hyperlink("https://terraria.gamepedia.com/Blood_Rain_Bow","Blood Rain Bow")</f>
        <v>Blood Rain Bow</v>
      </c>
    </row>
    <row r="4329">
      <c r="A4329" s="2">
        <v>4382.0</v>
      </c>
      <c r="B4329" s="3" t="s">
        <v>15</v>
      </c>
      <c r="C4329" s="4" t="str">
        <f>hyperlink("https://terraria.gamepedia.com/Advanced_Combat_Techniques","Advanced Combat Techniques")</f>
        <v>Advanced Combat Techniques</v>
      </c>
    </row>
    <row r="4330">
      <c r="A4330" s="2">
        <v>4383.0</v>
      </c>
      <c r="B4330" s="3" t="s">
        <v>7</v>
      </c>
      <c r="C4330" s="4" t="str">
        <f>hyperlink("https://terraria.gamepedia.com/Torches","Desert Torch")</f>
        <v>Desert Torch</v>
      </c>
    </row>
    <row r="4331">
      <c r="A4331" s="2">
        <v>4384.0</v>
      </c>
      <c r="B4331" s="3" t="s">
        <v>7</v>
      </c>
      <c r="C4331" s="4" t="str">
        <f>hyperlink("https://terraria.gamepedia.com/Torches","Coral Torch")</f>
        <v>Coral Torch</v>
      </c>
    </row>
    <row r="4332">
      <c r="A4332" s="2">
        <v>4385.0</v>
      </c>
      <c r="B4332" s="3" t="s">
        <v>7</v>
      </c>
      <c r="C4332" s="4" t="str">
        <f>hyperlink("https://terraria.gamepedia.com/Torches","Corrupt Torch")</f>
        <v>Corrupt Torch</v>
      </c>
    </row>
    <row r="4333">
      <c r="A4333" s="2">
        <v>4386.0</v>
      </c>
      <c r="B4333" s="3" t="s">
        <v>7</v>
      </c>
      <c r="C4333" s="4" t="str">
        <f>hyperlink("https://terraria.gamepedia.com/Torches","Crimson Torch")</f>
        <v>Crimson Torch</v>
      </c>
    </row>
    <row r="4334">
      <c r="A4334" s="2">
        <v>4387.0</v>
      </c>
      <c r="B4334" s="3" t="s">
        <v>7</v>
      </c>
      <c r="C4334" s="4" t="str">
        <f>hyperlink("https://terraria.gamepedia.com/Torches","Hallowed Torch")</f>
        <v>Hallowed Torch</v>
      </c>
    </row>
    <row r="4335">
      <c r="A4335" s="2">
        <v>4388.0</v>
      </c>
      <c r="B4335" s="3" t="s">
        <v>7</v>
      </c>
      <c r="C4335" s="4" t="str">
        <f>hyperlink("https://terraria.gamepedia.com/Torches","Jungle Torch")</f>
        <v>Jungle Torch</v>
      </c>
    </row>
    <row r="4336">
      <c r="A4336" s="2">
        <v>4389.0</v>
      </c>
      <c r="B4336" s="3" t="s">
        <v>4</v>
      </c>
      <c r="C4336" s="4" t="str">
        <f>hyperlink("https://terraria.gamepedia.com/Moss","Argon Moss")</f>
        <v>Argon Moss</v>
      </c>
    </row>
    <row r="4337">
      <c r="A4337" s="2">
        <v>4390.0</v>
      </c>
      <c r="B4337" s="3" t="s">
        <v>15</v>
      </c>
      <c r="C4337" s="4" t="str">
        <f>hyperlink("https://terraria.gamepedia.com/Rolling_Cactus","Rolling Cactus")</f>
        <v>Rolling Cactus</v>
      </c>
    </row>
    <row r="4338">
      <c r="A4338" s="2">
        <v>4391.0</v>
      </c>
      <c r="B4338" s="3" t="s">
        <v>4</v>
      </c>
      <c r="C4338" s="4" t="str">
        <f>hyperlink("https://terraria.gamepedia.com/Thin_Ice","Thin Ice")</f>
        <v>Thin Ice</v>
      </c>
    </row>
    <row r="4339">
      <c r="A4339" s="2">
        <v>4392.0</v>
      </c>
      <c r="B4339" s="3" t="s">
        <v>4</v>
      </c>
      <c r="C4339" s="4" t="str">
        <f>hyperlink("https://terraria.gamepedia.com/Echo_Block","Echo Block")</f>
        <v>Echo Block</v>
      </c>
    </row>
    <row r="4340">
      <c r="A4340" s="2">
        <v>4393.0</v>
      </c>
      <c r="B4340" s="3" t="s">
        <v>39</v>
      </c>
      <c r="C4340" s="4" t="str">
        <f>hyperlink("https://terraria.gamepedia.com/Angler/Quests","Scarab Fish")</f>
        <v>Scarab Fish</v>
      </c>
    </row>
    <row r="4341">
      <c r="A4341" s="2">
        <v>4394.0</v>
      </c>
      <c r="B4341" s="3" t="s">
        <v>39</v>
      </c>
      <c r="C4341" s="4" t="str">
        <f>hyperlink("https://terraria.gamepedia.com/Angler/Quests","Scorpio Fish")</f>
        <v>Scorpio Fish</v>
      </c>
    </row>
    <row r="4342">
      <c r="A4342" s="2">
        <v>4395.0</v>
      </c>
      <c r="B4342" s="3" t="s">
        <v>24</v>
      </c>
      <c r="C4342" s="4" t="str">
        <f>hyperlink("https://terraria.gamepedia.com/Owl","Owl")</f>
        <v>Owl</v>
      </c>
    </row>
    <row r="4343">
      <c r="A4343" s="2">
        <v>4396.0</v>
      </c>
      <c r="B4343" s="3" t="s">
        <v>24</v>
      </c>
      <c r="C4343" s="4" t="str">
        <f>hyperlink("https://terraria.gamepedia.com/Cages","Owl Cage")</f>
        <v>Owl Cage</v>
      </c>
    </row>
    <row r="4344">
      <c r="A4344" s="2">
        <v>4397.0</v>
      </c>
      <c r="B4344" s="3" t="s">
        <v>21</v>
      </c>
      <c r="C4344" s="4" t="str">
        <f>hyperlink("https://terraria.gamepedia.com/Statues","Owl Statue")</f>
        <v>Owl Statue</v>
      </c>
    </row>
    <row r="4345">
      <c r="A4345" s="2">
        <v>4398.0</v>
      </c>
      <c r="B4345" s="3" t="s">
        <v>24</v>
      </c>
      <c r="C4345" s="4" t="str">
        <f>hyperlink("https://terraria.gamepedia.com/Fish_Bowls","Pupfish Bowl")</f>
        <v>Pupfish Bowl</v>
      </c>
    </row>
    <row r="4346">
      <c r="A4346" s="2">
        <v>4399.0</v>
      </c>
      <c r="B4346" s="3" t="s">
        <v>24</v>
      </c>
      <c r="C4346" s="4" t="str">
        <f>hyperlink("https://terraria.gamepedia.com/Cages","Gold Ladybug Cage")</f>
        <v>Gold Ladybug Cage</v>
      </c>
    </row>
    <row r="4347">
      <c r="A4347" s="2">
        <v>4400.0</v>
      </c>
      <c r="B4347" s="3" t="s">
        <v>15</v>
      </c>
      <c r="C4347" s="4" t="str">
        <f>hyperlink("https://terraria.gamepedia.com/Geode","Geode")</f>
        <v>Geode</v>
      </c>
    </row>
    <row r="4348">
      <c r="A4348" s="2">
        <v>4401.0</v>
      </c>
      <c r="B4348" s="3" t="s">
        <v>39</v>
      </c>
      <c r="C4348" s="4" t="str">
        <f>hyperlink("https://terraria.gamepedia.com/Flounder","Flounder")</f>
        <v>Flounder</v>
      </c>
    </row>
    <row r="4349">
      <c r="A4349" s="2">
        <v>4402.0</v>
      </c>
      <c r="B4349" s="3" t="s">
        <v>39</v>
      </c>
      <c r="C4349" s="4" t="str">
        <f>hyperlink("https://terraria.gamepedia.com/Rock_Lobster","Rock Lobster")</f>
        <v>Rock Lobster</v>
      </c>
    </row>
    <row r="4350">
      <c r="A4350" s="2">
        <v>4403.0</v>
      </c>
      <c r="B4350" s="3" t="s">
        <v>26</v>
      </c>
      <c r="C4350" s="4" t="str">
        <f>hyperlink("https://terraria.gamepedia.com/Fishing_foods","Lobster Tail")</f>
        <v>Lobster Tail</v>
      </c>
    </row>
    <row r="4351">
      <c r="A4351" s="2">
        <v>4404.0</v>
      </c>
      <c r="B4351" s="3" t="s">
        <v>10</v>
      </c>
      <c r="C4351" s="4" t="str">
        <f>hyperlink("https://terraria.gamepedia.com/Inner_Tube","Inner Tube")</f>
        <v>Inner Tube</v>
      </c>
    </row>
    <row r="4352">
      <c r="A4352" s="2">
        <v>4405.0</v>
      </c>
      <c r="B4352" s="3" t="s">
        <v>20</v>
      </c>
      <c r="C4352" s="4" t="str">
        <f>hyperlink("https://terraria.gamepedia.com/Frozen_Crate","Frozen Crate")</f>
        <v>Frozen Crate</v>
      </c>
    </row>
    <row r="4353">
      <c r="A4353" s="2">
        <v>4406.0</v>
      </c>
      <c r="B4353" s="3" t="s">
        <v>20</v>
      </c>
      <c r="C4353" s="4" t="str">
        <f>hyperlink("https://terraria.gamepedia.com/Boreal_Crate","Boreal Crate")</f>
        <v>Boreal Crate</v>
      </c>
    </row>
    <row r="4354">
      <c r="A4354" s="2">
        <v>4407.0</v>
      </c>
      <c r="B4354" s="3" t="s">
        <v>20</v>
      </c>
      <c r="C4354" s="4" t="str">
        <f>hyperlink("https://terraria.gamepedia.com/Oasis_Crate","Oasis Crate")</f>
        <v>Oasis Crate</v>
      </c>
    </row>
    <row r="4355">
      <c r="A4355" s="2">
        <v>4408.0</v>
      </c>
      <c r="B4355" s="3" t="s">
        <v>20</v>
      </c>
      <c r="C4355" s="4" t="str">
        <f>hyperlink("https://terraria.gamepedia.com/Mirage_Crate","Mirage Crate")</f>
        <v>Mirage Crate</v>
      </c>
    </row>
    <row r="4356">
      <c r="A4356" s="2">
        <v>4409.0</v>
      </c>
      <c r="B4356" s="3" t="s">
        <v>10</v>
      </c>
      <c r="C4356" s="4" t="str">
        <f>hyperlink("https://terraria.gamepedia.com/Spectre_Goggles","Spectre Goggles")</f>
        <v>Spectre Goggles</v>
      </c>
    </row>
    <row r="4357">
      <c r="A4357" s="2">
        <v>4410.0</v>
      </c>
      <c r="B4357" s="3" t="s">
        <v>15</v>
      </c>
      <c r="C4357" s="4" t="str">
        <f>hyperlink("https://terraria.gamepedia.com/Oyster","Oyster")</f>
        <v>Oyster</v>
      </c>
    </row>
    <row r="4358">
      <c r="A4358" s="2">
        <v>4411.0</v>
      </c>
      <c r="B4358" s="3" t="s">
        <v>26</v>
      </c>
      <c r="C4358" s="4" t="str">
        <f>hyperlink("https://terraria.gamepedia.com/Shucked_Oyster","Shucked Oyster")</f>
        <v>Shucked Oyster</v>
      </c>
    </row>
    <row r="4359">
      <c r="A4359" s="2">
        <v>4412.0</v>
      </c>
      <c r="B4359" s="3" t="s">
        <v>11</v>
      </c>
      <c r="C4359" s="4" t="str">
        <f>hyperlink("https://terraria.gamepedia.com/Pearls","White Pearl")</f>
        <v>White Pearl</v>
      </c>
    </row>
    <row r="4360">
      <c r="A4360" s="2">
        <v>4413.0</v>
      </c>
      <c r="B4360" s="3" t="s">
        <v>11</v>
      </c>
      <c r="C4360" s="4" t="str">
        <f>hyperlink("https://terraria.gamepedia.com/Pearls","Black Pearl")</f>
        <v>Black Pearl</v>
      </c>
    </row>
    <row r="4361">
      <c r="A4361" s="2">
        <v>4414.0</v>
      </c>
      <c r="B4361" s="3" t="s">
        <v>11</v>
      </c>
      <c r="C4361" s="4" t="str">
        <f>hyperlink("https://terraria.gamepedia.com/Pearls","Pink Pearl")</f>
        <v>Pink Pearl</v>
      </c>
    </row>
    <row r="4362">
      <c r="A4362" s="2">
        <v>4415.0</v>
      </c>
      <c r="B4362" s="3" t="s">
        <v>31</v>
      </c>
      <c r="C4362" s="4" t="str">
        <f>hyperlink("https://terraria.gamepedia.com/Doors","Stone Door")</f>
        <v>Stone Door</v>
      </c>
    </row>
    <row r="4363">
      <c r="A4363" s="2">
        <v>4416.0</v>
      </c>
      <c r="B4363" s="3" t="s">
        <v>8</v>
      </c>
      <c r="C4363" s="4" t="str">
        <f>hyperlink("https://terraria.gamepedia.com/Platforms","Stone Platform")</f>
        <v>Stone Platform</v>
      </c>
    </row>
    <row r="4364">
      <c r="A4364" s="2">
        <v>4417.0</v>
      </c>
      <c r="B4364" s="3" t="s">
        <v>12</v>
      </c>
      <c r="C4364" s="4" t="str">
        <f>hyperlink("https://terraria.gamepedia.com/Water_fountains","Oasis Water Fountain")</f>
        <v>Oasis Water Fountain</v>
      </c>
    </row>
    <row r="4365">
      <c r="A4365" s="2">
        <v>4418.0</v>
      </c>
      <c r="B4365" s="3" t="s">
        <v>24</v>
      </c>
      <c r="C4365" s="4" t="str">
        <f>hyperlink("https://terraria.gamepedia.com/Water_Strider","Water Strider")</f>
        <v>Water Strider</v>
      </c>
    </row>
    <row r="4366">
      <c r="A4366" s="2">
        <v>4419.0</v>
      </c>
      <c r="B4366" s="3" t="s">
        <v>24</v>
      </c>
      <c r="C4366" s="4" t="str">
        <f>hyperlink("https://terraria.gamepedia.com/Gold_Water_Strider","Gold Water Strider")</f>
        <v>Gold Water Strider</v>
      </c>
    </row>
    <row r="4367">
      <c r="A4367" s="2">
        <v>4420.0</v>
      </c>
      <c r="B4367" s="3" t="s">
        <v>12</v>
      </c>
      <c r="C4367" s="4" t="str">
        <f>hyperlink("https://terraria.gamepedia.com/Lawn_Flamingo","Lawn Flamingo")</f>
        <v>Lawn Flamingo</v>
      </c>
    </row>
    <row r="4368">
      <c r="A4368" s="2">
        <v>4421.0</v>
      </c>
      <c r="B4368" s="3" t="s">
        <v>29</v>
      </c>
      <c r="C4368" s="4" t="str">
        <f>hyperlink("https://terraria.gamepedia.com/Music_Boxes","Music Box (Underground Jungle)")</f>
        <v>Music Box (Underground Jungle)</v>
      </c>
    </row>
    <row r="4369">
      <c r="A4369" s="2">
        <v>4422.0</v>
      </c>
      <c r="B4369" s="3" t="s">
        <v>4</v>
      </c>
      <c r="C4369" s="4" t="str">
        <f>hyperlink("https://terraria.gamepedia.com/Grate","Grate")</f>
        <v>Grate</v>
      </c>
    </row>
    <row r="4370">
      <c r="A4370" s="2">
        <v>4423.0</v>
      </c>
      <c r="B4370" s="3" t="s">
        <v>18</v>
      </c>
      <c r="C4370" s="4" t="str">
        <f>hyperlink("https://terraria.gamepedia.com/Scarab_Bomb","Scarab Bomb")</f>
        <v>Scarab Bomb</v>
      </c>
    </row>
    <row r="4371">
      <c r="A4371" s="2">
        <v>4424.0</v>
      </c>
      <c r="B4371" s="3" t="s">
        <v>8</v>
      </c>
      <c r="C4371" s="4" t="str">
        <f>hyperlink("https://terraria.gamepedia.com/Fences","Wrought Iron Fence")</f>
        <v>Wrought Iron Fence</v>
      </c>
    </row>
    <row r="4372">
      <c r="A4372" s="2">
        <v>4425.0</v>
      </c>
      <c r="B4372" s="3" t="s">
        <v>15</v>
      </c>
      <c r="C4372" s="4" t="str">
        <f>hyperlink("https://terraria.gamepedia.com/Shark_Bait","Shark Bait")</f>
        <v>Shark Bait</v>
      </c>
    </row>
    <row r="4373">
      <c r="A4373" s="2">
        <v>4426.0</v>
      </c>
      <c r="B4373" s="3" t="s">
        <v>40</v>
      </c>
      <c r="C4373" s="4" t="str">
        <f>hyperlink("https://terraria.gamepedia.com/Minecarts","Bee Minecart")</f>
        <v>Bee Minecart</v>
      </c>
    </row>
    <row r="4374">
      <c r="A4374" s="2">
        <v>4427.0</v>
      </c>
      <c r="B4374" s="3" t="s">
        <v>40</v>
      </c>
      <c r="C4374" s="4" t="str">
        <f>hyperlink("https://terraria.gamepedia.com/Minecarts","Ladybug Minecart")</f>
        <v>Ladybug Minecart</v>
      </c>
    </row>
    <row r="4375">
      <c r="A4375" s="2">
        <v>4428.0</v>
      </c>
      <c r="B4375" s="3" t="s">
        <v>40</v>
      </c>
      <c r="C4375" s="4" t="str">
        <f>hyperlink("https://terraria.gamepedia.com/Minecarts","Pigron Minecart")</f>
        <v>Pigron Minecart</v>
      </c>
    </row>
    <row r="4376">
      <c r="A4376" s="2">
        <v>4429.0</v>
      </c>
      <c r="B4376" s="3" t="s">
        <v>40</v>
      </c>
      <c r="C4376" s="4" t="str">
        <f>hyperlink("https://terraria.gamepedia.com/Minecarts","Sunflower Minecart")</f>
        <v>Sunflower Minecart</v>
      </c>
    </row>
    <row r="4377">
      <c r="A4377" s="2">
        <v>4430.0</v>
      </c>
      <c r="B4377" s="3" t="s">
        <v>12</v>
      </c>
      <c r="C4377" s="4" t="str">
        <f>hyperlink("https://terraria.gamepedia.com/Potted_Trees","Potted Forest Cedar")</f>
        <v>Potted Forest Cedar</v>
      </c>
    </row>
    <row r="4378">
      <c r="A4378" s="2">
        <v>4431.0</v>
      </c>
      <c r="B4378" s="3" t="s">
        <v>12</v>
      </c>
      <c r="C4378" s="4" t="str">
        <f>hyperlink("https://terraria.gamepedia.com/Potted_Trees","Potted Jungle Cedar")</f>
        <v>Potted Jungle Cedar</v>
      </c>
    </row>
    <row r="4379">
      <c r="A4379" s="2">
        <v>4432.0</v>
      </c>
      <c r="B4379" s="3" t="s">
        <v>12</v>
      </c>
      <c r="C4379" s="4" t="str">
        <f>hyperlink("https://terraria.gamepedia.com/Potted_Trees","Potted Hallow Cedar")</f>
        <v>Potted Hallow Cedar</v>
      </c>
    </row>
    <row r="4380">
      <c r="A4380" s="2">
        <v>4433.0</v>
      </c>
      <c r="B4380" s="3" t="s">
        <v>12</v>
      </c>
      <c r="C4380" s="4" t="str">
        <f>hyperlink("https://terraria.gamepedia.com/Potted_Trees","Potted Forest Tree")</f>
        <v>Potted Forest Tree</v>
      </c>
    </row>
    <row r="4381">
      <c r="A4381" s="2">
        <v>4434.0</v>
      </c>
      <c r="B4381" s="3" t="s">
        <v>12</v>
      </c>
      <c r="C4381" s="4" t="str">
        <f>hyperlink("https://terraria.gamepedia.com/Potted_Trees","Potted Jungle Tree")</f>
        <v>Potted Jungle Tree</v>
      </c>
    </row>
    <row r="4382">
      <c r="A4382" s="2">
        <v>4435.0</v>
      </c>
      <c r="B4382" s="3" t="s">
        <v>12</v>
      </c>
      <c r="C4382" s="4" t="str">
        <f>hyperlink("https://terraria.gamepedia.com/Potted_Trees","Potted Hallow Tree")</f>
        <v>Potted Hallow Tree</v>
      </c>
    </row>
    <row r="4383">
      <c r="A4383" s="2">
        <v>4436.0</v>
      </c>
      <c r="B4383" s="3" t="s">
        <v>12</v>
      </c>
      <c r="C4383" s="4" t="str">
        <f>hyperlink("https://terraria.gamepedia.com/Potted_Trees","Potted Forest Palm")</f>
        <v>Potted Forest Palm</v>
      </c>
    </row>
    <row r="4384">
      <c r="A4384" s="2">
        <v>4437.0</v>
      </c>
      <c r="B4384" s="3" t="s">
        <v>12</v>
      </c>
      <c r="C4384" s="4" t="str">
        <f>hyperlink("https://terraria.gamepedia.com/Potted_Trees","Potted Jungle Palm")</f>
        <v>Potted Jungle Palm</v>
      </c>
    </row>
    <row r="4385">
      <c r="A4385" s="2">
        <v>4438.0</v>
      </c>
      <c r="B4385" s="3" t="s">
        <v>12</v>
      </c>
      <c r="C4385" s="4" t="str">
        <f>hyperlink("https://terraria.gamepedia.com/Potted_Trees","Potted Hallow Palm")</f>
        <v>Potted Hallow Palm</v>
      </c>
    </row>
    <row r="4386">
      <c r="A4386" s="2">
        <v>4439.0</v>
      </c>
      <c r="B4386" s="3" t="s">
        <v>12</v>
      </c>
      <c r="C4386" s="4" t="str">
        <f>hyperlink("https://terraria.gamepedia.com/Potted_Trees","Potted Forest Bamboo")</f>
        <v>Potted Forest Bamboo</v>
      </c>
    </row>
    <row r="4387">
      <c r="A4387" s="2">
        <v>4440.0</v>
      </c>
      <c r="B4387" s="3" t="s">
        <v>12</v>
      </c>
      <c r="C4387" s="4" t="str">
        <f>hyperlink("https://terraria.gamepedia.com/Potted_Trees","Potted Jungle Bamboo")</f>
        <v>Potted Jungle Bamboo</v>
      </c>
    </row>
    <row r="4388">
      <c r="A4388" s="2">
        <v>4441.0</v>
      </c>
      <c r="B4388" s="3" t="s">
        <v>12</v>
      </c>
      <c r="C4388" s="4" t="str">
        <f>hyperlink("https://terraria.gamepedia.com/Potted_Trees","Potted Hallow Bamboo")</f>
        <v>Potted Hallow Bamboo</v>
      </c>
    </row>
    <row r="4389">
      <c r="A4389" s="2">
        <v>4442.0</v>
      </c>
      <c r="B4389" s="3" t="s">
        <v>3</v>
      </c>
      <c r="C4389" s="4" t="str">
        <f>hyperlink("https://terraria.gamepedia.com/Fishing_poles","Scarab Fishing Rod")</f>
        <v>Scarab Fishing Rod</v>
      </c>
    </row>
    <row r="4390">
      <c r="A4390" s="2">
        <v>4443.0</v>
      </c>
      <c r="B4390" s="3" t="s">
        <v>40</v>
      </c>
      <c r="C4390" s="4" t="str">
        <f>hyperlink("https://terraria.gamepedia.com/Minecarts","Demonic Hellcart")</f>
        <v>Demonic Hellcart</v>
      </c>
    </row>
    <row r="4391">
      <c r="A4391" s="2">
        <v>4444.0</v>
      </c>
      <c r="B4391" s="3" t="s">
        <v>22</v>
      </c>
      <c r="C4391" s="4" t="str">
        <f>hyperlink("https://terraria.gamepedia.com/Witch's_Broom","Witch's Broom")</f>
        <v>Witch's Broom</v>
      </c>
    </row>
    <row r="4392">
      <c r="A4392" s="2">
        <v>4445.0</v>
      </c>
      <c r="B4392" s="3" t="s">
        <v>18</v>
      </c>
      <c r="C4392" s="4" t="str">
        <f>hyperlink("https://terraria.gamepedia.com/Cluster_Rocket_I","Cluster Rocket I")</f>
        <v>Cluster Rocket I</v>
      </c>
    </row>
    <row r="4393">
      <c r="A4393" s="2">
        <v>4446.0</v>
      </c>
      <c r="B4393" s="3" t="s">
        <v>18</v>
      </c>
      <c r="C4393" s="4" t="str">
        <f>hyperlink("https://terraria.gamepedia.com/Cluster_Rocket_II","Cluster Rocket II")</f>
        <v>Cluster Rocket II</v>
      </c>
    </row>
    <row r="4394">
      <c r="A4394" s="2">
        <v>4447.0</v>
      </c>
      <c r="B4394" s="3" t="s">
        <v>18</v>
      </c>
      <c r="C4394" s="4" t="str">
        <f>hyperlink("https://terraria.gamepedia.com/Liquid_rockets","Wet Rocket")</f>
        <v>Wet Rocket</v>
      </c>
    </row>
    <row r="4395">
      <c r="A4395" s="2">
        <v>4448.0</v>
      </c>
      <c r="B4395" s="3" t="s">
        <v>18</v>
      </c>
      <c r="C4395" s="4" t="str">
        <f>hyperlink("https://terraria.gamepedia.com/Liquid_rockets","Lava Rocket")</f>
        <v>Lava Rocket</v>
      </c>
    </row>
    <row r="4396">
      <c r="A4396" s="2">
        <v>4449.0</v>
      </c>
      <c r="B4396" s="3" t="s">
        <v>18</v>
      </c>
      <c r="C4396" s="4" t="str">
        <f>hyperlink("https://terraria.gamepedia.com/Liquid_rockets","Honey Rocket")</f>
        <v>Honey Rocket</v>
      </c>
    </row>
    <row r="4397">
      <c r="A4397" s="2">
        <v>4450.0</v>
      </c>
      <c r="B4397" s="3" t="s">
        <v>40</v>
      </c>
      <c r="C4397" s="4" t="str">
        <f>hyperlink("https://terraria.gamepedia.com/Minecarts","Shroom Minecart")</f>
        <v>Shroom Minecart</v>
      </c>
    </row>
    <row r="4398">
      <c r="A4398" s="2">
        <v>4451.0</v>
      </c>
      <c r="B4398" s="3" t="s">
        <v>40</v>
      </c>
      <c r="C4398" s="4" t="str">
        <f>hyperlink("https://terraria.gamepedia.com/Minecarts","Amethyst Minecart")</f>
        <v>Amethyst Minecart</v>
      </c>
    </row>
    <row r="4399">
      <c r="A4399" s="2">
        <v>4452.0</v>
      </c>
      <c r="B4399" s="3" t="s">
        <v>40</v>
      </c>
      <c r="C4399" s="4" t="str">
        <f>hyperlink("https://terraria.gamepedia.com/Minecarts","Topaz Minecart")</f>
        <v>Topaz Minecart</v>
      </c>
    </row>
    <row r="4400">
      <c r="A4400" s="2">
        <v>4453.0</v>
      </c>
      <c r="B4400" s="3" t="s">
        <v>40</v>
      </c>
      <c r="C4400" s="4" t="str">
        <f>hyperlink("https://terraria.gamepedia.com/Minecarts","Sapphire Minecart")</f>
        <v>Sapphire Minecart</v>
      </c>
    </row>
    <row r="4401">
      <c r="A4401" s="2">
        <v>4454.0</v>
      </c>
      <c r="B4401" s="3" t="s">
        <v>40</v>
      </c>
      <c r="C4401" s="4" t="str">
        <f>hyperlink("https://terraria.gamepedia.com/Minecarts","Emerald Minecart")</f>
        <v>Emerald Minecart</v>
      </c>
    </row>
    <row r="4402">
      <c r="A4402" s="2">
        <v>4455.0</v>
      </c>
      <c r="B4402" s="3" t="s">
        <v>40</v>
      </c>
      <c r="C4402" s="4" t="str">
        <f>hyperlink("https://terraria.gamepedia.com/Minecarts","Ruby Minecart")</f>
        <v>Ruby Minecart</v>
      </c>
    </row>
    <row r="4403">
      <c r="A4403" s="2">
        <v>4456.0</v>
      </c>
      <c r="B4403" s="3" t="s">
        <v>40</v>
      </c>
      <c r="C4403" s="4" t="str">
        <f>hyperlink("https://terraria.gamepedia.com/Minecarts","Diamond Minecart")</f>
        <v>Diamond Minecart</v>
      </c>
    </row>
    <row r="4404">
      <c r="A4404" s="2">
        <v>4457.0</v>
      </c>
      <c r="B4404" s="3" t="s">
        <v>18</v>
      </c>
      <c r="C4404" s="4" t="str">
        <f>hyperlink("https://terraria.gamepedia.com/Mini_Nuke_I","Mini Nuke I")</f>
        <v>Mini Nuke I</v>
      </c>
    </row>
    <row r="4405">
      <c r="A4405" s="2">
        <v>4458.0</v>
      </c>
      <c r="B4405" s="3" t="s">
        <v>18</v>
      </c>
      <c r="C4405" s="4" t="str">
        <f>hyperlink("https://terraria.gamepedia.com/Mini_Nuke_II","Mini Nuke II")</f>
        <v>Mini Nuke II</v>
      </c>
    </row>
    <row r="4406">
      <c r="A4406" s="2">
        <v>4459.0</v>
      </c>
      <c r="B4406" s="3" t="s">
        <v>18</v>
      </c>
      <c r="C4406" s="4" t="str">
        <f>hyperlink("https://terraria.gamepedia.com/Liquid_rockets","Dry Rocket")</f>
        <v>Dry Rocket</v>
      </c>
    </row>
    <row r="4407">
      <c r="A4407" s="2">
        <v>4460.0</v>
      </c>
      <c r="B4407" s="3" t="s">
        <v>3</v>
      </c>
      <c r="C4407" s="4" t="str">
        <f>hyperlink("https://terraria.gamepedia.com/Sandcastle_Bucket","Sandcastle Bucket")</f>
        <v>Sandcastle Bucket</v>
      </c>
    </row>
    <row r="4408">
      <c r="A4408" s="2">
        <v>4461.0</v>
      </c>
      <c r="B4408" s="3" t="s">
        <v>24</v>
      </c>
      <c r="C4408" s="4" t="str">
        <f>hyperlink("https://terraria.gamepedia.com/Cages","Turtle Cage")</f>
        <v>Turtle Cage</v>
      </c>
    </row>
    <row r="4409">
      <c r="A4409" s="2">
        <v>4462.0</v>
      </c>
      <c r="B4409" s="3" t="s">
        <v>24</v>
      </c>
      <c r="C4409" s="4" t="str">
        <f>hyperlink("https://terraria.gamepedia.com/Cages","Jungle Turtle Cage")</f>
        <v>Jungle Turtle Cage</v>
      </c>
    </row>
    <row r="4410">
      <c r="A4410" s="2">
        <v>4463.0</v>
      </c>
      <c r="B4410" s="3" t="s">
        <v>5</v>
      </c>
      <c r="C4410" s="4" t="str">
        <f>hyperlink("https://terraria.gamepedia.com/Gladius","Gladius")</f>
        <v>Gladius</v>
      </c>
    </row>
    <row r="4411">
      <c r="A4411" s="2">
        <v>4464.0</v>
      </c>
      <c r="B4411" s="3" t="s">
        <v>24</v>
      </c>
      <c r="C4411" s="4" t="str">
        <f>hyperlink("https://terraria.gamepedia.com/Turtle","Turtle")</f>
        <v>Turtle</v>
      </c>
    </row>
    <row r="4412">
      <c r="A4412" s="2">
        <v>4465.0</v>
      </c>
      <c r="B4412" s="3" t="s">
        <v>24</v>
      </c>
      <c r="C4412" s="4" t="str">
        <f>hyperlink("https://terraria.gamepedia.com/Jungle_Turtle","Jungle Turtle")</f>
        <v>Jungle Turtle</v>
      </c>
    </row>
    <row r="4413">
      <c r="A4413" s="2">
        <v>4466.0</v>
      </c>
      <c r="B4413" s="3" t="s">
        <v>21</v>
      </c>
      <c r="C4413" s="4" t="str">
        <f>hyperlink("https://terraria.gamepedia.com/Statues","Turtle Statue")</f>
        <v>Turtle Statue</v>
      </c>
    </row>
    <row r="4414">
      <c r="A4414" s="2">
        <v>4467.0</v>
      </c>
      <c r="B4414" s="3" t="s">
        <v>40</v>
      </c>
      <c r="C4414" s="4" t="str">
        <f>hyperlink("https://terraria.gamepedia.com/Minecarts","Amber Minecart")</f>
        <v>Amber Minecart</v>
      </c>
    </row>
    <row r="4415">
      <c r="A4415" s="2">
        <v>4468.0</v>
      </c>
      <c r="B4415" s="3" t="s">
        <v>40</v>
      </c>
      <c r="C4415" s="4" t="str">
        <f>hyperlink("https://terraria.gamepedia.com/Minecarts","Beetle Minecart")</f>
        <v>Beetle Minecart</v>
      </c>
    </row>
    <row r="4416">
      <c r="A4416" s="2">
        <v>4469.0</v>
      </c>
      <c r="B4416" s="3" t="s">
        <v>40</v>
      </c>
      <c r="C4416" s="4" t="str">
        <f>hyperlink("https://terraria.gamepedia.com/Minecarts","Meowmere Minecart")</f>
        <v>Meowmere Minecart</v>
      </c>
    </row>
    <row r="4417">
      <c r="A4417" s="2">
        <v>4470.0</v>
      </c>
      <c r="B4417" s="3" t="s">
        <v>40</v>
      </c>
      <c r="C4417" s="4" t="str">
        <f>hyperlink("https://terraria.gamepedia.com/Minecarts","Party Wagon")</f>
        <v>Party Wagon</v>
      </c>
    </row>
    <row r="4418">
      <c r="A4418" s="2">
        <v>4471.0</v>
      </c>
      <c r="B4418" s="3" t="s">
        <v>40</v>
      </c>
      <c r="C4418" s="4" t="str">
        <f>hyperlink("https://terraria.gamepedia.com/Minecarts","The Dutchman")</f>
        <v>The Dutchman</v>
      </c>
    </row>
    <row r="4419">
      <c r="A4419" s="2">
        <v>4472.0</v>
      </c>
      <c r="B4419" s="3" t="s">
        <v>40</v>
      </c>
      <c r="C4419" s="4" t="str">
        <f>hyperlink("https://terraria.gamepedia.com/Minecarts","Steampunk Minecart")</f>
        <v>Steampunk Minecart</v>
      </c>
    </row>
    <row r="4420">
      <c r="A4420" s="2">
        <v>4473.0</v>
      </c>
      <c r="B4420" s="3" t="s">
        <v>24</v>
      </c>
      <c r="C4420" s="4" t="str">
        <f>hyperlink("https://terraria.gamepedia.com/Cages","Grebe Cage")</f>
        <v>Grebe Cage</v>
      </c>
    </row>
    <row r="4421">
      <c r="A4421" s="2">
        <v>4474.0</v>
      </c>
      <c r="B4421" s="3" t="s">
        <v>24</v>
      </c>
      <c r="C4421" s="4" t="str">
        <f>hyperlink("https://terraria.gamepedia.com/Cages","Seagull Cage")</f>
        <v>Seagull Cage</v>
      </c>
    </row>
    <row r="4422">
      <c r="A4422" s="2">
        <v>4475.0</v>
      </c>
      <c r="B4422" s="3" t="s">
        <v>24</v>
      </c>
      <c r="C4422" s="4" t="str">
        <f>hyperlink("https://terraria.gamepedia.com/Cages","Water Strider Cage")</f>
        <v>Water Strider Cage</v>
      </c>
    </row>
    <row r="4423">
      <c r="A4423" s="2">
        <v>4476.0</v>
      </c>
      <c r="B4423" s="3" t="s">
        <v>24</v>
      </c>
      <c r="C4423" s="4" t="str">
        <f>hyperlink("https://terraria.gamepedia.com/Cages","Gold Water Strider Cage")</f>
        <v>Gold Water Strider Cage</v>
      </c>
    </row>
    <row r="4424">
      <c r="A4424" s="2">
        <v>4477.0</v>
      </c>
      <c r="B4424" s="3" t="s">
        <v>14</v>
      </c>
      <c r="C4424" s="4" t="str">
        <f>hyperlink("https://terraria.gamepedia.com/Luck_Potions","Lesser Luck Potion")</f>
        <v>Lesser Luck Potion</v>
      </c>
    </row>
    <row r="4425">
      <c r="A4425" s="2">
        <v>4478.0</v>
      </c>
      <c r="B4425" s="3" t="s">
        <v>14</v>
      </c>
      <c r="C4425" s="4" t="str">
        <f>hyperlink("https://terraria.gamepedia.com/Luck_Potions","Luck Potion")</f>
        <v>Luck Potion</v>
      </c>
    </row>
    <row r="4426">
      <c r="A4426" s="2">
        <v>4479.0</v>
      </c>
      <c r="B4426" s="3" t="s">
        <v>14</v>
      </c>
      <c r="C4426" s="4" t="str">
        <f>hyperlink("https://terraria.gamepedia.com/Luck_Potions","Greater Luck Potion")</f>
        <v>Greater Luck Potion</v>
      </c>
    </row>
    <row r="4427">
      <c r="A4427" s="2">
        <v>4480.0</v>
      </c>
      <c r="B4427" s="3" t="s">
        <v>24</v>
      </c>
      <c r="C4427" s="4" t="str">
        <f>hyperlink("https://terraria.gamepedia.com/Seahorse","Seahorse")</f>
        <v>Seahorse</v>
      </c>
    </row>
    <row r="4428">
      <c r="A4428" s="2">
        <v>4481.0</v>
      </c>
      <c r="B4428" s="3" t="s">
        <v>24</v>
      </c>
      <c r="C4428" s="4" t="str">
        <f>hyperlink("https://terraria.gamepedia.com/Cages","Seahorse Cage")</f>
        <v>Seahorse Cage</v>
      </c>
    </row>
    <row r="4429">
      <c r="A4429" s="2">
        <v>4482.0</v>
      </c>
      <c r="B4429" s="3" t="s">
        <v>24</v>
      </c>
      <c r="C4429" s="4" t="str">
        <f>hyperlink("https://terraria.gamepedia.com/Gold_Seahorse","Gold Seahorse")</f>
        <v>Gold Seahorse</v>
      </c>
    </row>
    <row r="4430">
      <c r="A4430" s="2">
        <v>4483.0</v>
      </c>
      <c r="B4430" s="3" t="s">
        <v>24</v>
      </c>
      <c r="C4430" s="4" t="str">
        <f>hyperlink("https://terraria.gamepedia.com/Cages","Gold Seahorse Cage")</f>
        <v>Gold Seahorse Cage</v>
      </c>
    </row>
    <row r="4431">
      <c r="A4431" s="2">
        <v>4484.0</v>
      </c>
      <c r="B4431" s="3" t="s">
        <v>28</v>
      </c>
      <c r="C4431" s="4" t="str">
        <f>hyperlink("https://terraria.gamepedia.com/Timers","1/2 Second Timer")</f>
        <v>1/2 Second Timer</v>
      </c>
    </row>
    <row r="4432">
      <c r="A4432" s="2">
        <v>4485.0</v>
      </c>
      <c r="B4432" s="3" t="s">
        <v>28</v>
      </c>
      <c r="C4432" s="4" t="str">
        <f>hyperlink("https://terraria.gamepedia.com/Timers","1/4 Second Timer")</f>
        <v>1/4 Second Timer</v>
      </c>
    </row>
    <row r="4433">
      <c r="A4433" s="2">
        <v>4486.0</v>
      </c>
      <c r="B4433" s="3" t="s">
        <v>13</v>
      </c>
      <c r="C4433" s="4" t="str">
        <f>hyperlink("https://terraria.gamepedia.com/Ebonstone_Wall","Ebonstone Wall")</f>
        <v>Ebonstone Wall</v>
      </c>
    </row>
    <row r="4434">
      <c r="A4434" s="2">
        <v>4487.0</v>
      </c>
      <c r="B4434" s="3" t="s">
        <v>13</v>
      </c>
      <c r="C4434" s="4" t="str">
        <f>hyperlink("https://terraria.gamepedia.com/Mud_Wall","Mud Wall")</f>
        <v>Mud Wall</v>
      </c>
    </row>
    <row r="4435">
      <c r="A4435" s="2">
        <v>4488.0</v>
      </c>
      <c r="B4435" s="3" t="s">
        <v>13</v>
      </c>
      <c r="C4435" s="4" t="str">
        <f>hyperlink("https://terraria.gamepedia.com/Pearlstone_Wall","Pearlstone Wall")</f>
        <v>Pearlstone Wall</v>
      </c>
    </row>
    <row r="4436">
      <c r="A4436" s="2">
        <v>4489.0</v>
      </c>
      <c r="B4436" s="3" t="s">
        <v>13</v>
      </c>
      <c r="C4436" s="4" t="str">
        <f>hyperlink("https://terraria.gamepedia.com/Snow_Wall","Snow Wall")</f>
        <v>Snow Wall</v>
      </c>
    </row>
    <row r="4437">
      <c r="A4437" s="2">
        <v>4490.0</v>
      </c>
      <c r="B4437" s="3" t="s">
        <v>13</v>
      </c>
      <c r="C4437" s="4" t="str">
        <f>hyperlink("https://terraria.gamepedia.com/Gemstone_Walls","Amethyst Stone Wall")</f>
        <v>Amethyst Stone Wall</v>
      </c>
    </row>
    <row r="4438">
      <c r="A4438" s="2">
        <v>4491.0</v>
      </c>
      <c r="B4438" s="3" t="s">
        <v>13</v>
      </c>
      <c r="C4438" s="4" t="str">
        <f>hyperlink("https://terraria.gamepedia.com/Gemstone_Walls","Topaz Stone Wall")</f>
        <v>Topaz Stone Wall</v>
      </c>
    </row>
    <row r="4439">
      <c r="A4439" s="2">
        <v>4492.0</v>
      </c>
      <c r="B4439" s="3" t="s">
        <v>13</v>
      </c>
      <c r="C4439" s="4" t="str">
        <f>hyperlink("https://terraria.gamepedia.com/Gemstone_Walls","Sapphire Stone Wall")</f>
        <v>Sapphire Stone Wall</v>
      </c>
    </row>
    <row r="4440">
      <c r="A4440" s="2">
        <v>4493.0</v>
      </c>
      <c r="B4440" s="3" t="s">
        <v>13</v>
      </c>
      <c r="C4440" s="4" t="str">
        <f>hyperlink("https://terraria.gamepedia.com/Gemstone_Walls","Emerald Stone Wall")</f>
        <v>Emerald Stone Wall</v>
      </c>
    </row>
    <row r="4441">
      <c r="A4441" s="2">
        <v>4494.0</v>
      </c>
      <c r="B4441" s="3" t="s">
        <v>13</v>
      </c>
      <c r="C4441" s="4" t="str">
        <f>hyperlink("https://terraria.gamepedia.com/Gemstone_Walls","Ruby Stone Wall")</f>
        <v>Ruby Stone Wall</v>
      </c>
    </row>
    <row r="4442">
      <c r="A4442" s="2">
        <v>4495.0</v>
      </c>
      <c r="B4442" s="3" t="s">
        <v>13</v>
      </c>
      <c r="C4442" s="4" t="str">
        <f>hyperlink("https://terraria.gamepedia.com/Gemstone_Walls","Diamond Stone Wall")</f>
        <v>Diamond Stone Wall</v>
      </c>
    </row>
    <row r="4443">
      <c r="A4443" s="2">
        <v>4496.0</v>
      </c>
      <c r="B4443" s="3" t="s">
        <v>13</v>
      </c>
      <c r="C4443" s="4" t="str">
        <f>hyperlink("https://terraria.gamepedia.com/Moss","Green Mossy Wall")</f>
        <v>Green Mossy Wall</v>
      </c>
    </row>
    <row r="4444">
      <c r="A4444" s="2">
        <v>4497.0</v>
      </c>
      <c r="B4444" s="3" t="s">
        <v>13</v>
      </c>
      <c r="C4444" s="4" t="str">
        <f>hyperlink("https://terraria.gamepedia.com/Moss","Brown Mossy Wall")</f>
        <v>Brown Mossy Wall</v>
      </c>
    </row>
    <row r="4445">
      <c r="A4445" s="2">
        <v>4498.0</v>
      </c>
      <c r="B4445" s="3" t="s">
        <v>13</v>
      </c>
      <c r="C4445" s="4" t="str">
        <f>hyperlink("https://terraria.gamepedia.com/Moss","Red Mossy Wall")</f>
        <v>Red Mossy Wall</v>
      </c>
    </row>
    <row r="4446">
      <c r="A4446" s="2">
        <v>4499.0</v>
      </c>
      <c r="B4446" s="3" t="s">
        <v>13</v>
      </c>
      <c r="C4446" s="4" t="str">
        <f>hyperlink("https://terraria.gamepedia.com/Moss","Blue Mossy Wall")</f>
        <v>Blue Mossy Wall</v>
      </c>
    </row>
    <row r="4447">
      <c r="A4447" s="2">
        <v>4500.0</v>
      </c>
      <c r="B4447" s="3" t="s">
        <v>13</v>
      </c>
      <c r="C4447" s="4" t="str">
        <f>hyperlink("https://terraria.gamepedia.com/Moss","Purple Mossy Wall")</f>
        <v>Purple Mossy Wall</v>
      </c>
    </row>
    <row r="4448">
      <c r="A4448" s="2">
        <v>4501.0</v>
      </c>
      <c r="B4448" s="3" t="s">
        <v>13</v>
      </c>
      <c r="C4448" s="4" t="str">
        <f>hyperlink("https://terraria.gamepedia.com/Cave_Walls","Rocky Dirt Wall")</f>
        <v>Rocky Dirt Wall</v>
      </c>
    </row>
    <row r="4449">
      <c r="A4449" s="2">
        <v>4502.0</v>
      </c>
      <c r="B4449" s="3" t="s">
        <v>13</v>
      </c>
      <c r="C4449" s="4" t="str">
        <f>hyperlink("https://terraria.gamepedia.com/Cave_Walls","Old Stone Wall")</f>
        <v>Old Stone Wall</v>
      </c>
    </row>
    <row r="4450">
      <c r="A4450" s="2">
        <v>4503.0</v>
      </c>
      <c r="B4450" s="3" t="s">
        <v>13</v>
      </c>
      <c r="C4450" s="4" t="str">
        <f>hyperlink("https://terraria.gamepedia.com/Spider_Wall","Spider Wall")</f>
        <v>Spider Wall</v>
      </c>
    </row>
    <row r="4451">
      <c r="A4451" s="2">
        <v>4504.0</v>
      </c>
      <c r="B4451" s="3" t="s">
        <v>13</v>
      </c>
      <c r="C4451" s="4" t="str">
        <f>hyperlink("https://terraria.gamepedia.com/Corrupt_Grass_Wall","Corrupt Grass Wall")</f>
        <v>Corrupt Grass Wall</v>
      </c>
    </row>
    <row r="4452">
      <c r="A4452" s="2">
        <v>4505.0</v>
      </c>
      <c r="B4452" s="3" t="s">
        <v>13</v>
      </c>
      <c r="C4452" s="4" t="str">
        <f>hyperlink("https://terraria.gamepedia.com/Hallowed_Grass_Wall","Hallowed Grass Wall")</f>
        <v>Hallowed Grass Wall</v>
      </c>
    </row>
    <row r="4453">
      <c r="A4453" s="2">
        <v>4506.0</v>
      </c>
      <c r="B4453" s="3" t="s">
        <v>13</v>
      </c>
      <c r="C4453" s="4" t="str">
        <f>hyperlink("https://terraria.gamepedia.com/Ice_Wall","Ice Wall")</f>
        <v>Ice Wall</v>
      </c>
    </row>
    <row r="4454">
      <c r="A4454" s="2">
        <v>4507.0</v>
      </c>
      <c r="B4454" s="3" t="s">
        <v>13</v>
      </c>
      <c r="C4454" s="4" t="str">
        <f>hyperlink("https://terraria.gamepedia.com/Lava_Walls","Obsidian Wall")</f>
        <v>Obsidian Wall</v>
      </c>
    </row>
    <row r="4455">
      <c r="A4455" s="2">
        <v>4508.0</v>
      </c>
      <c r="B4455" s="3" t="s">
        <v>13</v>
      </c>
      <c r="C4455" s="4" t="str">
        <f>hyperlink("https://terraria.gamepedia.com/Crimson_Grass_Wall","Crimson Grass Wall")</f>
        <v>Crimson Grass Wall</v>
      </c>
    </row>
    <row r="4456">
      <c r="A4456" s="2">
        <v>4509.0</v>
      </c>
      <c r="B4456" s="3" t="s">
        <v>13</v>
      </c>
      <c r="C4456" s="4" t="str">
        <f>hyperlink("https://terraria.gamepedia.com/Crimstone_Wall","Crimstone Wall")</f>
        <v>Crimstone Wall</v>
      </c>
    </row>
    <row r="4457">
      <c r="A4457" s="2">
        <v>4510.0</v>
      </c>
      <c r="B4457" s="3" t="s">
        <v>13</v>
      </c>
      <c r="C4457" s="4" t="str">
        <f>hyperlink("https://terraria.gamepedia.com/Cave_Walls","Cave Dirt Wall")</f>
        <v>Cave Dirt Wall</v>
      </c>
    </row>
    <row r="4458">
      <c r="A4458" s="2">
        <v>4511.0</v>
      </c>
      <c r="B4458" s="3" t="s">
        <v>13</v>
      </c>
      <c r="C4458" s="4" t="str">
        <f>hyperlink("https://terraria.gamepedia.com/Cave_Walls","Rough Dirt Wall")</f>
        <v>Rough Dirt Wall</v>
      </c>
    </row>
    <row r="4459">
      <c r="A4459" s="2">
        <v>4512.0</v>
      </c>
      <c r="B4459" s="3" t="s">
        <v>13</v>
      </c>
      <c r="C4459" s="4" t="str">
        <f>hyperlink("https://terraria.gamepedia.com/Cave_Walls","Craggy Stone Wall")</f>
        <v>Craggy Stone Wall</v>
      </c>
    </row>
    <row r="4460">
      <c r="A4460" s="2">
        <v>4513.0</v>
      </c>
      <c r="B4460" s="3" t="s">
        <v>13</v>
      </c>
      <c r="C4460" s="4" t="str">
        <f>hyperlink("https://terraria.gamepedia.com/Corrupt_Walls","Corrupt Growth Wall")</f>
        <v>Corrupt Growth Wall</v>
      </c>
    </row>
    <row r="4461">
      <c r="A4461" s="2">
        <v>4514.0</v>
      </c>
      <c r="B4461" s="3" t="s">
        <v>13</v>
      </c>
      <c r="C4461" s="4" t="str">
        <f>hyperlink("https://terraria.gamepedia.com/Corrupt_Walls","Corrupt Mass Wall")</f>
        <v>Corrupt Mass Wall</v>
      </c>
    </row>
    <row r="4462">
      <c r="A4462" s="2">
        <v>4515.0</v>
      </c>
      <c r="B4462" s="3" t="s">
        <v>13</v>
      </c>
      <c r="C4462" s="4" t="str">
        <f>hyperlink("https://terraria.gamepedia.com/Corrupt_Walls","Corrupt Pustule Wall")</f>
        <v>Corrupt Pustule Wall</v>
      </c>
    </row>
    <row r="4463">
      <c r="A4463" s="2">
        <v>4516.0</v>
      </c>
      <c r="B4463" s="3" t="s">
        <v>13</v>
      </c>
      <c r="C4463" s="4" t="str">
        <f>hyperlink("https://terraria.gamepedia.com/Corrupt_Walls","Corrupt Tendril Wall")</f>
        <v>Corrupt Tendril Wall</v>
      </c>
    </row>
    <row r="4464">
      <c r="A4464" s="2">
        <v>4517.0</v>
      </c>
      <c r="B4464" s="3" t="s">
        <v>13</v>
      </c>
      <c r="C4464" s="4" t="str">
        <f>hyperlink("https://terraria.gamepedia.com/Crimson_Wall","Crimson Crust Wall")</f>
        <v>Crimson Crust Wall</v>
      </c>
    </row>
    <row r="4465">
      <c r="A4465" s="2">
        <v>4518.0</v>
      </c>
      <c r="B4465" s="3" t="s">
        <v>13</v>
      </c>
      <c r="C4465" s="4" t="str">
        <f>hyperlink("https://terraria.gamepedia.com/Crimson_Wall","Crimson Scab Wall")</f>
        <v>Crimson Scab Wall</v>
      </c>
    </row>
    <row r="4466">
      <c r="A4466" s="2">
        <v>4519.0</v>
      </c>
      <c r="B4466" s="3" t="s">
        <v>13</v>
      </c>
      <c r="C4466" s="4" t="str">
        <f>hyperlink("https://terraria.gamepedia.com/Crimson_Wall","Crimson Teeth Wall")</f>
        <v>Crimson Teeth Wall</v>
      </c>
    </row>
    <row r="4467">
      <c r="A4467" s="2">
        <v>4520.0</v>
      </c>
      <c r="B4467" s="3" t="s">
        <v>13</v>
      </c>
      <c r="C4467" s="4" t="str">
        <f>hyperlink("https://terraria.gamepedia.com/Crimson_Wall","Crimson Blister Wall")</f>
        <v>Crimson Blister Wall</v>
      </c>
    </row>
    <row r="4468">
      <c r="A4468" s="2">
        <v>4521.0</v>
      </c>
      <c r="B4468" s="3" t="s">
        <v>13</v>
      </c>
      <c r="C4468" s="4" t="str">
        <f>hyperlink("https://terraria.gamepedia.com/Dirt_Walls_(natural)","Layered Dirt Wall")</f>
        <v>Layered Dirt Wall</v>
      </c>
    </row>
    <row r="4469">
      <c r="A4469" s="2">
        <v>4522.0</v>
      </c>
      <c r="B4469" s="3" t="s">
        <v>13</v>
      </c>
      <c r="C4469" s="4" t="str">
        <f>hyperlink("https://terraria.gamepedia.com/Dirt_Walls_(natural)","Crumbling Dirt Wall")</f>
        <v>Crumbling Dirt Wall</v>
      </c>
    </row>
    <row r="4470">
      <c r="A4470" s="2">
        <v>4523.0</v>
      </c>
      <c r="B4470" s="3" t="s">
        <v>13</v>
      </c>
      <c r="C4470" s="4" t="str">
        <f>hyperlink("https://terraria.gamepedia.com/Dirt_Walls_(natural)","Cracked Dirt Wall")</f>
        <v>Cracked Dirt Wall</v>
      </c>
    </row>
    <row r="4471">
      <c r="A4471" s="2">
        <v>4524.0</v>
      </c>
      <c r="B4471" s="3" t="s">
        <v>13</v>
      </c>
      <c r="C4471" s="4" t="str">
        <f>hyperlink("https://terraria.gamepedia.com/Dirt_Walls_(natural)","Wavy Dirt Wall")</f>
        <v>Wavy Dirt Wall</v>
      </c>
    </row>
    <row r="4472">
      <c r="A4472" s="2">
        <v>4525.0</v>
      </c>
      <c r="B4472" s="3" t="s">
        <v>13</v>
      </c>
      <c r="C4472" s="4" t="str">
        <f>hyperlink("https://terraria.gamepedia.com/Hallowed_Walls","Hallowed Prism Wall")</f>
        <v>Hallowed Prism Wall</v>
      </c>
    </row>
    <row r="4473">
      <c r="A4473" s="2">
        <v>4526.0</v>
      </c>
      <c r="B4473" s="3" t="s">
        <v>13</v>
      </c>
      <c r="C4473" s="4" t="str">
        <f>hyperlink("https://terraria.gamepedia.com/Hallowed_Walls","Hallowed Cavern Wall")</f>
        <v>Hallowed Cavern Wall</v>
      </c>
    </row>
    <row r="4474">
      <c r="A4474" s="2">
        <v>4527.0</v>
      </c>
      <c r="B4474" s="3" t="s">
        <v>13</v>
      </c>
      <c r="C4474" s="4" t="str">
        <f>hyperlink("https://terraria.gamepedia.com/Hallowed_Walls","Hallowed Shard Wall")</f>
        <v>Hallowed Shard Wall</v>
      </c>
    </row>
    <row r="4475">
      <c r="A4475" s="2">
        <v>4528.0</v>
      </c>
      <c r="B4475" s="3" t="s">
        <v>13</v>
      </c>
      <c r="C4475" s="4" t="str">
        <f>hyperlink("https://terraria.gamepedia.com/Hallowed_Walls","Hallowed Crystalline Wall")</f>
        <v>Hallowed Crystalline Wall</v>
      </c>
    </row>
    <row r="4476">
      <c r="A4476" s="2">
        <v>4529.0</v>
      </c>
      <c r="B4476" s="3" t="s">
        <v>13</v>
      </c>
      <c r="C4476" s="4" t="str">
        <f>hyperlink("https://terraria.gamepedia.com/Jungle_Walls_(natural)","Lichen Stone Wall")</f>
        <v>Lichen Stone Wall</v>
      </c>
    </row>
    <row r="4477">
      <c r="A4477" s="2">
        <v>4530.0</v>
      </c>
      <c r="B4477" s="3" t="s">
        <v>13</v>
      </c>
      <c r="C4477" s="4" t="str">
        <f>hyperlink("https://terraria.gamepedia.com/Jungle_Walls_(natural)","Leafy Jungle Wall")</f>
        <v>Leafy Jungle Wall</v>
      </c>
    </row>
    <row r="4478">
      <c r="A4478" s="2">
        <v>4531.0</v>
      </c>
      <c r="B4478" s="3" t="s">
        <v>13</v>
      </c>
      <c r="C4478" s="4" t="str">
        <f>hyperlink("https://terraria.gamepedia.com/Jungle_Walls_(natural)","Ivy Stone Wall")</f>
        <v>Ivy Stone Wall</v>
      </c>
    </row>
    <row r="4479">
      <c r="A4479" s="2">
        <v>4532.0</v>
      </c>
      <c r="B4479" s="3" t="s">
        <v>13</v>
      </c>
      <c r="C4479" s="4" t="str">
        <f>hyperlink("https://terraria.gamepedia.com/Jungle_Walls_(natural)","Jungle Vine Wall")</f>
        <v>Jungle Vine Wall</v>
      </c>
    </row>
    <row r="4480">
      <c r="A4480" s="2">
        <v>4533.0</v>
      </c>
      <c r="B4480" s="3" t="s">
        <v>13</v>
      </c>
      <c r="C4480" s="4" t="str">
        <f>hyperlink("https://terraria.gamepedia.com/Lava_Walls","Ember Wall")</f>
        <v>Ember Wall</v>
      </c>
    </row>
    <row r="4481">
      <c r="A4481" s="2">
        <v>4534.0</v>
      </c>
      <c r="B4481" s="3" t="s">
        <v>13</v>
      </c>
      <c r="C4481" s="4" t="str">
        <f>hyperlink("https://terraria.gamepedia.com/Lava_Walls","Cinder Wall")</f>
        <v>Cinder Wall</v>
      </c>
    </row>
    <row r="4482">
      <c r="A4482" s="2">
        <v>4535.0</v>
      </c>
      <c r="B4482" s="3" t="s">
        <v>13</v>
      </c>
      <c r="C4482" s="4" t="str">
        <f>hyperlink("https://terraria.gamepedia.com/Lava_Walls","Magma Wall")</f>
        <v>Magma Wall</v>
      </c>
    </row>
    <row r="4483">
      <c r="A4483" s="2">
        <v>4536.0</v>
      </c>
      <c r="B4483" s="3" t="s">
        <v>13</v>
      </c>
      <c r="C4483" s="4" t="str">
        <f>hyperlink("https://terraria.gamepedia.com/Lava_Walls","Smouldering Stone Wall")</f>
        <v>Smouldering Stone Wall</v>
      </c>
    </row>
    <row r="4484">
      <c r="A4484" s="2">
        <v>4537.0</v>
      </c>
      <c r="B4484" s="3" t="s">
        <v>13</v>
      </c>
      <c r="C4484" s="4" t="str">
        <f>hyperlink("https://terraria.gamepedia.com/Cave_Walls","Worn Stone Wall")</f>
        <v>Worn Stone Wall</v>
      </c>
    </row>
    <row r="4485">
      <c r="A4485" s="2">
        <v>4538.0</v>
      </c>
      <c r="B4485" s="3" t="s">
        <v>13</v>
      </c>
      <c r="C4485" s="4" t="str">
        <f>hyperlink("https://terraria.gamepedia.com/Cave_Walls","Stalactite Stone Wall")</f>
        <v>Stalactite Stone Wall</v>
      </c>
    </row>
    <row r="4486">
      <c r="A4486" s="2">
        <v>4539.0</v>
      </c>
      <c r="B4486" s="3" t="s">
        <v>13</v>
      </c>
      <c r="C4486" s="4" t="str">
        <f>hyperlink("https://terraria.gamepedia.com/Cave_Walls","Mottled Stone Wall")</f>
        <v>Mottled Stone Wall</v>
      </c>
    </row>
    <row r="4487">
      <c r="A4487" s="2">
        <v>4540.0</v>
      </c>
      <c r="B4487" s="3" t="s">
        <v>13</v>
      </c>
      <c r="C4487" s="4" t="str">
        <f>hyperlink("https://terraria.gamepedia.com/Cave_Walls","Fractured Stone Wall")</f>
        <v>Fractured Stone Wall</v>
      </c>
    </row>
    <row r="4488">
      <c r="A4488" s="2">
        <v>4541.0</v>
      </c>
      <c r="B4488" s="3" t="s">
        <v>37</v>
      </c>
      <c r="C4488" s="4" t="str">
        <f>hyperlink("https://terraria.gamepedia.com/The_Bride","The Bride Banner")</f>
        <v>The Bride Banner</v>
      </c>
    </row>
    <row r="4489">
      <c r="A4489" s="2">
        <v>4542.0</v>
      </c>
      <c r="B4489" s="3" t="s">
        <v>37</v>
      </c>
      <c r="C4489" s="4" t="str">
        <f>hyperlink("https://terraria.gamepedia.com/Zombie_Merman","Zombie Merman Banner")</f>
        <v>Zombie Merman Banner</v>
      </c>
    </row>
    <row r="4490">
      <c r="A4490" s="2">
        <v>4543.0</v>
      </c>
      <c r="B4490" s="3" t="s">
        <v>37</v>
      </c>
      <c r="C4490" s="4" t="str">
        <f>hyperlink("https://terraria.gamepedia.com/Wandering_Eye_Fish","Wandering Eye Fish Banner")</f>
        <v>Wandering Eye Fish Banner</v>
      </c>
    </row>
    <row r="4491">
      <c r="A4491" s="2">
        <v>4544.0</v>
      </c>
      <c r="B4491" s="3" t="s">
        <v>37</v>
      </c>
      <c r="C4491" s="4" t="str">
        <f>hyperlink("https://terraria.gamepedia.com/Blood_Squid","Blood Squid Banner")</f>
        <v>Blood Squid Banner</v>
      </c>
    </row>
    <row r="4492">
      <c r="A4492" s="2">
        <v>4545.0</v>
      </c>
      <c r="B4492" s="3" t="s">
        <v>37</v>
      </c>
      <c r="C4492" s="4" t="str">
        <f>hyperlink("https://terraria.gamepedia.com/Blood_Eel","Blood Eel Banner")</f>
        <v>Blood Eel Banner</v>
      </c>
    </row>
    <row r="4493">
      <c r="A4493" s="2">
        <v>4546.0</v>
      </c>
      <c r="B4493" s="3" t="s">
        <v>37</v>
      </c>
      <c r="C4493" s="4" t="str">
        <f>hyperlink("https://terraria.gamepedia.com/Hemogoblin_Shark","Hemogoblin Shark Banner")</f>
        <v>Hemogoblin Shark Banner</v>
      </c>
    </row>
    <row r="4494">
      <c r="A4494" s="2">
        <v>4547.0</v>
      </c>
      <c r="B4494" s="3" t="s">
        <v>4</v>
      </c>
      <c r="C4494" s="4" t="str">
        <f>hyperlink("https://terraria.gamepedia.com/Large_Bamboo","Large Bamboo")</f>
        <v>Large Bamboo</v>
      </c>
    </row>
    <row r="4495">
      <c r="A4495" s="2">
        <v>4548.0</v>
      </c>
      <c r="B4495" s="3" t="s">
        <v>13</v>
      </c>
      <c r="C4495" s="4" t="str">
        <f>hyperlink("https://terraria.gamepedia.com/Large_Bamboo_Wall","Large Bamboo Wall")</f>
        <v>Large Bamboo Wall</v>
      </c>
    </row>
    <row r="4496">
      <c r="A4496" s="2">
        <v>4549.0</v>
      </c>
      <c r="B4496" s="3" t="s">
        <v>23</v>
      </c>
      <c r="C4496" s="4" t="str">
        <f>hyperlink("https://terraria.gamepedia.com/Demon_Horns","Demon Horns")</f>
        <v>Demon Horns</v>
      </c>
    </row>
    <row r="4497">
      <c r="A4497" s="2">
        <v>4550.0</v>
      </c>
      <c r="B4497" s="3" t="s">
        <v>22</v>
      </c>
      <c r="C4497" s="4" t="str">
        <f>hyperlink("https://terraria.gamepedia.com/Bamboo_Leaf","Bamboo Leaf")</f>
        <v>Bamboo Leaf</v>
      </c>
    </row>
    <row r="4498">
      <c r="A4498" s="2">
        <v>4551.0</v>
      </c>
      <c r="B4498" s="3" t="s">
        <v>22</v>
      </c>
      <c r="C4498" s="4" t="str">
        <f>hyperlink("https://terraria.gamepedia.com/Slice_of_Hell_Cake","Slice of Hell Cake")</f>
        <v>Slice of Hell Cake</v>
      </c>
    </row>
    <row r="4499">
      <c r="A4499" s="2">
        <v>4552.0</v>
      </c>
      <c r="B4499" s="3" t="s">
        <v>28</v>
      </c>
      <c r="C4499" s="4" t="str">
        <f>hyperlink("https://terraria.gamepedia.com/Fog_Machine","Fog Machine")</f>
        <v>Fog Machine</v>
      </c>
    </row>
    <row r="4500">
      <c r="A4500" s="2">
        <v>4553.0</v>
      </c>
      <c r="B4500" s="3" t="s">
        <v>28</v>
      </c>
      <c r="C4500" s="4" t="str">
        <f>hyperlink("https://terraria.gamepedia.com/Plasma_Lamp","Plasma Lamp")</f>
        <v>Plasma Lamp</v>
      </c>
    </row>
    <row r="4501">
      <c r="A4501" s="2">
        <v>4554.0</v>
      </c>
      <c r="B4501" s="3" t="s">
        <v>4</v>
      </c>
      <c r="C4501" s="4" t="str">
        <f>hyperlink("https://terraria.gamepedia.com/Beams","Marble Column")</f>
        <v>Marble Column</v>
      </c>
    </row>
    <row r="4502">
      <c r="A4502" s="2">
        <v>4555.0</v>
      </c>
      <c r="B4502" s="3" t="s">
        <v>23</v>
      </c>
      <c r="C4502" s="4" t="str">
        <f>hyperlink("https://terraria.gamepedia.com/Chef_set","Chef Hat")</f>
        <v>Chef Hat</v>
      </c>
    </row>
    <row r="4503">
      <c r="A4503" s="2">
        <v>4556.0</v>
      </c>
      <c r="B4503" s="3" t="s">
        <v>23</v>
      </c>
      <c r="C4503" s="4" t="str">
        <f>hyperlink("https://terraria.gamepedia.com/Chef_set","Chef Uniform")</f>
        <v>Chef Uniform</v>
      </c>
    </row>
    <row r="4504">
      <c r="A4504" s="2">
        <v>4557.0</v>
      </c>
      <c r="B4504" s="3" t="s">
        <v>23</v>
      </c>
      <c r="C4504" s="4" t="str">
        <f>hyperlink("https://terraria.gamepedia.com/Chef_set","Chef Pants")</f>
        <v>Chef Pants</v>
      </c>
    </row>
    <row r="4505">
      <c r="A4505" s="2">
        <v>4558.0</v>
      </c>
      <c r="B4505" s="3" t="s">
        <v>23</v>
      </c>
      <c r="C4505" s="4" t="str">
        <f>hyperlink("https://terraria.gamepedia.com/Star_Hairpin","Star Hairpin")</f>
        <v>Star Hairpin</v>
      </c>
    </row>
    <row r="4506">
      <c r="A4506" s="2">
        <v>4559.0</v>
      </c>
      <c r="B4506" s="3" t="s">
        <v>23</v>
      </c>
      <c r="C4506" s="4" t="str">
        <f>hyperlink("https://terraria.gamepedia.com/Heart_Hairpin","Heart Hairpin")</f>
        <v>Heart Hairpin</v>
      </c>
    </row>
    <row r="4507">
      <c r="A4507" s="2">
        <v>4560.0</v>
      </c>
      <c r="B4507" s="3" t="s">
        <v>23</v>
      </c>
      <c r="C4507" s="4" t="str">
        <f>hyperlink("https://terraria.gamepedia.com/Bunny_set","Bunny Ears")</f>
        <v>Bunny Ears</v>
      </c>
    </row>
    <row r="4508">
      <c r="A4508" s="2">
        <v>4561.0</v>
      </c>
      <c r="B4508" s="3" t="s">
        <v>23</v>
      </c>
      <c r="C4508" s="4" t="str">
        <f>hyperlink("https://terraria.gamepedia.com/Devil_Horns","Devil Horns")</f>
        <v>Devil Horns</v>
      </c>
    </row>
    <row r="4509">
      <c r="A4509" s="2">
        <v>4562.0</v>
      </c>
      <c r="B4509" s="3" t="s">
        <v>23</v>
      </c>
      <c r="C4509" s="4" t="str">
        <f>hyperlink("https://terraria.gamepedia.com/Fedora","Fedora")</f>
        <v>Fedora</v>
      </c>
    </row>
    <row r="4510">
      <c r="A4510" s="2">
        <v>4563.0</v>
      </c>
      <c r="B4510" s="3" t="s">
        <v>23</v>
      </c>
      <c r="C4510" s="4" t="str">
        <f>hyperlink("https://terraria.gamepedia.com/Fake_Unicorn_Horn","Fake Unicorn Horn")</f>
        <v>Fake Unicorn Horn</v>
      </c>
    </row>
    <row r="4511">
      <c r="A4511" s="2">
        <v>4564.0</v>
      </c>
      <c r="B4511" s="3" t="s">
        <v>4</v>
      </c>
      <c r="C4511" s="4" t="str">
        <f>hyperlink("https://terraria.gamepedia.com/Bamboo","Bamboo")</f>
        <v>Bamboo</v>
      </c>
    </row>
    <row r="4512">
      <c r="A4512" s="2">
        <v>4565.0</v>
      </c>
      <c r="B4512" s="3" t="s">
        <v>13</v>
      </c>
      <c r="C4512" s="4" t="str">
        <f>hyperlink("https://terraria.gamepedia.com/Bamboo_Wall","Bamboo Wall")</f>
        <v>Bamboo Wall</v>
      </c>
    </row>
    <row r="4513">
      <c r="A4513" s="2">
        <v>4566.0</v>
      </c>
      <c r="B4513" s="3" t="s">
        <v>31</v>
      </c>
      <c r="C4513" s="4" t="str">
        <f>hyperlink("https://terraria.gamepedia.com/Bathtubs","Bamboo Bathtub")</f>
        <v>Bamboo Bathtub</v>
      </c>
    </row>
    <row r="4514">
      <c r="A4514" s="2">
        <v>4567.0</v>
      </c>
      <c r="B4514" s="3" t="s">
        <v>31</v>
      </c>
      <c r="C4514" s="4" t="str">
        <f>hyperlink("https://terraria.gamepedia.com/Beds","Bamboo Bed")</f>
        <v>Bamboo Bed</v>
      </c>
    </row>
    <row r="4515">
      <c r="A4515" s="2">
        <v>4568.0</v>
      </c>
      <c r="B4515" s="3" t="s">
        <v>31</v>
      </c>
      <c r="C4515" s="4" t="str">
        <f>hyperlink("https://terraria.gamepedia.com/Bookcases","Bamboo Bookcase")</f>
        <v>Bamboo Bookcase</v>
      </c>
    </row>
    <row r="4516">
      <c r="A4516" s="2">
        <v>4569.0</v>
      </c>
      <c r="B4516" s="3" t="s">
        <v>31</v>
      </c>
      <c r="C4516" s="4" t="str">
        <f>hyperlink("https://terraria.gamepedia.com/Dressers","Bamboo Dresser")</f>
        <v>Bamboo Dresser</v>
      </c>
    </row>
    <row r="4517">
      <c r="A4517" s="2">
        <v>4570.0</v>
      </c>
      <c r="B4517" s="3" t="s">
        <v>7</v>
      </c>
      <c r="C4517" s="4" t="str">
        <f>hyperlink("https://terraria.gamepedia.com/Candelabras","Bamboo Candelabra")</f>
        <v>Bamboo Candelabra</v>
      </c>
    </row>
    <row r="4518">
      <c r="A4518" s="2">
        <v>4571.0</v>
      </c>
      <c r="B4518" s="3" t="s">
        <v>7</v>
      </c>
      <c r="C4518" s="4" t="str">
        <f>hyperlink("https://terraria.gamepedia.com/Candles","Bamboo Candle")</f>
        <v>Bamboo Candle</v>
      </c>
    </row>
    <row r="4519">
      <c r="A4519" s="2">
        <v>4572.0</v>
      </c>
      <c r="B4519" s="3" t="s">
        <v>31</v>
      </c>
      <c r="C4519" s="4" t="str">
        <f>hyperlink("https://terraria.gamepedia.com/Chairs","Bamboo Chair")</f>
        <v>Bamboo Chair</v>
      </c>
    </row>
    <row r="4520">
      <c r="A4520" s="2">
        <v>4573.0</v>
      </c>
      <c r="B4520" s="3" t="s">
        <v>7</v>
      </c>
      <c r="C4520" s="4" t="str">
        <f>hyperlink("https://terraria.gamepedia.com/Chandeliers","Bamboo Chandelier")</f>
        <v>Bamboo Chandelier</v>
      </c>
    </row>
    <row r="4521">
      <c r="A4521" s="2">
        <v>4574.0</v>
      </c>
      <c r="B4521" s="3" t="s">
        <v>20</v>
      </c>
      <c r="C4521" s="4" t="str">
        <f>hyperlink("https://terraria.gamepedia.com/Chests","Bamboo Chest")</f>
        <v>Bamboo Chest</v>
      </c>
    </row>
    <row r="4522">
      <c r="A4522" s="2">
        <v>4575.0</v>
      </c>
      <c r="B4522" s="3" t="s">
        <v>31</v>
      </c>
      <c r="C4522" s="4" t="str">
        <f>hyperlink("https://terraria.gamepedia.com/Grandfather_Clocks","Bamboo Clock")</f>
        <v>Bamboo Clock</v>
      </c>
    </row>
    <row r="4523">
      <c r="A4523" s="2">
        <v>4576.0</v>
      </c>
      <c r="B4523" s="3" t="s">
        <v>31</v>
      </c>
      <c r="C4523" s="4" t="str">
        <f>hyperlink("https://terraria.gamepedia.com/Doors","Bamboo Door")</f>
        <v>Bamboo Door</v>
      </c>
    </row>
    <row r="4524">
      <c r="A4524" s="2">
        <v>4577.0</v>
      </c>
      <c r="B4524" s="3" t="s">
        <v>7</v>
      </c>
      <c r="C4524" s="4" t="str">
        <f>hyperlink("https://terraria.gamepedia.com/Lamps","Bamboo Lamp")</f>
        <v>Bamboo Lamp</v>
      </c>
    </row>
    <row r="4525">
      <c r="A4525" s="2">
        <v>4578.0</v>
      </c>
      <c r="B4525" s="3" t="s">
        <v>7</v>
      </c>
      <c r="C4525" s="4" t="str">
        <f>hyperlink("https://terraria.gamepedia.com/Lanterns","Bamboo Lantern")</f>
        <v>Bamboo Lantern</v>
      </c>
    </row>
    <row r="4526">
      <c r="A4526" s="2">
        <v>4579.0</v>
      </c>
      <c r="B4526" s="3" t="s">
        <v>31</v>
      </c>
      <c r="C4526" s="4" t="str">
        <f>hyperlink("https://terraria.gamepedia.com/Pianos","Bamboo Piano")</f>
        <v>Bamboo Piano</v>
      </c>
    </row>
    <row r="4527">
      <c r="A4527" s="2">
        <v>4580.0</v>
      </c>
      <c r="B4527" s="3" t="s">
        <v>8</v>
      </c>
      <c r="C4527" s="4" t="str">
        <f>hyperlink("https://terraria.gamepedia.com/Platforms","Bamboo Platform")</f>
        <v>Bamboo Platform</v>
      </c>
    </row>
    <row r="4528">
      <c r="A4528" s="2">
        <v>4581.0</v>
      </c>
      <c r="B4528" s="3" t="s">
        <v>31</v>
      </c>
      <c r="C4528" s="4" t="str">
        <f>hyperlink("https://terraria.gamepedia.com/Sinks","Bamboo Sink")</f>
        <v>Bamboo Sink</v>
      </c>
    </row>
    <row r="4529">
      <c r="A4529" s="2">
        <v>4582.0</v>
      </c>
      <c r="B4529" s="3" t="s">
        <v>31</v>
      </c>
      <c r="C4529" s="4" t="str">
        <f>hyperlink("https://terraria.gamepedia.com/Sofas","Bamboo Sofa")</f>
        <v>Bamboo Sofa</v>
      </c>
    </row>
    <row r="4530">
      <c r="A4530" s="2">
        <v>4583.0</v>
      </c>
      <c r="B4530" s="3" t="s">
        <v>31</v>
      </c>
      <c r="C4530" s="4" t="str">
        <f>hyperlink("https://terraria.gamepedia.com/Tables","Bamboo Table")</f>
        <v>Bamboo Table</v>
      </c>
    </row>
    <row r="4531">
      <c r="A4531" s="2">
        <v>4584.0</v>
      </c>
      <c r="B4531" s="3" t="s">
        <v>31</v>
      </c>
      <c r="C4531" s="4" t="str">
        <f>hyperlink("https://terraria.gamepedia.com/Work_Benches","Bamboo Work Bench")</f>
        <v>Bamboo Work Bench</v>
      </c>
    </row>
    <row r="4532">
      <c r="A4532" s="2">
        <v>4585.0</v>
      </c>
      <c r="B4532" s="3" t="s">
        <v>28</v>
      </c>
      <c r="C4532" s="4" t="str">
        <f>hyperlink("https://terraria.gamepedia.com/Trapped_Chests","Trapped Bamboo Chest")</f>
        <v>Trapped Bamboo Chest</v>
      </c>
    </row>
    <row r="4533">
      <c r="A4533" s="2">
        <v>4586.0</v>
      </c>
      <c r="B4533" s="3" t="s">
        <v>31</v>
      </c>
      <c r="C4533" s="4" t="str">
        <f>hyperlink("https://terraria.gamepedia.com/Toilets","Bamboo Toilet")</f>
        <v>Bamboo Toilet</v>
      </c>
    </row>
    <row r="4534">
      <c r="A4534" s="2">
        <v>4587.0</v>
      </c>
      <c r="B4534" s="3" t="s">
        <v>41</v>
      </c>
      <c r="C4534" s="4" t="str">
        <f>hyperlink("https://terraria.gamepedia.com/Golf_Clubs","Worn Golf Club (Iron)")</f>
        <v>Worn Golf Club (Iron)</v>
      </c>
    </row>
    <row r="4535">
      <c r="A4535" s="2">
        <v>4588.0</v>
      </c>
      <c r="B4535" s="3" t="s">
        <v>41</v>
      </c>
      <c r="C4535" s="4" t="str">
        <f>hyperlink("https://terraria.gamepedia.com/Golf_Clubs","Worn Golf Club (Putter)")</f>
        <v>Worn Golf Club (Putter)</v>
      </c>
    </row>
    <row r="4536">
      <c r="A4536" s="2">
        <v>4589.0</v>
      </c>
      <c r="B4536" s="3" t="s">
        <v>41</v>
      </c>
      <c r="C4536" s="4" t="str">
        <f>hyperlink("https://terraria.gamepedia.com/Golf_Clubs","Worn Golf Club (Wedge)")</f>
        <v>Worn Golf Club (Wedge)</v>
      </c>
    </row>
    <row r="4537">
      <c r="A4537" s="2">
        <v>4590.0</v>
      </c>
      <c r="B4537" s="3" t="s">
        <v>41</v>
      </c>
      <c r="C4537" s="4" t="str">
        <f>hyperlink("https://terraria.gamepedia.com/Golf_Clubs","Worn Golf Club (Driver)")</f>
        <v>Worn Golf Club (Driver)</v>
      </c>
    </row>
    <row r="4538">
      <c r="A4538" s="2">
        <v>4591.0</v>
      </c>
      <c r="B4538" s="3" t="s">
        <v>41</v>
      </c>
      <c r="C4538" s="4" t="str">
        <f>hyperlink("https://terraria.gamepedia.com/Golf_Clubs","Fancy Golf Club (Iron)")</f>
        <v>Fancy Golf Club (Iron)</v>
      </c>
    </row>
    <row r="4539">
      <c r="A4539" s="2">
        <v>4592.0</v>
      </c>
      <c r="B4539" s="3" t="s">
        <v>41</v>
      </c>
      <c r="C4539" s="4" t="str">
        <f>hyperlink("https://terraria.gamepedia.com/Golf_Clubs","Fancy Golf Club (Putter)")</f>
        <v>Fancy Golf Club (Putter)</v>
      </c>
    </row>
    <row r="4540">
      <c r="A4540" s="2">
        <v>4593.0</v>
      </c>
      <c r="B4540" s="3" t="s">
        <v>41</v>
      </c>
      <c r="C4540" s="4" t="str">
        <f>hyperlink("https://terraria.gamepedia.com/Golf_Clubs","Fancy Golf Club (Wedge)")</f>
        <v>Fancy Golf Club (Wedge)</v>
      </c>
    </row>
    <row r="4541">
      <c r="A4541" s="2">
        <v>4594.0</v>
      </c>
      <c r="B4541" s="3" t="s">
        <v>41</v>
      </c>
      <c r="C4541" s="4" t="str">
        <f>hyperlink("https://terraria.gamepedia.com/Golf_Clubs","Fancy Golf Club (Driver)")</f>
        <v>Fancy Golf Club (Driver)</v>
      </c>
    </row>
    <row r="4542">
      <c r="A4542" s="2">
        <v>4595.0</v>
      </c>
      <c r="B4542" s="3" t="s">
        <v>41</v>
      </c>
      <c r="C4542" s="4" t="str">
        <f>hyperlink("https://terraria.gamepedia.com/Golf_Clubs","Premium Golf Club (Iron)")</f>
        <v>Premium Golf Club (Iron)</v>
      </c>
    </row>
    <row r="4543">
      <c r="A4543" s="2">
        <v>4596.0</v>
      </c>
      <c r="B4543" s="3" t="s">
        <v>41</v>
      </c>
      <c r="C4543" s="4" t="str">
        <f>hyperlink("https://terraria.gamepedia.com/Golf_Clubs","Premium Golf Club (Putter)")</f>
        <v>Premium Golf Club (Putter)</v>
      </c>
    </row>
    <row r="4544">
      <c r="A4544" s="2">
        <v>4597.0</v>
      </c>
      <c r="B4544" s="3" t="s">
        <v>41</v>
      </c>
      <c r="C4544" s="4" t="str">
        <f>hyperlink("https://terraria.gamepedia.com/Golf_Clubs","Premium Golf Club (Wedge)")</f>
        <v>Premium Golf Club (Wedge)</v>
      </c>
    </row>
    <row r="4545">
      <c r="A4545" s="2">
        <v>4598.0</v>
      </c>
      <c r="B4545" s="3" t="s">
        <v>41</v>
      </c>
      <c r="C4545" s="4" t="str">
        <f>hyperlink("https://terraria.gamepedia.com/Golf_Clubs","Premium Golf Club (Driver)")</f>
        <v>Premium Golf Club (Driver)</v>
      </c>
    </row>
    <row r="4546">
      <c r="A4546" s="2">
        <v>4599.0</v>
      </c>
      <c r="B4546" s="3" t="s">
        <v>41</v>
      </c>
      <c r="C4546" s="4" t="str">
        <f>hyperlink("https://terraria.gamepedia.com/Golf_Trophies","Bronze Golf Trophy")</f>
        <v>Bronze Golf Trophy</v>
      </c>
    </row>
    <row r="4547">
      <c r="A4547" s="2">
        <v>4600.0</v>
      </c>
      <c r="B4547" s="3" t="s">
        <v>41</v>
      </c>
      <c r="C4547" s="4" t="str">
        <f>hyperlink("https://terraria.gamepedia.com/Golf_Trophies","Silver Golf Trophy")</f>
        <v>Silver Golf Trophy</v>
      </c>
    </row>
    <row r="4548">
      <c r="A4548" s="2">
        <v>4601.0</v>
      </c>
      <c r="B4548" s="3" t="s">
        <v>41</v>
      </c>
      <c r="C4548" s="4" t="str">
        <f>hyperlink("https://terraria.gamepedia.com/Golf_Trophies","Gold Golf Trophy")</f>
        <v>Gold Golf Trophy</v>
      </c>
    </row>
    <row r="4549">
      <c r="A4549" s="2">
        <v>4602.0</v>
      </c>
      <c r="B4549" s="3" t="s">
        <v>37</v>
      </c>
      <c r="C4549" s="4" t="str">
        <f>hyperlink("https://terraria.gamepedia.com/Dreadnautilus","Dreadnautilus Banner")</f>
        <v>Dreadnautilus Banner</v>
      </c>
    </row>
    <row r="4550">
      <c r="A4550" s="2">
        <v>4603.0</v>
      </c>
      <c r="B4550" s="3" t="s">
        <v>22</v>
      </c>
      <c r="C4550" s="4" t="str">
        <f>hyperlink("https://terraria.gamepedia.com/Birdie_Rattle","Birdie Rattle")</f>
        <v>Birdie Rattle</v>
      </c>
    </row>
    <row r="4551">
      <c r="A4551" s="2">
        <v>4604.0</v>
      </c>
      <c r="B4551" s="3" t="s">
        <v>22</v>
      </c>
      <c r="C4551" s="4" t="str">
        <f>hyperlink("https://terraria.gamepedia.com/Exotic_Chew_Toy","Exotic Chew Toy")</f>
        <v>Exotic Chew Toy</v>
      </c>
    </row>
    <row r="4552">
      <c r="A4552" s="2">
        <v>4605.0</v>
      </c>
      <c r="B4552" s="3" t="s">
        <v>22</v>
      </c>
      <c r="C4552" s="4" t="str">
        <f>hyperlink("https://terraria.gamepedia.com/Bedazzled_Nectar","Bedazzled Nectar")</f>
        <v>Bedazzled Nectar</v>
      </c>
    </row>
    <row r="4553">
      <c r="A4553" s="2">
        <v>4606.0</v>
      </c>
      <c r="B4553" s="3" t="s">
        <v>29</v>
      </c>
      <c r="C4553" s="4" t="str">
        <f>hyperlink("https://terraria.gamepedia.com/Music_Boxes","Music Box (Jungle Night)")</f>
        <v>Music Box (Jungle Night)</v>
      </c>
    </row>
    <row r="4554">
      <c r="A4554" s="2">
        <v>4607.0</v>
      </c>
      <c r="B4554" s="3" t="s">
        <v>5</v>
      </c>
      <c r="C4554" s="4" t="str">
        <f>hyperlink("https://terraria.gamepedia.com/Desert_Tiger_Staff","Desert Tiger Staff")</f>
        <v>Desert Tiger Staff</v>
      </c>
    </row>
    <row r="4555">
      <c r="A4555" s="2">
        <v>4608.0</v>
      </c>
      <c r="B4555" s="3" t="s">
        <v>15</v>
      </c>
      <c r="C4555" s="4" t="str">
        <f>hyperlink("https://terraria.gamepedia.com/Chum_Bucket","Chum Bucket")</f>
        <v>Chum Bucket</v>
      </c>
    </row>
    <row r="4556">
      <c r="A4556" s="2">
        <v>4609.0</v>
      </c>
      <c r="B4556" s="3" t="s">
        <v>15</v>
      </c>
      <c r="C4556" s="4" t="str">
        <f>hyperlink("https://terraria.gamepedia.com/Garden_Gnome","Garden Gnome")</f>
        <v>Garden Gnome</v>
      </c>
    </row>
    <row r="4557">
      <c r="A4557" s="2">
        <v>4610.0</v>
      </c>
      <c r="B4557" s="3" t="s">
        <v>42</v>
      </c>
      <c r="C4557" s="4" t="str">
        <f>hyperlink("https://terraria.gamepedia.com/Kites","Bone Serpent Kite")</f>
        <v>Bone Serpent Kite</v>
      </c>
    </row>
    <row r="4558">
      <c r="A4558" s="2">
        <v>4611.0</v>
      </c>
      <c r="B4558" s="3" t="s">
        <v>42</v>
      </c>
      <c r="C4558" s="4" t="str">
        <f>hyperlink("https://terraria.gamepedia.com/Kites","World Feeder Kite")</f>
        <v>World Feeder Kite</v>
      </c>
    </row>
    <row r="4559">
      <c r="A4559" s="2">
        <v>4612.0</v>
      </c>
      <c r="B4559" s="3" t="s">
        <v>42</v>
      </c>
      <c r="C4559" s="4" t="str">
        <f>hyperlink("https://terraria.gamepedia.com/Kites","Bunny Kite")</f>
        <v>Bunny Kite</v>
      </c>
    </row>
    <row r="4560">
      <c r="A4560" s="2">
        <v>4613.0</v>
      </c>
      <c r="B4560" s="3" t="s">
        <v>42</v>
      </c>
      <c r="C4560" s="4" t="str">
        <f>hyperlink("https://terraria.gamepedia.com/Kites","Pigron Kite")</f>
        <v>Pigron Kite</v>
      </c>
    </row>
    <row r="4561">
      <c r="A4561" s="2">
        <v>4614.0</v>
      </c>
      <c r="B4561" s="3" t="s">
        <v>26</v>
      </c>
      <c r="C4561" s="4" t="str">
        <f>hyperlink("https://terraria.gamepedia.com/Apple_Juice","Apple Juice")</f>
        <v>Apple Juice</v>
      </c>
    </row>
    <row r="4562">
      <c r="A4562" s="2">
        <v>4615.0</v>
      </c>
      <c r="B4562" s="3" t="s">
        <v>26</v>
      </c>
      <c r="C4562" s="4" t="str">
        <f>hyperlink("https://terraria.gamepedia.com/Grape_Juice","Grape Juice")</f>
        <v>Grape Juice</v>
      </c>
    </row>
    <row r="4563">
      <c r="A4563" s="2">
        <v>4616.0</v>
      </c>
      <c r="B4563" s="3" t="s">
        <v>26</v>
      </c>
      <c r="C4563" s="4" t="str">
        <f>hyperlink("https://terraria.gamepedia.com/Lemonade","Lemonade")</f>
        <v>Lemonade</v>
      </c>
    </row>
    <row r="4564">
      <c r="A4564" s="2">
        <v>4617.0</v>
      </c>
      <c r="B4564" s="3" t="s">
        <v>26</v>
      </c>
      <c r="C4564" s="4" t="str">
        <f>hyperlink("https://terraria.gamepedia.com/Frozen_Banana_Daiquiri","Frozen Banana Daiquiri")</f>
        <v>Frozen Banana Daiquiri</v>
      </c>
    </row>
    <row r="4565">
      <c r="A4565" s="2">
        <v>4618.0</v>
      </c>
      <c r="B4565" s="3" t="s">
        <v>26</v>
      </c>
      <c r="C4565" s="4" t="str">
        <f>hyperlink("https://terraria.gamepedia.com/Peach_Sangria","Peach Sangria")</f>
        <v>Peach Sangria</v>
      </c>
    </row>
    <row r="4566">
      <c r="A4566" s="2">
        <v>4619.0</v>
      </c>
      <c r="B4566" s="3" t="s">
        <v>26</v>
      </c>
      <c r="C4566" s="4" t="str">
        <f>hyperlink("https://terraria.gamepedia.com/Pi%25C3%25B1a_Colada","Piña Colada")</f>
        <v>Piña Colada</v>
      </c>
    </row>
    <row r="4567">
      <c r="A4567" s="2">
        <v>4620.0</v>
      </c>
      <c r="B4567" s="3" t="s">
        <v>26</v>
      </c>
      <c r="C4567" s="4" t="str">
        <f>hyperlink("https://terraria.gamepedia.com/Tropical_Smoothie","Tropical Smoothie")</f>
        <v>Tropical Smoothie</v>
      </c>
    </row>
    <row r="4568">
      <c r="A4568" s="2">
        <v>4621.0</v>
      </c>
      <c r="B4568" s="3" t="s">
        <v>26</v>
      </c>
      <c r="C4568" s="4" t="str">
        <f>hyperlink("https://terraria.gamepedia.com/Bloody_Moscato","Bloody Moscato")</f>
        <v>Bloody Moscato</v>
      </c>
    </row>
    <row r="4569">
      <c r="A4569" s="2">
        <v>4622.0</v>
      </c>
      <c r="B4569" s="3" t="s">
        <v>26</v>
      </c>
      <c r="C4569" s="4" t="str">
        <f>hyperlink("https://terraria.gamepedia.com/Smoothie_of_Darkness","Smoothie of Darkness")</f>
        <v>Smoothie of Darkness</v>
      </c>
    </row>
    <row r="4570">
      <c r="A4570" s="2">
        <v>4623.0</v>
      </c>
      <c r="B4570" s="3" t="s">
        <v>26</v>
      </c>
      <c r="C4570" s="4" t="str">
        <f>hyperlink("https://terraria.gamepedia.com/Prismatic_Punch","Prismatic Punch")</f>
        <v>Prismatic Punch</v>
      </c>
    </row>
    <row r="4571">
      <c r="A4571" s="2">
        <v>4624.0</v>
      </c>
      <c r="B4571" s="3" t="s">
        <v>26</v>
      </c>
      <c r="C4571" s="4" t="str">
        <f>hyperlink("https://terraria.gamepedia.com/Fruit_Juice","Fruit Juice")</f>
        <v>Fruit Juice</v>
      </c>
    </row>
    <row r="4572">
      <c r="A4572" s="2">
        <v>4625.0</v>
      </c>
      <c r="B4572" s="3" t="s">
        <v>26</v>
      </c>
      <c r="C4572" s="4" t="str">
        <f>hyperlink("https://terraria.gamepedia.com/Fruit_Salad","Fruit Salad")</f>
        <v>Fruit Salad</v>
      </c>
    </row>
    <row r="4573">
      <c r="A4573" s="2">
        <v>4626.0</v>
      </c>
      <c r="B4573" s="3" t="s">
        <v>36</v>
      </c>
      <c r="C4573" s="4" t="str">
        <f>hyperlink("https://terraria.gamepedia.com/Paintings","Andrew Sphinx")</f>
        <v>Andrew Sphinx</v>
      </c>
    </row>
    <row r="4574">
      <c r="A4574" s="2">
        <v>4627.0</v>
      </c>
      <c r="B4574" s="3" t="s">
        <v>36</v>
      </c>
      <c r="C4574" s="4" t="str">
        <f>hyperlink("https://terraria.gamepedia.com/Paintings","Watchful Antlion")</f>
        <v>Watchful Antlion</v>
      </c>
    </row>
    <row r="4575">
      <c r="A4575" s="2">
        <v>4628.0</v>
      </c>
      <c r="B4575" s="3" t="s">
        <v>36</v>
      </c>
      <c r="C4575" s="4" t="str">
        <f>hyperlink("https://terraria.gamepedia.com/Paintings","Burning Spirit")</f>
        <v>Burning Spirit</v>
      </c>
    </row>
    <row r="4576">
      <c r="A4576" s="2">
        <v>4629.0</v>
      </c>
      <c r="B4576" s="3" t="s">
        <v>36</v>
      </c>
      <c r="C4576" s="4" t="str">
        <f>hyperlink("https://terraria.gamepedia.com/Paintings","Jaws of Death")</f>
        <v>Jaws of Death</v>
      </c>
    </row>
    <row r="4577">
      <c r="A4577" s="2">
        <v>4630.0</v>
      </c>
      <c r="B4577" s="3" t="s">
        <v>36</v>
      </c>
      <c r="C4577" s="4" t="str">
        <f>hyperlink("https://terraria.gamepedia.com/Paintings","The Sands of Slime")</f>
        <v>The Sands of Slime</v>
      </c>
    </row>
    <row r="4578">
      <c r="A4578" s="2">
        <v>4631.0</v>
      </c>
      <c r="B4578" s="3" t="s">
        <v>36</v>
      </c>
      <c r="C4578" s="4" t="str">
        <f>hyperlink("https://terraria.gamepedia.com/Paintings","Snakes, I Hate Snakes")</f>
        <v>Snakes, I Hate Snakes</v>
      </c>
    </row>
    <row r="4579">
      <c r="A4579" s="2">
        <v>4632.0</v>
      </c>
      <c r="B4579" s="3" t="s">
        <v>36</v>
      </c>
      <c r="C4579" s="4" t="str">
        <f>hyperlink("https://terraria.gamepedia.com/Paintings","Life Above the Sand")</f>
        <v>Life Above the Sand</v>
      </c>
    </row>
    <row r="4580">
      <c r="A4580" s="2">
        <v>4633.0</v>
      </c>
      <c r="B4580" s="3" t="s">
        <v>36</v>
      </c>
      <c r="C4580" s="4" t="str">
        <f>hyperlink("https://terraria.gamepedia.com/Paintings","Oasis")</f>
        <v>Oasis</v>
      </c>
    </row>
    <row r="4581">
      <c r="A4581" s="2">
        <v>4634.0</v>
      </c>
      <c r="B4581" s="3" t="s">
        <v>36</v>
      </c>
      <c r="C4581" s="4" t="str">
        <f>hyperlink("https://terraria.gamepedia.com/Paintings","Prehistory Preserved")</f>
        <v>Prehistory Preserved</v>
      </c>
    </row>
    <row r="4582">
      <c r="A4582" s="2">
        <v>4635.0</v>
      </c>
      <c r="B4582" s="3" t="s">
        <v>36</v>
      </c>
      <c r="C4582" s="4" t="str">
        <f>hyperlink("https://terraria.gamepedia.com/Paintings","Ancient Tablet")</f>
        <v>Ancient Tablet</v>
      </c>
    </row>
    <row r="4583">
      <c r="A4583" s="2">
        <v>4636.0</v>
      </c>
      <c r="B4583" s="3" t="s">
        <v>36</v>
      </c>
      <c r="C4583" s="4" t="str">
        <f>hyperlink("https://terraria.gamepedia.com/Paintings","Uluru")</f>
        <v>Uluru</v>
      </c>
    </row>
    <row r="4584">
      <c r="A4584" s="2">
        <v>4637.0</v>
      </c>
      <c r="B4584" s="3" t="s">
        <v>36</v>
      </c>
      <c r="C4584" s="4" t="str">
        <f>hyperlink("https://terraria.gamepedia.com/Paintings","Visiting the Pyramids")</f>
        <v>Visiting the Pyramids</v>
      </c>
    </row>
    <row r="4585">
      <c r="A4585" s="2">
        <v>4638.0</v>
      </c>
      <c r="B4585" s="3" t="s">
        <v>36</v>
      </c>
      <c r="C4585" s="4" t="str">
        <f>hyperlink("https://terraria.gamepedia.com/Paintings","Bandage Boy")</f>
        <v>Bandage Boy</v>
      </c>
    </row>
    <row r="4586">
      <c r="A4586" s="2">
        <v>4639.0</v>
      </c>
      <c r="B4586" s="3" t="s">
        <v>36</v>
      </c>
      <c r="C4586" s="4" t="str">
        <f>hyperlink("https://terraria.gamepedia.com/Paintings","Divine Eye")</f>
        <v>Divine Eye</v>
      </c>
    </row>
    <row r="4587">
      <c r="A4587" s="2">
        <v>4640.0</v>
      </c>
      <c r="B4587" s="3" t="s">
        <v>4</v>
      </c>
      <c r="C4587" s="4" t="str">
        <f>hyperlink("https://terraria.gamepedia.com/Gemstone_Blocks","Amethyst Stone Block")</f>
        <v>Amethyst Stone Block</v>
      </c>
    </row>
    <row r="4588">
      <c r="A4588" s="2">
        <v>4641.0</v>
      </c>
      <c r="B4588" s="3" t="s">
        <v>4</v>
      </c>
      <c r="C4588" s="4" t="str">
        <f>hyperlink("https://terraria.gamepedia.com/Gemstone_Blocks","Topaz Stone Block")</f>
        <v>Topaz Stone Block</v>
      </c>
    </row>
    <row r="4589">
      <c r="A4589" s="2">
        <v>4642.0</v>
      </c>
      <c r="B4589" s="3" t="s">
        <v>4</v>
      </c>
      <c r="C4589" s="4" t="str">
        <f>hyperlink("https://terraria.gamepedia.com/Gemstone_Blocks","Sapphire Stone Block")</f>
        <v>Sapphire Stone Block</v>
      </c>
    </row>
    <row r="4590">
      <c r="A4590" s="2">
        <v>4643.0</v>
      </c>
      <c r="B4590" s="3" t="s">
        <v>4</v>
      </c>
      <c r="C4590" s="4" t="str">
        <f>hyperlink("https://terraria.gamepedia.com/Gemstone_Blocks","Emerald Stone Block")</f>
        <v>Emerald Stone Block</v>
      </c>
    </row>
    <row r="4591">
      <c r="A4591" s="2">
        <v>4644.0</v>
      </c>
      <c r="B4591" s="3" t="s">
        <v>4</v>
      </c>
      <c r="C4591" s="4" t="str">
        <f>hyperlink("https://terraria.gamepedia.com/Gemstone_Blocks","Ruby Stone Block")</f>
        <v>Ruby Stone Block</v>
      </c>
    </row>
    <row r="4592">
      <c r="A4592" s="2">
        <v>4645.0</v>
      </c>
      <c r="B4592" s="3" t="s">
        <v>4</v>
      </c>
      <c r="C4592" s="4" t="str">
        <f>hyperlink("https://terraria.gamepedia.com/Gemstone_Blocks","Diamond Stone Block")</f>
        <v>Diamond Stone Block</v>
      </c>
    </row>
    <row r="4593">
      <c r="A4593" s="2">
        <v>4646.0</v>
      </c>
      <c r="B4593" s="3" t="s">
        <v>4</v>
      </c>
      <c r="C4593" s="4" t="str">
        <f>hyperlink("https://terraria.gamepedia.com/Gemstone_Blocks","Amber Stone Block")</f>
        <v>Amber Stone Block</v>
      </c>
    </row>
    <row r="4594">
      <c r="A4594" s="2">
        <v>4647.0</v>
      </c>
      <c r="B4594" s="3" t="s">
        <v>4</v>
      </c>
      <c r="C4594" s="4" t="str">
        <f>hyperlink("https://terraria.gamepedia.com/Gemstone_Walls","Amber Stone Wall")</f>
        <v>Amber Stone Wall</v>
      </c>
    </row>
    <row r="4595">
      <c r="A4595" s="2">
        <v>4648.0</v>
      </c>
      <c r="B4595" s="3" t="s">
        <v>42</v>
      </c>
      <c r="C4595" s="4" t="str">
        <f>hyperlink("https://terraria.gamepedia.com/Kites","Man Eater Kite")</f>
        <v>Man Eater Kite</v>
      </c>
    </row>
    <row r="4596">
      <c r="A4596" s="2">
        <v>4649.0</v>
      </c>
      <c r="B4596" s="3" t="s">
        <v>42</v>
      </c>
      <c r="C4596" s="4" t="str">
        <f>hyperlink("https://terraria.gamepedia.com/Kites","Blue Jellyfish Kite")</f>
        <v>Blue Jellyfish Kite</v>
      </c>
    </row>
    <row r="4597">
      <c r="A4597" s="2">
        <v>4650.0</v>
      </c>
      <c r="B4597" s="3" t="s">
        <v>42</v>
      </c>
      <c r="C4597" s="4" t="str">
        <f>hyperlink("https://terraria.gamepedia.com/Kites","Pink Jellyfish Kite")</f>
        <v>Pink Jellyfish Kite</v>
      </c>
    </row>
    <row r="4598">
      <c r="A4598" s="2">
        <v>4651.0</v>
      </c>
      <c r="B4598" s="3" t="s">
        <v>42</v>
      </c>
      <c r="C4598" s="4" t="str">
        <f>hyperlink("https://terraria.gamepedia.com/Kites","Shark Kite")</f>
        <v>Shark Kite</v>
      </c>
    </row>
    <row r="4599">
      <c r="A4599" s="2">
        <v>4652.0</v>
      </c>
      <c r="B4599" s="3" t="s">
        <v>23</v>
      </c>
      <c r="C4599" s="4" t="str">
        <f>hyperlink("https://terraria.gamepedia.com/Superhero_set","Superhero Mask")</f>
        <v>Superhero Mask</v>
      </c>
    </row>
    <row r="4600">
      <c r="A4600" s="2">
        <v>4653.0</v>
      </c>
      <c r="B4600" s="3" t="s">
        <v>23</v>
      </c>
      <c r="C4600" s="4" t="str">
        <f>hyperlink("https://terraria.gamepedia.com/Superhero_set","Superhero Costume")</f>
        <v>Superhero Costume</v>
      </c>
    </row>
    <row r="4601">
      <c r="A4601" s="2">
        <v>4654.0</v>
      </c>
      <c r="B4601" s="3" t="s">
        <v>23</v>
      </c>
      <c r="C4601" s="4" t="str">
        <f>hyperlink("https://terraria.gamepedia.com/Superhero_set","Superhero Tights")</f>
        <v>Superhero Tights</v>
      </c>
    </row>
    <row r="4602">
      <c r="A4602" s="2">
        <v>4655.0</v>
      </c>
      <c r="B4602" s="3" t="s">
        <v>24</v>
      </c>
      <c r="C4602" s="4" t="str">
        <f>hyperlink("https://terraria.gamepedia.com/Fairy_Jars","Pink Fairy Jar")</f>
        <v>Pink Fairy Jar</v>
      </c>
    </row>
    <row r="4603">
      <c r="A4603" s="2">
        <v>4656.0</v>
      </c>
      <c r="B4603" s="3" t="s">
        <v>24</v>
      </c>
      <c r="C4603" s="4" t="str">
        <f>hyperlink("https://terraria.gamepedia.com/Fairy_Jars","Green Fairy Jar")</f>
        <v>Green Fairy Jar</v>
      </c>
    </row>
    <row r="4604">
      <c r="A4604" s="2">
        <v>4657.0</v>
      </c>
      <c r="B4604" s="3" t="s">
        <v>24</v>
      </c>
      <c r="C4604" s="4" t="str">
        <f>hyperlink("https://terraria.gamepedia.com/Fairy_Jars","Blue Fairy Jar")</f>
        <v>Blue Fairy Jar</v>
      </c>
    </row>
    <row r="4605">
      <c r="A4605" s="2">
        <v>4658.0</v>
      </c>
      <c r="B4605" s="3" t="s">
        <v>36</v>
      </c>
      <c r="C4605" s="4" t="str">
        <f>hyperlink("https://terraria.gamepedia.com/Paintings","The Rolling Greens")</f>
        <v>The Rolling Greens</v>
      </c>
    </row>
    <row r="4606">
      <c r="A4606" s="2">
        <v>4659.0</v>
      </c>
      <c r="B4606" s="3" t="s">
        <v>36</v>
      </c>
      <c r="C4606" s="4" t="str">
        <f>hyperlink("https://terraria.gamepedia.com/Paintings","Study of a Ball at Rest")</f>
        <v>Study of a Ball at Rest</v>
      </c>
    </row>
    <row r="4607">
      <c r="A4607" s="2">
        <v>4660.0</v>
      </c>
      <c r="B4607" s="3" t="s">
        <v>36</v>
      </c>
      <c r="C4607" s="4" t="str">
        <f>hyperlink("https://terraria.gamepedia.com/Paintings","Fore!")</f>
        <v>Fore!</v>
      </c>
    </row>
    <row r="4608">
      <c r="A4608" s="2">
        <v>4661.0</v>
      </c>
      <c r="B4608" s="3" t="s">
        <v>36</v>
      </c>
      <c r="C4608" s="4" t="str">
        <f>hyperlink("https://terraria.gamepedia.com/Paintings","The Duplicity of Reflections")</f>
        <v>The Duplicity of Reflections</v>
      </c>
    </row>
    <row r="4609">
      <c r="A4609" s="2">
        <v>4662.0</v>
      </c>
      <c r="B4609" s="3" t="s">
        <v>33</v>
      </c>
      <c r="C4609" s="4" t="str">
        <f>hyperlink("https://terraria.gamepedia.com/Fogbound_Dye","Fogbound Dye")</f>
        <v>Fogbound Dye</v>
      </c>
    </row>
    <row r="4610">
      <c r="A4610" s="2">
        <v>4663.0</v>
      </c>
      <c r="B4610" s="3" t="s">
        <v>33</v>
      </c>
      <c r="C4610" s="4" t="str">
        <f>hyperlink("https://terraria.gamepedia.com/Bloodbath_Dye","Bloodbath Dye")</f>
        <v>Bloodbath Dye</v>
      </c>
    </row>
    <row r="4611">
      <c r="A4611" s="2">
        <v>4664.0</v>
      </c>
      <c r="B4611" s="3" t="s">
        <v>23</v>
      </c>
      <c r="C4611" s="4" t="str">
        <f>hyperlink("https://terraria.gamepedia.com/Pretty_Pink_set","Pretty Pink Dress")</f>
        <v>Pretty Pink Dress</v>
      </c>
    </row>
    <row r="4612">
      <c r="A4612" s="2">
        <v>4665.0</v>
      </c>
      <c r="B4612" s="3" t="s">
        <v>23</v>
      </c>
      <c r="C4612" s="4" t="str">
        <f>hyperlink("https://terraria.gamepedia.com/Pretty_Pink_set","Pretty Pink Stockings")</f>
        <v>Pretty Pink Stockings</v>
      </c>
    </row>
    <row r="4613">
      <c r="A4613" s="2">
        <v>4666.0</v>
      </c>
      <c r="B4613" s="3" t="s">
        <v>23</v>
      </c>
      <c r="C4613" s="4" t="str">
        <f>hyperlink("https://terraria.gamepedia.com/Pretty_Pink_set","Pretty Pink Ribbon")</f>
        <v>Pretty Pink Ribbon</v>
      </c>
    </row>
    <row r="4614">
      <c r="A4614" s="2">
        <v>4667.0</v>
      </c>
      <c r="B4614" s="3" t="s">
        <v>8</v>
      </c>
      <c r="C4614" s="4" t="str">
        <f>hyperlink("https://terraria.gamepedia.com/Fences","Bamboo Fence")</f>
        <v>Bamboo Fence</v>
      </c>
    </row>
    <row r="4615">
      <c r="A4615" s="2">
        <v>4668.0</v>
      </c>
      <c r="B4615" s="3" t="s">
        <v>33</v>
      </c>
      <c r="C4615" s="4" t="str">
        <f>hyperlink("https://terraria.gamepedia.com/Paints","Illuminant Paint")</f>
        <v>Illuminant Paint</v>
      </c>
    </row>
    <row r="4616">
      <c r="A4616" s="2">
        <v>4669.0</v>
      </c>
      <c r="B4616" s="3" t="s">
        <v>42</v>
      </c>
      <c r="C4616" s="4" t="str">
        <f>hyperlink("https://terraria.gamepedia.com/Kites","Sand Shark Kite")</f>
        <v>Sand Shark Kite</v>
      </c>
    </row>
    <row r="4617">
      <c r="A4617" s="2">
        <v>4670.0</v>
      </c>
      <c r="B4617" s="3" t="s">
        <v>42</v>
      </c>
      <c r="C4617" s="4" t="str">
        <f>hyperlink("https://terraria.gamepedia.com/Kites","Corrupt Bunny Kite")</f>
        <v>Corrupt Bunny Kite</v>
      </c>
    </row>
    <row r="4618">
      <c r="A4618" s="2">
        <v>4671.0</v>
      </c>
      <c r="B4618" s="3" t="s">
        <v>42</v>
      </c>
      <c r="C4618" s="4" t="str">
        <f>hyperlink("https://terraria.gamepedia.com/Kites","Crimson Bunny Kite")</f>
        <v>Crimson Bunny Kite</v>
      </c>
    </row>
    <row r="4619">
      <c r="A4619" s="2">
        <v>4672.0</v>
      </c>
      <c r="B4619" s="3" t="s">
        <v>5</v>
      </c>
      <c r="C4619" s="4" t="str">
        <f>hyperlink("https://terraria.gamepedia.com/Leather_Whip","Leather Whip")</f>
        <v>Leather Whip</v>
      </c>
    </row>
    <row r="4620">
      <c r="A4620" s="2">
        <v>4673.0</v>
      </c>
      <c r="B4620" s="3" t="s">
        <v>15</v>
      </c>
      <c r="C4620" s="4" t="str">
        <f>hyperlink("https://terraria.gamepedia.com/Drum_Set","Drumstick")</f>
        <v>Drumstick</v>
      </c>
    </row>
    <row r="4621">
      <c r="A4621" s="2">
        <v>4674.0</v>
      </c>
      <c r="B4621" s="3" t="s">
        <v>42</v>
      </c>
      <c r="C4621" s="4" t="str">
        <f>hyperlink("https://terraria.gamepedia.com/Kites","Goldfish Kite")</f>
        <v>Goldfish Kite</v>
      </c>
    </row>
    <row r="4622">
      <c r="A4622" s="2">
        <v>4675.0</v>
      </c>
      <c r="B4622" s="3" t="s">
        <v>42</v>
      </c>
      <c r="C4622" s="4" t="str">
        <f>hyperlink("https://terraria.gamepedia.com/Kites","Angry Trapper Kite")</f>
        <v>Angry Trapper Kite</v>
      </c>
    </row>
    <row r="4623">
      <c r="A4623" s="2">
        <v>4676.0</v>
      </c>
      <c r="B4623" s="3" t="s">
        <v>42</v>
      </c>
      <c r="C4623" s="4" t="str">
        <f>hyperlink("https://terraria.gamepedia.com/Kites","Koi Kite")</f>
        <v>Koi Kite</v>
      </c>
    </row>
    <row r="4624">
      <c r="A4624" s="2">
        <v>4677.0</v>
      </c>
      <c r="B4624" s="3" t="s">
        <v>42</v>
      </c>
      <c r="C4624" s="4" t="str">
        <f>hyperlink("https://terraria.gamepedia.com/Kites","Crawltipede Kite")</f>
        <v>Crawltipede Kite</v>
      </c>
    </row>
    <row r="4625">
      <c r="A4625" s="2">
        <v>4678.0</v>
      </c>
      <c r="B4625" s="3" t="s">
        <v>5</v>
      </c>
      <c r="C4625" s="4" t="str">
        <f>hyperlink("https://terraria.gamepedia.com/Durendal","Durendal")</f>
        <v>Durendal</v>
      </c>
    </row>
    <row r="4626">
      <c r="A4626" s="2">
        <v>4679.0</v>
      </c>
      <c r="B4626" s="3" t="s">
        <v>5</v>
      </c>
      <c r="C4626" s="4" t="str">
        <f>hyperlink("https://terraria.gamepedia.com/Morning_Star","Morning Star")</f>
        <v>Morning Star</v>
      </c>
    </row>
    <row r="4627">
      <c r="A4627" s="2">
        <v>4680.0</v>
      </c>
      <c r="B4627" s="3" t="s">
        <v>5</v>
      </c>
      <c r="C4627" s="4" t="str">
        <f>hyperlink("https://terraria.gamepedia.com/Dark_Harvest","Dark Harvest")</f>
        <v>Dark Harvest</v>
      </c>
    </row>
    <row r="4628">
      <c r="A4628" s="2">
        <v>4681.0</v>
      </c>
      <c r="B4628" s="3" t="s">
        <v>42</v>
      </c>
      <c r="C4628" s="4" t="str">
        <f>hyperlink("https://terraria.gamepedia.com/Kites","Spectrum Kite")</f>
        <v>Spectrum Kite</v>
      </c>
    </row>
    <row r="4629">
      <c r="A4629" s="2">
        <v>4682.0</v>
      </c>
      <c r="B4629" s="3" t="s">
        <v>15</v>
      </c>
      <c r="C4629" s="4" t="str">
        <f>hyperlink("https://terraria.gamepedia.com/Release_Doves","Release Doves")</f>
        <v>Release Doves</v>
      </c>
    </row>
    <row r="4630">
      <c r="A4630" s="2">
        <v>4683.0</v>
      </c>
      <c r="B4630" s="3" t="s">
        <v>42</v>
      </c>
      <c r="C4630" s="4" t="str">
        <f>hyperlink("https://terraria.gamepedia.com/Kites","Wandering Eye Kite")</f>
        <v>Wandering Eye Kite</v>
      </c>
    </row>
    <row r="4631">
      <c r="A4631" s="2">
        <v>4684.0</v>
      </c>
      <c r="B4631" s="3" t="s">
        <v>42</v>
      </c>
      <c r="C4631" s="4" t="str">
        <f>hyperlink("https://terraria.gamepedia.com/Kites","Unicorn Kite")</f>
        <v>Unicorn Kite</v>
      </c>
    </row>
    <row r="4632">
      <c r="A4632" s="2">
        <v>4685.0</v>
      </c>
      <c r="B4632" s="3" t="s">
        <v>23</v>
      </c>
      <c r="C4632" s="4" t="str">
        <f>hyperlink("https://terraria.gamepedia.com/Gravedigger_set","Gravedigger Hat")</f>
        <v>Gravedigger Hat</v>
      </c>
    </row>
    <row r="4633">
      <c r="A4633" s="2">
        <v>4686.0</v>
      </c>
      <c r="B4633" s="3" t="s">
        <v>23</v>
      </c>
      <c r="C4633" s="4" t="str">
        <f>hyperlink("https://terraria.gamepedia.com/Gravedigger_set","Gravedigger Coat")</f>
        <v>Gravedigger Coat</v>
      </c>
    </row>
    <row r="4634">
      <c r="A4634" s="2">
        <v>4687.0</v>
      </c>
      <c r="B4634" s="3" t="s">
        <v>37</v>
      </c>
      <c r="C4634" s="4" t="str">
        <f>hyperlink("https://terraria.gamepedia.com/Angry_Dandelion","Angry Dandelion Banner")</f>
        <v>Angry Dandelion Banner</v>
      </c>
    </row>
    <row r="4635">
      <c r="A4635" s="2">
        <v>4688.0</v>
      </c>
      <c r="B4635" s="3" t="s">
        <v>37</v>
      </c>
      <c r="C4635" s="4" t="str">
        <f>hyperlink("https://terraria.gamepedia.com/Gnome","Gnome Banner")</f>
        <v>Gnome Banner</v>
      </c>
    </row>
    <row r="4636">
      <c r="A4636" s="2">
        <v>4689.0</v>
      </c>
      <c r="B4636" s="3" t="s">
        <v>7</v>
      </c>
      <c r="C4636" s="4" t="str">
        <f>hyperlink("https://terraria.gamepedia.com/Campfires","Desert Campfire")</f>
        <v>Desert Campfire</v>
      </c>
    </row>
    <row r="4637">
      <c r="A4637" s="2">
        <v>4690.0</v>
      </c>
      <c r="B4637" s="3" t="s">
        <v>7</v>
      </c>
      <c r="C4637" s="4" t="str">
        <f>hyperlink("https://terraria.gamepedia.com/Campfires","Coral Campfire")</f>
        <v>Coral Campfire</v>
      </c>
    </row>
    <row r="4638">
      <c r="A4638" s="2">
        <v>4691.0</v>
      </c>
      <c r="B4638" s="3" t="s">
        <v>7</v>
      </c>
      <c r="C4638" s="4" t="str">
        <f>hyperlink("https://terraria.gamepedia.com/Campfires","Corrupt Campfire")</f>
        <v>Corrupt Campfire</v>
      </c>
    </row>
    <row r="4639">
      <c r="A4639" s="2">
        <v>4692.0</v>
      </c>
      <c r="B4639" s="3" t="s">
        <v>7</v>
      </c>
      <c r="C4639" s="4" t="str">
        <f>hyperlink("https://terraria.gamepedia.com/Campfires","Crimson Campfire")</f>
        <v>Crimson Campfire</v>
      </c>
    </row>
    <row r="4640">
      <c r="A4640" s="2">
        <v>4693.0</v>
      </c>
      <c r="B4640" s="3" t="s">
        <v>7</v>
      </c>
      <c r="C4640" s="4" t="str">
        <f>hyperlink("https://terraria.gamepedia.com/Campfires","Hallowed Campfire")</f>
        <v>Hallowed Campfire</v>
      </c>
    </row>
    <row r="4641">
      <c r="A4641" s="2">
        <v>4694.0</v>
      </c>
      <c r="B4641" s="3" t="s">
        <v>7</v>
      </c>
      <c r="C4641" s="4" t="str">
        <f>hyperlink("https://terraria.gamepedia.com/Campfires","Jungle Campfire")</f>
        <v>Jungle Campfire</v>
      </c>
    </row>
    <row r="4642">
      <c r="A4642" s="2">
        <v>4695.0</v>
      </c>
      <c r="B4642" s="3" t="s">
        <v>7</v>
      </c>
      <c r="C4642" s="4" t="str">
        <f>hyperlink("https://terraria.gamepedia.com/Lanterns","Soul of Light in a Bottle")</f>
        <v>Soul of Light in a Bottle</v>
      </c>
    </row>
    <row r="4643">
      <c r="A4643" s="2">
        <v>4696.0</v>
      </c>
      <c r="B4643" s="3" t="s">
        <v>7</v>
      </c>
      <c r="C4643" s="4" t="str">
        <f>hyperlink("https://terraria.gamepedia.com/Lanterns","Soul of Night in a Bottle")</f>
        <v>Soul of Night in a Bottle</v>
      </c>
    </row>
    <row r="4644">
      <c r="A4644" s="2">
        <v>4697.0</v>
      </c>
      <c r="B4644" s="3" t="s">
        <v>7</v>
      </c>
      <c r="C4644" s="4" t="str">
        <f>hyperlink("https://terraria.gamepedia.com/Lanterns","Soul of Flight in a Bottle")</f>
        <v>Soul of Flight in a Bottle</v>
      </c>
    </row>
    <row r="4645">
      <c r="A4645" s="2">
        <v>4698.0</v>
      </c>
      <c r="B4645" s="3" t="s">
        <v>7</v>
      </c>
      <c r="C4645" s="4" t="str">
        <f>hyperlink("https://terraria.gamepedia.com/Lanterns","Soul of Sight in a Bottle")</f>
        <v>Soul of Sight in a Bottle</v>
      </c>
    </row>
    <row r="4646">
      <c r="A4646" s="2">
        <v>4699.0</v>
      </c>
      <c r="B4646" s="3" t="s">
        <v>7</v>
      </c>
      <c r="C4646" s="4" t="str">
        <f>hyperlink("https://terraria.gamepedia.com/Lanterns","Soul of Might in a Bottle")</f>
        <v>Soul of Might in a Bottle</v>
      </c>
    </row>
    <row r="4647">
      <c r="A4647" s="2">
        <v>4700.0</v>
      </c>
      <c r="B4647" s="3" t="s">
        <v>7</v>
      </c>
      <c r="C4647" s="4" t="str">
        <f>hyperlink("https://terraria.gamepedia.com/Lanterns","Soul of Fright in a Bottle")</f>
        <v>Soul of Fright in a Bottle</v>
      </c>
    </row>
    <row r="4648">
      <c r="A4648" s="2">
        <v>4701.0</v>
      </c>
      <c r="B4648" s="3" t="s">
        <v>22</v>
      </c>
      <c r="C4648" s="4" t="str">
        <f>hyperlink("https://terraria.gamepedia.com/Mud_Bud","Mud Bud")</f>
        <v>Mud Bud</v>
      </c>
    </row>
    <row r="4649">
      <c r="A4649" s="2">
        <v>4702.0</v>
      </c>
      <c r="B4649" s="3" t="s">
        <v>15</v>
      </c>
      <c r="C4649" s="4" t="str">
        <f>hyperlink("https://terraria.gamepedia.com/Release_Lantern","Release Lantern")</f>
        <v>Release Lantern</v>
      </c>
    </row>
    <row r="4650">
      <c r="A4650" s="2">
        <v>4703.0</v>
      </c>
      <c r="B4650" s="3" t="s">
        <v>5</v>
      </c>
      <c r="C4650" s="4" t="str">
        <f>hyperlink("https://terraria.gamepedia.com/Quad-Barrel_Shotgun","Quad-Barrel Shotgun")</f>
        <v>Quad-Barrel Shotgun</v>
      </c>
    </row>
    <row r="4651">
      <c r="A4651" s="2">
        <v>4704.0</v>
      </c>
      <c r="B4651" s="3" t="s">
        <v>23</v>
      </c>
      <c r="C4651" s="4" t="str">
        <f>hyperlink("https://terraria.gamepedia.com/Funeral_set","Funeral Hat")</f>
        <v>Funeral Hat</v>
      </c>
    </row>
    <row r="4652">
      <c r="A4652" s="2">
        <v>4705.0</v>
      </c>
      <c r="B4652" s="3" t="s">
        <v>23</v>
      </c>
      <c r="C4652" s="4" t="str">
        <f>hyperlink("https://terraria.gamepedia.com/Funeral_set","Funeral Coat")</f>
        <v>Funeral Coat</v>
      </c>
    </row>
    <row r="4653">
      <c r="A4653" s="2">
        <v>4706.0</v>
      </c>
      <c r="B4653" s="3" t="s">
        <v>23</v>
      </c>
      <c r="C4653" s="4" t="str">
        <f>hyperlink("https://terraria.gamepedia.com/Funeral_set","Funeral Pants")</f>
        <v>Funeral Pants</v>
      </c>
    </row>
    <row r="4654">
      <c r="A4654" s="2">
        <v>4707.0</v>
      </c>
      <c r="B4654" s="3" t="s">
        <v>3</v>
      </c>
      <c r="C4654" s="4" t="str">
        <f>hyperlink("https://terraria.gamepedia.com/Tragic_Umbrella","Tragic Umbrella")</f>
        <v>Tragic Umbrella</v>
      </c>
    </row>
    <row r="4655">
      <c r="A4655" s="2">
        <v>4708.0</v>
      </c>
      <c r="B4655" s="3" t="s">
        <v>23</v>
      </c>
      <c r="C4655" s="4" t="str">
        <f>hyperlink("https://terraria.gamepedia.com/Victorian_Goth_set","Victorian Goth Hat")</f>
        <v>Victorian Goth Hat</v>
      </c>
    </row>
    <row r="4656">
      <c r="A4656" s="2">
        <v>4709.0</v>
      </c>
      <c r="B4656" s="3" t="s">
        <v>23</v>
      </c>
      <c r="C4656" s="4" t="str">
        <f>hyperlink("https://terraria.gamepedia.com/Victorian_Goth_set","Victorian Goth Dress")</f>
        <v>Victorian Goth Dress</v>
      </c>
    </row>
    <row r="4657">
      <c r="A4657" s="2">
        <v>4710.0</v>
      </c>
      <c r="B4657" s="3" t="s">
        <v>12</v>
      </c>
      <c r="C4657" s="4" t="str">
        <f>hyperlink("https://terraria.gamepedia.com/Tattered_Wood_Sign","Tattered Wood Sign")</f>
        <v>Tattered Wood Sign</v>
      </c>
    </row>
    <row r="4658">
      <c r="A4658" s="2">
        <v>4711.0</v>
      </c>
      <c r="B4658" s="3" t="s">
        <v>3</v>
      </c>
      <c r="C4658" s="4" t="str">
        <f>hyperlink("https://terraria.gamepedia.com/Gravedigger's_Shovel","Gravedigger's Shovel")</f>
        <v>Gravedigger's Shovel</v>
      </c>
    </row>
    <row r="4659">
      <c r="A4659" s="2">
        <v>4712.0</v>
      </c>
      <c r="B4659" s="3" t="s">
        <v>20</v>
      </c>
      <c r="C4659" s="4" t="str">
        <f>hyperlink("https://terraria.gamepedia.com/Chests","Desert Chest")</f>
        <v>Desert Chest</v>
      </c>
    </row>
    <row r="4660">
      <c r="A4660" s="2">
        <v>4713.0</v>
      </c>
      <c r="B4660" s="3" t="s">
        <v>28</v>
      </c>
      <c r="C4660" s="4" t="str">
        <f>hyperlink("https://terraria.gamepedia.com/Trapped_Chests","Trapped Desert Chest")</f>
        <v>Trapped Desert Chest</v>
      </c>
    </row>
    <row r="4661">
      <c r="A4661" s="2">
        <v>4714.0</v>
      </c>
      <c r="B4661" s="3" t="s">
        <v>19</v>
      </c>
      <c r="C4661" s="4" t="str">
        <f>hyperlink("https://terraria.gamepedia.com/Biome_Keys","Desert Key")</f>
        <v>Desert Key</v>
      </c>
    </row>
    <row r="4662">
      <c r="A4662" s="2">
        <v>4715.0</v>
      </c>
      <c r="B4662" s="3" t="s">
        <v>5</v>
      </c>
      <c r="C4662" s="4" t="str">
        <f>hyperlink("https://terraria.gamepedia.com/Stellar_Tune","Stellar Tune")</f>
        <v>Stellar Tune</v>
      </c>
    </row>
    <row r="4663">
      <c r="A4663" s="2">
        <v>4716.0</v>
      </c>
      <c r="B4663" s="3" t="s">
        <v>22</v>
      </c>
      <c r="C4663" s="4" t="str">
        <f>hyperlink("https://terraria.gamepedia.com/Mollusk_Whistle","Mollusk Whistle")</f>
        <v>Mollusk Whistle</v>
      </c>
    </row>
    <row r="4664">
      <c r="A4664" s="2">
        <v>4717.0</v>
      </c>
      <c r="B4664" s="3" t="s">
        <v>4</v>
      </c>
      <c r="C4664" s="4" t="str">
        <f>hyperlink("https://terraria.gamepedia.com/Beams","Boreal Beam")</f>
        <v>Boreal Beam</v>
      </c>
    </row>
    <row r="4665">
      <c r="A4665" s="2">
        <v>4718.0</v>
      </c>
      <c r="B4665" s="3" t="s">
        <v>4</v>
      </c>
      <c r="C4665" s="4" t="str">
        <f>hyperlink("https://terraria.gamepedia.com/Beams","Rich Mahogany Beam")</f>
        <v>Rich Mahogany Beam</v>
      </c>
    </row>
    <row r="4666">
      <c r="A4666" s="2">
        <v>4719.0</v>
      </c>
      <c r="B4666" s="3" t="s">
        <v>4</v>
      </c>
      <c r="C4666" s="4" t="str">
        <f>hyperlink("https://terraria.gamepedia.com/Beams","Granite Column")</f>
        <v>Granite Column</v>
      </c>
    </row>
    <row r="4667">
      <c r="A4667" s="2">
        <v>4720.0</v>
      </c>
      <c r="B4667" s="3" t="s">
        <v>4</v>
      </c>
      <c r="C4667" s="4" t="str">
        <f>hyperlink("https://terraria.gamepedia.com/Beams","Sandstone Column")</f>
        <v>Sandstone Column</v>
      </c>
    </row>
    <row r="4668">
      <c r="A4668" s="2">
        <v>4721.0</v>
      </c>
      <c r="B4668" s="3" t="s">
        <v>4</v>
      </c>
      <c r="C4668" s="4" t="str">
        <f>hyperlink("https://terraria.gamepedia.com/Beams","Mushroom Beam")</f>
        <v>Mushroom Beam</v>
      </c>
    </row>
    <row r="4669">
      <c r="A4669" s="2">
        <v>4723.0</v>
      </c>
      <c r="B4669" s="3" t="s">
        <v>36</v>
      </c>
      <c r="C4669" s="4" t="str">
        <f>hyperlink("https://terraria.gamepedia.com/Paintings","Nevermore")</f>
        <v>Nevermore</v>
      </c>
    </row>
    <row r="4670">
      <c r="A4670" s="2">
        <v>4724.0</v>
      </c>
      <c r="B4670" s="3" t="s">
        <v>36</v>
      </c>
      <c r="C4670" s="4" t="str">
        <f>hyperlink("https://terraria.gamepedia.com/Paintings","Reborn")</f>
        <v>Reborn</v>
      </c>
    </row>
    <row r="4671">
      <c r="A4671" s="2">
        <v>4725.0</v>
      </c>
      <c r="B4671" s="3" t="s">
        <v>36</v>
      </c>
      <c r="C4671" s="4" t="str">
        <f>hyperlink("https://terraria.gamepedia.com/Paintings","Graveyard")</f>
        <v>Graveyard</v>
      </c>
    </row>
    <row r="4672">
      <c r="A4672" s="2">
        <v>4726.0</v>
      </c>
      <c r="B4672" s="3" t="s">
        <v>36</v>
      </c>
      <c r="C4672" s="4" t="str">
        <f>hyperlink("https://terraria.gamepedia.com/Paintings","Ghost Manifestation")</f>
        <v>Ghost Manifestation</v>
      </c>
    </row>
    <row r="4673">
      <c r="A4673" s="2">
        <v>4727.0</v>
      </c>
      <c r="B4673" s="3" t="s">
        <v>36</v>
      </c>
      <c r="C4673" s="4" t="str">
        <f>hyperlink("https://terraria.gamepedia.com/Paintings","Wicked Undead")</f>
        <v>Wicked Undead</v>
      </c>
    </row>
    <row r="4674">
      <c r="A4674" s="2">
        <v>4728.0</v>
      </c>
      <c r="B4674" s="3" t="s">
        <v>36</v>
      </c>
      <c r="C4674" s="4" t="str">
        <f>hyperlink("https://terraria.gamepedia.com/Paintings","Bloody Goblet")</f>
        <v>Bloody Goblet</v>
      </c>
    </row>
    <row r="4675">
      <c r="A4675" s="2">
        <v>4729.0</v>
      </c>
      <c r="B4675" s="3" t="s">
        <v>36</v>
      </c>
      <c r="C4675" s="4" t="str">
        <f>hyperlink("https://terraria.gamepedia.com/Paintings","Still Life")</f>
        <v>Still Life</v>
      </c>
    </row>
    <row r="4676">
      <c r="A4676" s="2">
        <v>4730.0</v>
      </c>
      <c r="B4676" s="3" t="s">
        <v>5</v>
      </c>
      <c r="C4676" s="4" t="str">
        <f>hyperlink("https://terraria.gamepedia.com/Wings","Ghostar's Infinity Eight")</f>
        <v>Ghostar's Infinity Eight</v>
      </c>
    </row>
    <row r="4677">
      <c r="A4677" s="2">
        <v>4731.0</v>
      </c>
      <c r="B4677" s="3" t="s">
        <v>12</v>
      </c>
      <c r="C4677" s="4" t="str">
        <f>hyperlink("https://terraria.gamepedia.com/Toilets","Terra Toilet")</f>
        <v>Terra Toilet</v>
      </c>
    </row>
    <row r="4678">
      <c r="A4678" s="2">
        <v>4732.0</v>
      </c>
      <c r="B4678" s="3" t="s">
        <v>32</v>
      </c>
      <c r="C4678" s="4" t="str">
        <f>hyperlink("https://terraria.gamepedia.com/Ghostar's_set","Ghostar's Soul Jar")</f>
        <v>Ghostar's Soul Jar</v>
      </c>
    </row>
    <row r="4679">
      <c r="A4679" s="2">
        <v>4733.0</v>
      </c>
      <c r="B4679" s="3" t="s">
        <v>32</v>
      </c>
      <c r="C4679" s="4" t="str">
        <f>hyperlink("https://terraria.gamepedia.com/Ghostar's_set","Ghostar's Garb")</f>
        <v>Ghostar's Garb</v>
      </c>
    </row>
    <row r="4680">
      <c r="A4680" s="2">
        <v>4734.0</v>
      </c>
      <c r="B4680" s="3" t="s">
        <v>32</v>
      </c>
      <c r="C4680" s="4" t="str">
        <f>hyperlink("https://terraria.gamepedia.com/Ghostar's_set","Ghostar's Tights")</f>
        <v>Ghostar's Tights</v>
      </c>
    </row>
    <row r="4681">
      <c r="A4681" s="2">
        <v>4735.0</v>
      </c>
      <c r="B4681" s="3" t="s">
        <v>22</v>
      </c>
      <c r="C4681" s="4" t="str">
        <f>hyperlink("https://terraria.gamepedia.com/Ball_O'_Fuse_Wire","Ball O' Fuse Wire")</f>
        <v>Ball O' Fuse Wire</v>
      </c>
    </row>
    <row r="4682">
      <c r="A4682" s="2">
        <v>4736.0</v>
      </c>
      <c r="B4682" s="3" t="s">
        <v>22</v>
      </c>
      <c r="C4682" s="4" t="str">
        <f>hyperlink("https://terraria.gamepedia.com/Full_Moon_Squeaky_Toy","Full Moon Squeaky Toy")</f>
        <v>Full Moon Squeaky Toy</v>
      </c>
    </row>
    <row r="4683">
      <c r="A4683" s="2">
        <v>4737.0</v>
      </c>
      <c r="B4683" s="3" t="s">
        <v>22</v>
      </c>
      <c r="C4683" s="4" t="str">
        <f>hyperlink("https://terraria.gamepedia.com/Ornate_Shadow_Key","Ornate Shadow Key")</f>
        <v>Ornate Shadow Key</v>
      </c>
    </row>
    <row r="4684">
      <c r="A4684" s="2">
        <v>4738.0</v>
      </c>
      <c r="B4684" s="3" t="s">
        <v>23</v>
      </c>
      <c r="C4684" s="4" t="str">
        <f>hyperlink("https://terraria.gamepedia.com/Dr._Man_Fly_set","Dr. Man Fly Mask")</f>
        <v>Dr. Man Fly Mask</v>
      </c>
    </row>
    <row r="4685">
      <c r="A4685" s="2">
        <v>4739.0</v>
      </c>
      <c r="B4685" s="3" t="s">
        <v>23</v>
      </c>
      <c r="C4685" s="4" t="str">
        <f>hyperlink("https://terraria.gamepedia.com/Dr._Man_Fly_set","Dr. Man Fly's Lab Coat")</f>
        <v>Dr. Man Fly's Lab Coat</v>
      </c>
    </row>
    <row r="4686">
      <c r="A4686" s="2">
        <v>4740.0</v>
      </c>
      <c r="B4686" s="3" t="s">
        <v>23</v>
      </c>
      <c r="C4686" s="4" t="str">
        <f>hyperlink("https://terraria.gamepedia.com/Butcher's_set","Butcher Mask")</f>
        <v>Butcher Mask</v>
      </c>
    </row>
    <row r="4687">
      <c r="A4687" s="2">
        <v>4741.0</v>
      </c>
      <c r="B4687" s="3" t="s">
        <v>23</v>
      </c>
      <c r="C4687" s="4" t="str">
        <f>hyperlink("https://terraria.gamepedia.com/Butcher's_set","Butcher's Bloodstained Apron")</f>
        <v>Butcher's Bloodstained Apron</v>
      </c>
    </row>
    <row r="4688">
      <c r="A4688" s="2">
        <v>4742.0</v>
      </c>
      <c r="B4688" s="3" t="s">
        <v>23</v>
      </c>
      <c r="C4688" s="4" t="str">
        <f>hyperlink("https://terraria.gamepedia.com/Butcher's_set","Butcher's Bloodstained Pants")</f>
        <v>Butcher's Bloodstained Pants</v>
      </c>
    </row>
    <row r="4689">
      <c r="A4689" s="2">
        <v>4743.0</v>
      </c>
      <c r="B4689" s="3" t="s">
        <v>15</v>
      </c>
      <c r="C4689" s="4" t="str">
        <f>hyperlink("https://terraria.gamepedia.com/Football","Football")</f>
        <v>Football</v>
      </c>
    </row>
    <row r="4690">
      <c r="A4690" s="2">
        <v>4744.0</v>
      </c>
      <c r="B4690" s="3" t="s">
        <v>23</v>
      </c>
      <c r="C4690" s="4" t="str">
        <f>hyperlink("https://terraria.gamepedia.com/Capes","Hunter Cloak")</f>
        <v>Hunter Cloak</v>
      </c>
    </row>
    <row r="4691">
      <c r="A4691" s="2">
        <v>4745.0</v>
      </c>
      <c r="B4691" s="3" t="s">
        <v>40</v>
      </c>
      <c r="C4691" s="4" t="str">
        <f>hyperlink("https://terraria.gamepedia.com/Minecarts","Coffin Minecart")</f>
        <v>Coffin Minecart</v>
      </c>
    </row>
    <row r="4692">
      <c r="A4692" s="2">
        <v>4746.0</v>
      </c>
      <c r="B4692" s="3" t="s">
        <v>27</v>
      </c>
      <c r="C4692" s="4" t="str">
        <f>hyperlink("https://terraria.gamepedia.com/Wings","Safeman's Blanket Cape")</f>
        <v>Safeman's Blanket Cape</v>
      </c>
    </row>
    <row r="4693">
      <c r="A4693" s="2">
        <v>4747.0</v>
      </c>
      <c r="B4693" s="3" t="s">
        <v>32</v>
      </c>
      <c r="C4693" s="4" t="str">
        <f>hyperlink("https://terraria.gamepedia.com/Safeman's_set","Safeman's Sunny Day")</f>
        <v>Safeman's Sunny Day</v>
      </c>
    </row>
    <row r="4694">
      <c r="A4694" s="2">
        <v>4748.0</v>
      </c>
      <c r="B4694" s="3" t="s">
        <v>32</v>
      </c>
      <c r="C4694" s="4" t="str">
        <f>hyperlink("https://terraria.gamepedia.com/Safeman's_set","Safeman's Sun Dress")</f>
        <v>Safeman's Sun Dress</v>
      </c>
    </row>
    <row r="4695">
      <c r="A4695" s="2">
        <v>4749.0</v>
      </c>
      <c r="B4695" s="3" t="s">
        <v>32</v>
      </c>
      <c r="C4695" s="4" t="str">
        <f>hyperlink("https://terraria.gamepedia.com/Safeman's_set","Safeman's Pink Leggings")</f>
        <v>Safeman's Pink Leggings</v>
      </c>
    </row>
    <row r="4696">
      <c r="A4696" s="2">
        <v>4750.0</v>
      </c>
      <c r="B4696" s="3" t="s">
        <v>27</v>
      </c>
      <c r="C4696" s="4" t="str">
        <f>hyperlink("https://terraria.gamepedia.com/Wings","FoodBarbarian's Tattered Dragon Wings")</f>
        <v>FoodBarbarian's Tattered Dragon Wings</v>
      </c>
    </row>
    <row r="4697">
      <c r="A4697" s="2">
        <v>4751.0</v>
      </c>
      <c r="B4697" s="3" t="s">
        <v>32</v>
      </c>
      <c r="C4697" s="4" t="str">
        <f>hyperlink("https://terraria.gamepedia.com/FoodBarbarian's_set","FoodBarbarian's Horned Helm")</f>
        <v>FoodBarbarian's Horned Helm</v>
      </c>
    </row>
    <row r="4698">
      <c r="A4698" s="2">
        <v>4752.0</v>
      </c>
      <c r="B4698" s="3" t="s">
        <v>32</v>
      </c>
      <c r="C4698" s="4" t="str">
        <f>hyperlink("https://terraria.gamepedia.com/FoodBarbarian's_set","FoodBarbarian's Wild Wolf Spaulders")</f>
        <v>FoodBarbarian's Wild Wolf Spaulders</v>
      </c>
    </row>
    <row r="4699">
      <c r="A4699" s="2">
        <v>4753.0</v>
      </c>
      <c r="B4699" s="3" t="s">
        <v>32</v>
      </c>
      <c r="C4699" s="4" t="str">
        <f>hyperlink("https://terraria.gamepedia.com/FoodBarbarian's_set","FoodBarbarian's Savage Greaves")</f>
        <v>FoodBarbarian's Savage Greaves</v>
      </c>
    </row>
    <row r="4700">
      <c r="A4700" s="2">
        <v>4754.0</v>
      </c>
      <c r="B4700" s="3" t="s">
        <v>27</v>
      </c>
      <c r="C4700" s="4" t="str">
        <f>hyperlink("https://terraria.gamepedia.com/Wings","Grox The Great's Wings")</f>
        <v>Grox The Great's Wings</v>
      </c>
    </row>
    <row r="4701">
      <c r="A4701" s="2">
        <v>4755.0</v>
      </c>
      <c r="B4701" s="3" t="s">
        <v>32</v>
      </c>
      <c r="C4701" s="4" t="str">
        <f>hyperlink("https://terraria.gamepedia.com/Grox_The_Great's_set","Grox The Great's Horned Cowl")</f>
        <v>Grox The Great's Horned Cowl</v>
      </c>
    </row>
    <row r="4702">
      <c r="A4702" s="2">
        <v>4756.0</v>
      </c>
      <c r="B4702" s="3" t="s">
        <v>32</v>
      </c>
      <c r="C4702" s="4" t="str">
        <f>hyperlink("https://terraria.gamepedia.com/Grox_The_Great's_set","Grox The Great's Chestplate")</f>
        <v>Grox The Great's Chestplate</v>
      </c>
    </row>
    <row r="4703">
      <c r="A4703" s="2">
        <v>4757.0</v>
      </c>
      <c r="B4703" s="3" t="s">
        <v>32</v>
      </c>
      <c r="C4703" s="4" t="str">
        <f>hyperlink("https://terraria.gamepedia.com/Grox_The_Great's_set","Grox The Great's Greaves")</f>
        <v>Grox The Great's Greaves</v>
      </c>
    </row>
    <row r="4704">
      <c r="A4704" s="2">
        <v>4758.0</v>
      </c>
      <c r="B4704" s="3" t="s">
        <v>5</v>
      </c>
      <c r="C4704" s="4" t="str">
        <f>hyperlink("https://terraria.gamepedia.com/Blade_Staff","Blade Staff")</f>
        <v>Blade Staff</v>
      </c>
    </row>
    <row r="4705">
      <c r="A4705" s="2">
        <v>4759.0</v>
      </c>
      <c r="B4705" s="3" t="s">
        <v>3</v>
      </c>
      <c r="C4705" s="4" t="str">
        <f>hyperlink("https://terraria.gamepedia.com/Squirrel_Hook","Squirrel Hook")</f>
        <v>Squirrel Hook</v>
      </c>
    </row>
    <row r="4706">
      <c r="A4706" s="2">
        <v>4760.0</v>
      </c>
      <c r="B4706" s="3" t="s">
        <v>5</v>
      </c>
      <c r="C4706" s="4" t="str">
        <f>hyperlink("https://terraria.gamepedia.com/Sergeant_United_Shield","Sergeant United Shield")</f>
        <v>Sergeant United Shield</v>
      </c>
    </row>
    <row r="4707">
      <c r="A4707" s="2">
        <v>4761.0</v>
      </c>
      <c r="B4707" s="3" t="s">
        <v>23</v>
      </c>
      <c r="C4707" s="4" t="str">
        <f>hyperlink("https://terraria.gamepedia.com/Rock_Golem_Head","Rock Golem Head")</f>
        <v>Rock Golem Head</v>
      </c>
    </row>
    <row r="4708">
      <c r="A4708" s="2">
        <v>4762.0</v>
      </c>
      <c r="B4708" s="3" t="s">
        <v>33</v>
      </c>
      <c r="C4708" s="4" t="str">
        <f>hyperlink("https://terraria.gamepedia.com/Critter_Shampoo","Critter Shampoo")</f>
        <v>Critter Shampoo</v>
      </c>
    </row>
    <row r="4709">
      <c r="A4709" s="2">
        <v>4763.0</v>
      </c>
      <c r="B4709" s="3" t="s">
        <v>40</v>
      </c>
      <c r="C4709" s="4" t="str">
        <f>hyperlink("https://terraria.gamepedia.com/Digging_Molecart","Digging Molecart")</f>
        <v>Digging Molecart</v>
      </c>
    </row>
    <row r="4710">
      <c r="A4710" s="2">
        <v>4764.0</v>
      </c>
      <c r="B4710" s="3" t="s">
        <v>5</v>
      </c>
      <c r="C4710" s="4" t="str">
        <f>hyperlink("https://terraria.gamepedia.com/Shroomerang","Shroomerang")</f>
        <v>Shroomerang</v>
      </c>
    </row>
    <row r="4711">
      <c r="A4711" s="2">
        <v>4765.0</v>
      </c>
      <c r="B4711" s="3" t="s">
        <v>15</v>
      </c>
      <c r="C4711" s="4" t="str">
        <f>hyperlink("https://terraria.gamepedia.com/Tree_Globe","Tree Globe")</f>
        <v>Tree Globe</v>
      </c>
    </row>
    <row r="4712">
      <c r="A4712" s="2">
        <v>4766.0</v>
      </c>
      <c r="B4712" s="3" t="s">
        <v>15</v>
      </c>
      <c r="C4712" s="4" t="str">
        <f>hyperlink("https://terraria.gamepedia.com/World_Globe","World Globe")</f>
        <v>World Globe</v>
      </c>
    </row>
    <row r="4713">
      <c r="A4713" s="2">
        <v>4767.0</v>
      </c>
      <c r="B4713" s="3" t="s">
        <v>10</v>
      </c>
      <c r="C4713" s="4" t="str">
        <f>hyperlink("https://terraria.gamepedia.com/Guide_To_Critter_Companionship","Guide To Critter Companionship")</f>
        <v>Guide To Critter Companionship</v>
      </c>
    </row>
    <row r="4714">
      <c r="A4714" s="2">
        <v>4768.0</v>
      </c>
      <c r="B4714" s="3" t="s">
        <v>23</v>
      </c>
      <c r="C4714" s="4" t="str">
        <f>hyperlink("https://terraria.gamepedia.com/Dog_set","Dog Ears")</f>
        <v>Dog Ears</v>
      </c>
    </row>
    <row r="4715">
      <c r="A4715" s="2">
        <v>4769.0</v>
      </c>
      <c r="B4715" s="3" t="s">
        <v>23</v>
      </c>
      <c r="C4715" s="4" t="str">
        <f>hyperlink("https://terraria.gamepedia.com/Dog_set","Dog Tail")</f>
        <v>Dog Tail</v>
      </c>
    </row>
    <row r="4716">
      <c r="A4716" s="2">
        <v>4770.0</v>
      </c>
      <c r="B4716" s="3" t="s">
        <v>23</v>
      </c>
      <c r="C4716" s="4" t="str">
        <f>hyperlink("https://terraria.gamepedia.com/Fox_set_(Zoologist)","Fox Ears")</f>
        <v>Fox Ears</v>
      </c>
    </row>
    <row r="4717">
      <c r="A4717" s="2">
        <v>4771.0</v>
      </c>
      <c r="B4717" s="3" t="s">
        <v>23</v>
      </c>
      <c r="C4717" s="4" t="str">
        <f>hyperlink("https://terraria.gamepedia.com/Fox_set_(Zoologist)","Fox Tail")</f>
        <v>Fox Tail</v>
      </c>
    </row>
    <row r="4718">
      <c r="A4718" s="2">
        <v>4772.0</v>
      </c>
      <c r="B4718" s="3" t="s">
        <v>23</v>
      </c>
      <c r="C4718" s="4" t="str">
        <f>hyperlink("https://terraria.gamepedia.com/Lizard_set","Lizard Ears")</f>
        <v>Lizard Ears</v>
      </c>
    </row>
    <row r="4719">
      <c r="A4719" s="2">
        <v>4773.0</v>
      </c>
      <c r="B4719" s="3" t="s">
        <v>23</v>
      </c>
      <c r="C4719" s="4" t="str">
        <f>hyperlink("https://terraria.gamepedia.com/Lizard_set","Lizard Tail")</f>
        <v>Lizard Tail</v>
      </c>
    </row>
    <row r="4720">
      <c r="A4720" s="2">
        <v>4774.0</v>
      </c>
      <c r="B4720" s="3" t="s">
        <v>23</v>
      </c>
      <c r="C4720" s="4" t="str">
        <f>hyperlink("https://terraria.gamepedia.com/Panda_Ears","Panda Ears")</f>
        <v>Panda Ears</v>
      </c>
    </row>
    <row r="4721">
      <c r="A4721" s="2">
        <v>4775.0</v>
      </c>
      <c r="B4721" s="3" t="s">
        <v>23</v>
      </c>
      <c r="C4721" s="4" t="str">
        <f>hyperlink("https://terraria.gamepedia.com/Bunny_set","Bunny Tail")</f>
        <v>Bunny Tail</v>
      </c>
    </row>
    <row r="4722">
      <c r="A4722" s="2">
        <v>4776.0</v>
      </c>
      <c r="B4722" s="3" t="s">
        <v>15</v>
      </c>
      <c r="C4722" s="4" t="str">
        <f>hyperlink("https://terraria.gamepedia.com/Fairy_Glowstick","Fairy Glowstick")</f>
        <v>Fairy Glowstick</v>
      </c>
    </row>
    <row r="4723">
      <c r="A4723" s="2">
        <v>4777.0</v>
      </c>
      <c r="B4723" s="3" t="s">
        <v>22</v>
      </c>
      <c r="C4723" s="4" t="str">
        <f>hyperlink("https://terraria.gamepedia.com/Lightning_Carrot","Lightning Carrot")</f>
        <v>Lightning Carrot</v>
      </c>
    </row>
    <row r="4724">
      <c r="A4724" s="2">
        <v>4778.0</v>
      </c>
      <c r="B4724" s="3" t="s">
        <v>33</v>
      </c>
      <c r="C4724" s="4" t="str">
        <f>hyperlink("https://terraria.gamepedia.com/Prismatic_Dye","Prismatic Dye")</f>
        <v>Prismatic Dye</v>
      </c>
    </row>
    <row r="4725">
      <c r="A4725" s="2">
        <v>4779.0</v>
      </c>
      <c r="B4725" s="3" t="s">
        <v>23</v>
      </c>
      <c r="C4725" s="4" t="str">
        <f>hyperlink("https://terraria.gamepedia.com/Mushroom_set","Mushroom Hat")</f>
        <v>Mushroom Hat</v>
      </c>
    </row>
    <row r="4726">
      <c r="A4726" s="2">
        <v>4780.0</v>
      </c>
      <c r="B4726" s="3" t="s">
        <v>23</v>
      </c>
      <c r="C4726" s="4" t="str">
        <f>hyperlink("https://terraria.gamepedia.com/Mushroom_set","Mushroom Vest")</f>
        <v>Mushroom Vest</v>
      </c>
    </row>
    <row r="4727">
      <c r="A4727" s="2">
        <v>4781.0</v>
      </c>
      <c r="B4727" s="3" t="s">
        <v>23</v>
      </c>
      <c r="C4727" s="4" t="str">
        <f>hyperlink("https://terraria.gamepedia.com/Mushroom_set","Mushroom Pants")</f>
        <v>Mushroom Pants</v>
      </c>
    </row>
    <row r="4728">
      <c r="A4728" s="2">
        <v>4782.0</v>
      </c>
      <c r="B4728" s="3" t="s">
        <v>34</v>
      </c>
      <c r="C4728" s="4" t="str">
        <f>hyperlink("https://terraria.gamepedia.com/Treasure_Bag","Treasure Bag (Empress of Light)")</f>
        <v>Treasure Bag (Empress of Light)</v>
      </c>
    </row>
    <row r="4729">
      <c r="A4729" s="2">
        <v>4783.0</v>
      </c>
      <c r="B4729" s="3" t="s">
        <v>35</v>
      </c>
      <c r="C4729" s="4" t="str">
        <f>hyperlink("https://terraria.gamepedia.com/Trophies","Empress of Light Trophy")</f>
        <v>Empress of Light Trophy</v>
      </c>
    </row>
    <row r="4730">
      <c r="A4730" s="2">
        <v>4784.0</v>
      </c>
      <c r="B4730" s="3" t="s">
        <v>34</v>
      </c>
      <c r="C4730" s="4" t="str">
        <f>hyperlink("https://terraria.gamepedia.com/Masks","Empress of Light Mask")</f>
        <v>Empress of Light Mask</v>
      </c>
    </row>
    <row r="4731">
      <c r="A4731" s="2">
        <v>4785.0</v>
      </c>
      <c r="B4731" s="3" t="s">
        <v>22</v>
      </c>
      <c r="C4731" s="4" t="str">
        <f>hyperlink("https://terraria.gamepedia.com/Saddles","Dusty Rawhide Saddle")</f>
        <v>Dusty Rawhide Saddle</v>
      </c>
    </row>
    <row r="4732">
      <c r="A4732" s="2">
        <v>4786.0</v>
      </c>
      <c r="B4732" s="3" t="s">
        <v>22</v>
      </c>
      <c r="C4732" s="4" t="str">
        <f>hyperlink("https://terraria.gamepedia.com/Saddles","Royal Gilded Saddle")</f>
        <v>Royal Gilded Saddle</v>
      </c>
    </row>
    <row r="4733">
      <c r="A4733" s="2">
        <v>4787.0</v>
      </c>
      <c r="B4733" s="3" t="s">
        <v>22</v>
      </c>
      <c r="C4733" s="4" t="str">
        <f>hyperlink("https://terraria.gamepedia.com/Saddles","Black Studded Saddle")</f>
        <v>Black Studded Saddle</v>
      </c>
    </row>
    <row r="4734">
      <c r="A4734" s="2">
        <v>4788.0</v>
      </c>
      <c r="B4734" s="3" t="s">
        <v>5</v>
      </c>
      <c r="C4734" s="4" t="str">
        <f>hyperlink("https://terraria.gamepedia.com/Jousting_Lance","Jousting Lance")</f>
        <v>Jousting Lance</v>
      </c>
    </row>
    <row r="4735">
      <c r="A4735" s="2">
        <v>4789.0</v>
      </c>
      <c r="B4735" s="3" t="s">
        <v>5</v>
      </c>
      <c r="C4735" s="4" t="str">
        <f>hyperlink("https://terraria.gamepedia.com/Shadow_Jousting_Lance","Shadow Jousting Lance")</f>
        <v>Shadow Jousting Lance</v>
      </c>
    </row>
    <row r="4736">
      <c r="A4736" s="2">
        <v>4790.0</v>
      </c>
      <c r="B4736" s="3" t="s">
        <v>5</v>
      </c>
      <c r="C4736" s="4" t="str">
        <f>hyperlink("https://terraria.gamepedia.com/Hallowed_Jousting_Lance","Hallowed Jousting Lance")</f>
        <v>Hallowed Jousting Lance</v>
      </c>
    </row>
    <row r="4737">
      <c r="A4737" s="2">
        <v>4791.0</v>
      </c>
      <c r="B4737" s="3" t="s">
        <v>22</v>
      </c>
      <c r="C4737" s="4" t="str">
        <f>hyperlink("https://terraria.gamepedia.com/Pogo_Stick","Pogo Stick")</f>
        <v>Pogo Stick</v>
      </c>
    </row>
    <row r="4738">
      <c r="A4738" s="2">
        <v>4792.0</v>
      </c>
      <c r="B4738" s="3" t="s">
        <v>22</v>
      </c>
      <c r="C4738" s="4" t="str">
        <f>hyperlink("https://terraria.gamepedia.com/The_Black_Spot","The Black Spot")</f>
        <v>The Black Spot</v>
      </c>
    </row>
    <row r="4739">
      <c r="A4739" s="2">
        <v>4793.0</v>
      </c>
      <c r="B4739" s="3" t="s">
        <v>22</v>
      </c>
      <c r="C4739" s="4" t="str">
        <f>hyperlink("https://terraria.gamepedia.com/Hexxed_Branch","Hexxed Branch")</f>
        <v>Hexxed Branch</v>
      </c>
    </row>
    <row r="4740">
      <c r="A4740" s="2">
        <v>4794.0</v>
      </c>
      <c r="B4740" s="3" t="s">
        <v>22</v>
      </c>
      <c r="C4740" s="4" t="str">
        <f>hyperlink("https://terraria.gamepedia.com/Toy_Tank","Toy Tank")</f>
        <v>Toy Tank</v>
      </c>
    </row>
    <row r="4741">
      <c r="A4741" s="2">
        <v>4795.0</v>
      </c>
      <c r="B4741" s="3" t="s">
        <v>22</v>
      </c>
      <c r="C4741" s="4" t="str">
        <f>hyperlink("https://terraria.gamepedia.com/Goat_Skull","Goat Skull")</f>
        <v>Goat Skull</v>
      </c>
    </row>
    <row r="4742">
      <c r="A4742" s="2">
        <v>4796.0</v>
      </c>
      <c r="B4742" s="3" t="s">
        <v>22</v>
      </c>
      <c r="C4742" s="4" t="str">
        <f>hyperlink("https://terraria.gamepedia.com/Dark_Mage's_Tome","Dark Mage's Tome")</f>
        <v>Dark Mage's Tome</v>
      </c>
    </row>
    <row r="4743">
      <c r="A4743" s="2">
        <v>4797.0</v>
      </c>
      <c r="B4743" s="3" t="s">
        <v>22</v>
      </c>
      <c r="C4743" s="4" t="str">
        <f>hyperlink("https://terraria.gamepedia.com/Royal_Delight","Royal Delight")</f>
        <v>Royal Delight</v>
      </c>
    </row>
    <row r="4744">
      <c r="A4744" s="2">
        <v>4798.0</v>
      </c>
      <c r="B4744" s="3" t="s">
        <v>22</v>
      </c>
      <c r="C4744" s="4" t="str">
        <f>hyperlink("https://terraria.gamepedia.com/Suspicious_Grinning_Eye","Suspicious Grinning Eye")</f>
        <v>Suspicious Grinning Eye</v>
      </c>
    </row>
    <row r="4745">
      <c r="A4745" s="2">
        <v>4799.0</v>
      </c>
      <c r="B4745" s="3" t="s">
        <v>22</v>
      </c>
      <c r="C4745" s="4" t="str">
        <f>hyperlink("https://terraria.gamepedia.com/Writhing_Remains","Writhing Remains")</f>
        <v>Writhing Remains</v>
      </c>
    </row>
    <row r="4746">
      <c r="A4746" s="2">
        <v>4800.0</v>
      </c>
      <c r="B4746" s="3" t="s">
        <v>22</v>
      </c>
      <c r="C4746" s="4" t="str">
        <f>hyperlink("https://terraria.gamepedia.com/Brain_in_a_Jar","Brain in a Jar")</f>
        <v>Brain in a Jar</v>
      </c>
    </row>
    <row r="4747">
      <c r="A4747" s="2">
        <v>4801.0</v>
      </c>
      <c r="B4747" s="3" t="s">
        <v>22</v>
      </c>
      <c r="C4747" s="4" t="str">
        <f>hyperlink("https://terraria.gamepedia.com/Possessed_Skull","Possessed Skull")</f>
        <v>Possessed Skull</v>
      </c>
    </row>
    <row r="4748">
      <c r="A4748" s="2">
        <v>4802.0</v>
      </c>
      <c r="B4748" s="3" t="s">
        <v>22</v>
      </c>
      <c r="C4748" s="4" t="str">
        <f>hyperlink("https://terraria.gamepedia.com/Sparkling_Honey","Sparkling Honey")</f>
        <v>Sparkling Honey</v>
      </c>
    </row>
    <row r="4749">
      <c r="A4749" s="2">
        <v>4803.0</v>
      </c>
      <c r="B4749" s="3" t="s">
        <v>22</v>
      </c>
      <c r="C4749" s="4" t="str">
        <f>hyperlink("https://terraria.gamepedia.com/Deactivated_Probe","Deactivated Probe")</f>
        <v>Deactivated Probe</v>
      </c>
    </row>
    <row r="4750">
      <c r="A4750" s="2">
        <v>4804.0</v>
      </c>
      <c r="B4750" s="3" t="s">
        <v>22</v>
      </c>
      <c r="C4750" s="4" t="str">
        <f>hyperlink("https://terraria.gamepedia.com/Pair_of_Eyeballs","Pair of Eyeballs")</f>
        <v>Pair of Eyeballs</v>
      </c>
    </row>
    <row r="4751">
      <c r="A4751" s="2">
        <v>4805.0</v>
      </c>
      <c r="B4751" s="3" t="s">
        <v>22</v>
      </c>
      <c r="C4751" s="4" t="str">
        <f>hyperlink("https://terraria.gamepedia.com/Robotic_Skull","Robotic Skull")</f>
        <v>Robotic Skull</v>
      </c>
    </row>
    <row r="4752">
      <c r="A4752" s="2">
        <v>4806.0</v>
      </c>
      <c r="B4752" s="3" t="s">
        <v>22</v>
      </c>
      <c r="C4752" s="4" t="str">
        <f>hyperlink("https://terraria.gamepedia.com/Plantera_Seedling","Plantera Seedling")</f>
        <v>Plantera Seedling</v>
      </c>
    </row>
    <row r="4753">
      <c r="A4753" s="2">
        <v>4807.0</v>
      </c>
      <c r="B4753" s="3" t="s">
        <v>22</v>
      </c>
      <c r="C4753" s="4" t="str">
        <f>hyperlink("https://terraria.gamepedia.com/Guardian_Golem","Guardian Golem")</f>
        <v>Guardian Golem</v>
      </c>
    </row>
    <row r="4754">
      <c r="A4754" s="2">
        <v>4808.0</v>
      </c>
      <c r="B4754" s="3" t="s">
        <v>22</v>
      </c>
      <c r="C4754" s="4" t="str">
        <f>hyperlink("https://terraria.gamepedia.com/Pork_of_the_Sea","Pork of the Sea")</f>
        <v>Pork of the Sea</v>
      </c>
    </row>
    <row r="4755">
      <c r="A4755" s="2">
        <v>4809.0</v>
      </c>
      <c r="B4755" s="3" t="s">
        <v>22</v>
      </c>
      <c r="C4755" s="4" t="str">
        <f>hyperlink("https://terraria.gamepedia.com/Tablet_Fragment","Tablet Fragment")</f>
        <v>Tablet Fragment</v>
      </c>
    </row>
    <row r="4756">
      <c r="A4756" s="2">
        <v>4810.0</v>
      </c>
      <c r="B4756" s="3" t="s">
        <v>22</v>
      </c>
      <c r="C4756" s="4" t="str">
        <f>hyperlink("https://terraria.gamepedia.com/Piece_of_Moon_Squid","Piece of Moon Squid")</f>
        <v>Piece of Moon Squid</v>
      </c>
    </row>
    <row r="4757">
      <c r="A4757" s="2">
        <v>4811.0</v>
      </c>
      <c r="B4757" s="3" t="s">
        <v>22</v>
      </c>
      <c r="C4757" s="4" t="str">
        <f>hyperlink("https://terraria.gamepedia.com/Jewel_of_Light","Jewel of Light")</f>
        <v>Jewel of Light</v>
      </c>
    </row>
    <row r="4758">
      <c r="A4758" s="2">
        <v>4812.0</v>
      </c>
      <c r="B4758" s="3" t="s">
        <v>22</v>
      </c>
      <c r="C4758" s="4" t="str">
        <f>hyperlink("https://terraria.gamepedia.com/Pumpkin_Scented_Candle","Pumpkin Scented Candle")</f>
        <v>Pumpkin Scented Candle</v>
      </c>
    </row>
    <row r="4759">
      <c r="A4759" s="2">
        <v>4813.0</v>
      </c>
      <c r="B4759" s="3" t="s">
        <v>22</v>
      </c>
      <c r="C4759" s="4" t="str">
        <f>hyperlink("https://terraria.gamepedia.com/Shrub_Star","Shrub Star")</f>
        <v>Shrub Star</v>
      </c>
    </row>
    <row r="4760">
      <c r="A4760" s="2">
        <v>4814.0</v>
      </c>
      <c r="B4760" s="3" t="s">
        <v>22</v>
      </c>
      <c r="C4760" s="4" t="str">
        <f>hyperlink("https://terraria.gamepedia.com/Frozen_Crown","Frozen Crown")</f>
        <v>Frozen Crown</v>
      </c>
    </row>
    <row r="4761">
      <c r="A4761" s="2">
        <v>4815.0</v>
      </c>
      <c r="B4761" s="3" t="s">
        <v>22</v>
      </c>
      <c r="C4761" s="4" t="str">
        <f>hyperlink("https://terraria.gamepedia.com/Cosmic_Skateboard","Cosmic Skateboard")</f>
        <v>Cosmic Skateboard</v>
      </c>
    </row>
    <row r="4762">
      <c r="A4762" s="2">
        <v>4816.0</v>
      </c>
      <c r="B4762" s="3" t="s">
        <v>22</v>
      </c>
      <c r="C4762" s="4" t="str">
        <f>hyperlink("https://terraria.gamepedia.com/Ogre's_Club","Ogre's Club")</f>
        <v>Ogre's Club</v>
      </c>
    </row>
    <row r="4763">
      <c r="A4763" s="2">
        <v>4817.0</v>
      </c>
      <c r="B4763" s="3" t="s">
        <v>22</v>
      </c>
      <c r="C4763" s="4" t="str">
        <f>hyperlink("https://terraria.gamepedia.com/Betsy's_Egg","Betsy's Egg")</f>
        <v>Betsy's Egg</v>
      </c>
    </row>
    <row r="4764">
      <c r="A4764" s="2">
        <v>4818.0</v>
      </c>
      <c r="B4764" s="3" t="s">
        <v>5</v>
      </c>
      <c r="C4764" s="4" t="str">
        <f>hyperlink("https://terraria.gamepedia.com/Combat_Wrench","Combat Wrench")</f>
        <v>Combat Wrench</v>
      </c>
    </row>
    <row r="4765">
      <c r="A4765" s="2">
        <v>4819.0</v>
      </c>
      <c r="B4765" s="3" t="s">
        <v>3</v>
      </c>
      <c r="C4765" s="4" t="str">
        <f>hyperlink("https://terraria.gamepedia.com/Demon_Conch","Demon Conch")</f>
        <v>Demon Conch</v>
      </c>
    </row>
    <row r="4766">
      <c r="A4766" s="2">
        <v>4820.0</v>
      </c>
      <c r="B4766" s="3" t="s">
        <v>3</v>
      </c>
      <c r="C4766" s="4" t="str">
        <f>hyperlink("https://terraria.gamepedia.com/Bottomless_Lava_Bucket","Bottomless Lava Bucket")</f>
        <v>Bottomless Lava Bucket</v>
      </c>
    </row>
    <row r="4767">
      <c r="A4767" s="2">
        <v>4821.0</v>
      </c>
      <c r="B4767" s="3" t="s">
        <v>3</v>
      </c>
      <c r="C4767" s="4" t="str">
        <f>hyperlink("https://terraria.gamepedia.com/Lavaproof_Bug_Net","Lavaproof Bug Net")</f>
        <v>Lavaproof Bug Net</v>
      </c>
    </row>
    <row r="4768">
      <c r="A4768" s="2">
        <v>4822.0</v>
      </c>
      <c r="B4768" s="3" t="s">
        <v>10</v>
      </c>
      <c r="C4768" s="4" t="str">
        <f>hyperlink("https://terraria.gamepedia.com/Flame_Waker_Boots","Flame Waker Boots")</f>
        <v>Flame Waker Boots</v>
      </c>
    </row>
    <row r="4769">
      <c r="A4769" s="2">
        <v>4823.0</v>
      </c>
      <c r="B4769" s="3" t="s">
        <v>27</v>
      </c>
      <c r="C4769" s="4" t="str">
        <f>hyperlink("https://terraria.gamepedia.com/Wings","Empress Wings")</f>
        <v>Empress Wings</v>
      </c>
    </row>
    <row r="4770">
      <c r="A4770" s="2">
        <v>4824.0</v>
      </c>
      <c r="B4770" s="3" t="s">
        <v>18</v>
      </c>
      <c r="C4770" s="4" t="str">
        <f>hyperlink("https://terraria.gamepedia.com/Liquid_bombs","Wet Bomb")</f>
        <v>Wet Bomb</v>
      </c>
    </row>
    <row r="4771">
      <c r="A4771" s="2">
        <v>4825.0</v>
      </c>
      <c r="B4771" s="3" t="s">
        <v>18</v>
      </c>
      <c r="C4771" s="4" t="str">
        <f>hyperlink("https://terraria.gamepedia.com/Liquid_bombs","Lava Bomb")</f>
        <v>Lava Bomb</v>
      </c>
    </row>
    <row r="4772">
      <c r="A4772" s="2">
        <v>4826.0</v>
      </c>
      <c r="B4772" s="3" t="s">
        <v>18</v>
      </c>
      <c r="C4772" s="4" t="str">
        <f>hyperlink("https://terraria.gamepedia.com/Liquid_bombs","Honey Bomb")</f>
        <v>Honey Bomb</v>
      </c>
    </row>
    <row r="4773">
      <c r="A4773" s="2">
        <v>4827.0</v>
      </c>
      <c r="B4773" s="3" t="s">
        <v>18</v>
      </c>
      <c r="C4773" s="4" t="str">
        <f>hyperlink("https://terraria.gamepedia.com/Liquid_bombs","Dry Bomb")</f>
        <v>Dry Bomb</v>
      </c>
    </row>
    <row r="4774">
      <c r="A4774" s="2">
        <v>4828.0</v>
      </c>
      <c r="B4774" s="3" t="s">
        <v>22</v>
      </c>
      <c r="C4774" s="4" t="str">
        <f>hyperlink("https://terraria.gamepedia.com/Superheated_Blood","Superheated Blood")</f>
        <v>Superheated Blood</v>
      </c>
    </row>
    <row r="4775">
      <c r="A4775" s="2">
        <v>4829.0</v>
      </c>
      <c r="B4775" s="3" t="s">
        <v>15</v>
      </c>
      <c r="C4775" s="4" t="str">
        <f>hyperlink("https://terraria.gamepedia.com/Cat_License","Cat License")</f>
        <v>Cat License</v>
      </c>
    </row>
    <row r="4776">
      <c r="A4776" s="2">
        <v>4830.0</v>
      </c>
      <c r="B4776" s="3" t="s">
        <v>15</v>
      </c>
      <c r="C4776" s="4" t="str">
        <f>hyperlink("https://terraria.gamepedia.com/Dog_License","Dog License")</f>
        <v>Dog License</v>
      </c>
    </row>
    <row r="4777">
      <c r="A4777" s="2">
        <v>4831.0</v>
      </c>
      <c r="B4777" s="3" t="s">
        <v>24</v>
      </c>
      <c r="C4777" s="4" t="str">
        <f>hyperlink("https://terraria.gamepedia.com/Gem_Squirrels","Amethyst Squirrel")</f>
        <v>Amethyst Squirrel</v>
      </c>
    </row>
    <row r="4778">
      <c r="A4778" s="2">
        <v>4832.0</v>
      </c>
      <c r="B4778" s="3" t="s">
        <v>24</v>
      </c>
      <c r="C4778" s="4" t="str">
        <f>hyperlink("https://terraria.gamepedia.com/Gem_Squirrels","Topaz Squirrel")</f>
        <v>Topaz Squirrel</v>
      </c>
    </row>
    <row r="4779">
      <c r="A4779" s="2">
        <v>4833.0</v>
      </c>
      <c r="B4779" s="3" t="s">
        <v>24</v>
      </c>
      <c r="C4779" s="4" t="str">
        <f>hyperlink("https://terraria.gamepedia.com/Gem_Squirrels","Sapphire Squirrel")</f>
        <v>Sapphire Squirrel</v>
      </c>
    </row>
    <row r="4780">
      <c r="A4780" s="2">
        <v>4834.0</v>
      </c>
      <c r="B4780" s="3" t="s">
        <v>24</v>
      </c>
      <c r="C4780" s="4" t="str">
        <f>hyperlink("https://terraria.gamepedia.com/Gem_Squirrels","Emerald Squirrel")</f>
        <v>Emerald Squirrel</v>
      </c>
    </row>
    <row r="4781">
      <c r="A4781" s="2">
        <v>4835.0</v>
      </c>
      <c r="B4781" s="3" t="s">
        <v>24</v>
      </c>
      <c r="C4781" s="4" t="str">
        <f>hyperlink("https://terraria.gamepedia.com/Gem_Squirrels","Ruby Squirrel")</f>
        <v>Ruby Squirrel</v>
      </c>
    </row>
    <row r="4782">
      <c r="A4782" s="2">
        <v>4836.0</v>
      </c>
      <c r="B4782" s="3" t="s">
        <v>24</v>
      </c>
      <c r="C4782" s="4" t="str">
        <f>hyperlink("https://terraria.gamepedia.com/Gem_Squirrels","Diamond Squirrel")</f>
        <v>Diamond Squirrel</v>
      </c>
    </row>
    <row r="4783">
      <c r="A4783" s="2">
        <v>4837.0</v>
      </c>
      <c r="B4783" s="3" t="s">
        <v>24</v>
      </c>
      <c r="C4783" s="4" t="str">
        <f>hyperlink("https://terraria.gamepedia.com/Gem_Squirrels","Amber Squirrel")</f>
        <v>Amber Squirrel</v>
      </c>
    </row>
    <row r="4784">
      <c r="A4784" s="2">
        <v>4838.0</v>
      </c>
      <c r="B4784" s="3" t="s">
        <v>24</v>
      </c>
      <c r="C4784" s="4" t="str">
        <f>hyperlink("https://terraria.gamepedia.com/Gem_Bunnies","Amethyst Bunny")</f>
        <v>Amethyst Bunny</v>
      </c>
    </row>
    <row r="4785">
      <c r="A4785" s="2">
        <v>4839.0</v>
      </c>
      <c r="B4785" s="3" t="s">
        <v>24</v>
      </c>
      <c r="C4785" s="4" t="str">
        <f>hyperlink("https://terraria.gamepedia.com/Gem_Bunnies","Topaz Bunny")</f>
        <v>Topaz Bunny</v>
      </c>
    </row>
    <row r="4786">
      <c r="A4786" s="2">
        <v>4840.0</v>
      </c>
      <c r="B4786" s="3" t="s">
        <v>24</v>
      </c>
      <c r="C4786" s="4" t="str">
        <f>hyperlink("https://terraria.gamepedia.com/Gem_Bunnies","Sapphire Bunny")</f>
        <v>Sapphire Bunny</v>
      </c>
    </row>
    <row r="4787">
      <c r="A4787" s="2">
        <v>4841.0</v>
      </c>
      <c r="B4787" s="3" t="s">
        <v>24</v>
      </c>
      <c r="C4787" s="4" t="str">
        <f>hyperlink("https://terraria.gamepedia.com/Gem_Bunnies","Emerald Bunny")</f>
        <v>Emerald Bunny</v>
      </c>
    </row>
    <row r="4788">
      <c r="A4788" s="2">
        <v>4842.0</v>
      </c>
      <c r="B4788" s="3" t="s">
        <v>24</v>
      </c>
      <c r="C4788" s="4" t="str">
        <f>hyperlink("https://terraria.gamepedia.com/Gem_Bunnies","Ruby Bunny")</f>
        <v>Ruby Bunny</v>
      </c>
    </row>
    <row r="4789">
      <c r="A4789" s="2">
        <v>4843.0</v>
      </c>
      <c r="B4789" s="3" t="s">
        <v>24</v>
      </c>
      <c r="C4789" s="4" t="str">
        <f>hyperlink("https://terraria.gamepedia.com/Gem_Bunnies","Diamond Bunny")</f>
        <v>Diamond Bunny</v>
      </c>
    </row>
    <row r="4790">
      <c r="A4790" s="2">
        <v>4844.0</v>
      </c>
      <c r="B4790" s="3" t="s">
        <v>24</v>
      </c>
      <c r="C4790" s="4" t="str">
        <f>hyperlink("https://terraria.gamepedia.com/Gem_Bunnies","Amber Bunny")</f>
        <v>Amber Bunny</v>
      </c>
    </row>
    <row r="4791">
      <c r="A4791" s="2">
        <v>4845.0</v>
      </c>
      <c r="B4791" s="3" t="s">
        <v>24</v>
      </c>
      <c r="C4791" s="4" t="str">
        <f>hyperlink("https://terraria.gamepedia.com/Butterflies","Hell Butterfly")</f>
        <v>Hell Butterfly</v>
      </c>
    </row>
    <row r="4792">
      <c r="A4792" s="2">
        <v>4846.0</v>
      </c>
      <c r="B4792" s="3" t="s">
        <v>24</v>
      </c>
      <c r="C4792" s="4" t="str">
        <f>hyperlink("https://terraria.gamepedia.com/Butterfly_Jars","Hell Butterfly Jar")</f>
        <v>Hell Butterfly Jar</v>
      </c>
    </row>
    <row r="4793">
      <c r="A4793" s="2">
        <v>4847.0</v>
      </c>
      <c r="B4793" s="3" t="s">
        <v>24</v>
      </c>
      <c r="C4793" s="4" t="str">
        <f>hyperlink("https://terraria.gamepedia.com/Lavafly","Lavafly")</f>
        <v>Lavafly</v>
      </c>
    </row>
    <row r="4794">
      <c r="A4794" s="2">
        <v>4848.0</v>
      </c>
      <c r="B4794" s="3" t="s">
        <v>24</v>
      </c>
      <c r="C4794" s="4" t="str">
        <f>hyperlink("https://terraria.gamepedia.com/Lanterns","Lavafly in a Bottle")</f>
        <v>Lavafly in a Bottle</v>
      </c>
    </row>
    <row r="4795">
      <c r="A4795" s="2">
        <v>4849.0</v>
      </c>
      <c r="B4795" s="3" t="s">
        <v>24</v>
      </c>
      <c r="C4795" s="4" t="str">
        <f>hyperlink("https://terraria.gamepedia.com/Magma_Snail","Magma Snail")</f>
        <v>Magma Snail</v>
      </c>
    </row>
    <row r="4796">
      <c r="A4796" s="2">
        <v>4850.0</v>
      </c>
      <c r="B4796" s="3" t="s">
        <v>24</v>
      </c>
      <c r="C4796" s="4" t="str">
        <f>hyperlink("https://terraria.gamepedia.com/Cages","Magma Snail Cage")</f>
        <v>Magma Snail Cage</v>
      </c>
    </row>
    <row r="4797">
      <c r="A4797" s="2">
        <v>4851.0</v>
      </c>
      <c r="B4797" s="3" t="s">
        <v>6</v>
      </c>
      <c r="C4797" s="4" t="str">
        <f>hyperlink("https://terraria.gamepedia.com/Gemcorns","Topaz Gemcorn")</f>
        <v>Topaz Gemcorn</v>
      </c>
    </row>
    <row r="4798">
      <c r="A4798" s="2">
        <v>4852.0</v>
      </c>
      <c r="B4798" s="3" t="s">
        <v>6</v>
      </c>
      <c r="C4798" s="4" t="str">
        <f>hyperlink("https://terraria.gamepedia.com/Gemcorns","Amethyst Gemcorn")</f>
        <v>Amethyst Gemcorn</v>
      </c>
    </row>
    <row r="4799">
      <c r="A4799" s="2">
        <v>4853.0</v>
      </c>
      <c r="B4799" s="3" t="s">
        <v>6</v>
      </c>
      <c r="C4799" s="4" t="str">
        <f>hyperlink("https://terraria.gamepedia.com/Gemcorns","Sapphire Gemcorn")</f>
        <v>Sapphire Gemcorn</v>
      </c>
    </row>
    <row r="4800">
      <c r="A4800" s="2">
        <v>4854.0</v>
      </c>
      <c r="B4800" s="3" t="s">
        <v>6</v>
      </c>
      <c r="C4800" s="4" t="str">
        <f>hyperlink("https://terraria.gamepedia.com/Gemcorns","Emerald Gemcorn")</f>
        <v>Emerald Gemcorn</v>
      </c>
    </row>
    <row r="4801">
      <c r="A4801" s="2">
        <v>4855.0</v>
      </c>
      <c r="B4801" s="3" t="s">
        <v>6</v>
      </c>
      <c r="C4801" s="4" t="str">
        <f>hyperlink("https://terraria.gamepedia.com/Gemcorns","Ruby Gemcorn")</f>
        <v>Ruby Gemcorn</v>
      </c>
    </row>
    <row r="4802">
      <c r="A4802" s="2">
        <v>4856.0</v>
      </c>
      <c r="B4802" s="3" t="s">
        <v>6</v>
      </c>
      <c r="C4802" s="4" t="str">
        <f>hyperlink("https://terraria.gamepedia.com/Gemcorns","Diamond Gemcorn")</f>
        <v>Diamond Gemcorn</v>
      </c>
    </row>
    <row r="4803">
      <c r="A4803" s="2">
        <v>4857.0</v>
      </c>
      <c r="B4803" s="3" t="s">
        <v>6</v>
      </c>
      <c r="C4803" s="4" t="str">
        <f>hyperlink("https://terraria.gamepedia.com/Gemcorns","Amber Gemcorn")</f>
        <v>Amber Gemcorn</v>
      </c>
    </row>
    <row r="4804">
      <c r="A4804" s="2">
        <v>4858.0</v>
      </c>
      <c r="B4804" s="3" t="s">
        <v>12</v>
      </c>
      <c r="C4804" s="4" t="str">
        <f>hyperlink("https://terraria.gamepedia.com/Hanging_Pot","Hanging Pot")</f>
        <v>Hanging Pot</v>
      </c>
    </row>
    <row r="4805">
      <c r="A4805" s="2">
        <v>4859.0</v>
      </c>
      <c r="B4805" s="3" t="s">
        <v>12</v>
      </c>
      <c r="C4805" s="4" t="str">
        <f>hyperlink("https://terraria.gamepedia.com/Hanging_Herbs","Hanging Daybloom")</f>
        <v>Hanging Daybloom</v>
      </c>
    </row>
    <row r="4806">
      <c r="A4806" s="2">
        <v>4860.0</v>
      </c>
      <c r="B4806" s="3" t="s">
        <v>12</v>
      </c>
      <c r="C4806" s="4" t="str">
        <f>hyperlink("https://terraria.gamepedia.com/Hanging_Herbs","Hanging Moonglow")</f>
        <v>Hanging Moonglow</v>
      </c>
    </row>
    <row r="4807">
      <c r="A4807" s="2">
        <v>4861.0</v>
      </c>
      <c r="B4807" s="3" t="s">
        <v>12</v>
      </c>
      <c r="C4807" s="4" t="str">
        <f>hyperlink("https://terraria.gamepedia.com/Hanging_Herbs","Hanging Waterleaf")</f>
        <v>Hanging Waterleaf</v>
      </c>
    </row>
    <row r="4808">
      <c r="A4808" s="2">
        <v>4862.0</v>
      </c>
      <c r="B4808" s="3" t="s">
        <v>12</v>
      </c>
      <c r="C4808" s="4" t="str">
        <f>hyperlink("https://terraria.gamepedia.com/Hanging_Herbs","Hanging Shiverthorn")</f>
        <v>Hanging Shiverthorn</v>
      </c>
    </row>
    <row r="4809">
      <c r="A4809" s="2">
        <v>4863.0</v>
      </c>
      <c r="B4809" s="3" t="s">
        <v>12</v>
      </c>
      <c r="C4809" s="4" t="str">
        <f>hyperlink("https://terraria.gamepedia.com/Hanging_Herbs","Hanging Blinkroot")</f>
        <v>Hanging Blinkroot</v>
      </c>
    </row>
    <row r="4810">
      <c r="A4810" s="2">
        <v>4864.0</v>
      </c>
      <c r="B4810" s="3" t="s">
        <v>12</v>
      </c>
      <c r="C4810" s="4" t="str">
        <f>hyperlink("https://terraria.gamepedia.com/Hanging_Herbs","Hanging Corrupt Deathweed")</f>
        <v>Hanging Corrupt Deathweed</v>
      </c>
    </row>
    <row r="4811">
      <c r="A4811" s="2">
        <v>4865.0</v>
      </c>
      <c r="B4811" s="3" t="s">
        <v>12</v>
      </c>
      <c r="C4811" s="4" t="str">
        <f>hyperlink("https://terraria.gamepedia.com/Hanging_Herbs","Hanging Crimson Deathweed")</f>
        <v>Hanging Crimson Deathweed</v>
      </c>
    </row>
    <row r="4812">
      <c r="A4812" s="2">
        <v>4866.0</v>
      </c>
      <c r="B4812" s="3" t="s">
        <v>12</v>
      </c>
      <c r="C4812" s="4" t="str">
        <f>hyperlink("https://terraria.gamepedia.com/Hanging_Herbs","Hanging Fireblossom")</f>
        <v>Hanging Fireblossom</v>
      </c>
    </row>
    <row r="4813">
      <c r="A4813" s="2">
        <v>4867.0</v>
      </c>
      <c r="B4813" s="3" t="s">
        <v>12</v>
      </c>
      <c r="C4813" s="4" t="str">
        <f>hyperlink("https://terraria.gamepedia.com/Hanging_Brazier","Hanging Brazier")</f>
        <v>Hanging Brazier</v>
      </c>
    </row>
    <row r="4814">
      <c r="A4814" s="2">
        <v>4868.0</v>
      </c>
      <c r="B4814" s="3" t="s">
        <v>12</v>
      </c>
      <c r="C4814" s="4" t="str">
        <f>hyperlink("https://terraria.gamepedia.com/Mini_Volcano","Mini Volcano")</f>
        <v>Mini Volcano</v>
      </c>
    </row>
    <row r="4815">
      <c r="A4815" s="2">
        <v>4869.0</v>
      </c>
      <c r="B4815" s="3" t="s">
        <v>12</v>
      </c>
      <c r="C4815" s="4" t="str">
        <f>hyperlink("https://terraria.gamepedia.com/Large_Volcano","Large Volcano")</f>
        <v>Large Volcano</v>
      </c>
    </row>
    <row r="4816">
      <c r="A4816" s="2">
        <v>4870.0</v>
      </c>
      <c r="B4816" s="3" t="s">
        <v>14</v>
      </c>
      <c r="C4816" s="4" t="str">
        <f>hyperlink("https://terraria.gamepedia.com/Potion_of_Return","Potion of Return")</f>
        <v>Potion of Return</v>
      </c>
    </row>
    <row r="4817">
      <c r="A4817" s="2">
        <v>4871.0</v>
      </c>
      <c r="B4817" s="3" t="s">
        <v>6</v>
      </c>
      <c r="C4817" s="4" t="str">
        <f>hyperlink("https://terraria.gamepedia.com/Sakura_Sapling","Sakura Sapling")</f>
        <v>Sakura Sapling</v>
      </c>
    </row>
    <row r="4818">
      <c r="A4818" s="2">
        <v>4872.0</v>
      </c>
      <c r="B4818" s="3" t="s">
        <v>3</v>
      </c>
      <c r="C4818" s="4" t="str">
        <f>hyperlink("https://terraria.gamepedia.com/Lava_Absorbant_Sponge","Lava Absorbant Sponge")</f>
        <v>Lava Absorbant Sponge</v>
      </c>
    </row>
    <row r="4819">
      <c r="A4819" s="2">
        <v>4873.0</v>
      </c>
      <c r="B4819" s="3" t="s">
        <v>17</v>
      </c>
      <c r="C4819" s="4" t="str">
        <f>hyperlink("https://terraria.gamepedia.com/Hallowed_armor","Hallowed Hood")</f>
        <v>Hallowed Hood</v>
      </c>
    </row>
    <row r="4820">
      <c r="A4820" s="2">
        <v>4874.0</v>
      </c>
      <c r="B4820" s="3" t="s">
        <v>10</v>
      </c>
      <c r="C4820" s="4" t="str">
        <f>hyperlink("https://terraria.gamepedia.com/Hellfire_Treads","Hellfire Treads")</f>
        <v>Hellfire Treads</v>
      </c>
    </row>
    <row r="4821">
      <c r="A4821" s="2">
        <v>4875.0</v>
      </c>
      <c r="B4821" s="3" t="s">
        <v>28</v>
      </c>
      <c r="C4821" s="4" t="str">
        <f>hyperlink("https://terraria.gamepedia.com/Pylons","Jungle Pylon")</f>
        <v>Jungle Pylon</v>
      </c>
    </row>
    <row r="4822">
      <c r="A4822" s="2">
        <v>4876.0</v>
      </c>
      <c r="B4822" s="3" t="s">
        <v>28</v>
      </c>
      <c r="C4822" s="4" t="str">
        <f>hyperlink("https://terraria.gamepedia.com/Pylons","Forest Pylon")</f>
        <v>Forest Pylon</v>
      </c>
    </row>
    <row r="4823">
      <c r="A4823" s="2">
        <v>4877.0</v>
      </c>
      <c r="B4823" s="3" t="s">
        <v>20</v>
      </c>
      <c r="C4823" s="4" t="str">
        <f>hyperlink("https://terraria.gamepedia.com/Obsidian_Crate","Obsidian Crate")</f>
        <v>Obsidian Crate</v>
      </c>
    </row>
    <row r="4824">
      <c r="A4824" s="2">
        <v>4878.0</v>
      </c>
      <c r="B4824" s="3" t="s">
        <v>20</v>
      </c>
      <c r="C4824" s="4" t="str">
        <f>hyperlink("https://terraria.gamepedia.com/Hellstone_Crate","Hellstone Crate")</f>
        <v>Hellstone Crate</v>
      </c>
    </row>
    <row r="4825">
      <c r="A4825" s="2">
        <v>4879.0</v>
      </c>
      <c r="B4825" s="3" t="s">
        <v>15</v>
      </c>
      <c r="C4825" s="4" t="str">
        <f>hyperlink("https://terraria.gamepedia.com/Obsidian_Lock_Box","Obsidian Lock Box")</f>
        <v>Obsidian Lock Box</v>
      </c>
    </row>
    <row r="4826">
      <c r="A4826" s="2">
        <v>4880.0</v>
      </c>
      <c r="B4826" s="3" t="s">
        <v>24</v>
      </c>
      <c r="C4826" s="4" t="str">
        <f>hyperlink("https://terraria.gamepedia.com/Fish_Bowls","Lava Serpent Bowl")</f>
        <v>Lava Serpent Bowl</v>
      </c>
    </row>
    <row r="4827">
      <c r="A4827" s="2">
        <v>4881.0</v>
      </c>
      <c r="B4827" s="3" t="s">
        <v>10</v>
      </c>
      <c r="C4827" s="4" t="str">
        <f>hyperlink("https://terraria.gamepedia.com/Lavaproof_Fishing_Hook","Lavaproof Fishing Hook")</f>
        <v>Lavaproof Fishing Hook</v>
      </c>
    </row>
    <row r="4828">
      <c r="A4828" s="2">
        <v>4882.0</v>
      </c>
      <c r="B4828" s="3" t="s">
        <v>24</v>
      </c>
      <c r="C4828" s="4" t="str">
        <f>hyperlink("https://terraria.gamepedia.com/Cages","Amethyst Bunny Cage")</f>
        <v>Amethyst Bunny Cage</v>
      </c>
    </row>
    <row r="4829">
      <c r="A4829" s="2">
        <v>4883.0</v>
      </c>
      <c r="B4829" s="3" t="s">
        <v>24</v>
      </c>
      <c r="C4829" s="4" t="str">
        <f>hyperlink("https://terraria.gamepedia.com/Cages","Topaz Bunny Cage")</f>
        <v>Topaz Bunny Cage</v>
      </c>
    </row>
    <row r="4830">
      <c r="A4830" s="2">
        <v>4884.0</v>
      </c>
      <c r="B4830" s="3" t="s">
        <v>24</v>
      </c>
      <c r="C4830" s="4" t="str">
        <f>hyperlink("https://terraria.gamepedia.com/Cages","Sapphire Bunny Cage")</f>
        <v>Sapphire Bunny Cage</v>
      </c>
    </row>
    <row r="4831">
      <c r="A4831" s="2">
        <v>4885.0</v>
      </c>
      <c r="B4831" s="3" t="s">
        <v>24</v>
      </c>
      <c r="C4831" s="4" t="str">
        <f>hyperlink("https://terraria.gamepedia.com/Cages","Emerald Bunny Cage")</f>
        <v>Emerald Bunny Cage</v>
      </c>
    </row>
    <row r="4832">
      <c r="A4832" s="2">
        <v>4886.0</v>
      </c>
      <c r="B4832" s="3" t="s">
        <v>24</v>
      </c>
      <c r="C4832" s="4" t="str">
        <f>hyperlink("https://terraria.gamepedia.com/Cages","Ruby Bunny Cage")</f>
        <v>Ruby Bunny Cage</v>
      </c>
    </row>
    <row r="4833">
      <c r="A4833" s="2">
        <v>4887.0</v>
      </c>
      <c r="B4833" s="3" t="s">
        <v>24</v>
      </c>
      <c r="C4833" s="4" t="str">
        <f>hyperlink("https://terraria.gamepedia.com/Cages","Diamond Bunny Cage")</f>
        <v>Diamond Bunny Cage</v>
      </c>
    </row>
    <row r="4834">
      <c r="A4834" s="2">
        <v>4888.0</v>
      </c>
      <c r="B4834" s="3" t="s">
        <v>24</v>
      </c>
      <c r="C4834" s="4" t="str">
        <f>hyperlink("https://terraria.gamepedia.com/Cages","Amber Bunny Cage")</f>
        <v>Amber Bunny Cage</v>
      </c>
    </row>
    <row r="4835">
      <c r="A4835" s="2">
        <v>4889.0</v>
      </c>
      <c r="B4835" s="3" t="s">
        <v>24</v>
      </c>
      <c r="C4835" s="4" t="str">
        <f>hyperlink("https://terraria.gamepedia.com/Cages","Amethyst Squirrel Cage")</f>
        <v>Amethyst Squirrel Cage</v>
      </c>
    </row>
    <row r="4836">
      <c r="A4836" s="2">
        <v>4890.0</v>
      </c>
      <c r="B4836" s="3" t="s">
        <v>24</v>
      </c>
      <c r="C4836" s="4" t="str">
        <f>hyperlink("https://terraria.gamepedia.com/Cages","Topaz Squirrel Cage")</f>
        <v>Topaz Squirrel Cage</v>
      </c>
    </row>
    <row r="4837">
      <c r="A4837" s="2">
        <v>4891.0</v>
      </c>
      <c r="B4837" s="3" t="s">
        <v>24</v>
      </c>
      <c r="C4837" s="4" t="str">
        <f>hyperlink("https://terraria.gamepedia.com/Cages","Sapphire Squirrel Cage")</f>
        <v>Sapphire Squirrel Cage</v>
      </c>
    </row>
    <row r="4838">
      <c r="A4838" s="2">
        <v>4892.0</v>
      </c>
      <c r="B4838" s="3" t="s">
        <v>24</v>
      </c>
      <c r="C4838" s="4" t="str">
        <f>hyperlink("https://terraria.gamepedia.com/Cages","Emerald Squirrel Cage")</f>
        <v>Emerald Squirrel Cage</v>
      </c>
    </row>
    <row r="4839">
      <c r="A4839" s="2">
        <v>4893.0</v>
      </c>
      <c r="B4839" s="3" t="s">
        <v>24</v>
      </c>
      <c r="C4839" s="4" t="str">
        <f>hyperlink("https://terraria.gamepedia.com/Cages","Ruby Squirrel Cage")</f>
        <v>Ruby Squirrel Cage</v>
      </c>
    </row>
    <row r="4840">
      <c r="A4840" s="2">
        <v>4894.0</v>
      </c>
      <c r="B4840" s="3" t="s">
        <v>24</v>
      </c>
      <c r="C4840" s="4" t="str">
        <f>hyperlink("https://terraria.gamepedia.com/Cages","Diamond Squirrel Cage")</f>
        <v>Diamond Squirrel Cage</v>
      </c>
    </row>
    <row r="4841">
      <c r="A4841" s="2">
        <v>4895.0</v>
      </c>
      <c r="B4841" s="3" t="s">
        <v>24</v>
      </c>
      <c r="C4841" s="4" t="str">
        <f>hyperlink("https://terraria.gamepedia.com/Cages","Amber Squirrel Cage")</f>
        <v>Amber Squirrel Cage</v>
      </c>
    </row>
    <row r="4842">
      <c r="A4842" s="2">
        <v>4896.0</v>
      </c>
      <c r="B4842" s="3" t="s">
        <v>17</v>
      </c>
      <c r="C4842" s="4" t="str">
        <f>hyperlink("https://terraria.gamepedia.com/Ancient_Hallowed_armor","Ancient Hallowed Mask")</f>
        <v>Ancient Hallowed Mask</v>
      </c>
    </row>
    <row r="4843">
      <c r="A4843" s="2">
        <v>4897.0</v>
      </c>
      <c r="B4843" s="3" t="s">
        <v>17</v>
      </c>
      <c r="C4843" s="4" t="str">
        <f>hyperlink("https://terraria.gamepedia.com/Ancient_Hallowed_armor","Ancient Hallowed Helmet")</f>
        <v>Ancient Hallowed Helmet</v>
      </c>
    </row>
    <row r="4844">
      <c r="A4844" s="2">
        <v>4898.0</v>
      </c>
      <c r="B4844" s="3" t="s">
        <v>17</v>
      </c>
      <c r="C4844" s="4" t="str">
        <f>hyperlink("https://terraria.gamepedia.com/Ancient_Hallowed_armor","Ancient Hallowed Headgear")</f>
        <v>Ancient Hallowed Headgear</v>
      </c>
    </row>
    <row r="4845">
      <c r="A4845" s="2">
        <v>4899.0</v>
      </c>
      <c r="B4845" s="3" t="s">
        <v>17</v>
      </c>
      <c r="C4845" s="4" t="str">
        <f>hyperlink("https://terraria.gamepedia.com/Ancient_Hallowed_armor","Ancient Hallowed Hood")</f>
        <v>Ancient Hallowed Hood</v>
      </c>
    </row>
    <row r="4846">
      <c r="A4846" s="2">
        <v>4900.0</v>
      </c>
      <c r="B4846" s="3" t="s">
        <v>17</v>
      </c>
      <c r="C4846" s="4" t="str">
        <f>hyperlink("https://terraria.gamepedia.com/Ancient_Hallowed_armor","Ancient Hallowed Plate Mail")</f>
        <v>Ancient Hallowed Plate Mail</v>
      </c>
    </row>
    <row r="4847">
      <c r="A4847" s="2">
        <v>4901.0</v>
      </c>
      <c r="B4847" s="3" t="s">
        <v>17</v>
      </c>
      <c r="C4847" s="4" t="str">
        <f>hyperlink("https://terraria.gamepedia.com/Ancient_Hallowed_armor","Ancient Hallowed Greaves")</f>
        <v>Ancient Hallowed Greaves</v>
      </c>
    </row>
    <row r="4848">
      <c r="A4848" s="2">
        <v>4902.0</v>
      </c>
      <c r="B4848" s="3" t="s">
        <v>12</v>
      </c>
      <c r="C4848" s="4" t="str">
        <f>hyperlink("https://terraria.gamepedia.com/Potted_Lava_Plants","Potted Magma Palm")</f>
        <v>Potted Magma Palm</v>
      </c>
    </row>
    <row r="4849">
      <c r="A4849" s="2">
        <v>4903.0</v>
      </c>
      <c r="B4849" s="3" t="s">
        <v>12</v>
      </c>
      <c r="C4849" s="4" t="str">
        <f>hyperlink("https://terraria.gamepedia.com/Potted_Lava_Plants","Potted Brimstone Bush")</f>
        <v>Potted Brimstone Bush</v>
      </c>
    </row>
    <row r="4850">
      <c r="A4850" s="2">
        <v>4904.0</v>
      </c>
      <c r="B4850" s="3" t="s">
        <v>12</v>
      </c>
      <c r="C4850" s="4" t="str">
        <f>hyperlink("https://terraria.gamepedia.com/Potted_Lava_Plants","Potted Fire Brambles")</f>
        <v>Potted Fire Brambles</v>
      </c>
    </row>
    <row r="4851">
      <c r="A4851" s="2">
        <v>4905.0</v>
      </c>
      <c r="B4851" s="3" t="s">
        <v>12</v>
      </c>
      <c r="C4851" s="4" t="str">
        <f>hyperlink("https://terraria.gamepedia.com/Potted_Lava_Plants","Potted Lava Bulb")</f>
        <v>Potted Lava Bulb</v>
      </c>
    </row>
    <row r="4852">
      <c r="A4852" s="2">
        <v>4906.0</v>
      </c>
      <c r="B4852" s="3" t="s">
        <v>12</v>
      </c>
      <c r="C4852" s="4" t="str">
        <f>hyperlink("https://terraria.gamepedia.com/Potted_Lava_Plants","Potted Ember Tendrils")</f>
        <v>Potted Ember Tendrils</v>
      </c>
    </row>
    <row r="4853">
      <c r="A4853" s="2">
        <v>4907.0</v>
      </c>
      <c r="B4853" s="3" t="s">
        <v>6</v>
      </c>
      <c r="C4853" s="4" t="str">
        <f>hyperlink("https://terraria.gamepedia.com/Yellow_Willow_Sapling","Yellow Willow Sapling")</f>
        <v>Yellow Willow Sapling</v>
      </c>
    </row>
    <row r="4854">
      <c r="A4854" s="2">
        <v>4908.0</v>
      </c>
      <c r="B4854" s="3" t="s">
        <v>18</v>
      </c>
      <c r="C4854" s="4" t="str">
        <f>hyperlink("https://terraria.gamepedia.com/Dirt_Bomb","Dirt Bomb")</f>
        <v>Dirt Bomb</v>
      </c>
    </row>
    <row r="4855">
      <c r="A4855" s="2">
        <v>4909.0</v>
      </c>
      <c r="B4855" s="3" t="s">
        <v>18</v>
      </c>
      <c r="C4855" s="4" t="str">
        <f>hyperlink("https://terraria.gamepedia.com/Sticky_Dirt_Bomb","Sticky Dirt Bomb")</f>
        <v>Sticky Dirt Bomb</v>
      </c>
    </row>
    <row r="4856">
      <c r="A4856" s="2">
        <v>4910.0</v>
      </c>
      <c r="B4856" s="3" t="s">
        <v>15</v>
      </c>
      <c r="C4856" s="4" t="str">
        <f>hyperlink("https://terraria.gamepedia.com/Bunny_License","Bunny License")</f>
        <v>Bunny License</v>
      </c>
    </row>
    <row r="4857">
      <c r="A4857" s="2">
        <v>4911.0</v>
      </c>
      <c r="B4857" s="3" t="s">
        <v>5</v>
      </c>
      <c r="C4857" s="4" t="str">
        <f>hyperlink("https://terraria.gamepedia.com/Cool_Whip","Cool Whip")</f>
        <v>Cool Whip</v>
      </c>
    </row>
    <row r="4858">
      <c r="A4858" s="2">
        <v>4912.0</v>
      </c>
      <c r="B4858" s="3" t="s">
        <v>5</v>
      </c>
      <c r="C4858" s="4" t="str">
        <f>hyperlink("https://terraria.gamepedia.com/Firecracker","Firecracker")</f>
        <v>Firecracker</v>
      </c>
    </row>
    <row r="4859">
      <c r="A4859" s="2">
        <v>4913.0</v>
      </c>
      <c r="B4859" s="3" t="s">
        <v>5</v>
      </c>
      <c r="C4859" s="4" t="str">
        <f>hyperlink("https://terraria.gamepedia.com/Snapthorn","Snapthorn")</f>
        <v>Snapthorn</v>
      </c>
    </row>
    <row r="4860">
      <c r="A4860" s="2">
        <v>4914.0</v>
      </c>
      <c r="B4860" s="3" t="s">
        <v>5</v>
      </c>
      <c r="C4860" s="4" t="str">
        <f>hyperlink("https://terraria.gamepedia.com/Kaleidoscope","Kaleidoscope")</f>
        <v>Kaleidoscope</v>
      </c>
    </row>
    <row r="4861">
      <c r="A4861" s="2">
        <v>4915.0</v>
      </c>
      <c r="B4861" s="3" t="s">
        <v>18</v>
      </c>
      <c r="C4861" s="4" t="str">
        <f>hyperlink("https://terraria.gamepedia.com/Tungsten_Bullet","Tungsten Bullet")</f>
        <v>Tungsten Bullet</v>
      </c>
    </row>
    <row r="4862">
      <c r="A4862" s="2">
        <v>4916.0</v>
      </c>
      <c r="B4862" s="3" t="s">
        <v>15</v>
      </c>
      <c r="C4862" s="4" t="str">
        <f>hyperlink("https://terraria.gamepedia.com/Pylons","Hallow Pylon")</f>
        <v>Hallow Pylon</v>
      </c>
    </row>
    <row r="4863">
      <c r="A4863" s="2">
        <v>4917.0</v>
      </c>
      <c r="B4863" s="3" t="s">
        <v>15</v>
      </c>
      <c r="C4863" s="4" t="str">
        <f>hyperlink("https://terraria.gamepedia.com/Pylons","Cavern Pylon")</f>
        <v>Cavern Pylon</v>
      </c>
    </row>
    <row r="4864">
      <c r="A4864" s="2">
        <v>4918.0</v>
      </c>
      <c r="B4864" s="3" t="s">
        <v>15</v>
      </c>
      <c r="C4864" s="4" t="str">
        <f>hyperlink("https://terraria.gamepedia.com/Pylons","Ocean Pylon")</f>
        <v>Ocean Pylon</v>
      </c>
    </row>
    <row r="4865">
      <c r="A4865" s="2">
        <v>4919.0</v>
      </c>
      <c r="B4865" s="3" t="s">
        <v>15</v>
      </c>
      <c r="C4865" s="4" t="str">
        <f>hyperlink("https://terraria.gamepedia.com/Pylons","Desert Pylon")</f>
        <v>Desert Pylon</v>
      </c>
    </row>
    <row r="4866">
      <c r="A4866" s="2">
        <v>4920.0</v>
      </c>
      <c r="B4866" s="3" t="s">
        <v>15</v>
      </c>
      <c r="C4866" s="4" t="str">
        <f>hyperlink("https://terraria.gamepedia.com/Pylons","Snow Pylon")</f>
        <v>Snow Pylon</v>
      </c>
    </row>
    <row r="4867">
      <c r="A4867" s="2">
        <v>4921.0</v>
      </c>
      <c r="B4867" s="3" t="s">
        <v>15</v>
      </c>
      <c r="C4867" s="4" t="str">
        <f>hyperlink("https://terraria.gamepedia.com/Pylons","Mushroom Pylon")</f>
        <v>Mushroom Pylon</v>
      </c>
    </row>
    <row r="4868">
      <c r="A4868" s="2">
        <v>4922.0</v>
      </c>
      <c r="B4868" s="3" t="s">
        <v>21</v>
      </c>
      <c r="C4868" s="4" t="str">
        <f>hyperlink("https://terraria.gamepedia.com/Water_fountains","Cavern Water Fountain")</f>
        <v>Cavern Water Fountain</v>
      </c>
    </row>
    <row r="4869">
      <c r="A4869" s="2">
        <v>4923.0</v>
      </c>
      <c r="B4869" s="3" t="s">
        <v>5</v>
      </c>
      <c r="C4869" s="4" t="str">
        <f>hyperlink("https://terraria.gamepedia.com/Starlight","Starlight")</f>
        <v>Starlight</v>
      </c>
    </row>
    <row r="4870">
      <c r="A4870" s="2">
        <v>4924.0</v>
      </c>
      <c r="B4870" s="3" t="s">
        <v>35</v>
      </c>
      <c r="C4870" s="4" t="str">
        <f>hyperlink("https://terraria.gamepedia.com/Relics","Eye of Cthulhu Relic")</f>
        <v>Eye of Cthulhu Relic</v>
      </c>
    </row>
    <row r="4871">
      <c r="A4871" s="2">
        <v>4925.0</v>
      </c>
      <c r="B4871" s="3" t="s">
        <v>35</v>
      </c>
      <c r="C4871" s="4" t="str">
        <f>hyperlink("https://terraria.gamepedia.com/Relics","Eater of Worlds Relic")</f>
        <v>Eater of Worlds Relic</v>
      </c>
    </row>
    <row r="4872">
      <c r="A4872" s="2">
        <v>4926.0</v>
      </c>
      <c r="B4872" s="3" t="s">
        <v>35</v>
      </c>
      <c r="C4872" s="4" t="str">
        <f>hyperlink("https://terraria.gamepedia.com/Relics","Brain of Cthulhu Relic")</f>
        <v>Brain of Cthulhu Relic</v>
      </c>
    </row>
    <row r="4873">
      <c r="A4873" s="2">
        <v>4927.0</v>
      </c>
      <c r="B4873" s="3" t="s">
        <v>35</v>
      </c>
      <c r="C4873" s="4" t="str">
        <f>hyperlink("https://terraria.gamepedia.com/Relics","Skeletron Relic")</f>
        <v>Skeletron Relic</v>
      </c>
    </row>
    <row r="4874">
      <c r="A4874" s="2">
        <v>4928.0</v>
      </c>
      <c r="B4874" s="3" t="s">
        <v>35</v>
      </c>
      <c r="C4874" s="4" t="str">
        <f>hyperlink("https://terraria.gamepedia.com/Relics","Queen Bee Relic")</f>
        <v>Queen Bee Relic</v>
      </c>
    </row>
    <row r="4875">
      <c r="A4875" s="2">
        <v>4929.0</v>
      </c>
      <c r="B4875" s="3" t="s">
        <v>35</v>
      </c>
      <c r="C4875" s="4" t="str">
        <f>hyperlink("https://terraria.gamepedia.com/Relics","King Slime Relic")</f>
        <v>King Slime Relic</v>
      </c>
    </row>
    <row r="4876">
      <c r="A4876" s="2">
        <v>4930.0</v>
      </c>
      <c r="B4876" s="3" t="s">
        <v>35</v>
      </c>
      <c r="C4876" s="4" t="str">
        <f>hyperlink("https://terraria.gamepedia.com/Relics","Wall of Flesh Relic")</f>
        <v>Wall of Flesh Relic</v>
      </c>
    </row>
    <row r="4877">
      <c r="A4877" s="2">
        <v>4931.0</v>
      </c>
      <c r="B4877" s="3" t="s">
        <v>35</v>
      </c>
      <c r="C4877" s="4" t="str">
        <f>hyperlink("https://terraria.gamepedia.com/Relics","Twins Relic")</f>
        <v>Twins Relic</v>
      </c>
    </row>
    <row r="4878">
      <c r="A4878" s="2">
        <v>4932.0</v>
      </c>
      <c r="B4878" s="3" t="s">
        <v>35</v>
      </c>
      <c r="C4878" s="4" t="str">
        <f>hyperlink("https://terraria.gamepedia.com/Relics","Destroyer Relic")</f>
        <v>Destroyer Relic</v>
      </c>
    </row>
    <row r="4879">
      <c r="A4879" s="2">
        <v>4933.0</v>
      </c>
      <c r="B4879" s="3" t="s">
        <v>35</v>
      </c>
      <c r="C4879" s="4" t="str">
        <f>hyperlink("https://terraria.gamepedia.com/Relics","Skeletron Prime Relic")</f>
        <v>Skeletron Prime Relic</v>
      </c>
    </row>
    <row r="4880">
      <c r="A4880" s="2">
        <v>4934.0</v>
      </c>
      <c r="B4880" s="3" t="s">
        <v>35</v>
      </c>
      <c r="C4880" s="4" t="str">
        <f>hyperlink("https://terraria.gamepedia.com/Relics","Plantera Relic")</f>
        <v>Plantera Relic</v>
      </c>
    </row>
    <row r="4881">
      <c r="A4881" s="2">
        <v>4935.0</v>
      </c>
      <c r="B4881" s="3" t="s">
        <v>35</v>
      </c>
      <c r="C4881" s="4" t="str">
        <f>hyperlink("https://terraria.gamepedia.com/Relics","Golem Relic")</f>
        <v>Golem Relic</v>
      </c>
    </row>
    <row r="4882">
      <c r="A4882" s="2">
        <v>4936.0</v>
      </c>
      <c r="B4882" s="3" t="s">
        <v>35</v>
      </c>
      <c r="C4882" s="4" t="str">
        <f>hyperlink("https://terraria.gamepedia.com/Relics","Duke Fishron Relic")</f>
        <v>Duke Fishron Relic</v>
      </c>
    </row>
    <row r="4883">
      <c r="A4883" s="2">
        <v>4937.0</v>
      </c>
      <c r="B4883" s="3" t="s">
        <v>35</v>
      </c>
      <c r="C4883" s="4" t="str">
        <f>hyperlink("https://terraria.gamepedia.com/Relics","Lunatic Cultist Relic")</f>
        <v>Lunatic Cultist Relic</v>
      </c>
    </row>
    <row r="4884">
      <c r="A4884" s="2">
        <v>4938.0</v>
      </c>
      <c r="B4884" s="3" t="s">
        <v>35</v>
      </c>
      <c r="C4884" s="4" t="str">
        <f>hyperlink("https://terraria.gamepedia.com/Relics","Moon Lord Relic")</f>
        <v>Moon Lord Relic</v>
      </c>
    </row>
    <row r="4885">
      <c r="A4885" s="2">
        <v>4939.0</v>
      </c>
      <c r="B4885" s="3" t="s">
        <v>35</v>
      </c>
      <c r="C4885" s="4" t="str">
        <f>hyperlink("https://terraria.gamepedia.com/Relics","Martian Saucer Relic")</f>
        <v>Martian Saucer Relic</v>
      </c>
    </row>
    <row r="4886">
      <c r="A4886" s="2">
        <v>4940.0</v>
      </c>
      <c r="B4886" s="3" t="s">
        <v>35</v>
      </c>
      <c r="C4886" s="4" t="str">
        <f>hyperlink("https://terraria.gamepedia.com/Relics","Flying Dutchman Relic")</f>
        <v>Flying Dutchman Relic</v>
      </c>
    </row>
    <row r="4887">
      <c r="A4887" s="2">
        <v>4941.0</v>
      </c>
      <c r="B4887" s="3" t="s">
        <v>35</v>
      </c>
      <c r="C4887" s="4" t="str">
        <f>hyperlink("https://terraria.gamepedia.com/Relics","Mourning Wood Relic")</f>
        <v>Mourning Wood Relic</v>
      </c>
    </row>
    <row r="4888">
      <c r="A4888" s="2">
        <v>4942.0</v>
      </c>
      <c r="B4888" s="3" t="s">
        <v>35</v>
      </c>
      <c r="C4888" s="4" t="str">
        <f>hyperlink("https://terraria.gamepedia.com/Relics","Pumpking Relic")</f>
        <v>Pumpking Relic</v>
      </c>
    </row>
    <row r="4889">
      <c r="A4889" s="2">
        <v>4943.0</v>
      </c>
      <c r="B4889" s="3" t="s">
        <v>35</v>
      </c>
      <c r="C4889" s="4" t="str">
        <f>hyperlink("https://terraria.gamepedia.com/Relics","Ice Queen Relic")</f>
        <v>Ice Queen Relic</v>
      </c>
    </row>
    <row r="4890">
      <c r="A4890" s="2">
        <v>4944.0</v>
      </c>
      <c r="B4890" s="3" t="s">
        <v>35</v>
      </c>
      <c r="C4890" s="4" t="str">
        <f>hyperlink("https://terraria.gamepedia.com/Relics","Everscream Relic")</f>
        <v>Everscream Relic</v>
      </c>
    </row>
    <row r="4891">
      <c r="A4891" s="2">
        <v>4945.0</v>
      </c>
      <c r="B4891" s="3" t="s">
        <v>35</v>
      </c>
      <c r="C4891" s="4" t="str">
        <f>hyperlink("https://terraria.gamepedia.com/Relics","Santa-NK1 Relic")</f>
        <v>Santa-NK1 Relic</v>
      </c>
    </row>
    <row r="4892">
      <c r="A4892" s="2">
        <v>4946.0</v>
      </c>
      <c r="B4892" s="3" t="s">
        <v>35</v>
      </c>
      <c r="C4892" s="4" t="str">
        <f>hyperlink("https://terraria.gamepedia.com/Relics","Dark Mage Relic")</f>
        <v>Dark Mage Relic</v>
      </c>
    </row>
    <row r="4893">
      <c r="A4893" s="2">
        <v>4947.0</v>
      </c>
      <c r="B4893" s="3" t="s">
        <v>35</v>
      </c>
      <c r="C4893" s="4" t="str">
        <f>hyperlink("https://terraria.gamepedia.com/Relics","Ogre Relic")</f>
        <v>Ogre Relic</v>
      </c>
    </row>
    <row r="4894">
      <c r="A4894" s="2">
        <v>4948.0</v>
      </c>
      <c r="B4894" s="3" t="s">
        <v>35</v>
      </c>
      <c r="C4894" s="4" t="str">
        <f>hyperlink("https://terraria.gamepedia.com/Relics","Betsy Relic")</f>
        <v>Betsy Relic</v>
      </c>
    </row>
    <row r="4895">
      <c r="A4895" s="2">
        <v>4949.0</v>
      </c>
      <c r="B4895" s="3" t="s">
        <v>35</v>
      </c>
      <c r="C4895" s="4" t="str">
        <f>hyperlink("https://terraria.gamepedia.com/Relics","Empress of Light Relic")</f>
        <v>Empress of Light Relic</v>
      </c>
    </row>
    <row r="4896">
      <c r="A4896" s="2">
        <v>4950.0</v>
      </c>
      <c r="B4896" s="3" t="s">
        <v>35</v>
      </c>
      <c r="C4896" s="4" t="str">
        <f>hyperlink("https://terraria.gamepedia.com/Relics","Queen Slime Relic")</f>
        <v>Queen Slime Relic</v>
      </c>
    </row>
    <row r="4897">
      <c r="A4897" s="2">
        <v>4951.0</v>
      </c>
      <c r="B4897" s="3" t="s">
        <v>15</v>
      </c>
      <c r="C4897" s="4" t="str">
        <f>hyperlink("https://terraria.gamepedia.com/Universal_Pylon","Universal Pylon")</f>
        <v>Universal Pylon</v>
      </c>
    </row>
    <row r="4898">
      <c r="A4898" s="2">
        <v>4952.0</v>
      </c>
      <c r="B4898" s="3" t="s">
        <v>5</v>
      </c>
      <c r="C4898" s="4" t="str">
        <f>hyperlink("https://terraria.gamepedia.com/Nightglow","Nightglow")</f>
        <v>Nightglow</v>
      </c>
    </row>
    <row r="4899">
      <c r="A4899" s="2">
        <v>4953.0</v>
      </c>
      <c r="B4899" s="3" t="s">
        <v>5</v>
      </c>
      <c r="C4899" s="4" t="str">
        <f>hyperlink("https://terraria.gamepedia.com/Eventide","Eventide")</f>
        <v>Eventide</v>
      </c>
    </row>
    <row r="4900">
      <c r="A4900" s="2">
        <v>4954.0</v>
      </c>
      <c r="B4900" s="3" t="s">
        <v>27</v>
      </c>
      <c r="C4900" s="4" t="str">
        <f>hyperlink("https://terraria.gamepedia.com/Celestial_Starboard","Celestial Starboard")</f>
        <v>Celestial Starboard</v>
      </c>
    </row>
    <row r="4901">
      <c r="A4901" s="2">
        <v>4955.0</v>
      </c>
      <c r="B4901" s="3" t="s">
        <v>23</v>
      </c>
      <c r="C4901" s="4" t="str">
        <f>hyperlink("https://terraria.gamepedia.com/Rabbit_Perch","Rabbit Perch")</f>
        <v>Rabbit Perch</v>
      </c>
    </row>
    <row r="4902">
      <c r="A4902" s="2">
        <v>4956.0</v>
      </c>
      <c r="B4902" s="3" t="s">
        <v>5</v>
      </c>
      <c r="C4902" s="4" t="str">
        <f>hyperlink("https://terraria.gamepedia.com/Zenith","Zenith")</f>
        <v>Zenith</v>
      </c>
    </row>
    <row r="4903">
      <c r="A4903" s="2">
        <v>4957.0</v>
      </c>
      <c r="B4903" s="3" t="s">
        <v>34</v>
      </c>
      <c r="C4903" s="4" t="str">
        <f>hyperlink("https://terraria.gamepedia.com/Treasure_Bag","Treasure Bag (Queen Slime)")</f>
        <v>Treasure Bag (Queen Slime)</v>
      </c>
    </row>
    <row r="4904">
      <c r="A4904" s="2">
        <v>4958.0</v>
      </c>
      <c r="B4904" s="3" t="s">
        <v>35</v>
      </c>
      <c r="C4904" s="4" t="str">
        <f>hyperlink("https://terraria.gamepedia.com/Trophies","Queen Slime Trophy")</f>
        <v>Queen Slime Trophy</v>
      </c>
    </row>
    <row r="4905">
      <c r="A4905" s="2">
        <v>4959.0</v>
      </c>
      <c r="B4905" s="3" t="s">
        <v>34</v>
      </c>
      <c r="C4905" s="4" t="str">
        <f>hyperlink("https://terraria.gamepedia.com/Masks","Queen Slime Mask")</f>
        <v>Queen Slime Mask</v>
      </c>
    </row>
    <row r="4906">
      <c r="A4906" s="2">
        <v>4960.0</v>
      </c>
      <c r="B4906" s="3" t="s">
        <v>22</v>
      </c>
      <c r="C4906" s="4" t="str">
        <f>hyperlink("https://terraria.gamepedia.com/Regal_Delicacy","Regal Delicacy")</f>
        <v>Regal Delicacy</v>
      </c>
    </row>
    <row r="4907">
      <c r="A4907" s="2">
        <v>4961.0</v>
      </c>
      <c r="B4907" s="3" t="s">
        <v>24</v>
      </c>
      <c r="C4907" s="4" t="str">
        <f>hyperlink("https://terraria.gamepedia.com/Prismatic_Lacewing","Prismatic Lacewing")</f>
        <v>Prismatic Lacewing</v>
      </c>
    </row>
    <row r="4908">
      <c r="A4908" s="2">
        <v>4962.0</v>
      </c>
      <c r="B4908" s="3" t="s">
        <v>4</v>
      </c>
      <c r="C4908" s="4" t="str">
        <f>hyperlink("https://terraria.gamepedia.com/Stone_Accent_Slab","Stone Accent Slab")</f>
        <v>Stone Accent Slab</v>
      </c>
    </row>
    <row r="4909">
      <c r="A4909" s="2">
        <v>4963.0</v>
      </c>
      <c r="B4909" s="3" t="s">
        <v>24</v>
      </c>
      <c r="C4909" s="4" t="str">
        <f>hyperlink("https://terraria.gamepedia.com/Cages","Truffle Worm Cage")</f>
        <v>Truffle Worm Cage</v>
      </c>
    </row>
    <row r="4910">
      <c r="A4910" s="2">
        <v>4964.0</v>
      </c>
      <c r="B4910" s="3" t="s">
        <v>24</v>
      </c>
      <c r="C4910" s="4" t="str">
        <f>hyperlink("https://terraria.gamepedia.com/Prismatic_Lacewing_Jar","Prismatic Lacewing Jar")</f>
        <v>Prismatic Lacewing Jar</v>
      </c>
    </row>
    <row r="4911">
      <c r="A4911" s="2">
        <v>4965.0</v>
      </c>
      <c r="B4911" s="3" t="s">
        <v>37</v>
      </c>
      <c r="C4911" s="4" t="str">
        <f>hyperlink("https://terraria.gamepedia.com/Rock_Golem","Rock Golem Banner")</f>
        <v>Rock Golem Banner</v>
      </c>
    </row>
    <row r="4912">
      <c r="A4912" s="2">
        <v>4966.0</v>
      </c>
      <c r="B4912" s="3" t="s">
        <v>37</v>
      </c>
      <c r="C4912" s="4" t="str">
        <f>hyperlink("https://terraria.gamepedia.com/Mummies","Blood Mummy Banner")</f>
        <v>Blood Mummy Banner</v>
      </c>
    </row>
    <row r="4913">
      <c r="A4913" s="2">
        <v>4967.0</v>
      </c>
      <c r="B4913" s="3" t="s">
        <v>37</v>
      </c>
      <c r="C4913" s="4" t="str">
        <f>hyperlink("https://terraria.gamepedia.com/Spore_Skeleton","Spore Skeleton Banner")</f>
        <v>Spore Skeleton Banner</v>
      </c>
    </row>
    <row r="4914">
      <c r="A4914" s="2">
        <v>4968.0</v>
      </c>
      <c r="B4914" s="3" t="s">
        <v>37</v>
      </c>
      <c r="C4914" s="4" t="str">
        <f>hyperlink("https://terraria.gamepedia.com/Spore_Bat","Spore Bat Banner")</f>
        <v>Spore Bat Banner</v>
      </c>
    </row>
    <row r="4915">
      <c r="A4915" s="2">
        <v>4969.0</v>
      </c>
      <c r="B4915" s="3" t="s">
        <v>37</v>
      </c>
      <c r="C4915" s="4" t="str">
        <f>hyperlink("https://terraria.gamepedia.com/Antlion_Larva","Antlion Larva Banner")</f>
        <v>Antlion Larva Banner</v>
      </c>
    </row>
    <row r="4916">
      <c r="A4916" s="2">
        <v>4970.0</v>
      </c>
      <c r="B4916" s="3" t="s">
        <v>37</v>
      </c>
      <c r="C4916" s="4" t="str">
        <f>hyperlink("https://terraria.gamepedia.com/Vicious_Bunny","Vicious Bunny Banner")</f>
        <v>Vicious Bunny Banner</v>
      </c>
    </row>
    <row r="4917">
      <c r="A4917" s="2">
        <v>4971.0</v>
      </c>
      <c r="B4917" s="3" t="s">
        <v>37</v>
      </c>
      <c r="C4917" s="4" t="str">
        <f>hyperlink("https://terraria.gamepedia.com/Vicious_Goldfish","Vicious Goldfish Banner")</f>
        <v>Vicious Goldfish Banner</v>
      </c>
    </row>
    <row r="4918">
      <c r="A4918" s="2">
        <v>4972.0</v>
      </c>
      <c r="B4918" s="3" t="s">
        <v>37</v>
      </c>
      <c r="C4918" s="4" t="str">
        <f>hyperlink("https://terraria.gamepedia.com/Vicious_Penguin","Vicious Penguin Banner")</f>
        <v>Vicious Penguin Banner</v>
      </c>
    </row>
    <row r="4919">
      <c r="A4919" s="2">
        <v>4973.0</v>
      </c>
      <c r="B4919" s="3" t="s">
        <v>37</v>
      </c>
      <c r="C4919" s="4" t="str">
        <f>hyperlink("https://terraria.gamepedia.com/Mimics","Corrupt Mimic Banner")</f>
        <v>Corrupt Mimic Banner</v>
      </c>
    </row>
    <row r="4920">
      <c r="A4920" s="2">
        <v>4974.0</v>
      </c>
      <c r="B4920" s="3" t="s">
        <v>37</v>
      </c>
      <c r="C4920" s="4" t="str">
        <f>hyperlink("https://terraria.gamepedia.com/Mimics","Crimson Mimic Banner")</f>
        <v>Crimson Mimic Banner</v>
      </c>
    </row>
    <row r="4921">
      <c r="A4921" s="2">
        <v>4975.0</v>
      </c>
      <c r="B4921" s="3" t="s">
        <v>37</v>
      </c>
      <c r="C4921" s="4" t="str">
        <f>hyperlink("https://terraria.gamepedia.com/Mimics","Hallowed Mimic Banner")</f>
        <v>Hallowed Mimic Banner</v>
      </c>
    </row>
    <row r="4922">
      <c r="A4922" s="2">
        <v>4976.0</v>
      </c>
      <c r="B4922" s="3" t="s">
        <v>37</v>
      </c>
      <c r="C4922" s="4" t="str">
        <f>hyperlink("https://terraria.gamepedia.com/Moss_Hornet","Moss Hornet Banner")</f>
        <v>Moss Hornet Banner</v>
      </c>
    </row>
    <row r="4923">
      <c r="A4923" s="2">
        <v>4977.0</v>
      </c>
      <c r="B4923" s="3" t="s">
        <v>37</v>
      </c>
      <c r="C4923" s="4" t="str">
        <f>hyperlink("https://terraria.gamepedia.com/Wandering_Eye","Wandering Eye Banner")</f>
        <v>Wandering Eye Banner</v>
      </c>
    </row>
    <row r="4924">
      <c r="A4924" s="2">
        <v>4978.0</v>
      </c>
      <c r="B4924" s="3" t="s">
        <v>27</v>
      </c>
      <c r="C4924" s="4" t="str">
        <f>hyperlink("https://terraria.gamepedia.com/Wings","Fledgling Wings")</f>
        <v>Fledgling Wings</v>
      </c>
    </row>
    <row r="4925">
      <c r="A4925" s="2">
        <v>4979.0</v>
      </c>
      <c r="B4925" s="3" t="s">
        <v>29</v>
      </c>
      <c r="C4925" s="4" t="str">
        <f>hyperlink("https://terraria.gamepedia.com/Music_Boxes","Music Box (Queen Slime)")</f>
        <v>Music Box (Queen Slime)</v>
      </c>
    </row>
    <row r="4926">
      <c r="A4926" s="2">
        <v>4980.0</v>
      </c>
      <c r="B4926" s="3" t="s">
        <v>3</v>
      </c>
      <c r="C4926" s="4" t="str">
        <f>hyperlink("https://terraria.gamepedia.com/Hook_of_Dissonance","Hook of Dissonance")</f>
        <v>Hook of Dissonance</v>
      </c>
    </row>
    <row r="4927">
      <c r="A4927" s="2">
        <v>4981.0</v>
      </c>
      <c r="B4927" s="3" t="s">
        <v>22</v>
      </c>
      <c r="C4927" s="4" t="str">
        <f>hyperlink("https://terraria.gamepedia.com/Gelatinous_Pillion","Gelatinous Pillion")</f>
        <v>Gelatinous Pillion</v>
      </c>
    </row>
    <row r="4928">
      <c r="A4928" s="2">
        <v>4982.0</v>
      </c>
      <c r="B4928" s="3" t="s">
        <v>23</v>
      </c>
      <c r="C4928" s="4" t="str">
        <f>hyperlink("https://terraria.gamepedia.com/Crystal_Assassin_armor","Crystal Assassin Hood")</f>
        <v>Crystal Assassin Hood</v>
      </c>
    </row>
    <row r="4929">
      <c r="A4929" s="2">
        <v>4983.0</v>
      </c>
      <c r="B4929" s="3" t="s">
        <v>23</v>
      </c>
      <c r="C4929" s="4" t="str">
        <f>hyperlink("https://terraria.gamepedia.com/Crystal_Assassin_armor","Crystal Assassin Shirt")</f>
        <v>Crystal Assassin Shirt</v>
      </c>
    </row>
    <row r="4930">
      <c r="A4930" s="2">
        <v>4984.0</v>
      </c>
      <c r="B4930" s="3" t="s">
        <v>23</v>
      </c>
      <c r="C4930" s="4" t="str">
        <f>hyperlink("https://terraria.gamepedia.com/Crystal_Assassin_armor","Crystal Assassin Pants")</f>
        <v>Crystal Assassin Pants</v>
      </c>
    </row>
    <row r="4931">
      <c r="A4931" s="2">
        <v>4985.0</v>
      </c>
      <c r="B4931" s="3" t="s">
        <v>29</v>
      </c>
      <c r="C4931" s="4" t="str">
        <f>hyperlink("https://terraria.gamepedia.com/Music_Boxes","Music Box (Empress Of Light)")</f>
        <v>Music Box (Empress Of Light)</v>
      </c>
    </row>
    <row r="4932">
      <c r="A4932" s="2">
        <v>4986.0</v>
      </c>
      <c r="B4932" s="3" t="s">
        <v>18</v>
      </c>
      <c r="C4932" s="4" t="str">
        <f>hyperlink("https://terraria.gamepedia.com/Sparkle_Slime_Balloon","Sparkle Slime Balloon")</f>
        <v>Sparkle Slime Balloon</v>
      </c>
    </row>
    <row r="4933">
      <c r="A4933" s="2">
        <v>4987.0</v>
      </c>
      <c r="B4933" s="3" t="s">
        <v>10</v>
      </c>
      <c r="C4933" s="4" t="str">
        <f>hyperlink("https://terraria.gamepedia.com/Volatile_Gelatin","Volatile Gelatin")</f>
        <v>Volatile Gelatin</v>
      </c>
    </row>
    <row r="4934">
      <c r="A4934" s="2">
        <v>4988.0</v>
      </c>
      <c r="B4934" s="3" t="s">
        <v>19</v>
      </c>
      <c r="C4934" s="4" t="str">
        <f>hyperlink("https://terraria.gamepedia.com/Gelatin_Crystal","Gelatin Crystal")</f>
        <v>Gelatin Crystal</v>
      </c>
    </row>
    <row r="4935">
      <c r="A4935" s="2">
        <v>4989.0</v>
      </c>
      <c r="B4935" s="3" t="s">
        <v>10</v>
      </c>
      <c r="C4935" s="4" t="str">
        <f>hyperlink("https://terraria.gamepedia.com/Soaring_Insignia","Soaring Insignia")</f>
        <v>Soaring Insignia</v>
      </c>
    </row>
    <row r="4936">
      <c r="A4936" s="2">
        <v>4990.0</v>
      </c>
      <c r="B4936" s="3" t="s">
        <v>29</v>
      </c>
      <c r="C4936" s="4" t="str">
        <f>hyperlink("https://terraria.gamepedia.com/Music_Boxes","Music Box (Duke Fishron)")</f>
        <v>Music Box (Duke Fishron)</v>
      </c>
    </row>
    <row r="4937">
      <c r="A4937" s="2">
        <v>4991.0</v>
      </c>
      <c r="B4937" s="3" t="s">
        <v>29</v>
      </c>
      <c r="C4937" s="4" t="str">
        <f>hyperlink("https://terraria.gamepedia.com/Music_Boxes","Music Box (Morning Rain)")</f>
        <v>Music Box (Morning Rain)</v>
      </c>
    </row>
    <row r="4938">
      <c r="A4938" s="2">
        <v>4992.0</v>
      </c>
      <c r="B4938" s="3" t="s">
        <v>29</v>
      </c>
      <c r="C4938" s="4" t="str">
        <f>hyperlink("https://terraria.gamepedia.com/Music_Boxes","Music Box (Alt Title)")</f>
        <v>Music Box (Alt Title)</v>
      </c>
    </row>
    <row r="4939">
      <c r="A4939" s="2">
        <v>4993.0</v>
      </c>
      <c r="B4939" s="3" t="s">
        <v>12</v>
      </c>
      <c r="C4939" s="4" t="str">
        <f>hyperlink("https://terraria.gamepedia.com/Chippy's_Couch","Chippy's Couch")</f>
        <v>Chippy's Couch</v>
      </c>
    </row>
    <row r="4940">
      <c r="A4940" s="2">
        <v>4994.0</v>
      </c>
      <c r="B4940" s="3" t="s">
        <v>23</v>
      </c>
      <c r="C4940" s="4" t="str">
        <f>hyperlink("https://terraria.gamepedia.com/Blue_Graduation_set","Blue Graduation Cap")</f>
        <v>Blue Graduation Cap</v>
      </c>
    </row>
    <row r="4941">
      <c r="A4941" s="2">
        <v>4995.0</v>
      </c>
      <c r="B4941" s="3" t="s">
        <v>23</v>
      </c>
      <c r="C4941" s="4" t="str">
        <f>hyperlink("https://terraria.gamepedia.com/Maroon_Graduation_set","Maroon Graduation Cap")</f>
        <v>Maroon Graduation Cap</v>
      </c>
    </row>
    <row r="4942">
      <c r="A4942" s="2">
        <v>4996.0</v>
      </c>
      <c r="B4942" s="3" t="s">
        <v>23</v>
      </c>
      <c r="C4942" s="4" t="str">
        <f>hyperlink("https://terraria.gamepedia.com/Black_Graduation_set","Black Graduation Cap")</f>
        <v>Black Graduation Cap</v>
      </c>
    </row>
    <row r="4943">
      <c r="A4943" s="2">
        <v>4997.0</v>
      </c>
      <c r="B4943" s="3" t="s">
        <v>23</v>
      </c>
      <c r="C4943" s="4" t="str">
        <f>hyperlink("https://terraria.gamepedia.com/Blue_Graduation_set","Blue Graduation Gown")</f>
        <v>Blue Graduation Gown</v>
      </c>
    </row>
    <row r="4944">
      <c r="A4944" s="2">
        <v>4998.0</v>
      </c>
      <c r="B4944" s="3" t="s">
        <v>23</v>
      </c>
      <c r="C4944" s="4" t="str">
        <f>hyperlink("https://terraria.gamepedia.com/Maroon_Graduation_set","Maroon Graduation Gown")</f>
        <v>Maroon Graduation Gown</v>
      </c>
    </row>
    <row r="4945">
      <c r="A4945" s="2">
        <v>4999.0</v>
      </c>
      <c r="B4945" s="3" t="s">
        <v>23</v>
      </c>
      <c r="C4945" s="4" t="str">
        <f>hyperlink("https://terraria.gamepedia.com/Black_Graduation_set","Black Graduation Gown")</f>
        <v>Black Graduation Gown</v>
      </c>
    </row>
    <row r="4946">
      <c r="A4946" s="2">
        <v>5000.0</v>
      </c>
      <c r="B4946" s="3" t="s">
        <v>10</v>
      </c>
      <c r="C4946" s="4" t="str">
        <f>hyperlink("https://terraria.gamepedia.com/Terraspark_Boots","Terraspark Boots")</f>
        <v>Terraspark Boots</v>
      </c>
    </row>
    <row r="4947">
      <c r="A4947" s="2">
        <v>5001.0</v>
      </c>
      <c r="B4947" s="3" t="s">
        <v>17</v>
      </c>
      <c r="C4947" s="4" t="str">
        <f>hyperlink("https://terraria.gamepedia.com/Moon_Lord_Legs","Moon Lord Legs")</f>
        <v>Moon Lord Legs</v>
      </c>
    </row>
    <row r="4948">
      <c r="A4948" s="2">
        <v>5002.0</v>
      </c>
      <c r="B4948" s="3" t="s">
        <v>20</v>
      </c>
      <c r="C4948" s="4" t="str">
        <f>hyperlink("https://terraria.gamepedia.com/Ocean_Crate","Ocean Crate")</f>
        <v>Ocean Crate</v>
      </c>
    </row>
    <row r="4949">
      <c r="A4949" s="2">
        <v>5003.0</v>
      </c>
      <c r="B4949" s="3" t="s">
        <v>20</v>
      </c>
      <c r="C4949" s="4" t="str">
        <f>hyperlink("https://terraria.gamepedia.com/Seaside_Crate","Seaside Crate")</f>
        <v>Seaside Crate</v>
      </c>
    </row>
    <row r="4950">
      <c r="A4950" s="2">
        <v>5004.0</v>
      </c>
      <c r="B4950" s="3" t="s">
        <v>23</v>
      </c>
      <c r="C4950" s="4" t="str">
        <f>hyperlink("https://terraria.gamepedia.com/Badger's_Hat","Badger's Hat")</f>
        <v>Badger's Hat</v>
      </c>
    </row>
    <row r="4951">
      <c r="A4951" s="2">
        <v>5005.0</v>
      </c>
      <c r="B4951" s="3" t="s">
        <v>5</v>
      </c>
      <c r="C4951" s="4" t="str">
        <f>hyperlink("https://terraria.gamepedia.com/Terraprisma","Terraprisma")</f>
        <v>Terraprisma</v>
      </c>
    </row>
    <row r="4952">
      <c r="A4952" s="2">
        <v>5006.0</v>
      </c>
      <c r="B4952" s="3" t="s">
        <v>29</v>
      </c>
      <c r="C4952" s="4" t="str">
        <f>hyperlink("https://terraria.gamepedia.com/Music_Boxes","Music Box (Underground Desert)")</f>
        <v>Music Box (Underground Desert)</v>
      </c>
    </row>
    <row r="4953">
      <c r="A4953" s="2">
        <v>5007.0</v>
      </c>
      <c r="B4953" s="3" t="s">
        <v>23</v>
      </c>
      <c r="C4953" s="4" t="str">
        <f>hyperlink("https://terraria.gamepedia.com/Dead_Man's_Sweater","Dead Man's Sweater")</f>
        <v>Dead Man's Sweater</v>
      </c>
    </row>
    <row r="4954">
      <c r="A4954" s="2">
        <v>5008.0</v>
      </c>
      <c r="B4954" s="3" t="s">
        <v>12</v>
      </c>
      <c r="C4954" s="4" t="str">
        <f>hyperlink("https://terraria.gamepedia.com/Teapot","Teapot")</f>
        <v>Teapot</v>
      </c>
    </row>
    <row r="4955">
      <c r="A4955" s="2">
        <v>5009.0</v>
      </c>
      <c r="B4955" s="3" t="s">
        <v>12</v>
      </c>
      <c r="C4955" s="4" t="str">
        <f>hyperlink("https://terraria.gamepedia.com/Teacup","Teacup")</f>
        <v>Teacup</v>
      </c>
    </row>
    <row r="4956">
      <c r="A4956" s="2">
        <v>5010.0</v>
      </c>
      <c r="B4956" s="3" t="s">
        <v>10</v>
      </c>
      <c r="C4956" s="4" t="str">
        <f>hyperlink("https://terraria.gamepedia.com/Treasure_Magnet","Treasure Magnet")</f>
        <v>Treasure Magnet</v>
      </c>
    </row>
    <row r="4957">
      <c r="A4957" s="2">
        <v>5011.0</v>
      </c>
      <c r="B4957" s="3" t="s">
        <v>5</v>
      </c>
      <c r="C4957" s="4" t="str">
        <f>hyperlink("https://terraria.gamepedia.com/Mace","Mace")</f>
        <v>Mace</v>
      </c>
    </row>
    <row r="4958">
      <c r="A4958" s="2">
        <v>5012.0</v>
      </c>
      <c r="B4958" s="3" t="s">
        <v>5</v>
      </c>
      <c r="C4958" s="4" t="str">
        <f>hyperlink("https://terraria.gamepedia.com/Flaming_Mace","Flaming Mace")</f>
        <v>Flaming Mace</v>
      </c>
    </row>
    <row r="4959">
      <c r="A4959" s="2">
        <v>5014.0</v>
      </c>
      <c r="B4959" s="3" t="s">
        <v>29</v>
      </c>
      <c r="C4959" s="4" t="str">
        <f>hyperlink("https://terraria.gamepedia.com/Music_Boxes","Otherworldly Music Box (Rain)")</f>
        <v>Otherworldly Music Box (Rain)</v>
      </c>
    </row>
    <row r="4960">
      <c r="A4960" s="2">
        <v>5015.0</v>
      </c>
      <c r="B4960" s="3" t="s">
        <v>29</v>
      </c>
      <c r="C4960" s="4" t="str">
        <f>hyperlink("https://terraria.gamepedia.com/Music_Boxes","Otherworldly Music Box (Overworld Day)")</f>
        <v>Otherworldly Music Box (Overworld Day)</v>
      </c>
    </row>
    <row r="4961">
      <c r="A4961" s="2">
        <v>5016.0</v>
      </c>
      <c r="B4961" s="3" t="s">
        <v>29</v>
      </c>
      <c r="C4961" s="4" t="str">
        <f>hyperlink("https://terraria.gamepedia.com/Music_Boxes","Otherworldly Music Box (Night)")</f>
        <v>Otherworldly Music Box (Night)</v>
      </c>
    </row>
    <row r="4962">
      <c r="A4962" s="2">
        <v>5017.0</v>
      </c>
      <c r="B4962" s="3" t="s">
        <v>29</v>
      </c>
      <c r="C4962" s="4" t="str">
        <f>hyperlink("https://terraria.gamepedia.com/Music_Boxes","Otherworldly Music Box (Underground)")</f>
        <v>Otherworldly Music Box (Underground)</v>
      </c>
    </row>
    <row r="4963">
      <c r="A4963" s="2">
        <v>5018.0</v>
      </c>
      <c r="B4963" s="3" t="s">
        <v>29</v>
      </c>
      <c r="C4963" s="4" t="str">
        <f>hyperlink("https://terraria.gamepedia.com/Music_Boxes","Otherworldly Music Box (Desert)")</f>
        <v>Otherworldly Music Box (Desert)</v>
      </c>
    </row>
    <row r="4964">
      <c r="A4964" s="2">
        <v>5019.0</v>
      </c>
      <c r="B4964" s="3" t="s">
        <v>29</v>
      </c>
      <c r="C4964" s="4" t="str">
        <f>hyperlink("https://terraria.gamepedia.com/Music_Boxes","Otherworldly Music Box (Ocean)")</f>
        <v>Otherworldly Music Box (Ocean)</v>
      </c>
    </row>
    <row r="4965">
      <c r="A4965" s="2">
        <v>5020.0</v>
      </c>
      <c r="B4965" s="3" t="s">
        <v>29</v>
      </c>
      <c r="C4965" s="4" t="str">
        <f>hyperlink("https://terraria.gamepedia.com/Music_Boxes","Otherworldly Music Box (Mushrooms)")</f>
        <v>Otherworldly Music Box (Mushrooms)</v>
      </c>
    </row>
    <row r="4966">
      <c r="A4966" s="2">
        <v>5021.0</v>
      </c>
      <c r="B4966" s="3" t="s">
        <v>29</v>
      </c>
      <c r="C4966" s="4" t="str">
        <f>hyperlink("https://terraria.gamepedia.com/Music_Boxes","Otherworldly Music Box (Dungeon)")</f>
        <v>Otherworldly Music Box (Dungeon)</v>
      </c>
    </row>
    <row r="4967">
      <c r="A4967" s="2">
        <v>5022.0</v>
      </c>
      <c r="B4967" s="3" t="s">
        <v>29</v>
      </c>
      <c r="C4967" s="4" t="str">
        <f>hyperlink("https://terraria.gamepedia.com/Music_Boxes","Otherworldly Music Box (Space)")</f>
        <v>Otherworldly Music Box (Space)</v>
      </c>
    </row>
    <row r="4968">
      <c r="A4968" s="2">
        <v>5023.0</v>
      </c>
      <c r="B4968" s="3" t="s">
        <v>29</v>
      </c>
      <c r="C4968" s="4" t="str">
        <f>hyperlink("https://terraria.gamepedia.com/Music_Boxes","Otherworldly Music Box (Underworld)")</f>
        <v>Otherworldly Music Box (Underworld)</v>
      </c>
    </row>
    <row r="4969">
      <c r="A4969" s="2">
        <v>5024.0</v>
      </c>
      <c r="B4969" s="3" t="s">
        <v>29</v>
      </c>
      <c r="C4969" s="4" t="str">
        <f>hyperlink("https://terraria.gamepedia.com/Music_Boxes","Otherworldly Music Box (Snow)")</f>
        <v>Otherworldly Music Box (Snow)</v>
      </c>
    </row>
    <row r="4970">
      <c r="A4970" s="2">
        <v>5025.0</v>
      </c>
      <c r="B4970" s="3" t="s">
        <v>29</v>
      </c>
      <c r="C4970" s="4" t="str">
        <f>hyperlink("https://terraria.gamepedia.com/Music_Boxes","Otherworldly Music Box (Corruption)")</f>
        <v>Otherworldly Music Box (Corruption)</v>
      </c>
    </row>
    <row r="4971">
      <c r="A4971" s="2">
        <v>5026.0</v>
      </c>
      <c r="B4971" s="3" t="s">
        <v>29</v>
      </c>
      <c r="C4971" s="4" t="str">
        <f>hyperlink("https://terraria.gamepedia.com/Music_Boxes","Otherworldly Music Box (Underground Corruption)")</f>
        <v>Otherworldly Music Box (Underground Corruption)</v>
      </c>
    </row>
    <row r="4972">
      <c r="A4972" s="2">
        <v>5027.0</v>
      </c>
      <c r="B4972" s="3" t="s">
        <v>29</v>
      </c>
      <c r="C4972" s="4" t="str">
        <f>hyperlink("https://terraria.gamepedia.com/Music_Boxes","Otherworldly Music Box (Crimson)")</f>
        <v>Otherworldly Music Box (Crimson)</v>
      </c>
    </row>
    <row r="4973">
      <c r="A4973" s="2">
        <v>5028.0</v>
      </c>
      <c r="B4973" s="3" t="s">
        <v>29</v>
      </c>
      <c r="C4973" s="4" t="str">
        <f>hyperlink("https://terraria.gamepedia.com/Music_Boxes","Otherworldly Music Box (Underground Crimson)")</f>
        <v>Otherworldly Music Box (Underground Crimson)</v>
      </c>
    </row>
    <row r="4974">
      <c r="A4974" s="2">
        <v>5029.0</v>
      </c>
      <c r="B4974" s="3" t="s">
        <v>29</v>
      </c>
      <c r="C4974" s="4" t="str">
        <f>hyperlink("https://terraria.gamepedia.com/Music_Boxes","Otherworldly Music Box (Ice)")</f>
        <v>Otherworldly Music Box (Ice)</v>
      </c>
    </row>
    <row r="4975">
      <c r="A4975" s="2">
        <v>5030.0</v>
      </c>
      <c r="B4975" s="3" t="s">
        <v>29</v>
      </c>
      <c r="C4975" s="4" t="str">
        <f>hyperlink("https://terraria.gamepedia.com/Music_Boxes","Otherworldly Music Box (Underground Hallow)")</f>
        <v>Otherworldly Music Box (Underground Hallow)</v>
      </c>
    </row>
    <row r="4976">
      <c r="A4976" s="2">
        <v>5031.0</v>
      </c>
      <c r="B4976" s="3" t="s">
        <v>29</v>
      </c>
      <c r="C4976" s="4" t="str">
        <f>hyperlink("https://terraria.gamepedia.com/Music_Boxes","Otherworldly Music Box (Eerie)")</f>
        <v>Otherworldly Music Box (Eerie)</v>
      </c>
    </row>
    <row r="4977">
      <c r="A4977" s="2">
        <v>5032.0</v>
      </c>
      <c r="B4977" s="3" t="s">
        <v>29</v>
      </c>
      <c r="C4977" s="4" t="str">
        <f>hyperlink("https://terraria.gamepedia.com/Music_Boxes","Otherworldly Music Box (Boss 2)")</f>
        <v>Otherworldly Music Box (Boss 2)</v>
      </c>
    </row>
    <row r="4978">
      <c r="A4978" s="2">
        <v>5033.0</v>
      </c>
      <c r="B4978" s="3" t="s">
        <v>29</v>
      </c>
      <c r="C4978" s="4" t="str">
        <f>hyperlink("https://terraria.gamepedia.com/Music_Boxes","Otherworldly Music Box (Boss 1)")</f>
        <v>Otherworldly Music Box (Boss 1)</v>
      </c>
    </row>
    <row r="4979">
      <c r="A4979" s="2">
        <v>5034.0</v>
      </c>
      <c r="B4979" s="3" t="s">
        <v>29</v>
      </c>
      <c r="C4979" s="4" t="str">
        <f>hyperlink("https://terraria.gamepedia.com/Music_Boxes","Otherworldly Music Box (Invasion)")</f>
        <v>Otherworldly Music Box (Invasion)</v>
      </c>
    </row>
    <row r="4980">
      <c r="A4980" s="2">
        <v>5035.0</v>
      </c>
      <c r="B4980" s="3" t="s">
        <v>29</v>
      </c>
      <c r="C4980" s="4" t="str">
        <f>hyperlink("https://terraria.gamepedia.com/Music_Boxes","Otherworldly Music Box (The Towers)")</f>
        <v>Otherworldly Music Box (The Towers)</v>
      </c>
    </row>
    <row r="4981">
      <c r="A4981" s="2">
        <v>5036.0</v>
      </c>
      <c r="B4981" s="3" t="s">
        <v>29</v>
      </c>
      <c r="C4981" s="4" t="str">
        <f>hyperlink("https://terraria.gamepedia.com/Music_Boxes","Otherworldly Music Box (Lunar Boss)")</f>
        <v>Otherworldly Music Box (Lunar Boss)</v>
      </c>
    </row>
    <row r="4982">
      <c r="A4982" s="2">
        <v>5037.0</v>
      </c>
      <c r="B4982" s="3" t="s">
        <v>29</v>
      </c>
      <c r="C4982" s="4" t="str">
        <f>hyperlink("https://terraria.gamepedia.com/Music_Boxes","Otherworldly Music Box (Plantera)")</f>
        <v>Otherworldly Music Box (Plantera)</v>
      </c>
    </row>
    <row r="4983">
      <c r="A4983" s="2">
        <v>5038.0</v>
      </c>
      <c r="B4983" s="3" t="s">
        <v>29</v>
      </c>
      <c r="C4983" s="4" t="str">
        <f>hyperlink("https://terraria.gamepedia.com/Music_Boxes","Otherworldly Music Box (Jungle)")</f>
        <v>Otherworldly Music Box (Jungle)</v>
      </c>
    </row>
    <row r="4984">
      <c r="A4984" s="2">
        <v>5039.0</v>
      </c>
      <c r="B4984" s="3" t="s">
        <v>29</v>
      </c>
      <c r="C4984" s="4" t="str">
        <f>hyperlink("https://terraria.gamepedia.com/Music_Boxes","Otherworldly Music Box (Wall of Flesh)")</f>
        <v>Otherworldly Music Box (Wall of Flesh)</v>
      </c>
    </row>
    <row r="4985">
      <c r="A4985" s="2">
        <v>5040.0</v>
      </c>
      <c r="B4985" s="3" t="s">
        <v>29</v>
      </c>
      <c r="C4985" s="4" t="str">
        <f>hyperlink("https://terraria.gamepedia.com/Music_Boxes","Otherworldly Music Box (Hallow)")</f>
        <v>Otherworldly Music Box (Hallow)</v>
      </c>
    </row>
    <row r="4986">
      <c r="A4986" s="2">
        <v>5041.0</v>
      </c>
      <c r="B4986" s="3" t="s">
        <v>26</v>
      </c>
      <c r="C4986" s="4" t="str">
        <f>hyperlink("https://terraria.gamepedia.com/Carton_of_Milk","Carton of Milk")</f>
        <v>Carton of Milk</v>
      </c>
    </row>
    <row r="4987">
      <c r="A4987" s="2">
        <v>5042.0</v>
      </c>
      <c r="B4987" s="3" t="s">
        <v>26</v>
      </c>
      <c r="C4987" s="4" t="str">
        <f>hyperlink("https://terraria.gamepedia.com/Coffee","Coffee")</f>
        <v>Coffee</v>
      </c>
    </row>
    <row r="4988">
      <c r="A4988" s="2">
        <v>5043.0</v>
      </c>
      <c r="B4988" s="3" t="s">
        <v>15</v>
      </c>
      <c r="C4988" s="4" t="str">
        <f>hyperlink("https://terraria.gamepedia.com/Torch_God's_Favor","Torch God's Favor")</f>
        <v>Torch God's Favor</v>
      </c>
    </row>
    <row r="4989">
      <c r="A4989" s="2">
        <v>5044.0</v>
      </c>
      <c r="B4989" s="3" t="s">
        <v>29</v>
      </c>
      <c r="C4989" s="4" t="str">
        <f>hyperlink("https://terraria.gamepedia.com/Music_Boxes","Music Box (Journey's End)")</f>
        <v>Music Box (Journey's End)</v>
      </c>
    </row>
    <row r="4990">
      <c r="A4990" s="2">
        <v>5045.0</v>
      </c>
      <c r="B4990" s="3" t="s">
        <v>23</v>
      </c>
      <c r="C4990" s="4" t="str">
        <f>hyperlink("https://terraria.gamepedia.com/Plaguebringer%27s_Skull","Plaguebringer's Skull")</f>
        <v>Plaguebringer's Skull</v>
      </c>
    </row>
    <row r="4991">
      <c r="A4991" s="2">
        <v>5046.0</v>
      </c>
      <c r="B4991" s="3" t="s">
        <v>23</v>
      </c>
      <c r="C4991" s="4" t="str">
        <f>hyperlink("https://terraria.gamepedia.com/Plaguebringer%27s_Cloak","Plaguebringer's Cloak")</f>
        <v>Plaguebringer's Cloak</v>
      </c>
    </row>
    <row r="4992">
      <c r="A4992" s="2">
        <v>5047.0</v>
      </c>
      <c r="B4992" s="3" t="s">
        <v>23</v>
      </c>
      <c r="C4992" s="4" t="str">
        <f>hyperlink("https://terraria.gamepedia.com/Plaguebringer%27s_Treads","Plaguebringer's Treads")</f>
        <v>Plaguebringer's Treads</v>
      </c>
    </row>
    <row r="4993">
      <c r="A4993" s="2">
        <v>5048.0</v>
      </c>
      <c r="B4993" s="3" t="s">
        <v>23</v>
      </c>
      <c r="C4993" s="4" t="str">
        <f>hyperlink("https://terraria.gamepedia.com/Wandering_Jingasa","Wandering Jingasa")</f>
        <v>Wandering Jingasa</v>
      </c>
    </row>
    <row r="4994">
      <c r="A4994" s="2">
        <v>5049.0</v>
      </c>
      <c r="B4994" s="3" t="s">
        <v>23</v>
      </c>
      <c r="C4994" s="4" t="str">
        <f>hyperlink("https://terraria.gamepedia.com/Wandering_Yukata","Wandering Yukata")</f>
        <v>Wandering Yukata</v>
      </c>
    </row>
    <row r="4995">
      <c r="A4995" s="2">
        <v>5050.0</v>
      </c>
      <c r="B4995" s="3" t="s">
        <v>23</v>
      </c>
      <c r="C4995" s="4" t="str">
        <f>hyperlink("https://terraria.gamepedia.com/Wandering_Geta","Wandering Geta")</f>
        <v>Wandering Geta</v>
      </c>
    </row>
    <row r="4996">
      <c r="A4996" s="2">
        <v>5051.0</v>
      </c>
      <c r="B4996" s="3" t="s">
        <v>23</v>
      </c>
      <c r="C4996" s="4" t="str">
        <f>hyperlink("https://terraria.gamepedia.com/Timeless_Traveler%27s_Hood","Timeless Traveler's Hood")</f>
        <v>Timeless Traveler's Hood</v>
      </c>
    </row>
    <row r="4997">
      <c r="A4997" s="2">
        <v>5052.0</v>
      </c>
      <c r="B4997" s="3" t="s">
        <v>23</v>
      </c>
      <c r="C4997" s="4" t="str">
        <f>hyperlink("https://terraria.gamepedia.com/Timeless_Traveler%27s_Cloak","Timeless Traveler's Cloak")</f>
        <v>Timeless Traveler's Cloak</v>
      </c>
    </row>
    <row r="4998">
      <c r="A4998" s="2">
        <v>5053.0</v>
      </c>
      <c r="B4998" s="3" t="s">
        <v>23</v>
      </c>
      <c r="C4998" s="4" t="str">
        <f>hyperlink("https://terraria.gamepedia.com/Timeless_Traveler%27s_Footwear","Timeless Traveler's Footwear")</f>
        <v>Timeless Traveler's Footwear</v>
      </c>
    </row>
    <row r="4999">
      <c r="A4999" s="2">
        <v>5054.0</v>
      </c>
      <c r="B4999" s="3" t="s">
        <v>23</v>
      </c>
      <c r="C4999" s="4" t="str">
        <f>hyperlink("https://terraria.gamepedia.com/Floret_Protector_Helmet","Floret Protector Helmet")</f>
        <v>Floret Protector Helmet</v>
      </c>
    </row>
    <row r="5000">
      <c r="A5000" s="2">
        <v>5055.0</v>
      </c>
      <c r="B5000" s="3" t="s">
        <v>23</v>
      </c>
      <c r="C5000" s="4" t="str">
        <f>hyperlink("https://terraria.gamepedia.com/Floret_Protector_Shirt","Floret Protector Shirt")</f>
        <v>Floret Protector Shirt</v>
      </c>
    </row>
    <row r="5001">
      <c r="A5001" s="2">
        <v>5056.0</v>
      </c>
      <c r="B5001" s="3" t="s">
        <v>23</v>
      </c>
      <c r="C5001" s="4" t="str">
        <f>hyperlink("https://terraria.gamepedia.com/Floret_Protector_Pants","Floret Protector Pants")</f>
        <v>Floret Protector Pants</v>
      </c>
    </row>
    <row r="5002">
      <c r="A5002" s="2">
        <v>5057.0</v>
      </c>
      <c r="B5002" s="3" t="s">
        <v>23</v>
      </c>
      <c r="C5002" s="4" t="str">
        <f>hyperlink("https://terraria.gamepedia.com/Capricorn_Helmet","Capricorn Helmet")</f>
        <v>Capricorn Helmet</v>
      </c>
    </row>
    <row r="5003">
      <c r="A5003" s="2">
        <v>5058.0</v>
      </c>
      <c r="B5003" s="3" t="s">
        <v>23</v>
      </c>
      <c r="C5003" s="4" t="str">
        <f>hyperlink("https://terraria.gamepedia.com/Capricorn_Chestplate","Capricorn Chestplate")</f>
        <v>Capricorn Chestplate</v>
      </c>
    </row>
    <row r="5004">
      <c r="A5004" s="2">
        <v>5059.0</v>
      </c>
      <c r="B5004" s="3" t="s">
        <v>23</v>
      </c>
      <c r="C5004" s="4" t="str">
        <f>hyperlink("https://terraria.gamepedia.com/Capricorn_Hooves","Capricorn Hooves")</f>
        <v>Capricorn Hooves</v>
      </c>
    </row>
    <row r="5005">
      <c r="A5005" s="2">
        <v>5060.0</v>
      </c>
      <c r="B5005" s="3" t="s">
        <v>23</v>
      </c>
      <c r="C5005" s="4" t="str">
        <f>hyperlink("https://terraria.gamepedia.com/Capricorn_Tail","Capricorn Tail")</f>
        <v>Capricorn Tail</v>
      </c>
    </row>
    <row r="5006">
      <c r="A5006" s="2">
        <v>5061.0</v>
      </c>
      <c r="B5006" s="3" t="s">
        <v>23</v>
      </c>
      <c r="C5006" s="4" t="str">
        <f>hyperlink("https://terraria.gamepedia.com/Video_Visage","Video Visage")</f>
        <v>Video Visage</v>
      </c>
    </row>
    <row r="5007">
      <c r="A5007" s="2">
        <v>5062.0</v>
      </c>
      <c r="B5007" s="3" t="s">
        <v>23</v>
      </c>
      <c r="C5007" s="4" t="str">
        <f>hyperlink("https://terraria.gamepedia.com/Lazer_Blazer","Lazer Blazer")</f>
        <v>Lazer Blazer</v>
      </c>
    </row>
    <row r="5008">
      <c r="A5008" s="2">
        <v>5063.0</v>
      </c>
      <c r="B5008" s="3" t="s">
        <v>23</v>
      </c>
      <c r="C5008" s="4" t="str">
        <f>hyperlink("https://terraria.gamepedia.com/Pinstripe_Pants","Pinstripe Pants")</f>
        <v>Pinstripe Pants</v>
      </c>
    </row>
    <row r="5009">
      <c r="A5009" s="2">
        <v>5064.0</v>
      </c>
      <c r="B5009" s="3" t="s">
        <v>10</v>
      </c>
      <c r="C5009" s="4" t="str">
        <f>hyperlink("https://terraria.gamepedia.com/Lavaproof_Tackle_Bag","Lavaproof Tackle Bag")</f>
        <v>Lavaproof Tackle Bag</v>
      </c>
    </row>
    <row r="5010">
      <c r="A5010" s="2">
        <v>5065.0</v>
      </c>
      <c r="B5010" s="3" t="s">
        <v>5</v>
      </c>
      <c r="C5010" s="4" t="str">
        <f>hyperlink("https://terraria.gamepedia.com/Resonance_Scepter","Resonance Scepter")</f>
        <v>Resonance Scepter</v>
      </c>
    </row>
    <row r="5011">
      <c r="A5011" s="2">
        <v>5066.0</v>
      </c>
      <c r="B5011" s="3" t="s">
        <v>12</v>
      </c>
      <c r="C5011" s="4" t="str">
        <f>hyperlink("https://terraria.gamepedia.com/Bee_Hive_(item)","Bee Hive")</f>
        <v>Bee Hive</v>
      </c>
    </row>
    <row r="5012">
      <c r="A5012" s="2">
        <v>5067.0</v>
      </c>
      <c r="B5012" s="3" t="s">
        <v>12</v>
      </c>
      <c r="C5012" s="4" t="str">
        <f>hyperlink("https://terraria.gamepedia.com/Antlion_Eggs","Antlion Eggs")</f>
        <v>Antlion Eggs</v>
      </c>
    </row>
    <row r="5013">
      <c r="A5013" s="2">
        <v>5068.0</v>
      </c>
      <c r="B5013" s="3" t="s">
        <v>17</v>
      </c>
      <c r="C5013" s="4" t="str">
        <f>hyperlink("https://terraria.gamepedia.com/Flinx_Fur_Coat","Flinx Fur Coat")</f>
        <v>Flinx Fur Coat</v>
      </c>
    </row>
    <row r="5014">
      <c r="A5014" s="2">
        <v>5069.0</v>
      </c>
      <c r="B5014" s="3" t="s">
        <v>5</v>
      </c>
      <c r="C5014" s="4" t="str">
        <f>hyperlink("https://terraria.gamepedia.com/Flinx_Staff","Flinx Staff")</f>
        <v>Flinx Staff</v>
      </c>
    </row>
    <row r="5015">
      <c r="A5015" s="2">
        <v>5070.0</v>
      </c>
      <c r="B5015" s="3" t="s">
        <v>11</v>
      </c>
      <c r="C5015" s="4" t="str">
        <f>hyperlink("https://terraria.gamepedia.com/Flinx_Fur","Flinx Fur")</f>
        <v>Flinx Fur</v>
      </c>
    </row>
    <row r="5016">
      <c r="A5016" s="2">
        <v>5071.0</v>
      </c>
      <c r="B5016" s="3" t="s">
        <v>23</v>
      </c>
      <c r="C5016" s="4" t="str">
        <f>hyperlink("https://terraria.gamepedia.com/Royal_Tiara","Royal Tiara")</f>
        <v>Royal Tiara</v>
      </c>
    </row>
    <row r="5017">
      <c r="A5017" s="2">
        <v>5072.0</v>
      </c>
      <c r="B5017" s="3" t="s">
        <v>23</v>
      </c>
      <c r="C5017" s="4" t="str">
        <f>hyperlink("https://terraria.gamepedia.com/Royal_Blouse","Royal Blouse")</f>
        <v>Royal Blouse</v>
      </c>
    </row>
    <row r="5018">
      <c r="A5018" s="2">
        <v>5073.0</v>
      </c>
      <c r="B5018" s="3" t="s">
        <v>23</v>
      </c>
      <c r="C5018" s="4" t="str">
        <f>hyperlink("https://terraria.gamepedia.com/Royal_Dress","Royal Dress")</f>
        <v>Royal Dress</v>
      </c>
    </row>
    <row r="5019">
      <c r="A5019" s="2">
        <v>5074.0</v>
      </c>
      <c r="B5019" s="3" t="s">
        <v>5</v>
      </c>
      <c r="C5019" s="4" t="str">
        <f>hyperlink("https://terraria.gamepedia.com/Spinal_Tap","Spinal Tap")</f>
        <v>Spinal Tap</v>
      </c>
    </row>
    <row r="5020">
      <c r="A5020" s="2">
        <v>5075.0</v>
      </c>
      <c r="B5020" s="3" t="s">
        <v>10</v>
      </c>
      <c r="C5020" s="4" t="str">
        <f>hyperlink("https://terraria.gamepedia.com/Rainbow_Cursor","Rainbow Cursor")</f>
        <v>Rainbow Cursor</v>
      </c>
    </row>
    <row r="5021">
      <c r="A5021" s="2">
        <v>5076.0</v>
      </c>
      <c r="B5021" s="3" t="s">
        <v>23</v>
      </c>
      <c r="C5021" s="4" t="str">
        <f>hyperlink("https://terraria.gamepedia.com/Royal_Scepter","Royal Scepter")</f>
        <v>Royal Scepter</v>
      </c>
    </row>
    <row r="5022">
      <c r="A5022" s="2">
        <v>5077.0</v>
      </c>
      <c r="B5022" s="3" t="s">
        <v>23</v>
      </c>
      <c r="C5022" s="4" t="str">
        <f>hyperlink("https://terraria.gamepedia.com/Glass_Slipper","Glass Slipper")</f>
        <v>Glass Slipper</v>
      </c>
    </row>
    <row r="5023">
      <c r="A5023" s="2">
        <v>5078.0</v>
      </c>
      <c r="B5023" s="3" t="s">
        <v>23</v>
      </c>
      <c r="C5023" s="4" t="str">
        <f>hyperlink("https://terraria.gamepedia.com/Prince_Uniform","Prince Uniform")</f>
        <v>Prince Uniform</v>
      </c>
    </row>
    <row r="5024">
      <c r="A5024" s="2">
        <v>5079.0</v>
      </c>
      <c r="B5024" s="3" t="s">
        <v>23</v>
      </c>
      <c r="C5024" s="4" t="str">
        <f>hyperlink("https://terraria.gamepedia.com/Prince_Pants","Prince Pants")</f>
        <v>Prince Pants</v>
      </c>
    </row>
    <row r="5025">
      <c r="A5025" s="2">
        <v>5080.0</v>
      </c>
      <c r="B5025" s="3" t="s">
        <v>23</v>
      </c>
      <c r="C5025" s="4" t="str">
        <f>hyperlink("https://terraria.gamepedia.com/Prince_Cape","Prince Cape")</f>
        <v>Prince Cape</v>
      </c>
    </row>
    <row r="5026">
      <c r="A5026" s="2">
        <v>5081.0</v>
      </c>
      <c r="B5026" s="3" t="s">
        <v>12</v>
      </c>
      <c r="C5026" s="4" t="str">
        <f>hyperlink("https://terraria.gamepedia.com/Potted_Crystal_Fern","Potted Crystal Fern")</f>
        <v>Potted Crystal Fern</v>
      </c>
    </row>
    <row r="5027">
      <c r="A5027" s="2">
        <v>5082.0</v>
      </c>
      <c r="B5027" s="3" t="s">
        <v>12</v>
      </c>
      <c r="C5027" s="4" t="str">
        <f>hyperlink("https://terraria.gamepedia.com/Potted_Crystal_Spiral","Potted Crystal Spiral")</f>
        <v>Potted Crystal Spiral</v>
      </c>
    </row>
    <row r="5028">
      <c r="A5028" s="2">
        <v>5083.0</v>
      </c>
      <c r="B5028" s="3" t="s">
        <v>12</v>
      </c>
      <c r="C5028" s="4" t="str">
        <f>hyperlink("https://terraria.gamepedia.com/Potted_Crystal_Teardrop","Potted Crystal Teardrop")</f>
        <v>Potted Crystal Teardrop</v>
      </c>
    </row>
    <row r="5029">
      <c r="A5029" s="2">
        <v>5084.0</v>
      </c>
      <c r="B5029" s="3" t="s">
        <v>12</v>
      </c>
      <c r="C5029" s="4" t="str">
        <f>hyperlink("https://terraria.gamepedia.com/Potted_Crystal_Tree","Potted Crystal Tree")</f>
        <v>Potted Crystal Tree</v>
      </c>
    </row>
    <row r="5030">
      <c r="A5030" s="2">
        <v>5085.0</v>
      </c>
      <c r="B5030" s="3" t="s">
        <v>36</v>
      </c>
      <c r="C5030" s="4" t="str">
        <f>hyperlink("https://terraria.gamepedia.com/Princess_64","Princess 64")</f>
        <v>Princess 64</v>
      </c>
    </row>
    <row r="5031">
      <c r="A5031" s="2">
        <v>5086.0</v>
      </c>
      <c r="B5031" s="3" t="s">
        <v>36</v>
      </c>
      <c r="C5031" s="4" t="str">
        <f>hyperlink("https://terraria.gamepedia.com/Painting_of_a_Lass","Painting of a Lass")</f>
        <v>Painting of a Lass</v>
      </c>
    </row>
    <row r="5032">
      <c r="A5032" s="2">
        <v>5087.0</v>
      </c>
      <c r="B5032" s="3" t="s">
        <v>36</v>
      </c>
      <c r="C5032" s="4" t="str">
        <f>hyperlink("https://terraria.gamepedia.com/Dark_Side_of_the_Hallow","Dark Side of the Hallow")</f>
        <v>Dark Side of the Hallow</v>
      </c>
    </row>
  </sheetData>
  <customSheetViews>
    <customSheetView guid="{E642FF67-21D1-4C66-8C85-6469C9FC9BB8}" filter="1" showAutoFilter="1">
      <autoFilter ref="$A$1:$C$5032"/>
    </customSheetView>
    <customSheetView guid="{5519B9F3-2599-44C8-804E-EADC2DF8ECEE}" filter="1" showAutoFilter="1">
      <autoFilter ref="$A$1:$C$5032"/>
    </customSheetView>
  </customSheetViews>
  <conditionalFormatting sqref="A1:C5032">
    <cfRule type="expression" dxfId="0" priority="1">
      <formula>#REF!="Yes"</formula>
    </cfRule>
  </conditionalFormatting>
  <drawing r:id="rId1"/>
</worksheet>
</file>