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olarisation malus" sheetId="1" state="visible" r:id="rId2"/>
    <sheet name="polarisationhalf" sheetId="2" state="visible" r:id="rId3"/>
    <sheet name="Sheet4" sheetId="3" state="visible" r:id="rId4"/>
    <sheet name="fabry" sheetId="4" state="visible" r:id="rId5"/>
    <sheet name="kapil" sheetId="5" state="visible" r:id="rId6"/>
    <sheet name="MZ" sheetId="6" state="visible" r:id="rId7"/>
    <sheet name="mz ref" sheetId="7" state="visible" r:id="rId8"/>
    <sheet name="electrooptic" sheetId="8" state="visible" r:id="rId9"/>
    <sheet name="Aravindelectrooptic" sheetId="9" state="visible" r:id="rId10"/>
    <sheet name="faraday" sheetId="10" state="visible" r:id="rId11"/>
    <sheet name="Sheet11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<sst xmlns="http://schemas.openxmlformats.org/spreadsheetml/2006/main" count="210" uniqueCount="88">
  <si>
    <t xml:space="preserve">I</t>
  </si>
  <si>
    <t xml:space="preserve">Theta theoritical</t>
  </si>
  <si>
    <t xml:space="preserve">half wave plate angle</t>
  </si>
  <si>
    <t xml:space="preserve">quarter wave plate</t>
  </si>
  <si>
    <t xml:space="preserve">xi</t>
  </si>
  <si>
    <t xml:space="preserve">xf</t>
  </si>
  <si>
    <t xml:space="preserve">Xf-xi</t>
  </si>
  <si>
    <t xml:space="preserve">msr</t>
  </si>
  <si>
    <t xml:space="preserve">vsr</t>
  </si>
  <si>
    <t xml:space="preserve">Finding delta</t>
  </si>
  <si>
    <t xml:space="preserve">ddash mm</t>
  </si>
  <si>
    <t xml:space="preserve">d mm</t>
  </si>
  <si>
    <t xml:space="preserve">DEL d/ddash</t>
  </si>
  <si>
    <t xml:space="preserve">DELAT AVRAGE</t>
  </si>
  <si>
    <t xml:space="preserve">lambda=</t>
  </si>
  <si>
    <t xml:space="preserve">Finding wavelength</t>
  </si>
  <si>
    <t xml:space="preserve">Lambda</t>
  </si>
  <si>
    <t xml:space="preserve">2d*del/N)</t>
  </si>
  <si>
    <t xml:space="preserve">nm</t>
  </si>
  <si>
    <t xml:space="preserve">D= mm</t>
  </si>
  <si>
    <t xml:space="preserve">wavelength</t>
  </si>
  <si>
    <t xml:space="preserve">532</t>
  </si>
  <si>
    <t xml:space="preserve">n</t>
  </si>
  <si>
    <t xml:space="preserve">left</t>
  </si>
  <si>
    <t xml:space="preserve">right</t>
  </si>
  <si>
    <t xml:space="preserve">x diameter</t>
  </si>
  <si>
    <t xml:space="preserve">X^2</t>
  </si>
  <si>
    <t xml:space="preserve">D mm</t>
  </si>
  <si>
    <t xml:space="preserve">d=nD^2 Lambda /Xn^2 </t>
  </si>
  <si>
    <t xml:space="preserve">xm</t>
  </si>
  <si>
    <t xml:space="preserve">Xm+1</t>
  </si>
  <si>
    <t xml:space="preserve">Xm+2</t>
  </si>
  <si>
    <t xml:space="preserve">Xm+3</t>
  </si>
  <si>
    <t xml:space="preserve">Xm+4</t>
  </si>
  <si>
    <t xml:space="preserve">Xm+5</t>
  </si>
  <si>
    <t xml:space="preserve">distance betwwen etalon</t>
  </si>
  <si>
    <t xml:space="preserve">mm</t>
  </si>
  <si>
    <t xml:space="preserve">FSR c/2d</t>
  </si>
  <si>
    <t xml:space="preserve">10^10</t>
  </si>
  <si>
    <t xml:space="preserve">xradius</t>
  </si>
  <si>
    <t xml:space="preserve">xm+n^2-xm^2</t>
  </si>
  <si>
    <t xml:space="preserve">Finding the calabration</t>
  </si>
  <si>
    <t xml:space="preserve">Finding wave length</t>
  </si>
  <si>
    <t xml:space="preserve">del</t>
  </si>
  <si>
    <t xml:space="preserve">calibration const</t>
  </si>
  <si>
    <t xml:space="preserve">x1</t>
  </si>
  <si>
    <t xml:space="preserve">x2</t>
  </si>
  <si>
    <t xml:space="preserve">d’</t>
  </si>
  <si>
    <t xml:space="preserve">avrage mm</t>
  </si>
  <si>
    <t xml:space="preserve">avrage in m</t>
  </si>
  <si>
    <t xml:space="preserve">lambda </t>
  </si>
  <si>
    <t xml:space="preserve">d=</t>
  </si>
  <si>
    <t xml:space="preserve">Delta</t>
  </si>
  <si>
    <t xml:space="preserve">Refractive index ofAir</t>
  </si>
  <si>
    <t xml:space="preserve">fring</t>
  </si>
  <si>
    <t xml:space="preserve">Pressure (1 fring)</t>
  </si>
  <si>
    <t xml:space="preserve">slope from graph</t>
  </si>
  <si>
    <t xml:space="preserve">lambda</t>
  </si>
  <si>
    <t xml:space="preserve">patm</t>
  </si>
  <si>
    <t xml:space="preserve">dont pascle as slope is in mmhg</t>
  </si>
  <si>
    <t xml:space="preserve">d lenght of chamber</t>
  </si>
  <si>
    <t xml:space="preserve">n-1=</t>
  </si>
  <si>
    <t xml:space="preserve">Refractive index of glass</t>
  </si>
  <si>
    <t xml:space="preserve">N</t>
  </si>
  <si>
    <t xml:space="preserve">theta</t>
  </si>
  <si>
    <t xml:space="preserve">(ni-n)^2</t>
  </si>
  <si>
    <t xml:space="preserve">t</t>
  </si>
  <si>
    <t xml:space="preserve">sigma</t>
  </si>
  <si>
    <t xml:space="preserve">Voltage</t>
  </si>
  <si>
    <t xml:space="preserve">C1</t>
  </si>
  <si>
    <t xml:space="preserve">Bifringence</t>
  </si>
  <si>
    <t xml:space="preserve">p(v1/2)</t>
  </si>
  <si>
    <t xml:space="preserve">lambda nm</t>
  </si>
  <si>
    <t xml:space="preserve">Lmm</t>
  </si>
  <si>
    <t xml:space="preserve">V1</t>
  </si>
  <si>
    <t xml:space="preserve">Bifringence(10^-5</t>
  </si>
  <si>
    <t xml:space="preserve">current</t>
  </si>
  <si>
    <t xml:space="preserve">theta_min</t>
  </si>
  <si>
    <t xml:space="preserve">B</t>
  </si>
  <si>
    <t xml:space="preserve">V</t>
  </si>
  <si>
    <t xml:space="preserve">rad</t>
  </si>
  <si>
    <t xml:space="preserve">V=</t>
  </si>
  <si>
    <t xml:space="preserve">Current</t>
  </si>
  <si>
    <t xml:space="preserve">theta min</t>
  </si>
  <si>
    <t xml:space="preserve">In rads</t>
  </si>
  <si>
    <t xml:space="preserve">In rad/TeslaM</t>
  </si>
  <si>
    <t xml:space="preserve">in min/Oersted-cm</t>
  </si>
  <si>
    <t xml:space="preserve">std deviation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</si>
</sst>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C9211E"/>
      <name val="Arial"/>
      <family val="2"/>
      <charset val="1"/>
    </font>
    <font>
      <sz val="9"/>
      <name val="Arial"/>
      <family val="2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B3B3B3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electrooptic!$A$1</c:f>
              <c:strCache>
                <c:ptCount val="1"/>
                <c:pt idx="0">
                  <c:v>Voltage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3.2"/>
            <c:spPr>
              <a:ln w="0">
                <a:solidFill>
                  <a:srgbClr val="000000"/>
                </a:solidFill>
              </a:ln>
            </c:spPr>
          </c:errBars>
          <c:yVal>
            <c:numRef>
              <c:f>electrooptic!$A$2:$A$22,electrooptic!$D$1:$D$24</c:f>
              <c:numCache>
                <c:formatCode>General</c:formatCode>
                <c:ptCount val="4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2">
                  <c:v>2.2488624864707</c:v>
                </c:pt>
                <c:pt idx="23">
                  <c:v>2.40877421226843</c:v>
                </c:pt>
                <c:pt idx="24">
                  <c:v>2.70363181018887</c:v>
                </c:pt>
                <c:pt idx="25">
                  <c:v>2.97347954503769</c:v>
                </c:pt>
                <c:pt idx="26">
                  <c:v>3.46165690229979</c:v>
                </c:pt>
                <c:pt idx="27">
                  <c:v>3.90324959846485</c:v>
                </c:pt>
                <c:pt idx="28">
                  <c:v>4.60698293183585</c:v>
                </c:pt>
                <c:pt idx="29">
                  <c:v>5.16738708880797</c:v>
                </c:pt>
                <c:pt idx="30">
                  <c:v>5.96986956352584</c:v>
                </c:pt>
                <c:pt idx="31">
                  <c:v>6.75839519501034</c:v>
                </c:pt>
                <c:pt idx="32">
                  <c:v>7.74956020361828</c:v>
                </c:pt>
                <c:pt idx="33">
                  <c:v>9.0647067871211</c:v>
                </c:pt>
                <c:pt idx="34">
                  <c:v>10.2315985846041</c:v>
                </c:pt>
                <c:pt idx="35">
                  <c:v>11.4495495189068</c:v>
                </c:pt>
                <c:pt idx="36">
                  <c:v>12.6403727968725</c:v>
                </c:pt>
                <c:pt idx="37">
                  <c:v>10.7469580834145</c:v>
                </c:pt>
                <c:pt idx="38">
                  <c:v>9.29557556091017</c:v>
                </c:pt>
                <c:pt idx="39">
                  <c:v>7.6566558881869</c:v>
                </c:pt>
                <c:pt idx="40">
                  <c:v>5.96986956352584</c:v>
                </c:pt>
                <c:pt idx="41">
                  <c:v>4.31374644718294</c:v>
                </c:pt>
                <c:pt idx="42">
                  <c:v>2.70363181018887</c:v>
                </c:pt>
                <c:pt idx="44">
                  <c:v>3.26585469676993</c:v>
                </c:pt>
              </c:numCache>
            </c:numRef>
          </c:yVal>
          <c:smooth val="0"/>
        </c:ser>
        <c:axId val="68961292"/>
        <c:axId val="55728419"/>
      </c:scatterChart>
      <c:valAx>
        <c:axId val="6896129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Voltage (kV)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728419"/>
        <c:crosses val="autoZero"/>
        <c:crossBetween val="midCat"/>
      </c:valAx>
      <c:valAx>
        <c:axId val="5572841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Bifringence * 10^-5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9612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Aravindelectrooptic!$C$1:$C$1</c:f>
              <c:strCache>
                <c:ptCount val="1"/>
                <c:pt idx="0">
                  <c:v>Bifringence(10^-5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Aravindelectrooptic!$A$2:$A$22</c:f>
              <c:numCache>
                <c:formatCode>General</c:formatCode>
                <c:ptCount val="2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</c:numCache>
            </c:numRef>
          </c:xVal>
          <c:yVal>
            <c:numRef>
              <c:f>Aravindelectrooptic!$C$2:$C$22</c:f>
              <c:numCache>
                <c:formatCode>General</c:formatCode>
                <c:ptCount val="21"/>
                <c:pt idx="0">
                  <c:v>6.63</c:v>
                </c:pt>
                <c:pt idx="1">
                  <c:v>6.69</c:v>
                </c:pt>
                <c:pt idx="2">
                  <c:v>6.82</c:v>
                </c:pt>
                <c:pt idx="3">
                  <c:v>7.06</c:v>
                </c:pt>
                <c:pt idx="4">
                  <c:v>7.37</c:v>
                </c:pt>
                <c:pt idx="5">
                  <c:v>7.84</c:v>
                </c:pt>
                <c:pt idx="6">
                  <c:v>8.41</c:v>
                </c:pt>
                <c:pt idx="7">
                  <c:v>9.09</c:v>
                </c:pt>
                <c:pt idx="8">
                  <c:v>9.86</c:v>
                </c:pt>
                <c:pt idx="9">
                  <c:v>10.63</c:v>
                </c:pt>
                <c:pt idx="10">
                  <c:v>11.48</c:v>
                </c:pt>
                <c:pt idx="11">
                  <c:v>12.64</c:v>
                </c:pt>
                <c:pt idx="12">
                  <c:v>11.92</c:v>
                </c:pt>
                <c:pt idx="13">
                  <c:v>10.99</c:v>
                </c:pt>
                <c:pt idx="14">
                  <c:v>9.92</c:v>
                </c:pt>
                <c:pt idx="15">
                  <c:v>8.87</c:v>
                </c:pt>
                <c:pt idx="16">
                  <c:v>7.93</c:v>
                </c:pt>
                <c:pt idx="17">
                  <c:v>6.99</c:v>
                </c:pt>
                <c:pt idx="18">
                  <c:v>6.11</c:v>
                </c:pt>
              </c:numCache>
            </c:numRef>
          </c:yVal>
          <c:smooth val="0"/>
        </c:ser>
        <c:axId val="185642"/>
        <c:axId val="79920760"/>
      </c:scatterChart>
      <c:valAx>
        <c:axId val="1856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920760"/>
        <c:crosses val="autoZero"/>
        <c:crossBetween val="midCat"/>
      </c:valAx>
      <c:valAx>
        <c:axId val="799207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564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faraday!$D$1:$D$1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faraday!$C$2:$C$9</c:f>
              <c:numCache>
                <c:formatCode>General</c:formatCode>
                <c:ptCount val="8"/>
                <c:pt idx="0">
                  <c:v>0</c:v>
                </c:pt>
                <c:pt idx="1">
                  <c:v>66.0000000000014</c:v>
                </c:pt>
                <c:pt idx="2">
                  <c:v>126.000000000001</c:v>
                </c:pt>
                <c:pt idx="3">
                  <c:v>143.999999999999</c:v>
                </c:pt>
                <c:pt idx="4">
                  <c:v>168.000000000001</c:v>
                </c:pt>
                <c:pt idx="5">
                  <c:v>203.999999999999</c:v>
                </c:pt>
                <c:pt idx="6">
                  <c:v>221.999999999999</c:v>
                </c:pt>
                <c:pt idx="7">
                  <c:v>276.000000000001</c:v>
                </c:pt>
              </c:numCache>
            </c:numRef>
          </c:xVal>
          <c:yVal>
            <c:numRef>
              <c:f>faraday!$D$2:$D$9</c:f>
              <c:numCache>
                <c:formatCode>General</c:formatCode>
                <c:ptCount val="8"/>
                <c:pt idx="0">
                  <c:v>210.109716672085</c:v>
                </c:pt>
                <c:pt idx="1">
                  <c:v>420.219433344171</c:v>
                </c:pt>
                <c:pt idx="2">
                  <c:v>630.329150016256</c:v>
                </c:pt>
                <c:pt idx="3">
                  <c:v>840.438866688342</c:v>
                </c:pt>
                <c:pt idx="4">
                  <c:v>1050.54858336043</c:v>
                </c:pt>
                <c:pt idx="5">
                  <c:v>1260.65830003251</c:v>
                </c:pt>
                <c:pt idx="6">
                  <c:v>1470.7680167046</c:v>
                </c:pt>
                <c:pt idx="7">
                  <c:v>1680.87773337668</c:v>
                </c:pt>
              </c:numCache>
            </c:numRef>
          </c:yVal>
          <c:smooth val="0"/>
        </c:ser>
        <c:axId val="5116139"/>
        <c:axId val="25351541"/>
      </c:scatterChart>
      <c:valAx>
        <c:axId val="51161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51541"/>
        <c:crosses val="autoZero"/>
        <c:crossBetween val="midCat"/>
      </c:valAx>
      <c:valAx>
        <c:axId val="253515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161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'polarisation malus'!$B$1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1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'polarisation malus'!$A$2:$A$21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</c:numCache>
            </c:numRef>
          </c:xVal>
          <c:yVal>
            <c:numRef>
              <c:f>'polarisation malus'!$B$2:$B$21</c:f>
              <c:numCache>
                <c:formatCode>General</c:formatCode>
                <c:ptCount val="20"/>
                <c:pt idx="0">
                  <c:v>640</c:v>
                </c:pt>
                <c:pt idx="1">
                  <c:v>614</c:v>
                </c:pt>
                <c:pt idx="2">
                  <c:v>431</c:v>
                </c:pt>
                <c:pt idx="3">
                  <c:v>205</c:v>
                </c:pt>
                <c:pt idx="4">
                  <c:v>33</c:v>
                </c:pt>
                <c:pt idx="5">
                  <c:v>3</c:v>
                </c:pt>
                <c:pt idx="6">
                  <c:v>5</c:v>
                </c:pt>
                <c:pt idx="7">
                  <c:v>115</c:v>
                </c:pt>
                <c:pt idx="8">
                  <c:v>327</c:v>
                </c:pt>
                <c:pt idx="9">
                  <c:v>466</c:v>
                </c:pt>
                <c:pt idx="10">
                  <c:v>609</c:v>
                </c:pt>
                <c:pt idx="11">
                  <c:v>567</c:v>
                </c:pt>
                <c:pt idx="12">
                  <c:v>407</c:v>
                </c:pt>
                <c:pt idx="13">
                  <c:v>200</c:v>
                </c:pt>
                <c:pt idx="14">
                  <c:v>39</c:v>
                </c:pt>
                <c:pt idx="15">
                  <c:v>5</c:v>
                </c:pt>
                <c:pt idx="16">
                  <c:v>113</c:v>
                </c:pt>
                <c:pt idx="17">
                  <c:v>317</c:v>
                </c:pt>
                <c:pt idx="18">
                  <c:v>533</c:v>
                </c:pt>
                <c:pt idx="19">
                  <c:v>640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'polarisation malus'!$A$2:$A$21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</c:numCache>
            </c:numRef>
          </c:xVal>
          <c:yVal>
            <c:numRef>
              <c:f>'polarisation malus'!$C$2:$C$21</c:f>
              <c:numCache>
                <c:formatCode>General</c:formatCode>
                <c:ptCount val="20"/>
                <c:pt idx="0">
                  <c:v>640</c:v>
                </c:pt>
                <c:pt idx="1">
                  <c:v>565</c:v>
                </c:pt>
                <c:pt idx="2">
                  <c:v>376</c:v>
                </c:pt>
                <c:pt idx="3">
                  <c:v>160</c:v>
                </c:pt>
                <c:pt idx="4">
                  <c:v>19</c:v>
                </c:pt>
                <c:pt idx="5">
                  <c:v>0</c:v>
                </c:pt>
                <c:pt idx="6">
                  <c:v>19</c:v>
                </c:pt>
                <c:pt idx="7">
                  <c:v>160</c:v>
                </c:pt>
                <c:pt idx="8">
                  <c:v>376</c:v>
                </c:pt>
                <c:pt idx="9">
                  <c:v>565</c:v>
                </c:pt>
                <c:pt idx="10">
                  <c:v>640</c:v>
                </c:pt>
                <c:pt idx="11">
                  <c:v>565</c:v>
                </c:pt>
                <c:pt idx="12">
                  <c:v>376</c:v>
                </c:pt>
                <c:pt idx="13">
                  <c:v>160</c:v>
                </c:pt>
                <c:pt idx="14">
                  <c:v>19</c:v>
                </c:pt>
                <c:pt idx="15">
                  <c:v>19</c:v>
                </c:pt>
                <c:pt idx="16">
                  <c:v>160</c:v>
                </c:pt>
                <c:pt idx="17">
                  <c:v>376</c:v>
                </c:pt>
                <c:pt idx="18">
                  <c:v>565</c:v>
                </c:pt>
                <c:pt idx="19">
                  <c:v>640</c:v>
                </c:pt>
              </c:numCache>
            </c:numRef>
          </c:yVal>
          <c:smooth val="0"/>
        </c:ser>
        <c:axId val="20850220"/>
        <c:axId val="48602725"/>
      </c:scatterChart>
      <c:valAx>
        <c:axId val="208502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602725"/>
        <c:crosses val="autoZero"/>
        <c:crossBetween val="midCat"/>
      </c:valAx>
      <c:valAx>
        <c:axId val="486027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8502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8289020957147"/>
          <c:y val="0.0587973769034122"/>
          <c:w val="0.641664060056303"/>
          <c:h val="0.8653995776369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'mz ref'!$C$16:$C$27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'mz ref'!$D$16:$D$27</c:f>
              <c:numCache>
                <c:formatCode>General</c:formatCode>
                <c:ptCount val="12"/>
                <c:pt idx="0">
                  <c:v>240</c:v>
                </c:pt>
                <c:pt idx="1">
                  <c:v>220</c:v>
                </c:pt>
                <c:pt idx="2">
                  <c:v>202</c:v>
                </c:pt>
                <c:pt idx="3">
                  <c:v>178</c:v>
                </c:pt>
                <c:pt idx="4">
                  <c:v>156</c:v>
                </c:pt>
                <c:pt idx="5">
                  <c:v>132</c:v>
                </c:pt>
                <c:pt idx="6">
                  <c:v>118</c:v>
                </c:pt>
                <c:pt idx="7">
                  <c:v>96</c:v>
                </c:pt>
                <c:pt idx="8">
                  <c:v>72</c:v>
                </c:pt>
                <c:pt idx="9">
                  <c:v>50</c:v>
                </c:pt>
                <c:pt idx="10">
                  <c:v>30</c:v>
                </c:pt>
                <c:pt idx="11">
                  <c:v>10</c:v>
                </c:pt>
              </c:numCache>
            </c:numRef>
          </c:yVal>
          <c:smooth val="0"/>
        </c:ser>
        <c:axId val="84087690"/>
        <c:axId val="1369256"/>
      </c:scatterChart>
      <c:valAx>
        <c:axId val="840876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69256"/>
        <c:crosses val="autoZero"/>
        <c:crossBetween val="midCat"/>
      </c:valAx>
      <c:valAx>
        <c:axId val="1369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0876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electrooptic!$C$1:$C$1</c:f>
              <c:strCache>
                <c:ptCount val="1"/>
                <c:pt idx="0">
                  <c:v>Bifringence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electrooptic!$A$2:$A$22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electrooptic!$C$2:$C$22</c:f>
              <c:numCache>
                <c:formatCode>General</c:formatCode>
                <c:ptCount val="21"/>
                <c:pt idx="0">
                  <c:v>2.2488624864707E-005</c:v>
                </c:pt>
                <c:pt idx="1">
                  <c:v>2.40877421226842E-005</c:v>
                </c:pt>
                <c:pt idx="2">
                  <c:v>2.70363181018887E-005</c:v>
                </c:pt>
                <c:pt idx="3">
                  <c:v>2.97347954503769E-005</c:v>
                </c:pt>
                <c:pt idx="4">
                  <c:v>3.46165690229979E-005</c:v>
                </c:pt>
                <c:pt idx="5">
                  <c:v>3.90324959846485E-005</c:v>
                </c:pt>
                <c:pt idx="6">
                  <c:v>4.60698293183585E-005</c:v>
                </c:pt>
                <c:pt idx="7">
                  <c:v>5.16738708880797E-005</c:v>
                </c:pt>
                <c:pt idx="8">
                  <c:v>5.96986956352584E-005</c:v>
                </c:pt>
                <c:pt idx="9">
                  <c:v>6.75839519501034E-005</c:v>
                </c:pt>
                <c:pt idx="10">
                  <c:v>7.74956020361828E-005</c:v>
                </c:pt>
                <c:pt idx="11">
                  <c:v>9.0647067871211E-005</c:v>
                </c:pt>
                <c:pt idx="12">
                  <c:v>0.000102315985846041</c:v>
                </c:pt>
                <c:pt idx="13">
                  <c:v>0.000114495495189068</c:v>
                </c:pt>
                <c:pt idx="14">
                  <c:v>0.000126403727968725</c:v>
                </c:pt>
                <c:pt idx="15">
                  <c:v>0.000107469580834145</c:v>
                </c:pt>
                <c:pt idx="16">
                  <c:v>9.29557556091017E-005</c:v>
                </c:pt>
                <c:pt idx="17">
                  <c:v>7.6566558881869E-005</c:v>
                </c:pt>
                <c:pt idx="18">
                  <c:v>5.96986956352584E-005</c:v>
                </c:pt>
                <c:pt idx="19">
                  <c:v>4.31374644718294E-005</c:v>
                </c:pt>
                <c:pt idx="20">
                  <c:v>2.70363181018887E-005</c:v>
                </c:pt>
              </c:numCache>
            </c:numRef>
          </c:yVal>
          <c:smooth val="0"/>
        </c:ser>
        <c:axId val="85552453"/>
        <c:axId val="93346129"/>
      </c:scatterChart>
      <c:valAx>
        <c:axId val="855524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346129"/>
        <c:crosses val="autoZero"/>
        <c:crossBetween val="midCat"/>
      </c:valAx>
      <c:valAx>
        <c:axId val="933461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55245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389880</xdr:colOff>
      <xdr:row>0</xdr:row>
      <xdr:rowOff>48600</xdr:rowOff>
    </xdr:from>
    <xdr:to>
      <xdr:col>11</xdr:col>
      <xdr:colOff>453960</xdr:colOff>
      <xdr:row>20</xdr:row>
      <xdr:rowOff>36000</xdr:rowOff>
    </xdr:to>
    <xdr:graphicFrame>
      <xdr:nvGraphicFramePr>
        <xdr:cNvPr id="0" name=""/>
        <xdr:cNvGraphicFramePr/>
      </xdr:nvGraphicFramePr>
      <xdr:xfrm>
        <a:off x="3641040" y="48600"/>
        <a:ext cx="57538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668160</xdr:colOff>
      <xdr:row>17</xdr:row>
      <xdr:rowOff>140400</xdr:rowOff>
    </xdr:from>
    <xdr:to>
      <xdr:col>11</xdr:col>
      <xdr:colOff>732960</xdr:colOff>
      <xdr:row>36</xdr:row>
      <xdr:rowOff>7560</xdr:rowOff>
    </xdr:to>
    <xdr:graphicFrame>
      <xdr:nvGraphicFramePr>
        <xdr:cNvPr id="1" name=""/>
        <xdr:cNvGraphicFramePr/>
      </xdr:nvGraphicFramePr>
      <xdr:xfrm>
        <a:off x="4393080" y="2903760"/>
        <a:ext cx="5754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290880</xdr:colOff>
      <xdr:row>5</xdr:row>
      <xdr:rowOff>43200</xdr:rowOff>
    </xdr:from>
    <xdr:to>
      <xdr:col>13</xdr:col>
      <xdr:colOff>355680</xdr:colOff>
      <xdr:row>25</xdr:row>
      <xdr:rowOff>30960</xdr:rowOff>
    </xdr:to>
    <xdr:graphicFrame>
      <xdr:nvGraphicFramePr>
        <xdr:cNvPr id="2" name=""/>
        <xdr:cNvGraphicFramePr/>
      </xdr:nvGraphicFramePr>
      <xdr:xfrm>
        <a:off x="5167800" y="856080"/>
        <a:ext cx="57542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724680</xdr:colOff>
      <xdr:row>11</xdr:row>
      <xdr:rowOff>26640</xdr:rowOff>
    </xdr:from>
    <xdr:to>
      <xdr:col>14</xdr:col>
      <xdr:colOff>383760</xdr:colOff>
      <xdr:row>30</xdr:row>
      <xdr:rowOff>64440</xdr:rowOff>
    </xdr:to>
    <xdr:graphicFrame>
      <xdr:nvGraphicFramePr>
        <xdr:cNvPr id="3" name=""/>
        <xdr:cNvGraphicFramePr/>
      </xdr:nvGraphicFramePr>
      <xdr:xfrm>
        <a:off x="6414120" y="1814760"/>
        <a:ext cx="5348880" cy="312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290880</xdr:colOff>
      <xdr:row>5</xdr:row>
      <xdr:rowOff>43200</xdr:rowOff>
    </xdr:from>
    <xdr:to>
      <xdr:col>12</xdr:col>
      <xdr:colOff>355320</xdr:colOff>
      <xdr:row>24</xdr:row>
      <xdr:rowOff>2880</xdr:rowOff>
    </xdr:to>
    <xdr:graphicFrame>
      <xdr:nvGraphicFramePr>
        <xdr:cNvPr id="4" name=""/>
        <xdr:cNvGraphicFramePr/>
      </xdr:nvGraphicFramePr>
      <xdr:xfrm>
        <a:off x="4776480" y="906840"/>
        <a:ext cx="57542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805320</xdr:colOff>
      <xdr:row>12</xdr:row>
      <xdr:rowOff>79200</xdr:rowOff>
    </xdr:from>
    <xdr:to>
      <xdr:col>8</xdr:col>
      <xdr:colOff>61560</xdr:colOff>
      <xdr:row>32</xdr:row>
      <xdr:rowOff>66600</xdr:rowOff>
    </xdr:to>
    <xdr:graphicFrame>
      <xdr:nvGraphicFramePr>
        <xdr:cNvPr id="5" name=""/>
        <xdr:cNvGraphicFramePr/>
      </xdr:nvGraphicFramePr>
      <xdr:xfrm>
        <a:off x="805320" y="203004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C1" s="1" t="s">
        <v>1</v>
      </c>
    </row>
    <row r="2" customFormat="false" ht="12.8" hidden="false" customHeight="false" outlineLevel="0" collapsed="false">
      <c r="A2" s="1" t="n">
        <v>0</v>
      </c>
      <c r="B2" s="1" t="n">
        <v>640</v>
      </c>
      <c r="C2" s="1" t="n">
        <v>640</v>
      </c>
      <c r="D2" s="1" t="n">
        <f aca="false">B2/640</f>
        <v>1</v>
      </c>
    </row>
    <row r="3" customFormat="false" ht="12.8" hidden="false" customHeight="false" outlineLevel="0" collapsed="false">
      <c r="A3" s="1" t="n">
        <v>20</v>
      </c>
      <c r="B3" s="1" t="n">
        <v>614</v>
      </c>
      <c r="C3" s="1" t="n">
        <f aca="false">ROUND(640*(COS(RADIANS(A3)))^2,0)</f>
        <v>565</v>
      </c>
      <c r="D3" s="1" t="n">
        <f aca="false">ROUND(B3/640,2)</f>
        <v>0.96</v>
      </c>
    </row>
    <row r="4" customFormat="false" ht="12.8" hidden="false" customHeight="false" outlineLevel="0" collapsed="false">
      <c r="A4" s="1" t="n">
        <v>40</v>
      </c>
      <c r="B4" s="1" t="n">
        <v>431</v>
      </c>
      <c r="C4" s="1" t="n">
        <f aca="false">ROUND(640*(COS(RADIANS(A4)))^2,0)</f>
        <v>376</v>
      </c>
      <c r="D4" s="1" t="n">
        <f aca="false">ROUND(B4/640,2)</f>
        <v>0.67</v>
      </c>
    </row>
    <row r="5" customFormat="false" ht="12.8" hidden="false" customHeight="false" outlineLevel="0" collapsed="false">
      <c r="A5" s="1" t="n">
        <v>60</v>
      </c>
      <c r="B5" s="1" t="n">
        <v>205</v>
      </c>
      <c r="C5" s="1" t="n">
        <f aca="false">ROUND(640*(COS(RADIANS(A5)))^2,0)</f>
        <v>160</v>
      </c>
      <c r="D5" s="1" t="n">
        <f aca="false">ROUND(B5/640,2)</f>
        <v>0.32</v>
      </c>
    </row>
    <row r="6" customFormat="false" ht="12.8" hidden="false" customHeight="false" outlineLevel="0" collapsed="false">
      <c r="A6" s="1" t="n">
        <v>80</v>
      </c>
      <c r="B6" s="1" t="n">
        <v>33</v>
      </c>
      <c r="C6" s="1" t="n">
        <f aca="false">ROUND(640*(COS(RADIANS(A6)))^2,0)</f>
        <v>19</v>
      </c>
      <c r="D6" s="1" t="n">
        <f aca="false">ROUND(B6/640,2)</f>
        <v>0.05</v>
      </c>
    </row>
    <row r="7" customFormat="false" ht="12.8" hidden="false" customHeight="false" outlineLevel="0" collapsed="false">
      <c r="A7" s="1" t="n">
        <v>90</v>
      </c>
      <c r="B7" s="1" t="n">
        <v>3</v>
      </c>
      <c r="C7" s="1" t="n">
        <f aca="false">ROUND(640*(COS(RADIANS(A7)))^2,0)</f>
        <v>0</v>
      </c>
      <c r="D7" s="1" t="n">
        <f aca="false">ROUND(B7/640,2)</f>
        <v>0</v>
      </c>
    </row>
    <row r="8" customFormat="false" ht="12.8" hidden="false" customHeight="false" outlineLevel="0" collapsed="false">
      <c r="A8" s="1" t="n">
        <v>100</v>
      </c>
      <c r="B8" s="1" t="n">
        <v>5</v>
      </c>
      <c r="C8" s="1" t="n">
        <f aca="false">ROUND(640*(COS(RADIANS(A8)))^2,0)</f>
        <v>19</v>
      </c>
      <c r="D8" s="1" t="n">
        <f aca="false">ROUND(B8/640,2)</f>
        <v>0.01</v>
      </c>
    </row>
    <row r="9" customFormat="false" ht="12.8" hidden="false" customHeight="false" outlineLevel="0" collapsed="false">
      <c r="A9" s="1" t="n">
        <v>120</v>
      </c>
      <c r="B9" s="1" t="n">
        <v>115</v>
      </c>
      <c r="C9" s="1" t="n">
        <f aca="false">ROUND(640*(COS(RADIANS(A9)))^2,0)</f>
        <v>160</v>
      </c>
      <c r="D9" s="1" t="n">
        <f aca="false">ROUND(B9/640,2)</f>
        <v>0.18</v>
      </c>
    </row>
    <row r="10" customFormat="false" ht="12.8" hidden="false" customHeight="false" outlineLevel="0" collapsed="false">
      <c r="A10" s="1" t="n">
        <v>140</v>
      </c>
      <c r="B10" s="1" t="n">
        <v>327</v>
      </c>
      <c r="C10" s="1" t="n">
        <f aca="false">ROUND(640*(COS(RADIANS(A10)))^2,0)</f>
        <v>376</v>
      </c>
      <c r="D10" s="1" t="n">
        <f aca="false">ROUND(B10/640,2)</f>
        <v>0.51</v>
      </c>
    </row>
    <row r="11" customFormat="false" ht="12.8" hidden="false" customHeight="false" outlineLevel="0" collapsed="false">
      <c r="A11" s="1" t="n">
        <v>160</v>
      </c>
      <c r="B11" s="1" t="n">
        <v>466</v>
      </c>
      <c r="C11" s="1" t="n">
        <f aca="false">ROUND(640*(COS(RADIANS(A11)))^2,0)</f>
        <v>565</v>
      </c>
      <c r="D11" s="1" t="n">
        <f aca="false">ROUND(B11/640,2)</f>
        <v>0.73</v>
      </c>
    </row>
    <row r="12" customFormat="false" ht="12.8" hidden="false" customHeight="false" outlineLevel="0" collapsed="false">
      <c r="A12" s="1" t="n">
        <v>180</v>
      </c>
      <c r="B12" s="1" t="n">
        <v>609</v>
      </c>
      <c r="C12" s="1" t="n">
        <f aca="false">ROUND(640*(COS(RADIANS(A12)))^2,0)</f>
        <v>640</v>
      </c>
      <c r="D12" s="1" t="n">
        <f aca="false">ROUND(B12/640,2)</f>
        <v>0.95</v>
      </c>
    </row>
    <row r="13" customFormat="false" ht="12.8" hidden="false" customHeight="false" outlineLevel="0" collapsed="false">
      <c r="A13" s="1" t="n">
        <v>200</v>
      </c>
      <c r="B13" s="1" t="n">
        <v>567</v>
      </c>
      <c r="C13" s="1" t="n">
        <f aca="false">ROUND(640*(COS(RADIANS(A13)))^2,0)</f>
        <v>565</v>
      </c>
      <c r="D13" s="1" t="n">
        <f aca="false">ROUND(B13/640,2)</f>
        <v>0.89</v>
      </c>
    </row>
    <row r="14" customFormat="false" ht="12.8" hidden="false" customHeight="false" outlineLevel="0" collapsed="false">
      <c r="A14" s="1" t="n">
        <v>220</v>
      </c>
      <c r="B14" s="1" t="n">
        <v>407</v>
      </c>
      <c r="C14" s="1" t="n">
        <f aca="false">ROUND(640*(COS(RADIANS(A14)))^2,0)</f>
        <v>376</v>
      </c>
      <c r="D14" s="1" t="n">
        <f aca="false">ROUND(B14/640,2)</f>
        <v>0.64</v>
      </c>
    </row>
    <row r="15" customFormat="false" ht="12.8" hidden="false" customHeight="false" outlineLevel="0" collapsed="false">
      <c r="A15" s="1" t="n">
        <v>240</v>
      </c>
      <c r="B15" s="1" t="n">
        <v>200</v>
      </c>
      <c r="C15" s="1" t="n">
        <f aca="false">ROUND(640*(COS(RADIANS(A15)))^2,0)</f>
        <v>160</v>
      </c>
      <c r="D15" s="1" t="n">
        <f aca="false">ROUND(B15/640,2)</f>
        <v>0.31</v>
      </c>
    </row>
    <row r="16" customFormat="false" ht="12.8" hidden="false" customHeight="false" outlineLevel="0" collapsed="false">
      <c r="A16" s="1" t="n">
        <v>260</v>
      </c>
      <c r="B16" s="1" t="n">
        <v>39</v>
      </c>
      <c r="C16" s="1" t="n">
        <f aca="false">ROUND(640*(COS(RADIANS(A16)))^2,0)</f>
        <v>19</v>
      </c>
      <c r="D16" s="1" t="n">
        <f aca="false">ROUND(B16/640,2)</f>
        <v>0.06</v>
      </c>
    </row>
    <row r="17" customFormat="false" ht="12.8" hidden="false" customHeight="false" outlineLevel="0" collapsed="false">
      <c r="A17" s="1" t="n">
        <v>280</v>
      </c>
      <c r="B17" s="1" t="n">
        <v>5</v>
      </c>
      <c r="C17" s="1" t="n">
        <f aca="false">ROUND(640*(COS(RADIANS(A17)))^2,0)</f>
        <v>19</v>
      </c>
      <c r="D17" s="1" t="n">
        <f aca="false">ROUND(B17/640,2)</f>
        <v>0.01</v>
      </c>
    </row>
    <row r="18" customFormat="false" ht="12.8" hidden="false" customHeight="false" outlineLevel="0" collapsed="false">
      <c r="A18" s="1" t="n">
        <v>300</v>
      </c>
      <c r="B18" s="1" t="n">
        <v>113</v>
      </c>
      <c r="C18" s="1" t="n">
        <f aca="false">ROUND(640*(COS(RADIANS(A18)))^2,0)</f>
        <v>160</v>
      </c>
      <c r="D18" s="1" t="n">
        <f aca="false">ROUND(B18/640,2)</f>
        <v>0.18</v>
      </c>
    </row>
    <row r="19" customFormat="false" ht="12.8" hidden="false" customHeight="false" outlineLevel="0" collapsed="false">
      <c r="A19" s="1" t="n">
        <v>320</v>
      </c>
      <c r="B19" s="1" t="n">
        <v>317</v>
      </c>
      <c r="C19" s="1" t="n">
        <f aca="false">ROUND(640*(COS(RADIANS(A19)))^2,0)</f>
        <v>376</v>
      </c>
      <c r="D19" s="1" t="n">
        <f aca="false">ROUND(B19/640,2)</f>
        <v>0.5</v>
      </c>
    </row>
    <row r="20" customFormat="false" ht="12.8" hidden="false" customHeight="false" outlineLevel="0" collapsed="false">
      <c r="A20" s="1" t="n">
        <v>340</v>
      </c>
      <c r="B20" s="1" t="n">
        <v>533</v>
      </c>
      <c r="C20" s="1" t="n">
        <f aca="false">ROUND(640*(COS(RADIANS(A20)))^2,0)</f>
        <v>565</v>
      </c>
      <c r="D20" s="1" t="n">
        <f aca="false">ROUND(B20/640,2)</f>
        <v>0.83</v>
      </c>
    </row>
    <row r="21" customFormat="false" ht="12.8" hidden="false" customHeight="false" outlineLevel="0" collapsed="false">
      <c r="A21" s="1" t="n">
        <v>360</v>
      </c>
      <c r="B21" s="1" t="n">
        <v>640</v>
      </c>
      <c r="C21" s="1" t="n">
        <f aca="false">ROUND(640*(COS(RADIANS(A21)))^2,0)</f>
        <v>640</v>
      </c>
      <c r="D21" s="1" t="n">
        <f aca="false">ROUND(B21/640,2)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2" colorId="64" zoomScale="170" zoomScaleNormal="170" zoomScalePageLayoutView="100" workbookViewId="0">
      <selection pane="topLeft" activeCell="J11" activeCellId="0" sqref="J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76</v>
      </c>
      <c r="B1" s="3" t="s">
        <v>64</v>
      </c>
      <c r="C1" s="3" t="s">
        <v>77</v>
      </c>
      <c r="D1" s="3" t="s">
        <v>78</v>
      </c>
      <c r="E1" s="3" t="s">
        <v>79</v>
      </c>
      <c r="G1" s="3" t="s">
        <v>80</v>
      </c>
      <c r="I1" s="3" t="s">
        <v>81</v>
      </c>
    </row>
    <row r="2" customFormat="false" ht="12.8" hidden="false" customHeight="false" outlineLevel="0" collapsed="false">
      <c r="A2" s="3" t="n">
        <v>0.4</v>
      </c>
      <c r="B2" s="3" t="n">
        <v>323</v>
      </c>
      <c r="C2" s="3" t="n">
        <f aca="false">ABS(B2-323)*60</f>
        <v>0</v>
      </c>
      <c r="D2" s="3" t="n">
        <f aca="false">PI()*167.2*A2</f>
        <v>210.109716672085</v>
      </c>
      <c r="G2" s="3" t="n">
        <f aca="false">C2*0.000290888</f>
        <v>0</v>
      </c>
      <c r="H2" s="3" t="n">
        <f aca="false">4*PI()*10^(-7)*A2*167.2*100</f>
        <v>0.00840438866688341</v>
      </c>
      <c r="I2" s="3" t="n">
        <f aca="false">G2/(H2*0.1)</f>
        <v>0</v>
      </c>
    </row>
    <row r="3" customFormat="false" ht="12.8" hidden="false" customHeight="false" outlineLevel="0" collapsed="false">
      <c r="A3" s="3" t="n">
        <v>0.8</v>
      </c>
      <c r="B3" s="3" t="n">
        <v>321.9</v>
      </c>
      <c r="C3" s="3" t="n">
        <f aca="false">ABS(B3-323)*60</f>
        <v>66.0000000000014</v>
      </c>
      <c r="D3" s="3" t="n">
        <f aca="false">PI()*167.2*A3</f>
        <v>420.219433344171</v>
      </c>
      <c r="E3" s="3" t="n">
        <f aca="false">C3/(D3*10)</f>
        <v>0.0157060799103847</v>
      </c>
      <c r="G3" s="3" t="n">
        <f aca="false">C3*0.000290888</f>
        <v>0.0191986080000004</v>
      </c>
      <c r="H3" s="3" t="n">
        <f aca="false">4*PI()*10^(-7)*A3*167.2*100</f>
        <v>0.0168087773337668</v>
      </c>
      <c r="I3" s="3" t="n">
        <f aca="false">G3/(H3*0.1)</f>
        <v>11.42177543243</v>
      </c>
      <c r="J3" s="3" t="n">
        <f aca="false">(I$11-I3)^2</f>
        <v>0.466552093521707</v>
      </c>
    </row>
    <row r="4" customFormat="false" ht="12.8" hidden="false" customHeight="false" outlineLevel="0" collapsed="false">
      <c r="A4" s="3" t="n">
        <v>1.2</v>
      </c>
      <c r="B4" s="3" t="n">
        <v>320.9</v>
      </c>
      <c r="C4" s="3" t="n">
        <f aca="false">ABS(B4-323)*60</f>
        <v>126.000000000001</v>
      </c>
      <c r="D4" s="3" t="n">
        <f aca="false">PI()*167.2*A4</f>
        <v>630.329150016256</v>
      </c>
      <c r="E4" s="3" t="n">
        <f aca="false">C4/(D4*10)</f>
        <v>0.0199895562495804</v>
      </c>
      <c r="G4" s="3" t="n">
        <f aca="false">C4*0.000290888</f>
        <v>0.0366518880000004</v>
      </c>
      <c r="H4" s="3" t="n">
        <f aca="false">4*PI()*10^(-7)*A4*167.2*100</f>
        <v>0.0252131660006502</v>
      </c>
      <c r="I4" s="3" t="n">
        <f aca="false">G4/(H4*0.1)</f>
        <v>14.5368050958198</v>
      </c>
      <c r="J4" s="3" t="n">
        <f aca="false">(I$11-I4)^2</f>
        <v>5.91454362962386</v>
      </c>
    </row>
    <row r="5" customFormat="false" ht="12.8" hidden="false" customHeight="false" outlineLevel="0" collapsed="false">
      <c r="A5" s="3" t="n">
        <v>1.6</v>
      </c>
      <c r="B5" s="3" t="n">
        <v>320.6</v>
      </c>
      <c r="C5" s="3" t="n">
        <f aca="false">ABS(B5-323)*60</f>
        <v>143.999999999999</v>
      </c>
      <c r="D5" s="3" t="n">
        <f aca="false">PI()*167.2*A5</f>
        <v>840.438866688342</v>
      </c>
      <c r="E5" s="3" t="n">
        <f aca="false">C5/(D5*10)</f>
        <v>0.0171339053567828</v>
      </c>
      <c r="G5" s="3" t="n">
        <f aca="false">C5*0.000290888</f>
        <v>0.0418878719999996</v>
      </c>
      <c r="H5" s="3" t="n">
        <f aca="false">4*PI()*10^(-7)*A5*167.2*100</f>
        <v>0.0336175546675337</v>
      </c>
      <c r="I5" s="3" t="n">
        <f aca="false">G5/(H5*0.1)</f>
        <v>12.4601186535596</v>
      </c>
      <c r="J5" s="3" t="n">
        <f aca="false">(I$11-I5)^2</f>
        <v>0.126235982489151</v>
      </c>
    </row>
    <row r="6" customFormat="false" ht="12.8" hidden="false" customHeight="false" outlineLevel="0" collapsed="false">
      <c r="A6" s="3" t="n">
        <v>2</v>
      </c>
      <c r="B6" s="3" t="n">
        <v>320.2</v>
      </c>
      <c r="C6" s="3" t="n">
        <f aca="false">ABS(B6-323)*60</f>
        <v>168.000000000001</v>
      </c>
      <c r="D6" s="3" t="n">
        <f aca="false">PI()*167.2*A6</f>
        <v>1050.54858336043</v>
      </c>
      <c r="E6" s="3" t="n">
        <f aca="false">C6/(D6*10)</f>
        <v>0.0159916449996642</v>
      </c>
      <c r="G6" s="3" t="n">
        <f aca="false">C6*0.000290888</f>
        <v>0.0488691840000002</v>
      </c>
      <c r="H6" s="3" t="n">
        <f aca="false">4*PI()*10^(-7)*A6*167.2*100</f>
        <v>0.0420219433344171</v>
      </c>
      <c r="I6" s="3" t="n">
        <f aca="false">G6/(H6*0.1)</f>
        <v>11.6294440766558</v>
      </c>
      <c r="J6" s="3" t="n">
        <f aca="false">(I$11-I6)^2</f>
        <v>0.225983808136774</v>
      </c>
    </row>
    <row r="7" customFormat="false" ht="12.8" hidden="false" customHeight="false" outlineLevel="0" collapsed="false">
      <c r="A7" s="3" t="n">
        <v>2.4</v>
      </c>
      <c r="B7" s="3" t="n">
        <v>319.6</v>
      </c>
      <c r="C7" s="3" t="n">
        <f aca="false">ABS(B7-323)*60</f>
        <v>203.999999999999</v>
      </c>
      <c r="D7" s="3" t="n">
        <f aca="false">PI()*167.2*A7</f>
        <v>1260.65830003251</v>
      </c>
      <c r="E7" s="3" t="n">
        <f aca="false">C7/(D7*10)</f>
        <v>0.0161820217258505</v>
      </c>
      <c r="G7" s="3" t="n">
        <f aca="false">C7*0.000290888</f>
        <v>0.0593411519999996</v>
      </c>
      <c r="H7" s="3" t="n">
        <f aca="false">4*PI()*10^(-7)*A7*167.2*100</f>
        <v>0.0504263320013005</v>
      </c>
      <c r="I7" s="3" t="n">
        <f aca="false">G7/(H7*0.1)</f>
        <v>11.767889839473</v>
      </c>
      <c r="J7" s="3" t="n">
        <f aca="false">(I$11-I7)^2</f>
        <v>0.11352302431858</v>
      </c>
    </row>
    <row r="8" customFormat="false" ht="12.8" hidden="false" customHeight="false" outlineLevel="0" collapsed="false">
      <c r="A8" s="3" t="n">
        <v>2.8</v>
      </c>
      <c r="B8" s="3" t="n">
        <v>319.3</v>
      </c>
      <c r="C8" s="3" t="n">
        <f aca="false">ABS(B8-323)*60</f>
        <v>221.999999999999</v>
      </c>
      <c r="D8" s="3" t="n">
        <f aca="false">PI()*167.2*A8</f>
        <v>1470.7680167046</v>
      </c>
      <c r="E8" s="3" t="n">
        <f aca="false">C8/(D8*10)</f>
        <v>0.0150941547190707</v>
      </c>
      <c r="G8" s="3" t="n">
        <f aca="false">C8*0.000290888</f>
        <v>0.0645771359999998</v>
      </c>
      <c r="H8" s="3" t="n">
        <f aca="false">4*PI()*10^(-7)*A8*167.2*100</f>
        <v>0.0588307206681839</v>
      </c>
      <c r="I8" s="3" t="n">
        <f aca="false">G8/(H8*0.1)</f>
        <v>10.9767711948026</v>
      </c>
      <c r="J8" s="3" t="n">
        <f aca="false">(I$11-I8)^2</f>
        <v>1.27249776041366</v>
      </c>
    </row>
    <row r="9" customFormat="false" ht="12.8" hidden="false" customHeight="false" outlineLevel="0" collapsed="false">
      <c r="A9" s="3" t="n">
        <v>3.2</v>
      </c>
      <c r="B9" s="3" t="n">
        <v>318.4</v>
      </c>
      <c r="C9" s="3" t="n">
        <f aca="false">ABS(B9-323)*60</f>
        <v>276.000000000001</v>
      </c>
      <c r="D9" s="3" t="n">
        <f aca="false">PI()*167.2*A9</f>
        <v>1680.87773337668</v>
      </c>
      <c r="E9" s="3" t="n">
        <f aca="false">C9/(D9*10)</f>
        <v>0.0164199926335838</v>
      </c>
      <c r="G9" s="3" t="n">
        <f aca="false">C9*0.000290888</f>
        <v>0.0802850880000004</v>
      </c>
      <c r="H9" s="3" t="n">
        <f aca="false">4*PI()*10^(-7)*A9*167.2*100</f>
        <v>0.0672351093350673</v>
      </c>
      <c r="I9" s="3" t="n">
        <f aca="false">G9/(H9*0.1)</f>
        <v>11.9409470429948</v>
      </c>
      <c r="J9" s="3" t="n">
        <f aca="false">(I$11-I9)^2</f>
        <v>0.0268548767889699</v>
      </c>
    </row>
    <row r="11" customFormat="false" ht="12.8" hidden="false" customHeight="false" outlineLevel="0" collapsed="false">
      <c r="E11" s="3" t="n">
        <f aca="false">AVERAGE(E3:E9)</f>
        <v>0.0166453365135596</v>
      </c>
      <c r="I11" s="3" t="n">
        <f aca="false">AVERAGE(I3:I9)</f>
        <v>12.1048216193908</v>
      </c>
      <c r="J11" s="3" t="n">
        <f aca="false">SQRT(SUM(J3:J9)/7)</f>
        <v>1.07876855556249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7" colorId="64" zoomScale="170" zoomScaleNormal="17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" t="s">
        <v>82</v>
      </c>
      <c r="B1" s="6" t="s">
        <v>64</v>
      </c>
      <c r="C1" s="6" t="s">
        <v>83</v>
      </c>
      <c r="D1" s="6" t="s">
        <v>84</v>
      </c>
      <c r="E1" s="6" t="s">
        <v>78</v>
      </c>
      <c r="F1" s="6" t="s">
        <v>79</v>
      </c>
      <c r="G1" s="1"/>
      <c r="H1" s="1"/>
    </row>
    <row r="2" customFormat="false" ht="12.8" hidden="false" customHeight="false" outlineLevel="0" collapsed="false">
      <c r="A2" s="6" t="n">
        <v>0.4</v>
      </c>
      <c r="B2" s="6" t="n">
        <v>68.5</v>
      </c>
      <c r="C2" s="6" t="n">
        <v>0</v>
      </c>
      <c r="D2" s="6" t="n">
        <v>0</v>
      </c>
      <c r="E2" s="6" t="n">
        <v>0.008404388667</v>
      </c>
      <c r="F2" s="1"/>
      <c r="G2" s="1"/>
      <c r="H2" s="1"/>
    </row>
    <row r="3" customFormat="false" ht="12.8" hidden="false" customHeight="false" outlineLevel="0" collapsed="false">
      <c r="A3" s="6" t="n">
        <v>0.8</v>
      </c>
      <c r="B3" s="6" t="n">
        <v>68</v>
      </c>
      <c r="C3" s="6" t="n">
        <v>30</v>
      </c>
      <c r="D3" s="6" t="n">
        <v>0.00872664</v>
      </c>
      <c r="E3" s="6" t="n">
        <v>0.01680877733</v>
      </c>
      <c r="F3" s="6" t="n">
        <v>5.191716106</v>
      </c>
      <c r="G3" s="1"/>
      <c r="H3" s="1"/>
    </row>
    <row r="4" customFormat="false" ht="12.8" hidden="false" customHeight="false" outlineLevel="0" collapsed="false">
      <c r="A4" s="6" t="n">
        <v>1.2</v>
      </c>
      <c r="B4" s="6" t="n">
        <v>67.9</v>
      </c>
      <c r="C4" s="6" t="n">
        <v>36</v>
      </c>
      <c r="D4" s="6" t="n">
        <v>0.010471968</v>
      </c>
      <c r="E4" s="6" t="n">
        <v>0.025213166</v>
      </c>
      <c r="F4" s="6" t="n">
        <v>4.153372885</v>
      </c>
      <c r="G4" s="1"/>
      <c r="H4" s="1"/>
    </row>
    <row r="5" customFormat="false" ht="12.8" hidden="false" customHeight="false" outlineLevel="0" collapsed="false">
      <c r="A5" s="6" t="n">
        <v>1.6</v>
      </c>
      <c r="B5" s="6" t="n">
        <v>67.1</v>
      </c>
      <c r="C5" s="6" t="n">
        <v>84</v>
      </c>
      <c r="D5" s="6" t="n">
        <v>0.024434592</v>
      </c>
      <c r="E5" s="6" t="n">
        <v>0.03361755467</v>
      </c>
      <c r="F5" s="6" t="n">
        <v>7.268402548</v>
      </c>
      <c r="G5" s="1"/>
      <c r="H5" s="1"/>
    </row>
    <row r="6" customFormat="false" ht="12.8" hidden="false" customHeight="false" outlineLevel="0" collapsed="false">
      <c r="A6" s="6" t="n">
        <v>2</v>
      </c>
      <c r="B6" s="6" t="n">
        <v>66.4</v>
      </c>
      <c r="C6" s="6" t="n">
        <v>126</v>
      </c>
      <c r="D6" s="6" t="n">
        <v>0.036651888</v>
      </c>
      <c r="E6" s="6" t="n">
        <v>0.04202194333</v>
      </c>
      <c r="F6" s="6" t="n">
        <v>8.722083057</v>
      </c>
      <c r="G6" s="1"/>
      <c r="H6" s="1"/>
    </row>
    <row r="7" customFormat="false" ht="12.8" hidden="false" customHeight="false" outlineLevel="0" collapsed="false">
      <c r="A7" s="6" t="n">
        <v>2.4</v>
      </c>
      <c r="B7" s="6" t="n">
        <v>65.2</v>
      </c>
      <c r="C7" s="6" t="n">
        <v>198</v>
      </c>
      <c r="D7" s="6" t="n">
        <v>0.057595824</v>
      </c>
      <c r="E7" s="6" t="n">
        <v>0.050426332</v>
      </c>
      <c r="F7" s="6" t="n">
        <v>11.42177543</v>
      </c>
      <c r="G7" s="1"/>
      <c r="H7" s="1"/>
    </row>
    <row r="8" customFormat="false" ht="12.8" hidden="false" customHeight="false" outlineLevel="0" collapsed="false">
      <c r="A8" s="6" t="n">
        <v>2.8</v>
      </c>
      <c r="B8" s="6" t="n">
        <v>65</v>
      </c>
      <c r="C8" s="6" t="n">
        <v>210</v>
      </c>
      <c r="D8" s="6" t="n">
        <v>0.06108648</v>
      </c>
      <c r="E8" s="6" t="n">
        <v>0.05883072067</v>
      </c>
      <c r="F8" s="6" t="n">
        <v>10.38343221</v>
      </c>
      <c r="G8" s="1"/>
      <c r="H8" s="1"/>
    </row>
    <row r="9" customFormat="false" ht="12.8" hidden="false" customHeight="false" outlineLevel="0" collapsed="false">
      <c r="A9" s="6" t="n">
        <v>3.2</v>
      </c>
      <c r="B9" s="6" t="n">
        <v>64.4</v>
      </c>
      <c r="C9" s="6" t="n">
        <v>246</v>
      </c>
      <c r="D9" s="6" t="n">
        <v>0.071558448</v>
      </c>
      <c r="E9" s="6" t="n">
        <v>0.06723510934</v>
      </c>
      <c r="F9" s="6" t="n">
        <v>10.64301802</v>
      </c>
      <c r="G9" s="1"/>
      <c r="H9" s="1"/>
    </row>
    <row r="10" customFormat="false" ht="12.8" hidden="false" customHeight="false" outlineLevel="0" collapsed="false">
      <c r="A10" s="6" t="n">
        <v>3.6</v>
      </c>
      <c r="B10" s="6" t="n">
        <v>63.5</v>
      </c>
      <c r="C10" s="6" t="n">
        <v>300</v>
      </c>
      <c r="D10" s="6" t="n">
        <v>0.0872664</v>
      </c>
      <c r="E10" s="6" t="n">
        <v>0.075639498</v>
      </c>
      <c r="F10" s="6" t="n">
        <v>11.5371469</v>
      </c>
      <c r="G10" s="1"/>
      <c r="H10" s="1"/>
    </row>
    <row r="11" customFormat="false" ht="12.8" hidden="false" customHeight="false" outlineLevel="0" collapsed="false">
      <c r="A11" s="6" t="n">
        <v>4</v>
      </c>
      <c r="B11" s="6" t="n">
        <v>63</v>
      </c>
      <c r="C11" s="6" t="n">
        <v>330</v>
      </c>
      <c r="D11" s="6" t="n">
        <v>0.09599304</v>
      </c>
      <c r="E11" s="6" t="n">
        <v>0.08404388667</v>
      </c>
      <c r="F11" s="6" t="n">
        <v>11.42177543</v>
      </c>
      <c r="G11" s="1"/>
      <c r="H11" s="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</row>
    <row r="13" customFormat="false" ht="23.85" hidden="false" customHeight="false" outlineLevel="0" collapsed="false">
      <c r="A13" s="1"/>
      <c r="B13" s="1"/>
      <c r="C13" s="1"/>
      <c r="D13" s="1"/>
      <c r="E13" s="1"/>
      <c r="F13" s="6" t="n">
        <v>8.971413621</v>
      </c>
      <c r="G13" s="6" t="s">
        <v>85</v>
      </c>
      <c r="H13" s="1"/>
    </row>
    <row r="14" customFormat="false" ht="35.05" hidden="false" customHeight="false" outlineLevel="0" collapsed="false">
      <c r="A14" s="1"/>
      <c r="B14" s="1"/>
      <c r="C14" s="1"/>
      <c r="D14" s="1"/>
      <c r="E14" s="1"/>
      <c r="F14" s="6" t="n">
        <v>0.03084147718</v>
      </c>
      <c r="G14" s="6" t="s">
        <v>86</v>
      </c>
      <c r="H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</row>
    <row r="16" customFormat="false" ht="12.8" hidden="false" customHeight="false" outlineLevel="0" collapsed="false">
      <c r="A16" s="1"/>
      <c r="B16" s="1"/>
      <c r="C16" s="1"/>
      <c r="D16" s="1"/>
      <c r="E16" s="6" t="s">
        <v>87</v>
      </c>
      <c r="F16" s="6" t="n">
        <v>2.824925515</v>
      </c>
      <c r="G16" s="1"/>
      <c r="H1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G9" activeCellId="0" sqref="G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E1" s="1" t="s">
        <v>3</v>
      </c>
    </row>
    <row r="2" customFormat="false" ht="12.8" hidden="false" customHeight="false" outlineLevel="0" collapsed="false">
      <c r="A2" s="1" t="n">
        <v>0</v>
      </c>
      <c r="B2" s="1" t="n">
        <v>553</v>
      </c>
      <c r="C2" s="1" t="n">
        <f aca="false">ROUND(B2/573,2)</f>
        <v>0.97</v>
      </c>
      <c r="D2" s="1" t="n">
        <v>0</v>
      </c>
      <c r="E2" s="1" t="n">
        <v>603</v>
      </c>
      <c r="F2" s="1" t="n">
        <f aca="false">ROUND(E2/612,2)</f>
        <v>0.99</v>
      </c>
    </row>
    <row r="3" customFormat="false" ht="12.8" hidden="false" customHeight="false" outlineLevel="0" collapsed="false">
      <c r="A3" s="1" t="n">
        <v>10</v>
      </c>
      <c r="B3" s="1" t="n">
        <v>441</v>
      </c>
      <c r="C3" s="1" t="n">
        <f aca="false">ROUND(B3/573,2)</f>
        <v>0.77</v>
      </c>
      <c r="D3" s="1" t="n">
        <v>10</v>
      </c>
      <c r="E3" s="1" t="n">
        <v>540</v>
      </c>
      <c r="F3" s="1" t="n">
        <f aca="false">ROUND(E3/612,2)</f>
        <v>0.88</v>
      </c>
    </row>
    <row r="4" customFormat="false" ht="12.8" hidden="false" customHeight="false" outlineLevel="0" collapsed="false">
      <c r="A4" s="1" t="n">
        <v>20</v>
      </c>
      <c r="B4" s="1" t="n">
        <v>252</v>
      </c>
      <c r="C4" s="1" t="n">
        <f aca="false">ROUND(B4/573,2)</f>
        <v>0.44</v>
      </c>
      <c r="D4" s="1" t="n">
        <v>20</v>
      </c>
      <c r="E4" s="1" t="n">
        <v>439</v>
      </c>
      <c r="F4" s="1" t="n">
        <f aca="false">ROUND(E4/612,2)</f>
        <v>0.72</v>
      </c>
    </row>
    <row r="5" customFormat="false" ht="12.8" hidden="false" customHeight="false" outlineLevel="0" collapsed="false">
      <c r="A5" s="1" t="n">
        <v>30</v>
      </c>
      <c r="B5" s="1" t="n">
        <v>84</v>
      </c>
      <c r="C5" s="1" t="n">
        <f aca="false">ROUND(B5/573,2)</f>
        <v>0.15</v>
      </c>
      <c r="D5" s="1" t="n">
        <v>30</v>
      </c>
      <c r="E5" s="1" t="n">
        <v>351</v>
      </c>
      <c r="F5" s="1" t="n">
        <f aca="false">ROUND(E5/612,2)</f>
        <v>0.57</v>
      </c>
    </row>
    <row r="6" customFormat="false" ht="12.8" hidden="false" customHeight="false" outlineLevel="0" collapsed="false">
      <c r="A6" s="1" t="n">
        <v>40</v>
      </c>
      <c r="B6" s="1" t="n">
        <v>1</v>
      </c>
      <c r="C6" s="1" t="n">
        <f aca="false">ROUND(B6/573,2)</f>
        <v>0</v>
      </c>
      <c r="D6" s="1" t="n">
        <v>40</v>
      </c>
      <c r="E6" s="1" t="n">
        <v>313</v>
      </c>
      <c r="F6" s="1" t="n">
        <f aca="false">ROUND(E6/612,2)</f>
        <v>0.51</v>
      </c>
    </row>
    <row r="7" customFormat="false" ht="12.8" hidden="false" customHeight="false" outlineLevel="0" collapsed="false">
      <c r="A7" s="1" t="n">
        <v>50</v>
      </c>
      <c r="B7" s="1" t="n">
        <v>52</v>
      </c>
      <c r="C7" s="1" t="n">
        <f aca="false">ROUND(B7/573,2)</f>
        <v>0.09</v>
      </c>
      <c r="D7" s="1" t="n">
        <v>50</v>
      </c>
      <c r="E7" s="1" t="n">
        <v>342</v>
      </c>
      <c r="F7" s="1" t="n">
        <f aca="false">ROUND(E7/612,2)</f>
        <v>0.56</v>
      </c>
    </row>
    <row r="8" customFormat="false" ht="12.8" hidden="false" customHeight="false" outlineLevel="0" collapsed="false">
      <c r="A8" s="1" t="n">
        <v>60</v>
      </c>
      <c r="B8" s="1" t="n">
        <v>210</v>
      </c>
      <c r="C8" s="1" t="n">
        <f aca="false">ROUND(B8/573,2)</f>
        <v>0.37</v>
      </c>
      <c r="D8" s="1" t="n">
        <v>60</v>
      </c>
      <c r="E8" s="1" t="n">
        <v>431</v>
      </c>
      <c r="F8" s="1" t="n">
        <f aca="false">ROUND(E8/612,2)</f>
        <v>0.7</v>
      </c>
    </row>
    <row r="9" customFormat="false" ht="12.8" hidden="false" customHeight="false" outlineLevel="0" collapsed="false">
      <c r="A9" s="1" t="n">
        <v>70</v>
      </c>
      <c r="B9" s="1" t="n">
        <v>401</v>
      </c>
      <c r="C9" s="1" t="n">
        <f aca="false">ROUND(B9/573,2)</f>
        <v>0.7</v>
      </c>
      <c r="D9" s="1" t="n">
        <v>70</v>
      </c>
      <c r="E9" s="1" t="n">
        <v>532</v>
      </c>
      <c r="F9" s="1" t="n">
        <f aca="false">ROUND(E9/612,2)</f>
        <v>0.87</v>
      </c>
    </row>
    <row r="10" customFormat="false" ht="12.8" hidden="false" customHeight="false" outlineLevel="0" collapsed="false">
      <c r="A10" s="1" t="n">
        <v>80</v>
      </c>
      <c r="B10" s="1" t="n">
        <v>546</v>
      </c>
      <c r="C10" s="1" t="n">
        <f aca="false">ROUND(B10/573,2)</f>
        <v>0.95</v>
      </c>
      <c r="D10" s="1" t="n">
        <v>80</v>
      </c>
      <c r="E10" s="1" t="n">
        <v>600</v>
      </c>
      <c r="F10" s="1" t="n">
        <f aca="false">ROUND(E10/612,2)</f>
        <v>0.98</v>
      </c>
    </row>
    <row r="11" customFormat="false" ht="12.8" hidden="false" customHeight="false" outlineLevel="0" collapsed="false">
      <c r="A11" s="1" t="n">
        <v>90</v>
      </c>
      <c r="B11" s="1" t="n">
        <v>568</v>
      </c>
      <c r="C11" s="1" t="n">
        <f aca="false">ROUND(B11/573,2)</f>
        <v>0.99</v>
      </c>
      <c r="D11" s="1" t="n">
        <v>90</v>
      </c>
      <c r="E11" s="1" t="n">
        <v>602</v>
      </c>
      <c r="F11" s="1" t="n">
        <f aca="false">ROUND(E11/612,2)</f>
        <v>0.98</v>
      </c>
    </row>
    <row r="12" customFormat="false" ht="12.8" hidden="false" customHeight="false" outlineLevel="0" collapsed="false">
      <c r="A12" s="1" t="n">
        <v>100</v>
      </c>
      <c r="B12" s="1" t="n">
        <v>451</v>
      </c>
      <c r="C12" s="1" t="n">
        <f aca="false">ROUND(B12/573,2)</f>
        <v>0.79</v>
      </c>
      <c r="D12" s="1" t="n">
        <v>100</v>
      </c>
      <c r="E12" s="1" t="n">
        <v>542</v>
      </c>
      <c r="F12" s="1" t="n">
        <f aca="false">ROUND(E12/612,2)</f>
        <v>0.89</v>
      </c>
    </row>
    <row r="13" customFormat="false" ht="12.8" hidden="false" customHeight="false" outlineLevel="0" collapsed="false">
      <c r="A13" s="1" t="n">
        <v>110</v>
      </c>
      <c r="B13" s="1" t="n">
        <v>265</v>
      </c>
      <c r="C13" s="1" t="n">
        <f aca="false">ROUND(B13/573,2)</f>
        <v>0.46</v>
      </c>
      <c r="D13" s="1" t="n">
        <v>110</v>
      </c>
      <c r="E13" s="1" t="n">
        <v>444</v>
      </c>
      <c r="F13" s="1" t="n">
        <f aca="false">ROUND(E13/612,2)</f>
        <v>0.73</v>
      </c>
    </row>
    <row r="14" customFormat="false" ht="12.8" hidden="false" customHeight="false" outlineLevel="0" collapsed="false">
      <c r="A14" s="1" t="n">
        <v>120</v>
      </c>
      <c r="B14" s="1" t="n">
        <v>92</v>
      </c>
      <c r="C14" s="1" t="n">
        <f aca="false">ROUND(B14/573,2)</f>
        <v>0.16</v>
      </c>
      <c r="D14" s="1" t="n">
        <v>120</v>
      </c>
      <c r="E14" s="1" t="n">
        <v>355</v>
      </c>
      <c r="F14" s="1" t="n">
        <f aca="false">ROUND(E14/612,2)</f>
        <v>0.58</v>
      </c>
    </row>
    <row r="15" customFormat="false" ht="12.8" hidden="false" customHeight="false" outlineLevel="0" collapsed="false">
      <c r="A15" s="1" t="n">
        <v>130</v>
      </c>
      <c r="B15" s="1" t="n">
        <v>3</v>
      </c>
      <c r="C15" s="1" t="n">
        <f aca="false">ROUND(B15/573,2)</f>
        <v>0.01</v>
      </c>
      <c r="D15" s="1" t="n">
        <v>130</v>
      </c>
      <c r="E15" s="1" t="n">
        <v>320</v>
      </c>
      <c r="F15" s="1" t="n">
        <f aca="false">ROUND(E15/612,2)</f>
        <v>0.52</v>
      </c>
    </row>
    <row r="16" customFormat="false" ht="12.8" hidden="false" customHeight="false" outlineLevel="0" collapsed="false">
      <c r="A16" s="1" t="n">
        <v>140</v>
      </c>
      <c r="B16" s="1" t="n">
        <v>55</v>
      </c>
      <c r="C16" s="1" t="n">
        <f aca="false">ROUND(B16/573,2)</f>
        <v>0.1</v>
      </c>
      <c r="D16" s="1" t="n">
        <v>140</v>
      </c>
      <c r="E16" s="1" t="n">
        <v>355</v>
      </c>
      <c r="F16" s="1" t="n">
        <f aca="false">ROUND(E16/612,2)</f>
        <v>0.58</v>
      </c>
    </row>
    <row r="17" customFormat="false" ht="12.8" hidden="false" customHeight="false" outlineLevel="0" collapsed="false">
      <c r="A17" s="1" t="n">
        <v>150</v>
      </c>
      <c r="B17" s="1" t="n">
        <v>221</v>
      </c>
      <c r="C17" s="1" t="n">
        <f aca="false">ROUND(B17/573,2)</f>
        <v>0.39</v>
      </c>
      <c r="D17" s="1" t="n">
        <v>150</v>
      </c>
      <c r="E17" s="1" t="n">
        <v>438</v>
      </c>
      <c r="F17" s="1" t="n">
        <f aca="false">ROUND(E17/612,2)</f>
        <v>0.72</v>
      </c>
    </row>
    <row r="18" customFormat="false" ht="12.8" hidden="false" customHeight="false" outlineLevel="0" collapsed="false">
      <c r="A18" s="1" t="n">
        <v>160</v>
      </c>
      <c r="B18" s="1" t="n">
        <v>410</v>
      </c>
      <c r="C18" s="1" t="n">
        <f aca="false">ROUND(B18/573,2)</f>
        <v>0.72</v>
      </c>
      <c r="D18" s="1" t="n">
        <v>160</v>
      </c>
      <c r="E18" s="1" t="n">
        <v>546</v>
      </c>
      <c r="F18" s="1" t="n">
        <f aca="false">ROUND(E18/612,2)</f>
        <v>0.89</v>
      </c>
    </row>
    <row r="19" customFormat="false" ht="12.8" hidden="false" customHeight="false" outlineLevel="0" collapsed="false">
      <c r="A19" s="1" t="n">
        <v>170</v>
      </c>
      <c r="B19" s="1" t="n">
        <v>551</v>
      </c>
      <c r="C19" s="1" t="n">
        <f aca="false">ROUND(B19/573,2)</f>
        <v>0.96</v>
      </c>
      <c r="D19" s="1" t="n">
        <v>170</v>
      </c>
      <c r="E19" s="1" t="n">
        <v>607</v>
      </c>
      <c r="F19" s="1" t="n">
        <f aca="false">ROUND(E19/612,2)</f>
        <v>0.99</v>
      </c>
    </row>
    <row r="20" customFormat="false" ht="12.8" hidden="false" customHeight="false" outlineLevel="0" collapsed="false">
      <c r="A20" s="1" t="n">
        <v>180</v>
      </c>
      <c r="B20" s="1" t="n">
        <v>573</v>
      </c>
      <c r="C20" s="1" t="n">
        <f aca="false">ROUND(B20/573,2)</f>
        <v>1</v>
      </c>
      <c r="D20" s="1" t="n">
        <v>180</v>
      </c>
      <c r="E20" s="1" t="n">
        <v>612</v>
      </c>
      <c r="F20" s="1" t="n">
        <f aca="false">ROUND(E20/612,2)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4</v>
      </c>
      <c r="C1" s="1" t="s">
        <v>5</v>
      </c>
      <c r="E1" s="1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7</v>
      </c>
      <c r="D2" s="1" t="s">
        <v>8</v>
      </c>
    </row>
    <row r="3" customFormat="false" ht="12.8" hidden="false" customHeight="false" outlineLevel="0" collapsed="false">
      <c r="A3" s="1" t="n">
        <v>7</v>
      </c>
      <c r="B3" s="1" t="n">
        <v>0</v>
      </c>
      <c r="C3" s="1" t="n">
        <v>7</v>
      </c>
      <c r="D3" s="1" t="n">
        <v>17</v>
      </c>
      <c r="E3" s="1" t="n">
        <f aca="false">C3+D3/100-(A3+B3/100)</f>
        <v>0.17</v>
      </c>
    </row>
    <row r="4" customFormat="false" ht="12.8" hidden="false" customHeight="false" outlineLevel="0" collapsed="false">
      <c r="A4" s="1" t="n">
        <v>7</v>
      </c>
      <c r="B4" s="1" t="n">
        <v>17</v>
      </c>
      <c r="C4" s="1" t="n">
        <v>7</v>
      </c>
      <c r="D4" s="1" t="n">
        <v>37</v>
      </c>
      <c r="E4" s="1" t="n">
        <f aca="false">C4+D4/100-(A4+B4/100)</f>
        <v>0.2</v>
      </c>
    </row>
    <row r="5" customFormat="false" ht="12.8" hidden="false" customHeight="false" outlineLevel="0" collapsed="false">
      <c r="A5" s="1" t="n">
        <v>7</v>
      </c>
      <c r="B5" s="1" t="n">
        <v>37</v>
      </c>
      <c r="C5" s="1" t="n">
        <v>7.5</v>
      </c>
      <c r="D5" s="1" t="n">
        <v>8</v>
      </c>
      <c r="E5" s="1" t="n">
        <f aca="false">C5+D5/100-(A5+B5/100)</f>
        <v>0.21</v>
      </c>
    </row>
    <row r="6" customFormat="false" ht="12.8" hidden="false" customHeight="false" outlineLevel="0" collapsed="false">
      <c r="A6" s="1" t="n">
        <v>7.5</v>
      </c>
      <c r="B6" s="1" t="n">
        <v>8</v>
      </c>
      <c r="C6" s="1" t="n">
        <v>7.5</v>
      </c>
      <c r="D6" s="1" t="n">
        <v>29</v>
      </c>
      <c r="E6" s="1" t="n">
        <f aca="false">C6+D6/100-(A6+B6/100)</f>
        <v>0.21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9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F35" activeCellId="0" sqref="F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9</v>
      </c>
    </row>
    <row r="2" customFormat="false" ht="12.8" hidden="false" customHeight="false" outlineLevel="0" collapsed="false">
      <c r="A2" s="1" t="s">
        <v>4</v>
      </c>
      <c r="C2" s="1" t="s">
        <v>5</v>
      </c>
      <c r="E2" s="1" t="s">
        <v>6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7</v>
      </c>
      <c r="D3" s="1" t="s">
        <v>8</v>
      </c>
      <c r="E3" s="1" t="s">
        <v>10</v>
      </c>
      <c r="F3" s="1" t="s">
        <v>11</v>
      </c>
      <c r="G3" s="1" t="s">
        <v>12</v>
      </c>
    </row>
    <row r="4" customFormat="false" ht="12.8" hidden="false" customHeight="false" outlineLevel="0" collapsed="false">
      <c r="A4" s="2" t="n">
        <v>7</v>
      </c>
      <c r="B4" s="2" t="n">
        <v>5</v>
      </c>
      <c r="C4" s="2" t="n">
        <v>7</v>
      </c>
      <c r="D4" s="2" t="n">
        <v>23</v>
      </c>
      <c r="E4" s="1" t="n">
        <f aca="false">C4+D4/100-(A4+B4/100)</f>
        <v>0.180000000000001</v>
      </c>
      <c r="F4" s="1" t="n">
        <f aca="false">0.532 *10^(-2)</f>
        <v>0.00532</v>
      </c>
      <c r="G4" s="1" t="n">
        <f aca="false">ROUND(F4/E4,4)</f>
        <v>0.0296</v>
      </c>
      <c r="H4" s="3" t="n">
        <f aca="false">A4+B4/100</f>
        <v>7.05</v>
      </c>
      <c r="I4" s="3" t="n">
        <f aca="false">C4+D4/100</f>
        <v>7.23</v>
      </c>
    </row>
    <row r="5" customFormat="false" ht="12.8" hidden="false" customHeight="false" outlineLevel="0" collapsed="false">
      <c r="A5" s="2" t="n">
        <v>7</v>
      </c>
      <c r="B5" s="2" t="n">
        <v>23</v>
      </c>
      <c r="C5" s="2" t="n">
        <v>7</v>
      </c>
      <c r="D5" s="2" t="n">
        <v>40</v>
      </c>
      <c r="E5" s="1" t="n">
        <f aca="false">C5+D5/100-(A5+B5/100)</f>
        <v>0.17</v>
      </c>
      <c r="F5" s="1" t="n">
        <f aca="false">0.532 *10^(-2)</f>
        <v>0.00532</v>
      </c>
      <c r="G5" s="1" t="n">
        <f aca="false">ROUND(F5/E5,4)</f>
        <v>0.0313</v>
      </c>
      <c r="H5" s="3" t="n">
        <f aca="false">A5+B5/100</f>
        <v>7.23</v>
      </c>
      <c r="I5" s="3" t="n">
        <f aca="false">C5+D5/100</f>
        <v>7.4</v>
      </c>
    </row>
    <row r="6" customFormat="false" ht="12.8" hidden="false" customHeight="false" outlineLevel="0" collapsed="false">
      <c r="A6" s="2" t="n">
        <v>7</v>
      </c>
      <c r="B6" s="2" t="n">
        <v>40</v>
      </c>
      <c r="C6" s="2" t="n">
        <v>7.5</v>
      </c>
      <c r="D6" s="2" t="n">
        <v>7</v>
      </c>
      <c r="E6" s="1" t="n">
        <f aca="false">C6+D6/100-(A6+B6/100)</f>
        <v>0.17</v>
      </c>
      <c r="F6" s="1" t="n">
        <f aca="false">0.532 *10^(-2)</f>
        <v>0.00532</v>
      </c>
      <c r="G6" s="1" t="n">
        <f aca="false">ROUND(F6/E6,4)</f>
        <v>0.0313</v>
      </c>
      <c r="H6" s="3" t="n">
        <f aca="false">A6+B6/100</f>
        <v>7.4</v>
      </c>
      <c r="I6" s="3" t="n">
        <f aca="false">C6+D6/100</f>
        <v>7.57</v>
      </c>
    </row>
    <row r="7" customFormat="false" ht="12.8" hidden="false" customHeight="false" outlineLevel="0" collapsed="false">
      <c r="A7" s="2" t="n">
        <v>7.5</v>
      </c>
      <c r="B7" s="2" t="n">
        <v>7</v>
      </c>
      <c r="C7" s="2" t="n">
        <v>7.5</v>
      </c>
      <c r="D7" s="2" t="n">
        <v>25</v>
      </c>
      <c r="E7" s="1" t="n">
        <f aca="false">C7+D7/100-(A7+B7/100)</f>
        <v>0.18</v>
      </c>
      <c r="F7" s="1" t="n">
        <f aca="false">0.532 *10^(-2)</f>
        <v>0.00532</v>
      </c>
      <c r="G7" s="1" t="n">
        <f aca="false">ROUND(F7/E7,4)</f>
        <v>0.0296</v>
      </c>
      <c r="H7" s="3" t="n">
        <f aca="false">A7+B7/100</f>
        <v>7.57</v>
      </c>
      <c r="I7" s="3" t="n">
        <f aca="false">C7+D7/100</f>
        <v>7.75</v>
      </c>
    </row>
    <row r="9" customFormat="false" ht="12.8" hidden="false" customHeight="false" outlineLevel="0" collapsed="false">
      <c r="F9" s="1" t="s">
        <v>13</v>
      </c>
      <c r="G9" s="4" t="n">
        <f aca="false">AVERAGE(G4:G7)</f>
        <v>0.03045</v>
      </c>
    </row>
    <row r="10" customFormat="false" ht="12.8" hidden="false" customHeight="false" outlineLevel="0" collapsed="false">
      <c r="A10" s="1" t="s">
        <v>14</v>
      </c>
      <c r="B10" s="1" t="n">
        <v>532</v>
      </c>
    </row>
    <row r="13" customFormat="false" ht="12.8" hidden="false" customHeight="false" outlineLevel="0" collapsed="false">
      <c r="A13" s="1" t="s">
        <v>15</v>
      </c>
    </row>
    <row r="14" customFormat="false" ht="12.8" hidden="false" customHeight="false" outlineLevel="0" collapsed="false">
      <c r="A14" s="1" t="s">
        <v>4</v>
      </c>
      <c r="C14" s="1" t="s">
        <v>5</v>
      </c>
      <c r="E14" s="1" t="s">
        <v>6</v>
      </c>
      <c r="F14" s="1" t="s">
        <v>16</v>
      </c>
    </row>
    <row r="15" customFormat="false" ht="12.8" hidden="false" customHeight="false" outlineLevel="0" collapsed="false">
      <c r="A15" s="1" t="s">
        <v>7</v>
      </c>
      <c r="B15" s="1" t="s">
        <v>8</v>
      </c>
      <c r="C15" s="1" t="s">
        <v>7</v>
      </c>
      <c r="D15" s="1" t="s">
        <v>8</v>
      </c>
      <c r="F15" s="1" t="s">
        <v>17</v>
      </c>
    </row>
    <row r="16" customFormat="false" ht="12.8" hidden="false" customHeight="false" outlineLevel="0" collapsed="false">
      <c r="A16" s="2" t="n">
        <v>7</v>
      </c>
      <c r="B16" s="2" t="n">
        <v>0</v>
      </c>
      <c r="C16" s="2" t="n">
        <v>7</v>
      </c>
      <c r="D16" s="2" t="n">
        <v>17</v>
      </c>
      <c r="E16" s="1" t="n">
        <f aca="false">C16+D16/100-(A16+B16/100)</f>
        <v>0.17</v>
      </c>
      <c r="F16" s="1" t="n">
        <f aca="false">2*E16*G$9/20*1000000</f>
        <v>517.65</v>
      </c>
      <c r="G16" s="3" t="n">
        <f aca="false">(F$21-F16)^2</f>
        <v>7011.96890625003</v>
      </c>
    </row>
    <row r="17" customFormat="false" ht="12.8" hidden="false" customHeight="false" outlineLevel="0" collapsed="false">
      <c r="A17" s="2" t="n">
        <v>7</v>
      </c>
      <c r="B17" s="2" t="n">
        <v>17</v>
      </c>
      <c r="C17" s="2" t="n">
        <v>7</v>
      </c>
      <c r="D17" s="2" t="n">
        <v>37</v>
      </c>
      <c r="E17" s="1" t="n">
        <f aca="false">C17+D17/100-(A17+B17/100)</f>
        <v>0.2</v>
      </c>
      <c r="F17" s="1" t="n">
        <f aca="false">2*E17*G$9/20*1000000</f>
        <v>609.000000000001</v>
      </c>
      <c r="G17" s="3" t="n">
        <f aca="false">(F$21-F17)^2</f>
        <v>57.950156250008</v>
      </c>
    </row>
    <row r="18" customFormat="false" ht="12.8" hidden="false" customHeight="false" outlineLevel="0" collapsed="false">
      <c r="A18" s="2" t="n">
        <v>7</v>
      </c>
      <c r="B18" s="2" t="n">
        <v>37</v>
      </c>
      <c r="C18" s="2" t="n">
        <v>7.5</v>
      </c>
      <c r="D18" s="2" t="n">
        <v>8</v>
      </c>
      <c r="E18" s="1" t="n">
        <f aca="false">C18+D18/100-(A18+B18/100)</f>
        <v>0.21</v>
      </c>
      <c r="F18" s="1" t="n">
        <f aca="false">2*E18*G$9/20*1000000</f>
        <v>639.45</v>
      </c>
      <c r="G18" s="3" t="n">
        <f aca="false">(F$21-F18)^2</f>
        <v>1448.75390624999</v>
      </c>
    </row>
    <row r="19" customFormat="false" ht="12.8" hidden="false" customHeight="false" outlineLevel="0" collapsed="false">
      <c r="A19" s="2" t="n">
        <v>7.5</v>
      </c>
      <c r="B19" s="2" t="n">
        <v>8</v>
      </c>
      <c r="C19" s="2" t="n">
        <v>7.5</v>
      </c>
      <c r="D19" s="2" t="n">
        <v>29</v>
      </c>
      <c r="E19" s="1" t="n">
        <f aca="false">C19+D19/100-(A19+B19/100)</f>
        <v>0.21</v>
      </c>
      <c r="F19" s="1" t="n">
        <f aca="false">2*E19*G$9/20*1000000</f>
        <v>639.45</v>
      </c>
      <c r="G19" s="3" t="n">
        <f aca="false">(F$21-F19)^2</f>
        <v>1448.75390624999</v>
      </c>
    </row>
    <row r="20" customFormat="false" ht="12.8" hidden="false" customHeight="false" outlineLevel="0" collapsed="false">
      <c r="G20" s="1" t="s">
        <v>18</v>
      </c>
    </row>
    <row r="21" customFormat="false" ht="12.8" hidden="false" customHeight="false" outlineLevel="0" collapsed="false">
      <c r="F21" s="4" t="n">
        <f aca="false">AVERAGE(F16:F19)</f>
        <v>601.3875</v>
      </c>
      <c r="G21" s="3" t="n">
        <f aca="false">SUM(G16:G19)</f>
        <v>9967.42687500002</v>
      </c>
      <c r="H21" s="3" t="n">
        <f aca="false">SQRT(G21/4)</f>
        <v>49.918500766249</v>
      </c>
    </row>
    <row r="24" customFormat="false" ht="12.8" hidden="false" customHeight="false" outlineLevel="0" collapsed="false">
      <c r="A24" s="1" t="s">
        <v>19</v>
      </c>
      <c r="B24" s="2" t="n">
        <v>280</v>
      </c>
      <c r="G24" s="1" t="s">
        <v>20</v>
      </c>
      <c r="H24" s="2" t="s">
        <v>21</v>
      </c>
    </row>
    <row r="25" customFormat="false" ht="12.8" hidden="false" customHeight="false" outlineLevel="0" collapsed="false">
      <c r="B25" s="1" t="s">
        <v>22</v>
      </c>
      <c r="C25" s="1" t="s">
        <v>23</v>
      </c>
      <c r="D25" s="1" t="s">
        <v>24</v>
      </c>
      <c r="E25" s="1" t="s">
        <v>25</v>
      </c>
      <c r="F25" s="1" t="s">
        <v>26</v>
      </c>
      <c r="G25" s="1" t="s">
        <v>27</v>
      </c>
      <c r="H25" s="1" t="s">
        <v>28</v>
      </c>
    </row>
    <row r="27" customFormat="false" ht="12.8" hidden="false" customHeight="false" outlineLevel="0" collapsed="false">
      <c r="A27" s="1" t="s">
        <v>29</v>
      </c>
      <c r="B27" s="1" t="n">
        <v>0</v>
      </c>
      <c r="C27" s="2" t="n">
        <v>55.4</v>
      </c>
      <c r="D27" s="2" t="n">
        <v>61.6</v>
      </c>
      <c r="E27" s="1" t="n">
        <f aca="false">(D27-C27)/2</f>
        <v>3.1</v>
      </c>
      <c r="F27" s="1" t="n">
        <f aca="false">E27^2-E$27^2</f>
        <v>0</v>
      </c>
      <c r="G27" s="1" t="n">
        <f aca="false">B$24</f>
        <v>280</v>
      </c>
      <c r="H27" s="1" t="e">
        <f aca="false">B27*G27^2*H$24*10^(-6)/F27</f>
        <v>#DIV/0!</v>
      </c>
    </row>
    <row r="28" customFormat="false" ht="12.8" hidden="false" customHeight="false" outlineLevel="0" collapsed="false">
      <c r="A28" s="1" t="s">
        <v>30</v>
      </c>
      <c r="B28" s="1" t="n">
        <v>1</v>
      </c>
      <c r="C28" s="2" t="n">
        <v>52.8</v>
      </c>
      <c r="D28" s="2" t="n">
        <v>63.4</v>
      </c>
      <c r="E28" s="1" t="n">
        <f aca="false">(D28-C28)/2</f>
        <v>5.3</v>
      </c>
      <c r="F28" s="1" t="n">
        <f aca="false">E28^2-E$27^2</f>
        <v>18.48</v>
      </c>
      <c r="G28" s="1" t="n">
        <f aca="false">B$24</f>
        <v>280</v>
      </c>
      <c r="H28" s="1" t="n">
        <f aca="false">B28*G28^2*H$24*10^(-6)/F28</f>
        <v>2.2569696969697</v>
      </c>
    </row>
    <row r="29" customFormat="false" ht="12.8" hidden="false" customHeight="false" outlineLevel="0" collapsed="false">
      <c r="A29" s="1" t="s">
        <v>31</v>
      </c>
      <c r="B29" s="1" t="n">
        <v>2</v>
      </c>
      <c r="C29" s="2" t="n">
        <v>51</v>
      </c>
      <c r="D29" s="2" t="n">
        <v>64.6</v>
      </c>
      <c r="E29" s="1" t="n">
        <f aca="false">(D29-C29)/2</f>
        <v>6.8</v>
      </c>
      <c r="F29" s="1" t="n">
        <f aca="false">E29^2-E$27^2</f>
        <v>36.63</v>
      </c>
      <c r="G29" s="1" t="n">
        <f aca="false">B$24</f>
        <v>280</v>
      </c>
      <c r="H29" s="1" t="n">
        <f aca="false">B29*G29^2*H$24*10^(-6)/F29</f>
        <v>2.27730275730276</v>
      </c>
    </row>
    <row r="30" customFormat="false" ht="12.8" hidden="false" customHeight="false" outlineLevel="0" collapsed="false">
      <c r="A30" s="1" t="s">
        <v>32</v>
      </c>
      <c r="B30" s="1" t="n">
        <v>3</v>
      </c>
      <c r="C30" s="2" t="n">
        <v>49.6</v>
      </c>
      <c r="D30" s="2" t="n">
        <v>65.7</v>
      </c>
      <c r="E30" s="1" t="n">
        <f aca="false">(D30-C30)/2</f>
        <v>8.05</v>
      </c>
      <c r="F30" s="1" t="n">
        <f aca="false">E30^2-E$27^2</f>
        <v>55.1925</v>
      </c>
      <c r="G30" s="1" t="n">
        <f aca="false">B$24</f>
        <v>280</v>
      </c>
      <c r="H30" s="1" t="n">
        <f aca="false">B30*G30^2*H$24*10^(-6)/F30</f>
        <v>2.26709063731485</v>
      </c>
    </row>
    <row r="31" customFormat="false" ht="12.8" hidden="false" customHeight="false" outlineLevel="0" collapsed="false">
      <c r="A31" s="1" t="s">
        <v>33</v>
      </c>
      <c r="B31" s="1" t="n">
        <v>4</v>
      </c>
      <c r="C31" s="2" t="n">
        <v>48.5</v>
      </c>
      <c r="D31" s="2" t="n">
        <v>66.7</v>
      </c>
      <c r="E31" s="1" t="n">
        <f aca="false">(D31-C31)/2</f>
        <v>9.1</v>
      </c>
      <c r="F31" s="1" t="n">
        <f aca="false">E31^2-E$27^2</f>
        <v>73.2</v>
      </c>
      <c r="G31" s="1" t="n">
        <f aca="false">B$24</f>
        <v>280</v>
      </c>
      <c r="H31" s="1" t="n">
        <f aca="false">B31*G31^2*H$24*10^(-6)/F31</f>
        <v>2.2791693989071</v>
      </c>
    </row>
    <row r="32" customFormat="false" ht="12.8" hidden="false" customHeight="false" outlineLevel="0" collapsed="false">
      <c r="A32" s="1" t="s">
        <v>34</v>
      </c>
      <c r="B32" s="1" t="n">
        <v>5</v>
      </c>
      <c r="C32" s="2" t="n">
        <v>47.3</v>
      </c>
      <c r="D32" s="2" t="n">
        <v>67.4</v>
      </c>
      <c r="E32" s="1" t="n">
        <f aca="false">(D32-C32)/2</f>
        <v>10.05</v>
      </c>
      <c r="F32" s="1" t="n">
        <f aca="false">E32^2-E$27^2</f>
        <v>91.3925000000001</v>
      </c>
      <c r="G32" s="1" t="n">
        <f aca="false">B$24</f>
        <v>280</v>
      </c>
      <c r="H32" s="1" t="n">
        <f aca="false">B32*G32^2*H$24*10^(-6)/F32</f>
        <v>2.28185026123588</v>
      </c>
    </row>
    <row r="34" customFormat="false" ht="12.8" hidden="false" customHeight="false" outlineLevel="0" collapsed="false">
      <c r="H34" s="1" t="n">
        <f aca="false">AVERAGE(H28:H32)</f>
        <v>2.27247655034606</v>
      </c>
    </row>
    <row r="37" customFormat="false" ht="12.8" hidden="false" customHeight="false" outlineLevel="0" collapsed="false">
      <c r="A37" s="1" t="s">
        <v>19</v>
      </c>
      <c r="B37" s="1" t="n">
        <v>320</v>
      </c>
      <c r="G37" s="1" t="s">
        <v>20</v>
      </c>
      <c r="H37" s="2" t="n">
        <v>532</v>
      </c>
    </row>
    <row r="38" customFormat="false" ht="12.8" hidden="false" customHeight="false" outlineLevel="0" collapsed="false">
      <c r="B38" s="1" t="s">
        <v>22</v>
      </c>
      <c r="C38" s="1" t="s">
        <v>23</v>
      </c>
      <c r="D38" s="1" t="s">
        <v>24</v>
      </c>
      <c r="E38" s="1" t="s">
        <v>25</v>
      </c>
      <c r="F38" s="1" t="s">
        <v>26</v>
      </c>
      <c r="G38" s="1" t="s">
        <v>27</v>
      </c>
      <c r="H38" s="1" t="s">
        <v>28</v>
      </c>
    </row>
    <row r="39" customFormat="false" ht="12.8" hidden="false" customHeight="false" outlineLevel="0" collapsed="false">
      <c r="A39" s="1" t="s">
        <v>29</v>
      </c>
      <c r="B39" s="1" t="n">
        <v>0</v>
      </c>
      <c r="C39" s="2" t="n">
        <v>55.5</v>
      </c>
      <c r="D39" s="2" t="n">
        <v>61</v>
      </c>
      <c r="E39" s="1" t="n">
        <f aca="false">(D39-C39)/2</f>
        <v>2.75</v>
      </c>
      <c r="F39" s="1" t="n">
        <f aca="false">E39^2-E$39^2</f>
        <v>0</v>
      </c>
      <c r="G39" s="1" t="n">
        <f aca="false">B$37</f>
        <v>320</v>
      </c>
      <c r="H39" s="1" t="e">
        <f aca="false">B39*G39^2*H$37*10^(-6)/F39</f>
        <v>#DIV/0!</v>
      </c>
    </row>
    <row r="40" customFormat="false" ht="12.8" hidden="false" customHeight="false" outlineLevel="0" collapsed="false">
      <c r="A40" s="1" t="s">
        <v>30</v>
      </c>
      <c r="B40" s="1" t="n">
        <v>1</v>
      </c>
      <c r="C40" s="2" t="n">
        <v>53</v>
      </c>
      <c r="D40" s="2" t="n">
        <v>62.9</v>
      </c>
      <c r="E40" s="1" t="n">
        <f aca="false">(D40-C40)/2</f>
        <v>4.95</v>
      </c>
      <c r="F40" s="1" t="n">
        <f aca="false">E40^2-E$39^2</f>
        <v>16.94</v>
      </c>
      <c r="G40" s="1" t="n">
        <f aca="false">B$37</f>
        <v>320</v>
      </c>
      <c r="H40" s="1" t="n">
        <f aca="false">B40*G40^2*H$37*10^(-6)/F40</f>
        <v>3.21586776859504</v>
      </c>
    </row>
    <row r="41" customFormat="false" ht="12.8" hidden="false" customHeight="false" outlineLevel="0" collapsed="false">
      <c r="A41" s="1" t="s">
        <v>31</v>
      </c>
      <c r="B41" s="1" t="n">
        <v>2</v>
      </c>
      <c r="C41" s="2" t="n">
        <v>51.7</v>
      </c>
      <c r="D41" s="2" t="n">
        <v>64.5</v>
      </c>
      <c r="E41" s="1" t="n">
        <f aca="false">(D41-C41)/2</f>
        <v>6.4</v>
      </c>
      <c r="F41" s="1" t="n">
        <f aca="false">E41^2-E$39^2</f>
        <v>33.3975</v>
      </c>
      <c r="G41" s="1" t="n">
        <f aca="false">B$37</f>
        <v>320</v>
      </c>
      <c r="H41" s="1" t="n">
        <f aca="false">B41*G41^2*H$37*10^(-6)/F41</f>
        <v>3.26232801856427</v>
      </c>
    </row>
    <row r="42" customFormat="false" ht="12.8" hidden="false" customHeight="false" outlineLevel="0" collapsed="false">
      <c r="A42" s="1" t="s">
        <v>32</v>
      </c>
      <c r="B42" s="1" t="n">
        <v>3</v>
      </c>
      <c r="C42" s="2" t="n">
        <v>50.4</v>
      </c>
      <c r="D42" s="2" t="n">
        <v>65.5</v>
      </c>
      <c r="E42" s="1" t="n">
        <f aca="false">(D42-C42)/2</f>
        <v>7.55</v>
      </c>
      <c r="F42" s="1" t="n">
        <f aca="false">E42^2-E$39^2</f>
        <v>49.44</v>
      </c>
      <c r="G42" s="1" t="n">
        <f aca="false">B$37</f>
        <v>320</v>
      </c>
      <c r="H42" s="1" t="n">
        <f aca="false">B42*G42^2*H$37*10^(-6)/F42</f>
        <v>3.30563106796116</v>
      </c>
    </row>
    <row r="43" customFormat="false" ht="12.8" hidden="false" customHeight="false" outlineLevel="0" collapsed="false">
      <c r="A43" s="1" t="s">
        <v>33</v>
      </c>
      <c r="B43" s="1" t="n">
        <v>4</v>
      </c>
      <c r="C43" s="2" t="n">
        <v>49.3</v>
      </c>
      <c r="D43" s="2" t="n">
        <v>66.7</v>
      </c>
      <c r="E43" s="1" t="n">
        <f aca="false">(D43-C43)/2</f>
        <v>8.7</v>
      </c>
      <c r="F43" s="1" t="n">
        <f aca="false">E43^2-E$39^2</f>
        <v>68.1275000000001</v>
      </c>
      <c r="G43" s="1" t="n">
        <f aca="false">B$37</f>
        <v>320</v>
      </c>
      <c r="H43" s="1" t="n">
        <f aca="false">B43*G43^2*H$37*10^(-6)/F43</f>
        <v>3.19852042126894</v>
      </c>
    </row>
    <row r="44" customFormat="false" ht="12.8" hidden="false" customHeight="false" outlineLevel="0" collapsed="false">
      <c r="A44" s="1" t="s">
        <v>34</v>
      </c>
      <c r="B44" s="1" t="n">
        <v>5</v>
      </c>
      <c r="C44" s="2" t="n">
        <v>48.3</v>
      </c>
      <c r="D44" s="2" t="n">
        <v>67.5</v>
      </c>
      <c r="E44" s="1" t="n">
        <f aca="false">(D44-C44)/2</f>
        <v>9.6</v>
      </c>
      <c r="F44" s="1" t="n">
        <f aca="false">E44^2-E$39^2</f>
        <v>84.5975</v>
      </c>
      <c r="G44" s="1" t="n">
        <f aca="false">B$37</f>
        <v>320</v>
      </c>
      <c r="H44" s="1" t="n">
        <f aca="false">B44*G44^2*H$37*10^(-6)/F44</f>
        <v>3.21976417742841</v>
      </c>
    </row>
    <row r="46" customFormat="false" ht="12.8" hidden="false" customHeight="false" outlineLevel="0" collapsed="false">
      <c r="H46" s="1" t="n">
        <f aca="false">AVERAGE(H40:H44)</f>
        <v>3.24042229076357</v>
      </c>
    </row>
    <row r="48" customFormat="false" ht="12.8" hidden="false" customHeight="false" outlineLevel="0" collapsed="false">
      <c r="G48" s="1" t="s">
        <v>35</v>
      </c>
      <c r="H48" s="4" t="n">
        <f aca="false">(H34+H46)/2</f>
        <v>2.75644942055481</v>
      </c>
      <c r="I48" s="1" t="s">
        <v>36</v>
      </c>
    </row>
    <row r="49" customFormat="false" ht="12.8" hidden="false" customHeight="false" outlineLevel="0" collapsed="false">
      <c r="G49" s="1" t="s">
        <v>37</v>
      </c>
      <c r="H49" s="1" t="n">
        <f aca="false">3*10^8/(3*H48*10^-3)</f>
        <v>36278554307.6906</v>
      </c>
      <c r="I49" s="1" t="n">
        <f aca="false">H49/10^10</f>
        <v>3.62785543076906</v>
      </c>
      <c r="J49" s="1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9"/>
  <sheetViews>
    <sheetView showFormulas="false" showGridLines="true" showRowColHeaders="true" showZeros="true" rightToLeft="false" tabSelected="false" showOutlineSymbols="true" defaultGridColor="true" view="normal" topLeftCell="B28" colorId="64" zoomScale="170" zoomScaleNormal="170" zoomScalePageLayoutView="100" workbookViewId="0">
      <selection pane="topLeft" activeCell="D45" activeCellId="0" sqref="D4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9</v>
      </c>
    </row>
    <row r="2" customFormat="false" ht="12.8" hidden="false" customHeight="false" outlineLevel="0" collapsed="false">
      <c r="A2" s="1" t="s">
        <v>4</v>
      </c>
      <c r="C2" s="1" t="s">
        <v>5</v>
      </c>
      <c r="E2" s="1" t="s">
        <v>6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7</v>
      </c>
      <c r="D3" s="1" t="s">
        <v>8</v>
      </c>
      <c r="E3" s="1" t="s">
        <v>10</v>
      </c>
      <c r="F3" s="1" t="s">
        <v>11</v>
      </c>
      <c r="G3" s="1" t="s">
        <v>12</v>
      </c>
    </row>
    <row r="4" customFormat="false" ht="12.8" hidden="false" customHeight="false" outlineLevel="0" collapsed="false">
      <c r="A4" s="2" t="n">
        <v>7</v>
      </c>
      <c r="B4" s="2" t="n">
        <v>5</v>
      </c>
      <c r="C4" s="2" t="n">
        <v>7</v>
      </c>
      <c r="D4" s="2" t="n">
        <v>23</v>
      </c>
      <c r="E4" s="1" t="n">
        <f aca="false">C4+D4/100-(A4+B4/100)</f>
        <v>0.180000000000001</v>
      </c>
      <c r="F4" s="1" t="n">
        <f aca="false">0.532 *10^(-2)</f>
        <v>0.00532</v>
      </c>
      <c r="G4" s="1" t="n">
        <f aca="false">F4/E4</f>
        <v>0.0295555555555555</v>
      </c>
    </row>
    <row r="5" customFormat="false" ht="12.8" hidden="false" customHeight="false" outlineLevel="0" collapsed="false">
      <c r="A5" s="2" t="n">
        <v>7</v>
      </c>
      <c r="B5" s="2" t="n">
        <v>23</v>
      </c>
      <c r="C5" s="2" t="n">
        <v>7</v>
      </c>
      <c r="D5" s="2" t="n">
        <v>40</v>
      </c>
      <c r="E5" s="1" t="n">
        <f aca="false">C5+D5/100-(A5+B5/100)</f>
        <v>0.17</v>
      </c>
      <c r="F5" s="1" t="n">
        <f aca="false">0.532 *10^(-2)</f>
        <v>0.00532</v>
      </c>
      <c r="G5" s="1" t="n">
        <f aca="false">F5/E5</f>
        <v>0.0312941176470588</v>
      </c>
    </row>
    <row r="6" customFormat="false" ht="12.8" hidden="false" customHeight="false" outlineLevel="0" collapsed="false">
      <c r="A6" s="2" t="n">
        <v>7</v>
      </c>
      <c r="B6" s="2" t="n">
        <v>40</v>
      </c>
      <c r="C6" s="2" t="n">
        <v>7.5</v>
      </c>
      <c r="D6" s="2" t="n">
        <v>7</v>
      </c>
      <c r="E6" s="1" t="n">
        <f aca="false">C6+D6/100-(A6+B6/100)</f>
        <v>0.17</v>
      </c>
      <c r="F6" s="1" t="n">
        <f aca="false">0.532 *10^(-2)</f>
        <v>0.00532</v>
      </c>
      <c r="G6" s="1" t="n">
        <f aca="false">F6/E6</f>
        <v>0.0312941176470588</v>
      </c>
    </row>
    <row r="7" customFormat="false" ht="12.8" hidden="false" customHeight="false" outlineLevel="0" collapsed="false">
      <c r="A7" s="2" t="n">
        <v>7.5</v>
      </c>
      <c r="B7" s="2" t="n">
        <v>7</v>
      </c>
      <c r="C7" s="2" t="n">
        <v>7.5</v>
      </c>
      <c r="D7" s="2" t="n">
        <v>25</v>
      </c>
      <c r="E7" s="1" t="n">
        <f aca="false">C7+D7/100-(A7+B7/100)</f>
        <v>0.18</v>
      </c>
      <c r="F7" s="1" t="n">
        <f aca="false">0.532 *10^(-2)</f>
        <v>0.00532</v>
      </c>
      <c r="G7" s="1" t="n">
        <f aca="false">F7/E7</f>
        <v>0.0295555555555556</v>
      </c>
    </row>
    <row r="9" customFormat="false" ht="12.8" hidden="false" customHeight="false" outlineLevel="0" collapsed="false">
      <c r="F9" s="1" t="s">
        <v>13</v>
      </c>
      <c r="G9" s="4" t="n">
        <f aca="false">AVERAGE(G4:G7)</f>
        <v>0.0304248366013072</v>
      </c>
    </row>
    <row r="10" customFormat="false" ht="12.8" hidden="false" customHeight="false" outlineLevel="0" collapsed="false">
      <c r="A10" s="1" t="s">
        <v>14</v>
      </c>
      <c r="B10" s="1" t="n">
        <v>532</v>
      </c>
    </row>
    <row r="13" customFormat="false" ht="12.8" hidden="false" customHeight="false" outlineLevel="0" collapsed="false">
      <c r="A13" s="1" t="s">
        <v>15</v>
      </c>
    </row>
    <row r="14" customFormat="false" ht="12.8" hidden="false" customHeight="false" outlineLevel="0" collapsed="false">
      <c r="A14" s="1" t="s">
        <v>4</v>
      </c>
      <c r="C14" s="1" t="s">
        <v>5</v>
      </c>
      <c r="E14" s="1" t="s">
        <v>6</v>
      </c>
      <c r="F14" s="1" t="s">
        <v>16</v>
      </c>
    </row>
    <row r="15" customFormat="false" ht="12.8" hidden="false" customHeight="false" outlineLevel="0" collapsed="false">
      <c r="A15" s="1" t="s">
        <v>7</v>
      </c>
      <c r="B15" s="1" t="s">
        <v>8</v>
      </c>
      <c r="C15" s="1" t="s">
        <v>7</v>
      </c>
      <c r="D15" s="1" t="s">
        <v>8</v>
      </c>
      <c r="F15" s="1" t="s">
        <v>17</v>
      </c>
    </row>
    <row r="16" customFormat="false" ht="12.8" hidden="false" customHeight="false" outlineLevel="0" collapsed="false">
      <c r="A16" s="2" t="n">
        <v>7</v>
      </c>
      <c r="B16" s="2" t="n">
        <v>0</v>
      </c>
      <c r="C16" s="2" t="n">
        <v>7</v>
      </c>
      <c r="D16" s="2" t="n">
        <v>17</v>
      </c>
      <c r="E16" s="1" t="n">
        <f aca="false">C16+D16/100-(A16+B16/100)</f>
        <v>0.17</v>
      </c>
      <c r="F16" s="1" t="n">
        <f aca="false">2*E16*G$9/20*1000000</f>
        <v>517.222222222222</v>
      </c>
    </row>
    <row r="17" customFormat="false" ht="12.8" hidden="false" customHeight="false" outlineLevel="0" collapsed="false">
      <c r="A17" s="2" t="n">
        <v>7</v>
      </c>
      <c r="B17" s="2" t="n">
        <v>17</v>
      </c>
      <c r="C17" s="2" t="n">
        <v>7</v>
      </c>
      <c r="D17" s="2" t="n">
        <v>37</v>
      </c>
      <c r="E17" s="1" t="n">
        <f aca="false">C17+D17/100-(A17+B17/100)</f>
        <v>0.2</v>
      </c>
      <c r="F17" s="1" t="n">
        <f aca="false">2*E17*G$9/20*1000000</f>
        <v>608.496732026144</v>
      </c>
    </row>
    <row r="18" customFormat="false" ht="12.8" hidden="false" customHeight="false" outlineLevel="0" collapsed="false">
      <c r="A18" s="2" t="n">
        <v>7</v>
      </c>
      <c r="B18" s="2" t="n">
        <v>37</v>
      </c>
      <c r="C18" s="2" t="n">
        <v>7.5</v>
      </c>
      <c r="D18" s="2" t="n">
        <v>8</v>
      </c>
      <c r="E18" s="1" t="n">
        <f aca="false">C18+D18/100-(A18+B18/100)</f>
        <v>0.21</v>
      </c>
      <c r="F18" s="1" t="n">
        <f aca="false">2*E18*G$9/20*1000000</f>
        <v>638.921568627451</v>
      </c>
    </row>
    <row r="19" customFormat="false" ht="12.8" hidden="false" customHeight="false" outlineLevel="0" collapsed="false">
      <c r="A19" s="2" t="n">
        <v>7.5</v>
      </c>
      <c r="B19" s="2" t="n">
        <v>8</v>
      </c>
      <c r="C19" s="2" t="n">
        <v>7.5</v>
      </c>
      <c r="D19" s="2" t="n">
        <v>29</v>
      </c>
      <c r="E19" s="1" t="n">
        <f aca="false">C19+D19/100-(A19+B19/100)</f>
        <v>0.21</v>
      </c>
      <c r="F19" s="1" t="n">
        <f aca="false">2*E19*G$9/20*1000000</f>
        <v>638.921568627451</v>
      </c>
    </row>
    <row r="20" customFormat="false" ht="12.8" hidden="false" customHeight="false" outlineLevel="0" collapsed="false">
      <c r="G20" s="1" t="s">
        <v>18</v>
      </c>
    </row>
    <row r="21" customFormat="false" ht="12.8" hidden="false" customHeight="false" outlineLevel="0" collapsed="false">
      <c r="F21" s="4" t="n">
        <f aca="false">AVERAGE(F16:F19)</f>
        <v>600.890522875817</v>
      </c>
    </row>
    <row r="24" customFormat="false" ht="12.8" hidden="false" customHeight="false" outlineLevel="0" collapsed="false">
      <c r="A24" s="1" t="s">
        <v>19</v>
      </c>
      <c r="B24" s="2" t="n">
        <v>280</v>
      </c>
      <c r="G24" s="1" t="s">
        <v>20</v>
      </c>
      <c r="H24" s="2" t="n">
        <v>506</v>
      </c>
    </row>
    <row r="25" customFormat="false" ht="12.8" hidden="false" customHeight="false" outlineLevel="0" collapsed="false">
      <c r="B25" s="1" t="s">
        <v>22</v>
      </c>
      <c r="C25" s="1" t="s">
        <v>23</v>
      </c>
      <c r="D25" s="1" t="s">
        <v>24</v>
      </c>
      <c r="E25" s="1" t="s">
        <v>39</v>
      </c>
      <c r="F25" s="1" t="s">
        <v>40</v>
      </c>
      <c r="G25" s="1" t="s">
        <v>27</v>
      </c>
      <c r="H25" s="1" t="s">
        <v>28</v>
      </c>
    </row>
    <row r="27" customFormat="false" ht="12.8" hidden="false" customHeight="false" outlineLevel="0" collapsed="false">
      <c r="A27" s="1" t="s">
        <v>29</v>
      </c>
      <c r="B27" s="1" t="n">
        <v>0</v>
      </c>
      <c r="C27" s="2" t="n">
        <v>52.5</v>
      </c>
      <c r="D27" s="2" t="n">
        <v>57.4</v>
      </c>
      <c r="E27" s="1" t="n">
        <f aca="false">(D27-C27)/2</f>
        <v>2.45</v>
      </c>
      <c r="F27" s="1" t="n">
        <f aca="false">E27^2-E$27^2</f>
        <v>0</v>
      </c>
      <c r="G27" s="1" t="n">
        <f aca="false">B$24</f>
        <v>280</v>
      </c>
      <c r="H27" s="1" t="e">
        <f aca="false">B27*G27^2*H$24*10^(-6)/F27</f>
        <v>#DIV/0!</v>
      </c>
    </row>
    <row r="28" customFormat="false" ht="12.8" hidden="false" customHeight="false" outlineLevel="0" collapsed="false">
      <c r="A28" s="1" t="s">
        <v>30</v>
      </c>
      <c r="B28" s="1" t="n">
        <v>1</v>
      </c>
      <c r="C28" s="2" t="n">
        <v>51.1</v>
      </c>
      <c r="D28" s="2" t="n">
        <v>58.9</v>
      </c>
      <c r="E28" s="1" t="n">
        <f aca="false">(D28-C28)/2</f>
        <v>3.9</v>
      </c>
      <c r="F28" s="1" t="n">
        <f aca="false">E28^2-E$27^2</f>
        <v>9.20749999999999</v>
      </c>
      <c r="G28" s="1" t="n">
        <f aca="false">B$24</f>
        <v>280</v>
      </c>
      <c r="H28" s="1" t="n">
        <f aca="false">B28*G28^2*H$24*10^(-6)/F28</f>
        <v>4.30848764594081</v>
      </c>
    </row>
    <row r="29" customFormat="false" ht="12.8" hidden="false" customHeight="false" outlineLevel="0" collapsed="false">
      <c r="A29" s="1" t="s">
        <v>31</v>
      </c>
      <c r="B29" s="1" t="n">
        <v>2</v>
      </c>
      <c r="C29" s="2" t="n">
        <v>50.4</v>
      </c>
      <c r="D29" s="2" t="n">
        <v>59.7</v>
      </c>
      <c r="E29" s="1" t="n">
        <f aca="false">(D29-C29)/2</f>
        <v>4.65</v>
      </c>
      <c r="F29" s="1" t="n">
        <f aca="false">E29^2-E$27^2</f>
        <v>15.62</v>
      </c>
      <c r="G29" s="1" t="n">
        <f aca="false">B$24</f>
        <v>280</v>
      </c>
      <c r="H29" s="1" t="n">
        <f aca="false">B29*G29^2*H$24*10^(-6)/F29</f>
        <v>5.0794366197183</v>
      </c>
    </row>
    <row r="30" customFormat="false" ht="12.8" hidden="false" customHeight="false" outlineLevel="0" collapsed="false">
      <c r="A30" s="1" t="s">
        <v>32</v>
      </c>
      <c r="B30" s="1" t="n">
        <v>3</v>
      </c>
      <c r="C30" s="2" t="n">
        <v>49.5</v>
      </c>
      <c r="D30" s="2" t="n">
        <v>61.3</v>
      </c>
      <c r="E30" s="1" t="n">
        <f aca="false">(D30-C30)/2</f>
        <v>5.9</v>
      </c>
      <c r="F30" s="1" t="n">
        <f aca="false">E30^2-E$27^2</f>
        <v>28.8075</v>
      </c>
      <c r="G30" s="1" t="n">
        <f aca="false">B$24</f>
        <v>280</v>
      </c>
      <c r="H30" s="1" t="n">
        <f aca="false">B30*G30^2*H$24*10^(-6)/F30</f>
        <v>4.13125748502994</v>
      </c>
    </row>
    <row r="31" customFormat="false" ht="12.8" hidden="false" customHeight="false" outlineLevel="0" collapsed="false">
      <c r="A31" s="1" t="s">
        <v>33</v>
      </c>
      <c r="B31" s="1" t="n">
        <v>4</v>
      </c>
      <c r="C31" s="2" t="n">
        <v>49</v>
      </c>
      <c r="D31" s="2" t="n">
        <v>61.8</v>
      </c>
      <c r="E31" s="1" t="n">
        <f aca="false">(D31-C31)/2</f>
        <v>6.4</v>
      </c>
      <c r="F31" s="1" t="n">
        <f aca="false">E31^2-E$27^2</f>
        <v>34.9575</v>
      </c>
      <c r="G31" s="1" t="n">
        <f aca="false">B$24</f>
        <v>280</v>
      </c>
      <c r="H31" s="1" t="n">
        <f aca="false">B31*G31^2*H$24*10^(-6)/F31</f>
        <v>4.53927197311021</v>
      </c>
    </row>
    <row r="32" customFormat="false" ht="12.8" hidden="false" customHeight="false" outlineLevel="0" collapsed="false">
      <c r="A32" s="1" t="s">
        <v>34</v>
      </c>
      <c r="B32" s="1" t="n">
        <v>5</v>
      </c>
      <c r="C32" s="2" t="n">
        <v>48.3</v>
      </c>
      <c r="D32" s="2" t="n">
        <v>62.3</v>
      </c>
      <c r="E32" s="1" t="n">
        <f aca="false">(D32-C32)/2</f>
        <v>7</v>
      </c>
      <c r="F32" s="1" t="n">
        <f aca="false">E32^2-E$27^2</f>
        <v>42.9975</v>
      </c>
      <c r="G32" s="1" t="n">
        <f aca="false">B$24</f>
        <v>280</v>
      </c>
      <c r="H32" s="1" t="n">
        <f aca="false">B32*G32^2*H$24*10^(-6)/F32</f>
        <v>4.61310541310541</v>
      </c>
    </row>
    <row r="34" customFormat="false" ht="12.8" hidden="false" customHeight="false" outlineLevel="0" collapsed="false">
      <c r="H34" s="1" t="n">
        <f aca="false">AVERAGE(H28:H32)</f>
        <v>4.53431182738094</v>
      </c>
    </row>
    <row r="37" customFormat="false" ht="12.8" hidden="false" customHeight="false" outlineLevel="0" collapsed="false">
      <c r="A37" s="1" t="s">
        <v>19</v>
      </c>
      <c r="B37" s="1" t="n">
        <v>350</v>
      </c>
      <c r="G37" s="1" t="s">
        <v>20</v>
      </c>
      <c r="H37" s="2" t="n">
        <v>532</v>
      </c>
    </row>
    <row r="38" customFormat="false" ht="12.8" hidden="false" customHeight="false" outlineLevel="0" collapsed="false">
      <c r="B38" s="1" t="s">
        <v>22</v>
      </c>
      <c r="C38" s="1" t="s">
        <v>23</v>
      </c>
      <c r="D38" s="1" t="s">
        <v>24</v>
      </c>
      <c r="E38" s="1" t="s">
        <v>25</v>
      </c>
      <c r="F38" s="1" t="s">
        <v>26</v>
      </c>
      <c r="G38" s="1" t="s">
        <v>27</v>
      </c>
      <c r="H38" s="1" t="s">
        <v>28</v>
      </c>
    </row>
    <row r="39" customFormat="false" ht="12.8" hidden="false" customHeight="false" outlineLevel="0" collapsed="false">
      <c r="A39" s="1" t="s">
        <v>29</v>
      </c>
      <c r="B39" s="1" t="n">
        <v>0</v>
      </c>
      <c r="C39" s="2" t="n">
        <v>51.6</v>
      </c>
      <c r="D39" s="2" t="n">
        <v>57.8</v>
      </c>
      <c r="E39" s="1" t="n">
        <f aca="false">(D39-C39)/2</f>
        <v>3.1</v>
      </c>
      <c r="F39" s="1" t="n">
        <f aca="false">E39^2-E$39^2</f>
        <v>0</v>
      </c>
      <c r="G39" s="1" t="n">
        <f aca="false">B$37</f>
        <v>350</v>
      </c>
      <c r="H39" s="1" t="e">
        <f aca="false">B39*G39^2*H$37*10^(-6)/F39</f>
        <v>#DIV/0!</v>
      </c>
    </row>
    <row r="40" customFormat="false" ht="12.8" hidden="false" customHeight="false" outlineLevel="0" collapsed="false">
      <c r="A40" s="1" t="s">
        <v>30</v>
      </c>
      <c r="B40" s="1" t="n">
        <v>1</v>
      </c>
      <c r="C40" s="2" t="n">
        <v>49.6</v>
      </c>
      <c r="D40" s="2" t="n">
        <v>59.5</v>
      </c>
      <c r="E40" s="1" t="n">
        <f aca="false">(D40-C40)/2</f>
        <v>4.95</v>
      </c>
      <c r="F40" s="1" t="n">
        <f aca="false">E40^2-E$39^2</f>
        <v>14.8925</v>
      </c>
      <c r="G40" s="1" t="n">
        <f aca="false">B$37</f>
        <v>350</v>
      </c>
      <c r="H40" s="1" t="n">
        <f aca="false">B40*G40^2*H$37*10^(-6)/F40</f>
        <v>4.37602820211516</v>
      </c>
    </row>
    <row r="41" customFormat="false" ht="12.8" hidden="false" customHeight="false" outlineLevel="0" collapsed="false">
      <c r="A41" s="1" t="s">
        <v>31</v>
      </c>
      <c r="B41" s="1" t="n">
        <v>2</v>
      </c>
      <c r="C41" s="2" t="n">
        <v>48.4</v>
      </c>
      <c r="D41" s="2" t="n">
        <v>61</v>
      </c>
      <c r="E41" s="1" t="n">
        <f aca="false">(D41-C41)/2</f>
        <v>6.3</v>
      </c>
      <c r="F41" s="1" t="n">
        <f aca="false">E41^2-E$39^2</f>
        <v>30.08</v>
      </c>
      <c r="G41" s="1" t="n">
        <f aca="false">B$37</f>
        <v>350</v>
      </c>
      <c r="H41" s="1" t="n">
        <f aca="false">B41*G41^2*H$37*10^(-6)/F41</f>
        <v>4.33311170212766</v>
      </c>
    </row>
    <row r="42" customFormat="false" ht="12.8" hidden="false" customHeight="false" outlineLevel="0" collapsed="false">
      <c r="A42" s="1" t="s">
        <v>32</v>
      </c>
      <c r="B42" s="1" t="n">
        <v>3</v>
      </c>
      <c r="C42" s="2" t="n">
        <v>47.5</v>
      </c>
      <c r="D42" s="2" t="n">
        <v>62</v>
      </c>
      <c r="E42" s="1" t="n">
        <f aca="false">(D42-C42)/2</f>
        <v>7.25</v>
      </c>
      <c r="F42" s="1" t="n">
        <f aca="false">E42^2-E$39^2</f>
        <v>42.9525</v>
      </c>
      <c r="G42" s="1" t="n">
        <f aca="false">B$37</f>
        <v>350</v>
      </c>
      <c r="H42" s="1" t="n">
        <f aca="false">B42*G42^2*H$37*10^(-6)/F42</f>
        <v>4.55177230661777</v>
      </c>
    </row>
    <row r="43" customFormat="false" ht="12.8" hidden="false" customHeight="false" outlineLevel="0" collapsed="false">
      <c r="A43" s="1" t="s">
        <v>33</v>
      </c>
      <c r="B43" s="1" t="n">
        <v>4</v>
      </c>
      <c r="C43" s="2" t="n">
        <v>46.7</v>
      </c>
      <c r="D43" s="2" t="n">
        <v>63</v>
      </c>
      <c r="E43" s="1" t="n">
        <f aca="false">(D43-C43)/2</f>
        <v>8.15</v>
      </c>
      <c r="F43" s="1" t="n">
        <f aca="false">E43^2-E$39^2</f>
        <v>56.8125</v>
      </c>
      <c r="G43" s="1" t="n">
        <f aca="false">B$37</f>
        <v>350</v>
      </c>
      <c r="H43" s="1" t="n">
        <f aca="false">B43*G43^2*H$37*10^(-6)/F43</f>
        <v>4.58842684268427</v>
      </c>
    </row>
    <row r="44" customFormat="false" ht="12.8" hidden="false" customHeight="false" outlineLevel="0" collapsed="false">
      <c r="A44" s="1" t="s">
        <v>34</v>
      </c>
      <c r="B44" s="1" t="n">
        <v>5</v>
      </c>
      <c r="C44" s="2" t="n">
        <v>45.6</v>
      </c>
      <c r="D44" s="2" t="n">
        <v>63.6</v>
      </c>
      <c r="E44" s="1" t="n">
        <f aca="false">(D44-C44)/2</f>
        <v>9</v>
      </c>
      <c r="F44" s="1" t="n">
        <f aca="false">E44^2-E$39^2</f>
        <v>71.39</v>
      </c>
      <c r="G44" s="1" t="n">
        <f aca="false">B$37</f>
        <v>350</v>
      </c>
      <c r="H44" s="1" t="n">
        <f aca="false">B44*G44^2*H$37*10^(-6)/F44</f>
        <v>4.56436475696876</v>
      </c>
    </row>
    <row r="46" customFormat="false" ht="12.8" hidden="false" customHeight="false" outlineLevel="0" collapsed="false">
      <c r="H46" s="1" t="n">
        <f aca="false">AVERAGE(H40:H44)</f>
        <v>4.48274076210272</v>
      </c>
    </row>
    <row r="48" customFormat="false" ht="12.8" hidden="false" customHeight="false" outlineLevel="0" collapsed="false">
      <c r="G48" s="1" t="s">
        <v>35</v>
      </c>
      <c r="H48" s="4" t="n">
        <f aca="false">(H34+H46)/2</f>
        <v>4.50852629474183</v>
      </c>
      <c r="I48" s="1" t="s">
        <v>36</v>
      </c>
    </row>
    <row r="49" customFormat="false" ht="12.8" hidden="false" customHeight="false" outlineLevel="0" collapsed="false">
      <c r="G49" s="1" t="s">
        <v>37</v>
      </c>
      <c r="H49" s="1" t="n">
        <f aca="false">3*10^8/(3*H48*10^-3)</f>
        <v>22180196690.1307</v>
      </c>
      <c r="I49" s="1" t="n">
        <f aca="false">H49/10^10</f>
        <v>2.21801966901307</v>
      </c>
      <c r="J49" s="1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7" colorId="64" zoomScale="170" zoomScaleNormal="170" zoomScalePageLayoutView="100" workbookViewId="0">
      <selection pane="topLeft" activeCell="H20" activeCellId="0" sqref="H20"/>
    </sheetView>
  </sheetViews>
  <sheetFormatPr defaultColWidth="11.53515625" defaultRowHeight="12.8" zeroHeight="false" outlineLevelRow="0" outlineLevelCol="0"/>
  <cols>
    <col collapsed="false" customWidth="true" hidden="false" outlineLevel="0" max="6" min="6" style="3" width="13.75"/>
  </cols>
  <sheetData>
    <row r="1" customFormat="false" ht="12.8" hidden="false" customHeight="false" outlineLevel="0" collapsed="false">
      <c r="A1" s="1" t="s">
        <v>41</v>
      </c>
    </row>
    <row r="3" customFormat="false" ht="12.8" hidden="false" customHeight="false" outlineLevel="0" collapsed="false">
      <c r="A3" s="1" t="s">
        <v>4</v>
      </c>
      <c r="C3" s="1" t="s">
        <v>5</v>
      </c>
      <c r="E3" s="1" t="s">
        <v>6</v>
      </c>
    </row>
    <row r="4" customFormat="false" ht="12.8" hidden="false" customHeight="false" outlineLevel="0" collapsed="false">
      <c r="A4" s="1" t="s">
        <v>7</v>
      </c>
      <c r="B4" s="1" t="s">
        <v>8</v>
      </c>
      <c r="C4" s="1" t="s">
        <v>7</v>
      </c>
      <c r="D4" s="1" t="s">
        <v>8</v>
      </c>
      <c r="E4" s="1" t="s">
        <v>10</v>
      </c>
      <c r="F4" s="1" t="s">
        <v>11</v>
      </c>
      <c r="G4" s="1" t="s">
        <v>12</v>
      </c>
    </row>
    <row r="5" customFormat="false" ht="12.8" hidden="false" customHeight="false" outlineLevel="0" collapsed="false">
      <c r="A5" s="2" t="n">
        <v>8.5</v>
      </c>
      <c r="B5" s="2" t="n">
        <v>0</v>
      </c>
      <c r="C5" s="2" t="n">
        <v>8</v>
      </c>
      <c r="D5" s="2" t="n">
        <v>6</v>
      </c>
      <c r="E5" s="1" t="n">
        <f aca="false">ABS(C5+D5/100-(A5+B5/100))</f>
        <v>0.44</v>
      </c>
      <c r="F5" s="1" t="n">
        <f aca="false">0.532 *10^(-2)</f>
        <v>0.00532</v>
      </c>
      <c r="G5" s="1" t="n">
        <f aca="false">F5/E5</f>
        <v>0.0120909090909091</v>
      </c>
    </row>
    <row r="6" customFormat="false" ht="12.8" hidden="false" customHeight="false" outlineLevel="0" collapsed="false">
      <c r="A6" s="2" t="n">
        <v>8</v>
      </c>
      <c r="B6" s="2" t="n">
        <v>6</v>
      </c>
      <c r="C6" s="2" t="n">
        <v>7.5</v>
      </c>
      <c r="D6" s="2" t="n">
        <v>28</v>
      </c>
      <c r="E6" s="1" t="n">
        <f aca="false">ABS(C6+D6/100-(A6+B6/100))</f>
        <v>0.28</v>
      </c>
      <c r="F6" s="1" t="n">
        <f aca="false">0.532 *10^(-2)</f>
        <v>0.00532</v>
      </c>
      <c r="G6" s="1" t="n">
        <f aca="false">F6/E6</f>
        <v>0.019</v>
      </c>
    </row>
    <row r="7" customFormat="false" ht="12.8" hidden="false" customHeight="false" outlineLevel="0" collapsed="false">
      <c r="A7" s="2" t="n">
        <v>7.5</v>
      </c>
      <c r="B7" s="2" t="n">
        <v>28</v>
      </c>
      <c r="C7" s="2" t="n">
        <v>7.5</v>
      </c>
      <c r="D7" s="2" t="n">
        <v>46</v>
      </c>
      <c r="E7" s="1" t="n">
        <f aca="false">ABS(C7+D7/100-(A7+B7/100))</f>
        <v>0.18</v>
      </c>
      <c r="F7" s="1" t="n">
        <f aca="false">0.532 *10^(-2)</f>
        <v>0.00532</v>
      </c>
      <c r="G7" s="1" t="n">
        <f aca="false">F7/E7</f>
        <v>0.0295555555555556</v>
      </c>
    </row>
    <row r="8" customFormat="false" ht="12.8" hidden="false" customHeight="false" outlineLevel="0" collapsed="false">
      <c r="A8" s="2" t="n">
        <v>7.5</v>
      </c>
      <c r="B8" s="2" t="n">
        <v>46</v>
      </c>
      <c r="C8" s="2" t="n">
        <v>7</v>
      </c>
      <c r="D8" s="2" t="n">
        <v>15</v>
      </c>
      <c r="E8" s="1" t="n">
        <f aca="false">ABS(C8+D8/100-(A8+B8/100))</f>
        <v>0.81</v>
      </c>
      <c r="F8" s="1" t="n">
        <f aca="false">0.532 *10^(-2)</f>
        <v>0.00532</v>
      </c>
      <c r="G8" s="1" t="n">
        <f aca="false">F8/E8</f>
        <v>0.0065679012345679</v>
      </c>
    </row>
    <row r="9" customFormat="false" ht="12.8" hidden="false" customHeight="false" outlineLevel="0" collapsed="false">
      <c r="E9" s="1" t="n">
        <f aca="false">AVERAGE(E5:E8)</f>
        <v>0.4275</v>
      </c>
    </row>
    <row r="10" customFormat="false" ht="12.8" hidden="false" customHeight="false" outlineLevel="0" collapsed="false">
      <c r="F10" s="1" t="s">
        <v>13</v>
      </c>
      <c r="G10" s="4" t="n">
        <f aca="false">AVERAGE(G5:G8)</f>
        <v>0.0168035914702581</v>
      </c>
    </row>
    <row r="12" customFormat="false" ht="12.8" hidden="false" customHeight="false" outlineLevel="0" collapsed="false">
      <c r="G12" s="3" t="n">
        <f aca="false">AVERAGE(G5:G6,G8)</f>
        <v>0.012552936775159</v>
      </c>
    </row>
    <row r="13" customFormat="false" ht="12.8" hidden="false" customHeight="false" outlineLevel="0" collapsed="false">
      <c r="E13" s="1"/>
    </row>
    <row r="16" customFormat="false" ht="12.8" hidden="false" customHeight="false" outlineLevel="0" collapsed="false">
      <c r="A16" s="1" t="s">
        <v>42</v>
      </c>
    </row>
    <row r="17" customFormat="false" ht="12.8" hidden="false" customHeight="false" outlineLevel="0" collapsed="false">
      <c r="A17" s="1" t="s">
        <v>15</v>
      </c>
      <c r="E17" s="1" t="s">
        <v>43</v>
      </c>
      <c r="F17" s="2" t="n">
        <v>0.0125</v>
      </c>
    </row>
    <row r="18" customFormat="false" ht="12.8" hidden="false" customHeight="false" outlineLevel="0" collapsed="false">
      <c r="A18" s="1" t="s">
        <v>4</v>
      </c>
      <c r="C18" s="1" t="s">
        <v>5</v>
      </c>
      <c r="E18" s="1" t="s">
        <v>6</v>
      </c>
      <c r="F18" s="1" t="s">
        <v>16</v>
      </c>
    </row>
    <row r="19" customFormat="false" ht="12.8" hidden="false" customHeight="false" outlineLevel="0" collapsed="false">
      <c r="A19" s="1" t="s">
        <v>7</v>
      </c>
      <c r="B19" s="1" t="s">
        <v>8</v>
      </c>
      <c r="C19" s="1" t="s">
        <v>7</v>
      </c>
      <c r="D19" s="1" t="s">
        <v>8</v>
      </c>
      <c r="F19" s="1" t="s">
        <v>17</v>
      </c>
    </row>
    <row r="20" customFormat="false" ht="12.8" hidden="false" customHeight="false" outlineLevel="0" collapsed="false">
      <c r="A20" s="2" t="n">
        <v>8.5</v>
      </c>
      <c r="B20" s="2" t="n">
        <v>1</v>
      </c>
      <c r="C20" s="2" t="n">
        <v>8</v>
      </c>
      <c r="D20" s="2" t="n">
        <v>1</v>
      </c>
      <c r="E20" s="1" t="n">
        <f aca="false">-1*(C20+D20/100-(A20+B20/100))</f>
        <v>0.5</v>
      </c>
      <c r="F20" s="1" t="n">
        <f aca="false">2*E20*F$17/20*1000000</f>
        <v>625</v>
      </c>
      <c r="H20" s="3" t="n">
        <f aca="false">(F$25-F20)^2</f>
        <v>1600</v>
      </c>
    </row>
    <row r="21" customFormat="false" ht="12.8" hidden="false" customHeight="false" outlineLevel="0" collapsed="false">
      <c r="A21" s="2" t="n">
        <v>8</v>
      </c>
      <c r="B21" s="2" t="n">
        <v>1</v>
      </c>
      <c r="C21" s="2" t="n">
        <v>7.5</v>
      </c>
      <c r="D21" s="2" t="n">
        <v>0</v>
      </c>
      <c r="E21" s="1" t="n">
        <f aca="false">-1*(C21+D21/100-(A21+B21/100))</f>
        <v>0.51</v>
      </c>
      <c r="F21" s="1" t="n">
        <f aca="false">2*E21*F$17/20*1000000</f>
        <v>637.5</v>
      </c>
      <c r="H21" s="3" t="n">
        <f aca="false">(F$25-F21)^2</f>
        <v>756.250000000013</v>
      </c>
    </row>
    <row r="22" customFormat="false" ht="12.8" hidden="false" customHeight="false" outlineLevel="0" collapsed="false">
      <c r="A22" s="2" t="n">
        <v>7.5</v>
      </c>
      <c r="B22" s="2" t="n">
        <v>0</v>
      </c>
      <c r="C22" s="2" t="n">
        <v>6.5</v>
      </c>
      <c r="D22" s="2" t="n">
        <v>46</v>
      </c>
      <c r="E22" s="1" t="n">
        <f aca="false">-1*(C22+D22/100-(A22+B22/100))</f>
        <v>0.54</v>
      </c>
      <c r="F22" s="1" t="n">
        <f aca="false">2*E22*F$17/20*1000000</f>
        <v>675</v>
      </c>
      <c r="H22" s="3" t="n">
        <f aca="false">(F$25-F22)^2</f>
        <v>100</v>
      </c>
    </row>
    <row r="23" customFormat="false" ht="12.8" hidden="false" customHeight="false" outlineLevel="0" collapsed="false">
      <c r="A23" s="2" t="n">
        <v>6.5</v>
      </c>
      <c r="B23" s="2" t="n">
        <v>46</v>
      </c>
      <c r="C23" s="2" t="n">
        <v>6</v>
      </c>
      <c r="D23" s="2" t="n">
        <v>39</v>
      </c>
      <c r="E23" s="1" t="n">
        <f aca="false">-1*(C23+D23/100-(A23+B23/100))</f>
        <v>0.57</v>
      </c>
      <c r="F23" s="1" t="n">
        <f aca="false">2*E23*F$17/20*1000000</f>
        <v>712.5</v>
      </c>
      <c r="H23" s="3" t="n">
        <f aca="false">(F$25-F23)^2</f>
        <v>2256.25000000003</v>
      </c>
    </row>
    <row r="24" customFormat="false" ht="12.8" hidden="false" customHeight="false" outlineLevel="0" collapsed="false">
      <c r="A24" s="2" t="n">
        <v>6</v>
      </c>
      <c r="B24" s="2" t="n">
        <v>39</v>
      </c>
      <c r="C24" s="2" t="n">
        <v>5.5</v>
      </c>
      <c r="D24" s="2" t="n">
        <v>35</v>
      </c>
      <c r="E24" s="1" t="n">
        <f aca="false">-1*(C24+D24/100-(A24+B24/100))</f>
        <v>0.54</v>
      </c>
      <c r="F24" s="1" t="n">
        <f aca="false">2*E24*F$17/20*1000000</f>
        <v>675</v>
      </c>
      <c r="G24" s="1" t="s">
        <v>18</v>
      </c>
      <c r="H24" s="3" t="n">
        <f aca="false">(F$25-F24)^2</f>
        <v>100</v>
      </c>
    </row>
    <row r="25" customFormat="false" ht="12.8" hidden="false" customHeight="false" outlineLevel="0" collapsed="false">
      <c r="F25" s="4" t="n">
        <f aca="false">AVERAGE(F20:F24)</f>
        <v>665</v>
      </c>
      <c r="H25" s="3" t="n">
        <f aca="false">SUM(H20:H24)</f>
        <v>4812.50000000005</v>
      </c>
    </row>
    <row r="26" customFormat="false" ht="12.8" hidden="false" customHeight="false" outlineLevel="0" collapsed="false">
      <c r="H26" s="3" t="n">
        <f aca="false">SQRT(H25/5)</f>
        <v>31.0241841149773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6"/>
  <sheetViews>
    <sheetView showFormulas="false" showGridLines="true" showRowColHeaders="true" showZeros="true" rightToLeft="false" tabSelected="true" showOutlineSymbols="true" defaultGridColor="true" view="normal" topLeftCell="A54" colorId="64" zoomScale="170" zoomScaleNormal="170" zoomScalePageLayoutView="100" workbookViewId="0">
      <selection pane="topLeft" activeCell="F39" activeCellId="0" sqref="F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8.25"/>
  </cols>
  <sheetData>
    <row r="1" customFormat="false" ht="12.8" hidden="false" customHeight="false" outlineLevel="0" collapsed="false">
      <c r="A1" s="3" t="s">
        <v>44</v>
      </c>
    </row>
    <row r="2" customFormat="false" ht="12.8" hidden="false" customHeight="false" outlineLevel="0" collapsed="false">
      <c r="A2" s="3" t="s">
        <v>45</v>
      </c>
      <c r="B2" s="3" t="s">
        <v>46</v>
      </c>
      <c r="C2" s="3" t="s">
        <v>47</v>
      </c>
    </row>
    <row r="3" customFormat="false" ht="12.8" hidden="false" customHeight="false" outlineLevel="0" collapsed="false">
      <c r="A3" s="2" t="n">
        <v>5</v>
      </c>
      <c r="B3" s="2" t="n">
        <v>5.21</v>
      </c>
      <c r="C3" s="3" t="n">
        <f aca="false">B3-A3</f>
        <v>0.21</v>
      </c>
    </row>
    <row r="4" customFormat="false" ht="12.8" hidden="false" customHeight="false" outlineLevel="0" collapsed="false">
      <c r="A4" s="2" t="n">
        <v>5.21</v>
      </c>
      <c r="B4" s="2" t="n">
        <v>5.41</v>
      </c>
      <c r="C4" s="3" t="n">
        <f aca="false">B4-A4</f>
        <v>0.2</v>
      </c>
    </row>
    <row r="5" customFormat="false" ht="12.8" hidden="false" customHeight="false" outlineLevel="0" collapsed="false">
      <c r="A5" s="2" t="n">
        <v>5.41</v>
      </c>
      <c r="B5" s="2" t="n">
        <v>5.66</v>
      </c>
      <c r="C5" s="3" t="n">
        <f aca="false">B5-A5</f>
        <v>0.25</v>
      </c>
    </row>
    <row r="6" customFormat="false" ht="12.8" hidden="false" customHeight="false" outlineLevel="0" collapsed="false">
      <c r="A6" s="2" t="n">
        <v>5.94</v>
      </c>
      <c r="B6" s="2" t="n">
        <v>6.17</v>
      </c>
      <c r="C6" s="3" t="n">
        <f aca="false">B6-A6</f>
        <v>0.23</v>
      </c>
    </row>
    <row r="7" customFormat="false" ht="12.8" hidden="false" customHeight="false" outlineLevel="0" collapsed="false">
      <c r="A7" s="2" t="n">
        <v>6.17</v>
      </c>
      <c r="B7" s="2" t="n">
        <v>6.4</v>
      </c>
      <c r="C7" s="3" t="n">
        <f aca="false">B7-A7</f>
        <v>0.23</v>
      </c>
    </row>
    <row r="8" customFormat="false" ht="12.8" hidden="false" customHeight="false" outlineLevel="0" collapsed="false">
      <c r="C8" s="3" t="s">
        <v>48</v>
      </c>
      <c r="D8" s="3" t="s">
        <v>49</v>
      </c>
    </row>
    <row r="9" customFormat="false" ht="12.8" hidden="false" customHeight="false" outlineLevel="0" collapsed="false">
      <c r="C9" s="5" t="n">
        <f aca="false">AVERAGE(C3:C7)</f>
        <v>0.224</v>
      </c>
      <c r="D9" s="3" t="n">
        <f aca="false">C9/1000</f>
        <v>0.000224</v>
      </c>
    </row>
    <row r="10" customFormat="false" ht="12.8" hidden="false" customHeight="false" outlineLevel="0" collapsed="false">
      <c r="B10" s="3" t="s">
        <v>50</v>
      </c>
      <c r="C10" s="2" t="n">
        <v>655</v>
      </c>
    </row>
    <row r="11" customFormat="false" ht="12.8" hidden="false" customHeight="false" outlineLevel="0" collapsed="false">
      <c r="B11" s="3" t="s">
        <v>51</v>
      </c>
      <c r="C11" s="3" t="n">
        <f aca="false">20*C10/2*10^(-9)</f>
        <v>6.55E-006</v>
      </c>
    </row>
    <row r="12" customFormat="false" ht="12.8" hidden="false" customHeight="false" outlineLevel="0" collapsed="false">
      <c r="B12" s="3" t="s">
        <v>52</v>
      </c>
      <c r="C12" s="5" t="n">
        <f aca="false">C11/D9</f>
        <v>0.0292410714285714</v>
      </c>
    </row>
    <row r="14" customFormat="false" ht="12.8" hidden="false" customHeight="false" outlineLevel="0" collapsed="false">
      <c r="A14" s="3" t="s">
        <v>53</v>
      </c>
    </row>
    <row r="15" customFormat="false" ht="12.8" hidden="false" customHeight="false" outlineLevel="0" collapsed="false">
      <c r="C15" s="3" t="s">
        <v>54</v>
      </c>
      <c r="D15" s="3" t="s">
        <v>55</v>
      </c>
    </row>
    <row r="16" customFormat="false" ht="12.8" hidden="false" customHeight="false" outlineLevel="0" collapsed="false">
      <c r="C16" s="2" t="n">
        <v>0</v>
      </c>
      <c r="D16" s="2" t="n">
        <v>240</v>
      </c>
    </row>
    <row r="17" customFormat="false" ht="12.8" hidden="false" customHeight="false" outlineLevel="0" collapsed="false">
      <c r="C17" s="2" t="n">
        <v>1</v>
      </c>
      <c r="D17" s="2" t="n">
        <v>220</v>
      </c>
    </row>
    <row r="18" customFormat="false" ht="12.8" hidden="false" customHeight="false" outlineLevel="0" collapsed="false">
      <c r="C18" s="2" t="n">
        <v>2</v>
      </c>
      <c r="D18" s="2" t="n">
        <v>202</v>
      </c>
    </row>
    <row r="19" customFormat="false" ht="12.8" hidden="false" customHeight="false" outlineLevel="0" collapsed="false">
      <c r="C19" s="2" t="n">
        <v>3</v>
      </c>
      <c r="D19" s="2" t="n">
        <v>178</v>
      </c>
    </row>
    <row r="20" customFormat="false" ht="12.8" hidden="false" customHeight="false" outlineLevel="0" collapsed="false">
      <c r="C20" s="2" t="n">
        <v>4</v>
      </c>
      <c r="D20" s="2" t="n">
        <v>156</v>
      </c>
    </row>
    <row r="21" customFormat="false" ht="12.8" hidden="false" customHeight="false" outlineLevel="0" collapsed="false">
      <c r="C21" s="2" t="n">
        <v>5</v>
      </c>
      <c r="D21" s="2" t="n">
        <v>132</v>
      </c>
    </row>
    <row r="22" customFormat="false" ht="12.8" hidden="false" customHeight="false" outlineLevel="0" collapsed="false">
      <c r="C22" s="2" t="n">
        <v>6</v>
      </c>
      <c r="D22" s="2" t="n">
        <v>118</v>
      </c>
    </row>
    <row r="23" customFormat="false" ht="12.8" hidden="false" customHeight="false" outlineLevel="0" collapsed="false">
      <c r="C23" s="2" t="n">
        <v>7</v>
      </c>
      <c r="D23" s="2" t="n">
        <v>96</v>
      </c>
    </row>
    <row r="24" customFormat="false" ht="12.8" hidden="false" customHeight="false" outlineLevel="0" collapsed="false">
      <c r="C24" s="2" t="n">
        <v>8</v>
      </c>
      <c r="D24" s="2" t="n">
        <v>72</v>
      </c>
    </row>
    <row r="25" customFormat="false" ht="12.8" hidden="false" customHeight="false" outlineLevel="0" collapsed="false">
      <c r="C25" s="2" t="n">
        <v>9</v>
      </c>
      <c r="D25" s="2" t="n">
        <v>50</v>
      </c>
    </row>
    <row r="26" customFormat="false" ht="12.8" hidden="false" customHeight="false" outlineLevel="0" collapsed="false">
      <c r="C26" s="2" t="n">
        <v>10</v>
      </c>
      <c r="D26" s="2" t="n">
        <v>30</v>
      </c>
    </row>
    <row r="27" customFormat="false" ht="12.8" hidden="false" customHeight="false" outlineLevel="0" collapsed="false">
      <c r="C27" s="2" t="n">
        <v>11</v>
      </c>
      <c r="D27" s="2" t="n">
        <v>10</v>
      </c>
    </row>
    <row r="28" customFormat="false" ht="12.8" hidden="false" customHeight="false" outlineLevel="0" collapsed="false">
      <c r="A28" s="3" t="s">
        <v>56</v>
      </c>
      <c r="B28" s="2" t="n">
        <f aca="false">21.0769</f>
        <v>21.0769</v>
      </c>
    </row>
    <row r="29" customFormat="false" ht="12.8" hidden="false" customHeight="false" outlineLevel="0" collapsed="false">
      <c r="A29" s="3" t="s">
        <v>57</v>
      </c>
      <c r="B29" s="2" t="n">
        <f aca="false">532*10^(-9)</f>
        <v>5.32E-007</v>
      </c>
    </row>
    <row r="30" customFormat="false" ht="35.05" hidden="false" customHeight="false" outlineLevel="0" collapsed="false">
      <c r="A30" s="3" t="s">
        <v>58</v>
      </c>
      <c r="B30" s="2" t="n">
        <v>760</v>
      </c>
      <c r="C30" s="6" t="s">
        <v>59</v>
      </c>
    </row>
    <row r="31" customFormat="false" ht="12.8" hidden="false" customHeight="false" outlineLevel="0" collapsed="false">
      <c r="A31" s="3" t="s">
        <v>60</v>
      </c>
      <c r="B31" s="2" t="n">
        <f aca="false">8*10^(-2)</f>
        <v>0.08</v>
      </c>
    </row>
    <row r="33" customFormat="false" ht="12.8" hidden="false" customHeight="false" outlineLevel="0" collapsed="false">
      <c r="A33" s="3" t="s">
        <v>61</v>
      </c>
      <c r="B33" s="5" t="n">
        <f aca="false">B29*B30/(B28*B31)</f>
        <v>0.000239788583710128</v>
      </c>
    </row>
    <row r="34" customFormat="false" ht="12.8" hidden="false" customHeight="false" outlineLevel="0" collapsed="false">
      <c r="B34" s="3" t="n">
        <f aca="false">1+B33</f>
        <v>1.00023978858371</v>
      </c>
    </row>
    <row r="37" customFormat="false" ht="12.8" hidden="false" customHeight="false" outlineLevel="0" collapsed="false">
      <c r="A37" s="3" t="s">
        <v>62</v>
      </c>
    </row>
    <row r="39" customFormat="false" ht="12.8" hidden="false" customHeight="false" outlineLevel="0" collapsed="false">
      <c r="B39" s="3"/>
      <c r="C39" s="3"/>
    </row>
    <row r="40" customFormat="false" ht="12.8" hidden="false" customHeight="false" outlineLevel="0" collapsed="false">
      <c r="B40" s="3"/>
      <c r="C40" s="3"/>
    </row>
    <row r="41" customFormat="false" ht="12.8" hidden="false" customHeight="false" outlineLevel="0" collapsed="false">
      <c r="B41" s="3"/>
      <c r="C41" s="3"/>
    </row>
    <row r="42" customFormat="false" ht="12.8" hidden="false" customHeight="false" outlineLevel="0" collapsed="false">
      <c r="B42" s="3"/>
      <c r="C42" s="3"/>
    </row>
    <row r="43" customFormat="false" ht="12.8" hidden="false" customHeight="false" outlineLevel="0" collapsed="false">
      <c r="B43" s="3"/>
      <c r="C43" s="3"/>
    </row>
    <row r="44" customFormat="false" ht="12.8" hidden="false" customHeight="false" outlineLevel="0" collapsed="false">
      <c r="B44" s="3"/>
      <c r="C44" s="3"/>
    </row>
    <row r="45" customFormat="false" ht="12.8" hidden="false" customHeight="false" outlineLevel="0" collapsed="false">
      <c r="B45" s="3"/>
      <c r="C45" s="3"/>
    </row>
    <row r="46" customFormat="false" ht="12.8" hidden="false" customHeight="false" outlineLevel="0" collapsed="false">
      <c r="A46" s="3" t="s">
        <v>63</v>
      </c>
      <c r="B46" s="3" t="s">
        <v>64</v>
      </c>
      <c r="C46" s="3" t="s">
        <v>22</v>
      </c>
      <c r="D46" s="3" t="s">
        <v>65</v>
      </c>
    </row>
    <row r="47" customFormat="false" ht="12.8" hidden="false" customHeight="false" outlineLevel="0" collapsed="false">
      <c r="A47" s="2" t="n">
        <v>20</v>
      </c>
      <c r="B47" s="2" t="n">
        <v>10</v>
      </c>
      <c r="C47" s="3" t="n">
        <f aca="false">(2*B$55-A47*B$56)*(1-COS(RADIANS(B47)))/(2*B$55*(1-COS(RADIANS(B47)))-A47*B$56)</f>
        <v>1.38325229866322</v>
      </c>
      <c r="D47" s="3" t="n">
        <f aca="false">ROUND((C$53-C47)^2,4)</f>
        <v>0.0033</v>
      </c>
    </row>
    <row r="48" customFormat="false" ht="12.8" hidden="false" customHeight="false" outlineLevel="0" collapsed="false">
      <c r="A48" s="2" t="n">
        <v>40</v>
      </c>
      <c r="B48" s="2" t="n">
        <v>15</v>
      </c>
      <c r="C48" s="3" t="n">
        <f aca="false">(2*B$55-A48*B$56)*(1-COS(RADIANS(B48)))/(2*B$55*(1-COS(RADIANS(B48)))-A48*B$56)</f>
        <v>1.32164559737173</v>
      </c>
      <c r="D48" s="3" t="n">
        <f aca="false">ROUND((C$53-C48)^2,4)</f>
        <v>0</v>
      </c>
    </row>
    <row r="49" customFormat="false" ht="12.8" hidden="false" customHeight="false" outlineLevel="0" collapsed="false">
      <c r="A49" s="2" t="n">
        <v>60</v>
      </c>
      <c r="B49" s="2" t="n">
        <v>18</v>
      </c>
      <c r="C49" s="3" t="n">
        <f aca="false">(2*B$55-A49*B$56)*(1-COS(RADIANS(B49)))/(2*B$55*(1-COS(RADIANS(B49)))-A49*B$56)</f>
        <v>1.33567179637821</v>
      </c>
      <c r="D49" s="3" t="n">
        <f aca="false">ROUND((C$53-C49)^2,4)</f>
        <v>0.0001</v>
      </c>
    </row>
    <row r="50" customFormat="false" ht="12.8" hidden="false" customHeight="false" outlineLevel="0" collapsed="false">
      <c r="A50" s="2" t="n">
        <v>80</v>
      </c>
      <c r="B50" s="2" t="n">
        <v>20</v>
      </c>
      <c r="C50" s="3" t="n">
        <f aca="false">(2*B$55-A50*B$56)*(1-COS(RADIANS(B50)))/(2*B$55*(1-COS(RADIANS(B50)))-A50*B$56)</f>
        <v>1.36959515330659</v>
      </c>
      <c r="D50" s="3" t="n">
        <f aca="false">ROUND((C$53-C50)^2,4)</f>
        <v>0.0019</v>
      </c>
    </row>
    <row r="51" customFormat="false" ht="12.8" hidden="false" customHeight="false" outlineLevel="0" collapsed="false">
      <c r="A51" s="2" t="n">
        <v>100</v>
      </c>
      <c r="B51" s="2" t="n">
        <v>24</v>
      </c>
      <c r="C51" s="3" t="n">
        <f aca="false">(2*B$55-A51*B$56)*(1-COS(RADIANS(B51)))/(2*B$55*(1-COS(RADIANS(B51)))-A51*B$56)</f>
        <v>1.29827976745935</v>
      </c>
      <c r="D51" s="3" t="n">
        <f aca="false">ROUND((C$53-C51)^2,4)</f>
        <v>0.0008</v>
      </c>
    </row>
    <row r="52" customFormat="false" ht="12.8" hidden="false" customHeight="false" outlineLevel="0" collapsed="false">
      <c r="A52" s="2" t="n">
        <v>120</v>
      </c>
      <c r="B52" s="2" t="n">
        <v>28</v>
      </c>
      <c r="C52" s="3" t="n">
        <f aca="false">(2*B$55-A52*B$56)*(1-COS(RADIANS(B52)))/(2*B$55*(1-COS(RADIANS(B52)))-A52*B$56)</f>
        <v>1.24637057371023</v>
      </c>
      <c r="D52" s="3" t="n">
        <f aca="false">ROUND((C$53-C52)^2,4)</f>
        <v>0.0063</v>
      </c>
    </row>
    <row r="53" customFormat="false" ht="12.8" hidden="false" customHeight="false" outlineLevel="0" collapsed="false">
      <c r="B53" s="7" t="s">
        <v>22</v>
      </c>
      <c r="C53" s="5" t="n">
        <f aca="false">AVERAGE(C47:C52)</f>
        <v>1.32580253114822</v>
      </c>
    </row>
    <row r="55" customFormat="false" ht="12.8" hidden="false" customHeight="false" outlineLevel="0" collapsed="false">
      <c r="A55" s="3" t="s">
        <v>66</v>
      </c>
      <c r="B55" s="2" t="n">
        <f aca="false">1.25*10^-3</f>
        <v>0.00125</v>
      </c>
    </row>
    <row r="56" customFormat="false" ht="12.8" hidden="false" customHeight="false" outlineLevel="0" collapsed="false">
      <c r="A56" s="3" t="s">
        <v>57</v>
      </c>
      <c r="B56" s="2" t="n">
        <f aca="false">532*10^-9</f>
        <v>5.32E-007</v>
      </c>
      <c r="C56" s="7" t="s">
        <v>67</v>
      </c>
      <c r="D56" s="7" t="n">
        <f aca="false">SQRT(AVERAGE(D47:D52))</f>
        <v>0.0454606056566195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2" width="11.53"/>
  </cols>
  <sheetData>
    <row r="1" customFormat="false" ht="12.8" hidden="false" customHeight="false" outlineLevel="0" collapsed="false">
      <c r="A1" s="2" t="s">
        <v>68</v>
      </c>
      <c r="B1" s="2" t="s">
        <v>69</v>
      </c>
      <c r="C1" s="3" t="s">
        <v>70</v>
      </c>
      <c r="D1" s="3" t="s">
        <v>70</v>
      </c>
      <c r="F1" s="3" t="s">
        <v>71</v>
      </c>
      <c r="G1" s="3" t="s">
        <v>72</v>
      </c>
      <c r="H1" s="3" t="s">
        <v>73</v>
      </c>
    </row>
    <row r="2" customFormat="false" ht="12.8" hidden="false" customHeight="false" outlineLevel="0" collapsed="false">
      <c r="A2" s="2" t="n">
        <v>0</v>
      </c>
      <c r="B2" s="2" t="n">
        <v>0.7</v>
      </c>
      <c r="C2" s="3" t="n">
        <f aca="false">G$2*10^(-9)*ASIN(SQRT(B2/F$2))/(3.1415*H$2*10^(-3))</f>
        <v>2.2488624864707E-005</v>
      </c>
      <c r="D2" s="3" t="n">
        <f aca="false">C2*10^5</f>
        <v>2.2488624864707</v>
      </c>
      <c r="E2" s="1" t="n">
        <f aca="false">ROUND(C2*10^5,2)</f>
        <v>2.25</v>
      </c>
      <c r="F2" s="2" t="n">
        <v>9.2</v>
      </c>
      <c r="G2" s="2" t="n">
        <v>632</v>
      </c>
      <c r="H2" s="3" t="n">
        <v>2.5</v>
      </c>
    </row>
    <row r="3" customFormat="false" ht="12.8" hidden="false" customHeight="false" outlineLevel="0" collapsed="false">
      <c r="A3" s="2" t="n">
        <v>0.1</v>
      </c>
      <c r="B3" s="2" t="n">
        <v>0.8</v>
      </c>
      <c r="C3" s="3" t="n">
        <f aca="false">G$2*10^(-9)*ASIN(SQRT(B3/F$2))/(3.1415*H$2*10^(-3))</f>
        <v>2.40877421226842E-005</v>
      </c>
      <c r="D3" s="3" t="n">
        <f aca="false">C3*10^5</f>
        <v>2.40877421226843</v>
      </c>
      <c r="E3" s="1" t="n">
        <f aca="false">ROUND(C3*10^5,2)</f>
        <v>2.41</v>
      </c>
    </row>
    <row r="4" customFormat="false" ht="12.8" hidden="false" customHeight="false" outlineLevel="0" collapsed="false">
      <c r="A4" s="2" t="n">
        <v>0.2</v>
      </c>
      <c r="B4" s="2" t="n">
        <v>1</v>
      </c>
      <c r="C4" s="3" t="n">
        <f aca="false">G$2*10^(-9)*ASIN(SQRT(B4/F$2))/(3.1415*H$2*10^(-3))</f>
        <v>2.70363181018887E-005</v>
      </c>
      <c r="D4" s="3" t="n">
        <f aca="false">C4*10^5</f>
        <v>2.70363181018887</v>
      </c>
      <c r="E4" s="1" t="n">
        <f aca="false">ROUND(C4*10^5,2)</f>
        <v>2.7</v>
      </c>
    </row>
    <row r="5" customFormat="false" ht="12.8" hidden="false" customHeight="false" outlineLevel="0" collapsed="false">
      <c r="A5" s="2" t="n">
        <v>0.3</v>
      </c>
      <c r="B5" s="2" t="n">
        <v>1.2</v>
      </c>
      <c r="C5" s="3" t="n">
        <f aca="false">G$2*10^(-9)*ASIN(SQRT(B5/F$2))/(3.1415*H$2*10^(-3))</f>
        <v>2.97347954503769E-005</v>
      </c>
      <c r="D5" s="3" t="n">
        <f aca="false">C5*10^5</f>
        <v>2.97347954503769</v>
      </c>
      <c r="E5" s="1" t="n">
        <f aca="false">ROUND(C5*10^5,2)</f>
        <v>2.97</v>
      </c>
    </row>
    <row r="6" customFormat="false" ht="12.8" hidden="false" customHeight="false" outlineLevel="0" collapsed="false">
      <c r="A6" s="2" t="n">
        <v>0.4</v>
      </c>
      <c r="B6" s="2" t="n">
        <v>1.6</v>
      </c>
      <c r="C6" s="3" t="n">
        <f aca="false">G$2*10^(-9)*ASIN(SQRT(B6/F$2))/(3.1415*H$2*10^(-3))</f>
        <v>3.46165690229979E-005</v>
      </c>
      <c r="D6" s="3" t="n">
        <f aca="false">C6*10^5</f>
        <v>3.46165690229979</v>
      </c>
      <c r="E6" s="1" t="n">
        <f aca="false">ROUND(C6*10^5,2)</f>
        <v>3.46</v>
      </c>
    </row>
    <row r="7" customFormat="false" ht="12.8" hidden="false" customHeight="false" outlineLevel="0" collapsed="false">
      <c r="A7" s="2" t="n">
        <v>0.5</v>
      </c>
      <c r="B7" s="2" t="n">
        <v>2</v>
      </c>
      <c r="C7" s="3" t="n">
        <f aca="false">G$2*10^(-9)*ASIN(SQRT(B7/F$2))/(3.1415*H$2*10^(-3))</f>
        <v>3.90324959846485E-005</v>
      </c>
      <c r="D7" s="3" t="n">
        <f aca="false">C7*10^5</f>
        <v>3.90324959846485</v>
      </c>
      <c r="E7" s="1" t="n">
        <f aca="false">ROUND(C7*10^5,2)</f>
        <v>3.9</v>
      </c>
    </row>
    <row r="8" customFormat="false" ht="12.8" hidden="false" customHeight="false" outlineLevel="0" collapsed="false">
      <c r="A8" s="2" t="n">
        <v>0.6</v>
      </c>
      <c r="B8" s="2" t="n">
        <v>2.7</v>
      </c>
      <c r="C8" s="3" t="n">
        <f aca="false">G$2*10^(-9)*ASIN(SQRT(B8/F$2))/(3.1415*H$2*10^(-3))</f>
        <v>4.60698293183585E-005</v>
      </c>
      <c r="D8" s="3" t="n">
        <f aca="false">C8*10^5</f>
        <v>4.60698293183585</v>
      </c>
      <c r="E8" s="1" t="n">
        <f aca="false">ROUND(C8*10^5,2)</f>
        <v>4.61</v>
      </c>
    </row>
    <row r="9" customFormat="false" ht="12.8" hidden="false" customHeight="false" outlineLevel="0" collapsed="false">
      <c r="A9" s="2" t="n">
        <v>0.7</v>
      </c>
      <c r="B9" s="2" t="n">
        <v>3.3</v>
      </c>
      <c r="C9" s="3" t="n">
        <f aca="false">G$2*10^(-9)*ASIN(SQRT(B9/F$2))/(3.1415*H$2*10^(-3))</f>
        <v>5.16738708880797E-005</v>
      </c>
      <c r="D9" s="3" t="n">
        <f aca="false">C9*10^5</f>
        <v>5.16738708880797</v>
      </c>
      <c r="E9" s="1" t="n">
        <f aca="false">ROUND(C9*10^5,2)</f>
        <v>5.17</v>
      </c>
    </row>
    <row r="10" customFormat="false" ht="12.8" hidden="false" customHeight="false" outlineLevel="0" collapsed="false">
      <c r="A10" s="2" t="n">
        <v>0.8</v>
      </c>
      <c r="B10" s="2" t="n">
        <v>4.2</v>
      </c>
      <c r="C10" s="3" t="n">
        <f aca="false">G$2*10^(-9)*ASIN(SQRT(B10/F$2))/(3.1415*H$2*10^(-3))</f>
        <v>5.96986956352584E-005</v>
      </c>
      <c r="D10" s="3" t="n">
        <f aca="false">C10*10^5</f>
        <v>5.96986956352584</v>
      </c>
      <c r="E10" s="1" t="n">
        <f aca="false">ROUND(C10*10^5,2)</f>
        <v>5.97</v>
      </c>
    </row>
    <row r="11" customFormat="false" ht="12.8" hidden="false" customHeight="false" outlineLevel="0" collapsed="false">
      <c r="A11" s="2" t="n">
        <v>0.9</v>
      </c>
      <c r="B11" s="2" t="n">
        <v>5.1</v>
      </c>
      <c r="C11" s="3" t="n">
        <f aca="false">G$2*10^(-9)*ASIN(SQRT(B11/F$2))/(3.1415*H$2*10^(-3))</f>
        <v>6.75839519501034E-005</v>
      </c>
      <c r="D11" s="3" t="n">
        <f aca="false">C11*10^5</f>
        <v>6.75839519501034</v>
      </c>
      <c r="E11" s="1" t="n">
        <f aca="false">ROUND(C11*10^5,2)</f>
        <v>6.76</v>
      </c>
    </row>
    <row r="12" customFormat="false" ht="12.8" hidden="false" customHeight="false" outlineLevel="0" collapsed="false">
      <c r="A12" s="2" t="n">
        <v>1</v>
      </c>
      <c r="B12" s="2" t="n">
        <v>6.2</v>
      </c>
      <c r="C12" s="3" t="n">
        <f aca="false">G$2*10^(-9)*ASIN(SQRT(B12/F$2))/(3.1415*H$2*10^(-3))</f>
        <v>7.74956020361828E-005</v>
      </c>
      <c r="D12" s="3" t="n">
        <f aca="false">C12*10^5</f>
        <v>7.74956020361828</v>
      </c>
      <c r="E12" s="1" t="n">
        <f aca="false">ROUND(C12*10^5,2)</f>
        <v>7.75</v>
      </c>
    </row>
    <row r="13" customFormat="false" ht="12.8" hidden="false" customHeight="false" outlineLevel="0" collapsed="false">
      <c r="A13" s="2" t="n">
        <v>1.1</v>
      </c>
      <c r="B13" s="2" t="n">
        <v>7.5</v>
      </c>
      <c r="C13" s="3" t="n">
        <f aca="false">G$2*10^(-9)*ASIN(SQRT(B13/F$2))/(3.1415*H$2*10^(-3))</f>
        <v>9.0647067871211E-005</v>
      </c>
      <c r="D13" s="3" t="n">
        <f aca="false">C13*10^5</f>
        <v>9.0647067871211</v>
      </c>
      <c r="E13" s="1" t="n">
        <f aca="false">ROUND(C13*10^5,2)</f>
        <v>9.06</v>
      </c>
    </row>
    <row r="14" customFormat="false" ht="12.8" hidden="false" customHeight="false" outlineLevel="0" collapsed="false">
      <c r="A14" s="2" t="n">
        <v>1.2</v>
      </c>
      <c r="B14" s="2" t="n">
        <v>8.4</v>
      </c>
      <c r="C14" s="3" t="n">
        <f aca="false">G$2*10^(-9)*ASIN(SQRT(B14/F$2))/(3.1415*H$2*10^(-3))</f>
        <v>0.000102315985846041</v>
      </c>
      <c r="D14" s="3" t="n">
        <f aca="false">C14*10^5</f>
        <v>10.2315985846041</v>
      </c>
      <c r="E14" s="1" t="n">
        <f aca="false">ROUND(C14*10^5,2)</f>
        <v>10.23</v>
      </c>
    </row>
    <row r="15" customFormat="false" ht="12.8" hidden="false" customHeight="false" outlineLevel="0" collapsed="false">
      <c r="A15" s="2" t="n">
        <v>1.3</v>
      </c>
      <c r="B15" s="2" t="n">
        <v>9</v>
      </c>
      <c r="C15" s="3" t="n">
        <f aca="false">G$2*10^(-9)*ASIN(SQRT(B15/F$2))/(3.1415*H$2*10^(-3))</f>
        <v>0.000114495495189068</v>
      </c>
      <c r="D15" s="3" t="n">
        <f aca="false">C15*10^5</f>
        <v>11.4495495189068</v>
      </c>
      <c r="E15" s="1" t="n">
        <f aca="false">ROUND(C15*10^5,2)</f>
        <v>11.45</v>
      </c>
    </row>
    <row r="16" customFormat="false" ht="12.8" hidden="false" customHeight="false" outlineLevel="0" collapsed="false">
      <c r="A16" s="2" t="n">
        <v>1.4</v>
      </c>
      <c r="B16" s="2" t="n">
        <v>9.2</v>
      </c>
      <c r="C16" s="3" t="n">
        <f aca="false">G$2*10^(-9)*ASIN(SQRT(B16/F$2))/(3.1415*H$2*10^(-3))</f>
        <v>0.000126403727968725</v>
      </c>
      <c r="D16" s="3" t="n">
        <f aca="false">C16*10^5</f>
        <v>12.6403727968725</v>
      </c>
      <c r="E16" s="1" t="n">
        <f aca="false">ROUND(C16*10^5,2)</f>
        <v>12.64</v>
      </c>
    </row>
    <row r="17" customFormat="false" ht="12.8" hidden="false" customHeight="false" outlineLevel="0" collapsed="false">
      <c r="A17" s="2" t="n">
        <v>1.5</v>
      </c>
      <c r="B17" s="2" t="n">
        <v>8.7</v>
      </c>
      <c r="C17" s="3" t="n">
        <f aca="false">G$2*10^(-9)*ASIN(SQRT(B17/F$2))/(3.1415*H$2*10^(-3))</f>
        <v>0.000107469580834145</v>
      </c>
      <c r="D17" s="3" t="n">
        <f aca="false">C17*10^5</f>
        <v>10.7469580834145</v>
      </c>
      <c r="E17" s="1" t="n">
        <f aca="false">ROUND(C17*10^5,2)</f>
        <v>10.75</v>
      </c>
    </row>
    <row r="18" customFormat="false" ht="12.8" hidden="false" customHeight="false" outlineLevel="0" collapsed="false">
      <c r="A18" s="2" t="n">
        <v>1.6</v>
      </c>
      <c r="B18" s="2" t="n">
        <v>7.7</v>
      </c>
      <c r="C18" s="3" t="n">
        <f aca="false">G$2*10^(-9)*ASIN(SQRT(B18/F$2))/(3.1415*H$2*10^(-3))</f>
        <v>9.29557556091017E-005</v>
      </c>
      <c r="D18" s="3" t="n">
        <f aca="false">C18*10^5</f>
        <v>9.29557556091017</v>
      </c>
      <c r="E18" s="1" t="n">
        <f aca="false">ROUND(C18*10^5,2)</f>
        <v>9.3</v>
      </c>
    </row>
    <row r="19" customFormat="false" ht="12.8" hidden="false" customHeight="false" outlineLevel="0" collapsed="false">
      <c r="A19" s="2" t="n">
        <v>1.7</v>
      </c>
      <c r="B19" s="2" t="n">
        <v>6.1</v>
      </c>
      <c r="C19" s="3" t="n">
        <f aca="false">G$2*10^(-9)*ASIN(SQRT(B19/F$2))/(3.1415*H$2*10^(-3))</f>
        <v>7.6566558881869E-005</v>
      </c>
      <c r="D19" s="3" t="n">
        <f aca="false">C19*10^5</f>
        <v>7.6566558881869</v>
      </c>
      <c r="E19" s="1" t="n">
        <f aca="false">ROUND(C19*10^5,2)</f>
        <v>7.66</v>
      </c>
    </row>
    <row r="20" customFormat="false" ht="12.8" hidden="false" customHeight="false" outlineLevel="0" collapsed="false">
      <c r="A20" s="2" t="n">
        <v>1.8</v>
      </c>
      <c r="B20" s="2" t="n">
        <v>4.2</v>
      </c>
      <c r="C20" s="3" t="n">
        <f aca="false">G$2*10^(-9)*ASIN(SQRT(B20/F$2))/(3.1415*H$2*10^(-3))</f>
        <v>5.96986956352584E-005</v>
      </c>
      <c r="D20" s="3" t="n">
        <f aca="false">C20*10^5</f>
        <v>5.96986956352584</v>
      </c>
      <c r="E20" s="1" t="n">
        <f aca="false">ROUND(C20*10^5,2)</f>
        <v>5.97</v>
      </c>
    </row>
    <row r="21" customFormat="false" ht="12.8" hidden="false" customHeight="false" outlineLevel="0" collapsed="false">
      <c r="A21" s="2" t="n">
        <v>1.9</v>
      </c>
      <c r="B21" s="2" t="n">
        <v>2.4</v>
      </c>
      <c r="C21" s="3" t="n">
        <f aca="false">G$2*10^(-9)*ASIN(SQRT(B21/F$2))/(3.1415*H$2*10^(-3))</f>
        <v>4.31374644718294E-005</v>
      </c>
      <c r="D21" s="3" t="n">
        <f aca="false">C21*10^5</f>
        <v>4.31374644718294</v>
      </c>
      <c r="E21" s="1" t="n">
        <f aca="false">ROUND(C21*10^5,2)</f>
        <v>4.31</v>
      </c>
    </row>
    <row r="22" customFormat="false" ht="12.8" hidden="false" customHeight="false" outlineLevel="0" collapsed="false">
      <c r="A22" s="2" t="n">
        <v>2</v>
      </c>
      <c r="B22" s="2" t="n">
        <v>1</v>
      </c>
      <c r="C22" s="3" t="n">
        <f aca="false">G$2*10^(-9)*ASIN(SQRT(B22/F$2))/(3.1415*H$2*10^(-3))</f>
        <v>2.70363181018887E-005</v>
      </c>
      <c r="D22" s="3" t="n">
        <f aca="false">C22*10^5</f>
        <v>2.70363181018887</v>
      </c>
      <c r="E22" s="1" t="n">
        <f aca="false">ROUND(C22*10^5,2)</f>
        <v>2.7</v>
      </c>
    </row>
    <row r="24" customFormat="false" ht="12.8" hidden="false" customHeight="false" outlineLevel="0" collapsed="false">
      <c r="D24" s="3" t="n">
        <f aca="false">STDEV(D2:D22)</f>
        <v>3.26585469676993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C5" activeCellId="0" sqref="C5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2" width="11.53"/>
    <col collapsed="false" customWidth="true" hidden="false" outlineLevel="0" max="3" min="3" style="3" width="15.77"/>
    <col collapsed="false" customWidth="true" hidden="false" outlineLevel="0" max="4" min="4" style="3" width="13.28"/>
  </cols>
  <sheetData>
    <row r="1" customFormat="false" ht="12.8" hidden="false" customHeight="false" outlineLevel="0" collapsed="false">
      <c r="A1" s="2" t="s">
        <v>74</v>
      </c>
      <c r="B1" s="2" t="s">
        <v>69</v>
      </c>
      <c r="C1" s="3" t="s">
        <v>75</v>
      </c>
      <c r="D1" s="1" t="s">
        <v>70</v>
      </c>
      <c r="E1" s="3" t="s">
        <v>71</v>
      </c>
      <c r="F1" s="3" t="s">
        <v>72</v>
      </c>
      <c r="G1" s="3" t="s">
        <v>73</v>
      </c>
    </row>
    <row r="2" customFormat="false" ht="13.8" hidden="false" customHeight="false" outlineLevel="0" collapsed="false">
      <c r="A2" s="8" t="n">
        <v>0.01</v>
      </c>
      <c r="B2" s="8" t="n">
        <v>46.9</v>
      </c>
      <c r="C2" s="3" t="n">
        <f aca="false">ROUND(D2*10^5,2)</f>
        <v>6.63</v>
      </c>
      <c r="D2" s="1" t="n">
        <f aca="false">F$2*10^(-9)*ASIN(SQRT(B2/E$2))/(3.1415*G$2*10^(-3))</f>
        <v>6.62999672404576E-005</v>
      </c>
      <c r="E2" s="2" t="n">
        <v>87.1</v>
      </c>
      <c r="F2" s="2" t="n">
        <v>632</v>
      </c>
      <c r="G2" s="3" t="n">
        <v>2.5</v>
      </c>
    </row>
    <row r="3" customFormat="false" ht="13.8" hidden="false" customHeight="false" outlineLevel="0" collapsed="false">
      <c r="A3" s="8" t="n">
        <v>0.1</v>
      </c>
      <c r="B3" s="8" t="n">
        <v>47.6</v>
      </c>
      <c r="C3" s="3" t="n">
        <f aca="false">ROUND(D3*10^5,2)</f>
        <v>6.69</v>
      </c>
      <c r="D3" s="1" t="n">
        <f aca="false">F$2*10^(-9)*ASIN(SQRT(B3/E$2))/(3.1415*G$2*10^(-3))</f>
        <v>6.69490465904407E-005</v>
      </c>
    </row>
    <row r="4" customFormat="false" ht="13.8" hidden="false" customHeight="false" outlineLevel="0" collapsed="false">
      <c r="A4" s="8" t="n">
        <v>0.2</v>
      </c>
      <c r="B4" s="8" t="n">
        <v>48.9</v>
      </c>
      <c r="C4" s="3" t="n">
        <f aca="false">ROUND(D4*10^5,2)</f>
        <v>6.82</v>
      </c>
      <c r="D4" s="1" t="n">
        <f aca="false">F$2*10^(-9)*ASIN(SQRT(B4/E$2))/(3.1415*G$2*10^(-3))</f>
        <v>6.81572111293047E-005</v>
      </c>
    </row>
    <row r="5" customFormat="false" ht="13.8" hidden="false" customHeight="false" outlineLevel="0" collapsed="false">
      <c r="A5" s="8" t="n">
        <v>0.3</v>
      </c>
      <c r="B5" s="8" t="n">
        <v>51.5</v>
      </c>
      <c r="C5" s="3" t="n">
        <f aca="false">ROUND(D5*10^5,2)</f>
        <v>7.06</v>
      </c>
      <c r="D5" s="1" t="n">
        <f aca="false">F$2*10^(-9)*ASIN(SQRT(B5/E$2))/(3.1415*G$2*10^(-3))</f>
        <v>7.05882343724922E-005</v>
      </c>
    </row>
    <row r="6" customFormat="false" ht="13.8" hidden="false" customHeight="false" outlineLevel="0" collapsed="false">
      <c r="A6" s="8" t="n">
        <v>0.4</v>
      </c>
      <c r="B6" s="8" t="n">
        <v>54.8</v>
      </c>
      <c r="C6" s="3" t="n">
        <f aca="false">ROUND(D6*10^5,2)</f>
        <v>7.37</v>
      </c>
      <c r="D6" s="1" t="n">
        <f aca="false">F$2*10^(-9)*ASIN(SQRT(B6/E$2))/(3.1415*G$2*10^(-3))</f>
        <v>7.37148785810803E-005</v>
      </c>
    </row>
    <row r="7" customFormat="false" ht="13.8" hidden="false" customHeight="false" outlineLevel="0" collapsed="false">
      <c r="A7" s="8" t="n">
        <v>0.5</v>
      </c>
      <c r="B7" s="8" t="n">
        <v>59.6</v>
      </c>
      <c r="C7" s="3" t="n">
        <f aca="false">ROUND(D7*10^5,2)</f>
        <v>7.84</v>
      </c>
      <c r="D7" s="1" t="n">
        <f aca="false">F$2*10^(-9)*ASIN(SQRT(B7/E$2))/(3.1415*G$2*10^(-3))</f>
        <v>7.83883736709194E-005</v>
      </c>
    </row>
    <row r="8" customFormat="false" ht="13.8" hidden="false" customHeight="false" outlineLevel="0" collapsed="false">
      <c r="A8" s="8" t="n">
        <v>0.6</v>
      </c>
      <c r="B8" s="8" t="n">
        <v>65.2</v>
      </c>
      <c r="C8" s="3" t="n">
        <f aca="false">ROUND(D8*10^5,2)</f>
        <v>8.41</v>
      </c>
      <c r="D8" s="1" t="n">
        <f aca="false">F$2*10^(-9)*ASIN(SQRT(B8/E$2))/(3.1415*G$2*10^(-3))</f>
        <v>8.41359265566896E-005</v>
      </c>
    </row>
    <row r="9" customFormat="false" ht="13.8" hidden="false" customHeight="false" outlineLevel="0" collapsed="false">
      <c r="A9" s="8" t="n">
        <v>0.7</v>
      </c>
      <c r="B9" s="8" t="n">
        <v>71.2</v>
      </c>
      <c r="C9" s="3" t="n">
        <f aca="false">ROUND(D9*10^5,2)</f>
        <v>9.09</v>
      </c>
      <c r="D9" s="1" t="n">
        <f aca="false">F$2*10^(-9)*ASIN(SQRT(B9/E$2))/(3.1415*G$2*10^(-3))</f>
        <v>9.08791869368166E-005</v>
      </c>
    </row>
    <row r="10" customFormat="false" ht="13.8" hidden="false" customHeight="false" outlineLevel="0" collapsed="false">
      <c r="A10" s="8" t="n">
        <v>0.8</v>
      </c>
      <c r="B10" s="8" t="n">
        <v>77.1</v>
      </c>
      <c r="C10" s="3" t="n">
        <f aca="false">ROUND(D10*10^5,2)</f>
        <v>9.86</v>
      </c>
      <c r="D10" s="1" t="n">
        <f aca="false">F$2*10^(-9)*ASIN(SQRT(B10/E$2))/(3.1415*G$2*10^(-3))</f>
        <v>9.85864273073767E-005</v>
      </c>
    </row>
    <row r="11" customFormat="false" ht="13.8" hidden="false" customHeight="false" outlineLevel="0" collapsed="false">
      <c r="A11" s="8" t="n">
        <v>0.9</v>
      </c>
      <c r="B11" s="8" t="n">
        <v>81.8</v>
      </c>
      <c r="C11" s="3" t="n">
        <f aca="false">ROUND(D11*10^5,2)</f>
        <v>10.63</v>
      </c>
      <c r="D11" s="1" t="n">
        <f aca="false">F$2*10^(-9)*ASIN(SQRT(B11/E$2))/(3.1415*G$2*10^(-3))</f>
        <v>0.000106346310831971</v>
      </c>
    </row>
    <row r="12" customFormat="false" ht="13.8" hidden="false" customHeight="false" outlineLevel="0" collapsed="false">
      <c r="A12" s="8" t="n">
        <v>1</v>
      </c>
      <c r="B12" s="8" t="n">
        <v>85.3</v>
      </c>
      <c r="C12" s="3" t="n">
        <f aca="false">ROUND(D12*10^5,2)</f>
        <v>11.48</v>
      </c>
      <c r="D12" s="1" t="n">
        <f aca="false">F$2*10^(-9)*ASIN(SQRT(B12/E$2))/(3.1415*G$2*10^(-3))</f>
        <v>0.000114795271046569</v>
      </c>
    </row>
    <row r="13" customFormat="false" ht="13.8" hidden="false" customHeight="false" outlineLevel="0" collapsed="false">
      <c r="A13" s="8" t="n">
        <v>1.1</v>
      </c>
      <c r="B13" s="8" t="n">
        <v>87.1</v>
      </c>
      <c r="C13" s="3" t="n">
        <f aca="false">ROUND(D13*10^5,2)</f>
        <v>12.64</v>
      </c>
      <c r="D13" s="1" t="n">
        <f aca="false">F$2*10^(-9)*ASIN(SQRT(B13/E$2))/(3.1415*G$2*10^(-3))</f>
        <v>0.000126403727968725</v>
      </c>
    </row>
    <row r="14" customFormat="false" ht="13.8" hidden="false" customHeight="false" outlineLevel="0" collapsed="false">
      <c r="A14" s="8" t="n">
        <v>1.2</v>
      </c>
      <c r="B14" s="8" t="n">
        <v>86.4</v>
      </c>
      <c r="C14" s="3" t="n">
        <f aca="false">ROUND(D14*10^5,2)</f>
        <v>11.92</v>
      </c>
      <c r="D14" s="1" t="n">
        <f aca="false">F$2*10^(-9)*ASIN(SQRT(B14/E$2))/(3.1415*G$2*10^(-3))</f>
        <v>0.000119179966640998</v>
      </c>
    </row>
    <row r="15" customFormat="false" ht="13.8" hidden="false" customHeight="false" outlineLevel="0" collapsed="false">
      <c r="A15" s="8" t="n">
        <v>1.3</v>
      </c>
      <c r="B15" s="8" t="n">
        <v>83.5</v>
      </c>
      <c r="C15" s="3" t="n">
        <f aca="false">ROUND(D15*10^5,2)</f>
        <v>10.99</v>
      </c>
      <c r="D15" s="1" t="n">
        <f aca="false">F$2*10^(-9)*ASIN(SQRT(B15/E$2))/(3.1415*G$2*10^(-3))</f>
        <v>0.000109928923270196</v>
      </c>
    </row>
    <row r="16" customFormat="false" ht="13.8" hidden="false" customHeight="false" outlineLevel="0" collapsed="false">
      <c r="A16" s="8" t="n">
        <v>1.4</v>
      </c>
      <c r="B16" s="8" t="n">
        <v>77.5</v>
      </c>
      <c r="C16" s="3" t="n">
        <f aca="false">ROUND(D16*10^5,2)</f>
        <v>9.92</v>
      </c>
      <c r="D16" s="1" t="n">
        <f aca="false">F$2*10^(-9)*ASIN(SQRT(B16/E$2))/(3.1415*G$2*10^(-3))</f>
        <v>9.91712016134648E-005</v>
      </c>
    </row>
    <row r="17" customFormat="false" ht="13.8" hidden="false" customHeight="false" outlineLevel="0" collapsed="false">
      <c r="A17" s="8" t="n">
        <v>1.5</v>
      </c>
      <c r="B17" s="8" t="n">
        <v>69.3</v>
      </c>
      <c r="C17" s="3" t="n">
        <f aca="false">ROUND(D17*10^5,2)</f>
        <v>8.87</v>
      </c>
      <c r="D17" s="1" t="n">
        <f aca="false">F$2*10^(-9)*ASIN(SQRT(B17/E$2))/(3.1415*G$2*10^(-3))</f>
        <v>8.86564115723007E-005</v>
      </c>
    </row>
    <row r="18" customFormat="false" ht="13.8" hidden="false" customHeight="false" outlineLevel="0" collapsed="false">
      <c r="A18" s="8" t="n">
        <v>1.6</v>
      </c>
      <c r="B18" s="8" t="n">
        <v>60.5</v>
      </c>
      <c r="C18" s="3" t="n">
        <f aca="false">ROUND(D18*10^5,2)</f>
        <v>7.93</v>
      </c>
      <c r="D18" s="1" t="n">
        <f aca="false">F$2*10^(-9)*ASIN(SQRT(B18/E$2))/(3.1415*G$2*10^(-3))</f>
        <v>7.92868899310649E-005</v>
      </c>
    </row>
    <row r="19" customFormat="false" ht="13.8" hidden="false" customHeight="false" outlineLevel="0" collapsed="false">
      <c r="A19" s="8" t="n">
        <v>1.7</v>
      </c>
      <c r="B19" s="8" t="n">
        <v>50.8</v>
      </c>
      <c r="C19" s="3" t="n">
        <f aca="false">ROUND(D19*10^5,2)</f>
        <v>6.99</v>
      </c>
      <c r="D19" s="1" t="n">
        <f aca="false">F$2*10^(-9)*ASIN(SQRT(B19/E$2))/(3.1415*G$2*10^(-3))</f>
        <v>6.99314224008157E-005</v>
      </c>
    </row>
    <row r="20" customFormat="false" ht="13.8" hidden="false" customHeight="false" outlineLevel="0" collapsed="false">
      <c r="A20" s="8" t="n">
        <v>1.8</v>
      </c>
      <c r="B20" s="8" t="n">
        <v>41.3</v>
      </c>
      <c r="C20" s="3" t="n">
        <f aca="false">ROUND(D20*10^5,2)</f>
        <v>6.11</v>
      </c>
      <c r="D20" s="1" t="n">
        <f aca="false">F$2*10^(-9)*ASIN(SQRT(B20/E$2))/(3.1415*G$2*10^(-3))</f>
        <v>6.11221780020505E-005</v>
      </c>
    </row>
    <row r="21" customFormat="false" ht="12.8" hidden="false" customHeight="false" outlineLevel="0" collapsed="false">
      <c r="D21" s="1"/>
    </row>
    <row r="22" customFormat="false" ht="12.8" hidden="false" customHeight="false" outlineLevel="0" collapsed="false">
      <c r="D2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2233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2023-10-28T09:18:47Z</dcterms:created>
  <dc:creator/>
  <dc:description/>
  <dc:language>en-IN</dc:language>
  <cp:lastModifiedBy/>
  <dcterms:modified xsi:type="dcterms:W3CDTF">2023-11-05T22:09:48Z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